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022\Van 2022\SALARY\2025\04 2025\Lương\"/>
    </mc:Choice>
  </mc:AlternateContent>
  <xr:revisionPtr revIDLastSave="0" documentId="13_ncr:1_{0EE66D64-2120-414C-BCF3-5A04A0018F98}" xr6:coauthVersionLast="47" xr6:coauthVersionMax="47" xr10:uidLastSave="{00000000-0000-0000-0000-000000000000}"/>
  <bookViews>
    <workbookView xWindow="-120" yWindow="-120" windowWidth="29040" windowHeight="15840" tabRatio="673" activeTab="6" xr2:uid="{00000000-000D-0000-FFFF-FFFF00000000}"/>
  </bookViews>
  <sheets>
    <sheet name="Summary " sheetId="59" r:id="rId1"/>
    <sheet name="Sheet1" sheetId="65" state="hidden" r:id="rId2"/>
    <sheet name="Manager" sheetId="49" state="hidden" r:id="rId3"/>
    <sheet name="SS" sheetId="56" state="hidden" r:id="rId4"/>
    <sheet name="TOTAL(payment)" sheetId="35" r:id="rId5"/>
    <sheet name="Foreign Salary" sheetId="54" r:id="rId6"/>
    <sheet name="Salary sheet" sheetId="27" r:id="rId7"/>
    <sheet name="Transfer" sheetId="61" r:id="rId8"/>
    <sheet name="Cash" sheetId="23" r:id="rId9"/>
    <sheet name="Cash - Dep" sheetId="51" r:id="rId10"/>
    <sheet name="Average ." sheetId="64" r:id="rId11"/>
    <sheet name="급여." sheetId="63" r:id="rId12"/>
    <sheet name="Comparison summary" sheetId="48" state="hidden" r:id="rId13"/>
    <sheet name="Comparison summary." sheetId="62" r:id="rId14"/>
    <sheet name="Compare months" sheetId="60" r:id="rId15"/>
    <sheet name="So sánh giờ" sheetId="66" state="hidden" r:id="rId16"/>
    <sheet name="Explain" sheetId="58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8" hidden="1">Cash!$A$4:$M$22</definedName>
    <definedName name="_xlnm._FilterDatabase" localSheetId="9" hidden="1">'Cash - Dep'!$A$4:$E$4</definedName>
    <definedName name="_xlnm._FilterDatabase" localSheetId="14" hidden="1">'Compare months'!$C$5:$AN$5</definedName>
    <definedName name="_xlnm._FilterDatabase" localSheetId="6" hidden="1">'Salary sheet'!$A$5:$BW$5</definedName>
    <definedName name="_xlnm._FilterDatabase" localSheetId="15" hidden="1">'So sánh giờ'!$A$3:$P$116</definedName>
    <definedName name="_xlnm._FilterDatabase" localSheetId="4" hidden="1">'TOTAL(payment)'!$A$6:$P$6</definedName>
    <definedName name="_xlnm._FilterDatabase" localSheetId="7" hidden="1">Transfer!$A$5:$S$1279</definedName>
    <definedName name="_xlnm.Print_Area" localSheetId="5">'Foreign Salary'!$A$1:$U$23</definedName>
    <definedName name="_xlnm.Print_Area" localSheetId="6">'Salary sheet'!$A$1:$AT$1379</definedName>
    <definedName name="_xlnm.Print_Area" localSheetId="15">'So sánh giờ'!$A$1:$L$116</definedName>
    <definedName name="_xlnm.Print_Area" localSheetId="4">'TOTAL(payment)'!$A$1:$M$132</definedName>
    <definedName name="_xlnm.Print_Area" localSheetId="7">Transfer!$A$1:$G$1295</definedName>
  </definedNames>
  <calcPr calcId="191029"/>
</workbook>
</file>

<file path=xl/calcChain.xml><?xml version="1.0" encoding="utf-8"?>
<calcChain xmlns="http://schemas.openxmlformats.org/spreadsheetml/2006/main">
  <c r="AJ9" i="59" l="1"/>
  <c r="J479" i="61"/>
  <c r="J532" i="61"/>
  <c r="J599" i="61"/>
  <c r="J674" i="61"/>
  <c r="J1218" i="61"/>
  <c r="J480" i="61"/>
  <c r="J884" i="61"/>
  <c r="J1089" i="61"/>
  <c r="J166" i="61"/>
  <c r="J168" i="61"/>
  <c r="J169" i="61"/>
  <c r="J170" i="61"/>
  <c r="J172" i="61"/>
  <c r="J199" i="61"/>
  <c r="J216" i="61"/>
  <c r="J288" i="61"/>
  <c r="J371" i="61"/>
  <c r="J531" i="61"/>
  <c r="J579" i="61"/>
  <c r="J580" i="61"/>
  <c r="J1148" i="61"/>
  <c r="J1215" i="61"/>
  <c r="J167" i="61"/>
  <c r="J584" i="61"/>
  <c r="J681" i="61"/>
  <c r="J1217" i="61"/>
  <c r="J1087" i="61"/>
  <c r="J1093" i="61"/>
  <c r="J1149" i="61"/>
  <c r="J1147" i="61"/>
  <c r="J1017" i="61"/>
  <c r="J999" i="61"/>
  <c r="J987" i="61"/>
  <c r="J1244" i="61"/>
  <c r="J1257" i="61"/>
  <c r="J1146" i="61"/>
  <c r="J1085" i="61"/>
  <c r="J883" i="61"/>
  <c r="J682" i="61"/>
  <c r="J618" i="61"/>
  <c r="J998" i="61"/>
  <c r="J598" i="61"/>
  <c r="J578" i="61"/>
  <c r="J577" i="61"/>
  <c r="J576" i="61"/>
  <c r="J550" i="61"/>
  <c r="J549" i="61"/>
  <c r="J503" i="61"/>
  <c r="J502" i="61"/>
  <c r="J386" i="61"/>
  <c r="J385" i="61"/>
  <c r="J370" i="61"/>
  <c r="J369" i="61"/>
  <c r="J341" i="61"/>
  <c r="J326" i="61"/>
  <c r="J750" i="61"/>
  <c r="J325" i="61"/>
  <c r="J302" i="61"/>
  <c r="J287" i="61"/>
  <c r="J278" i="61"/>
  <c r="J271" i="61"/>
  <c r="J253" i="61"/>
  <c r="J252" i="61"/>
  <c r="J165" i="61"/>
  <c r="J164" i="61"/>
  <c r="J163" i="61"/>
  <c r="J162" i="61"/>
  <c r="J161" i="61"/>
  <c r="J114" i="61"/>
  <c r="J113" i="61"/>
  <c r="J64" i="61"/>
  <c r="J36" i="61"/>
  <c r="J910" i="61"/>
  <c r="J882" i="61"/>
  <c r="J1084" i="61"/>
  <c r="J1083" i="61"/>
  <c r="J1080" i="61"/>
  <c r="J1078" i="61"/>
  <c r="J1077" i="61"/>
  <c r="J1081" i="61"/>
  <c r="J1092" i="61"/>
  <c r="J1091" i="61"/>
  <c r="J1090" i="61"/>
  <c r="J1088" i="61"/>
  <c r="J1086" i="61"/>
  <c r="J1094" i="61"/>
  <c r="J1051" i="61"/>
  <c r="J859" i="61"/>
  <c r="J858" i="61"/>
  <c r="J1214" i="61"/>
  <c r="J1145" i="61"/>
  <c r="J1048" i="61"/>
  <c r="J1039" i="61"/>
  <c r="J1027" i="61"/>
  <c r="J986" i="61"/>
  <c r="J975" i="61"/>
  <c r="J976" i="61"/>
  <c r="J949" i="61"/>
  <c r="J933" i="61"/>
  <c r="J1272" i="61"/>
  <c r="J1213" i="61"/>
  <c r="J1016" i="61"/>
  <c r="J973" i="61"/>
  <c r="J958" i="61"/>
  <c r="J946" i="61"/>
  <c r="J790" i="61"/>
  <c r="J501" i="61"/>
  <c r="J439" i="61"/>
  <c r="J401" i="61"/>
  <c r="J339" i="61"/>
  <c r="J324" i="61"/>
  <c r="J301" i="61"/>
  <c r="J1262" i="61"/>
  <c r="J1254" i="61"/>
  <c r="J873" i="61"/>
  <c r="J828" i="61"/>
  <c r="J770" i="61"/>
  <c r="J597" i="61"/>
  <c r="J596" i="61"/>
  <c r="J575" i="61"/>
  <c r="J574" i="61"/>
  <c r="J314" i="61"/>
  <c r="J215" i="61"/>
  <c r="J128" i="61"/>
  <c r="J84" i="61"/>
  <c r="J62" i="61"/>
  <c r="J61" i="61"/>
  <c r="J1271" i="61"/>
  <c r="J159" i="61"/>
  <c r="J1143" i="61"/>
  <c r="J1211" i="61"/>
  <c r="J1076" i="61"/>
  <c r="J909" i="61"/>
  <c r="J1071" i="61"/>
  <c r="J1240" i="61"/>
  <c r="J1239" i="61"/>
  <c r="J1074" i="61"/>
  <c r="J1072" i="61"/>
  <c r="J60" i="61"/>
  <c r="J1241" i="61"/>
  <c r="J804" i="61"/>
  <c r="J1243" i="61"/>
  <c r="J111" i="61"/>
  <c r="J34" i="61"/>
  <c r="J500" i="61"/>
  <c r="J499" i="61"/>
  <c r="J110" i="61"/>
  <c r="J1212" i="61"/>
  <c r="J1075" i="61"/>
  <c r="J1242" i="61"/>
  <c r="J1142" i="61"/>
  <c r="J1073" i="61"/>
  <c r="J1046" i="61"/>
  <c r="J945" i="61"/>
  <c r="J789" i="61"/>
  <c r="J722" i="61"/>
  <c r="J595" i="61"/>
  <c r="J530" i="61"/>
  <c r="J529" i="61"/>
  <c r="J498" i="61"/>
  <c r="J468" i="61"/>
  <c r="J449" i="61"/>
  <c r="J416" i="61"/>
  <c r="J362" i="61"/>
  <c r="J350" i="61"/>
  <c r="J349" i="61"/>
  <c r="J348" i="61"/>
  <c r="J351" i="61"/>
  <c r="J251" i="61"/>
  <c r="J82" i="61"/>
  <c r="J83" i="61"/>
  <c r="J33" i="61"/>
  <c r="J32" i="61"/>
  <c r="J31" i="61"/>
  <c r="J1270" i="61"/>
  <c r="J1256" i="61"/>
  <c r="J1141" i="61"/>
  <c r="J1140" i="61"/>
  <c r="J1139" i="61"/>
  <c r="J1070" i="61"/>
  <c r="J908" i="61"/>
  <c r="J907" i="61"/>
  <c r="J864" i="61"/>
  <c r="J850" i="61"/>
  <c r="J838" i="61"/>
  <c r="J654" i="61"/>
  <c r="J594" i="61"/>
  <c r="J448" i="61"/>
  <c r="J437" i="61"/>
  <c r="J400" i="61"/>
  <c r="J338" i="61"/>
  <c r="J289" i="61"/>
  <c r="J300" i="61"/>
  <c r="J81" i="61"/>
  <c r="J769" i="61"/>
  <c r="J415" i="61"/>
  <c r="J399" i="61"/>
  <c r="J322" i="61"/>
  <c r="J361" i="61"/>
  <c r="J347" i="61"/>
  <c r="J299" i="61"/>
  <c r="J286" i="61"/>
  <c r="J282" i="61"/>
  <c r="J80" i="61"/>
  <c r="J249" i="61"/>
  <c r="J250" i="61"/>
  <c r="J1209" i="61"/>
  <c r="J1137" i="61"/>
  <c r="J1069" i="61"/>
  <c r="J906" i="61"/>
  <c r="J905" i="61"/>
  <c r="J904" i="61"/>
  <c r="J808" i="61"/>
  <c r="J1210" i="61"/>
  <c r="J845" i="61"/>
  <c r="J1208" i="61"/>
  <c r="J1207" i="61"/>
  <c r="J1203" i="61"/>
  <c r="J1138" i="61"/>
  <c r="J1009" i="61"/>
  <c r="J930" i="61"/>
  <c r="J929" i="61"/>
  <c r="J817" i="61"/>
  <c r="J721" i="61"/>
  <c r="J720" i="61"/>
  <c r="J700" i="61"/>
  <c r="J436" i="61"/>
  <c r="J427" i="61"/>
  <c r="J414" i="61"/>
  <c r="J467" i="61"/>
  <c r="J1238" i="61"/>
  <c r="J1134" i="61"/>
  <c r="J1206" i="61"/>
  <c r="J1205" i="61"/>
  <c r="J1204" i="61"/>
  <c r="J1201" i="61"/>
  <c r="J972" i="61"/>
  <c r="J957" i="61"/>
  <c r="J928" i="61"/>
  <c r="J665" i="61"/>
  <c r="J477" i="61"/>
  <c r="J384" i="61"/>
  <c r="J262" i="61"/>
  <c r="J466" i="61"/>
  <c r="J285" i="61"/>
  <c r="J280" i="61"/>
  <c r="J277" i="61"/>
  <c r="J617" i="61"/>
  <c r="J426" i="61"/>
  <c r="J433" i="61"/>
  <c r="J434" i="61"/>
  <c r="J573" i="61"/>
  <c r="J413" i="61"/>
  <c r="J435" i="61"/>
  <c r="J398" i="61"/>
  <c r="J270" i="61"/>
  <c r="J269" i="61"/>
  <c r="J971" i="61"/>
  <c r="J548" i="61"/>
  <c r="J547" i="61"/>
  <c r="J377" i="61"/>
  <c r="J360" i="61"/>
  <c r="J359" i="61"/>
  <c r="J762" i="61"/>
  <c r="J337" i="61"/>
  <c r="J336" i="61"/>
  <c r="J335" i="61"/>
  <c r="J463" i="61"/>
  <c r="J1136" i="61"/>
  <c r="J1135" i="61"/>
  <c r="J298" i="61"/>
  <c r="J284" i="61"/>
  <c r="J903" i="61"/>
  <c r="J673" i="61"/>
  <c r="J396" i="61"/>
  <c r="J395" i="61"/>
  <c r="J30" i="61"/>
  <c r="J956" i="61"/>
  <c r="J1068" i="61"/>
  <c r="J1202" i="61"/>
  <c r="J1200" i="61"/>
  <c r="J1199" i="61"/>
  <c r="J1067" i="61"/>
  <c r="J444" i="61"/>
  <c r="J445" i="61"/>
  <c r="J572" i="61"/>
  <c r="J412" i="61"/>
  <c r="J411" i="61"/>
  <c r="J393" i="61"/>
  <c r="J309" i="61"/>
  <c r="J397" i="61"/>
  <c r="J528" i="61"/>
  <c r="J346" i="61"/>
  <c r="J736" i="61"/>
  <c r="J297" i="61"/>
  <c r="J1197" i="61"/>
  <c r="J970" i="61"/>
  <c r="J79" i="61"/>
  <c r="J902" i="61"/>
  <c r="J749" i="61"/>
  <c r="J737" i="61"/>
  <c r="J719" i="61"/>
  <c r="J680" i="61"/>
  <c r="J446" i="61"/>
  <c r="J367" i="61"/>
  <c r="J1269" i="61"/>
  <c r="J1198" i="61"/>
  <c r="J1196" i="61"/>
  <c r="J1237" i="61"/>
  <c r="J1133" i="61"/>
  <c r="J1132" i="61"/>
  <c r="J1066" i="61"/>
  <c r="J1065" i="61"/>
  <c r="J997" i="61"/>
  <c r="J996" i="61"/>
  <c r="J944" i="61"/>
  <c r="J943" i="61"/>
  <c r="J571" i="61"/>
  <c r="J592" i="61"/>
  <c r="J624" i="61"/>
  <c r="J527" i="61"/>
  <c r="J447" i="61"/>
  <c r="J383" i="61"/>
  <c r="J394" i="61"/>
  <c r="J368" i="61"/>
  <c r="J358" i="61"/>
  <c r="J334" i="61"/>
  <c r="J333" i="61"/>
  <c r="J332" i="61"/>
  <c r="J313" i="61"/>
  <c r="J58" i="61"/>
  <c r="J276" i="61"/>
  <c r="J247" i="61"/>
  <c r="J59" i="61"/>
  <c r="J158" i="61"/>
  <c r="J157" i="61"/>
  <c r="J156" i="61"/>
  <c r="J109" i="61"/>
  <c r="J248" i="61"/>
  <c r="J108" i="61"/>
  <c r="J1195" i="61"/>
  <c r="J1131" i="61"/>
  <c r="J969" i="61"/>
  <c r="J955" i="61"/>
  <c r="J927" i="61"/>
  <c r="J768" i="61"/>
  <c r="J1268" i="61"/>
  <c r="J1194" i="61"/>
  <c r="J1130" i="61"/>
  <c r="J1255" i="61"/>
  <c r="J526" i="61"/>
  <c r="J29" i="61"/>
  <c r="J443" i="61"/>
  <c r="J345" i="61"/>
  <c r="J699" i="61"/>
  <c r="J811" i="61"/>
  <c r="J127" i="61"/>
  <c r="J246" i="61"/>
  <c r="J155" i="61"/>
  <c r="J154" i="61"/>
  <c r="J153" i="61"/>
  <c r="J717" i="61"/>
  <c r="J570" i="61"/>
  <c r="J568" i="61"/>
  <c r="J125" i="61"/>
  <c r="J124" i="61"/>
  <c r="J152" i="61"/>
  <c r="J718" i="61"/>
  <c r="J569" i="61"/>
  <c r="J268" i="61"/>
  <c r="J126" i="61"/>
  <c r="J123" i="61"/>
  <c r="J122" i="61"/>
  <c r="J214" i="61"/>
  <c r="J245" i="61"/>
  <c r="J78" i="61"/>
  <c r="J28" i="61"/>
  <c r="J761" i="61"/>
  <c r="J849" i="61"/>
  <c r="J660" i="61"/>
  <c r="J1277" i="61"/>
  <c r="J1054" i="61"/>
  <c r="J1276" i="61"/>
  <c r="J1275" i="61"/>
  <c r="J1278" i="61"/>
  <c r="J1220" i="61"/>
  <c r="J1185" i="61"/>
  <c r="J1267" i="61"/>
  <c r="J1266" i="61"/>
  <c r="J1008" i="61"/>
  <c r="J1007" i="61"/>
  <c r="J1274" i="61"/>
  <c r="J1273" i="61"/>
  <c r="J912" i="61"/>
  <c r="J870" i="61"/>
  <c r="J1264" i="61"/>
  <c r="J1263" i="61"/>
  <c r="J1265" i="61"/>
  <c r="J1253" i="61"/>
  <c r="J1252" i="61"/>
  <c r="J1251" i="61"/>
  <c r="J1250" i="61"/>
  <c r="J1261" i="61"/>
  <c r="J1260" i="61"/>
  <c r="J1259" i="61"/>
  <c r="J1236" i="61"/>
  <c r="J1235" i="61"/>
  <c r="J1234" i="61"/>
  <c r="J1233" i="61"/>
  <c r="J1232" i="61"/>
  <c r="J1231" i="61"/>
  <c r="J1249" i="61"/>
  <c r="J1248" i="61"/>
  <c r="J1247" i="61"/>
  <c r="J1246" i="61"/>
  <c r="J1245" i="61"/>
  <c r="J1230" i="61"/>
  <c r="J1229" i="61"/>
  <c r="J1193" i="61"/>
  <c r="J1192" i="61"/>
  <c r="J1191" i="61"/>
  <c r="J1190" i="61"/>
  <c r="J1189" i="61"/>
  <c r="J1188" i="61"/>
  <c r="J1187" i="61"/>
  <c r="J1186" i="61"/>
  <c r="J1184" i="61"/>
  <c r="J1183" i="61"/>
  <c r="J1061" i="61"/>
  <c r="J1182" i="61"/>
  <c r="J1180" i="61"/>
  <c r="J1181" i="61"/>
  <c r="J815" i="61"/>
  <c r="J1179" i="61"/>
  <c r="J1059" i="61"/>
  <c r="J1058" i="61"/>
  <c r="J1178" i="61"/>
  <c r="J1177" i="61"/>
  <c r="J1176" i="61"/>
  <c r="J1056" i="61"/>
  <c r="J1175" i="61"/>
  <c r="J1172" i="61"/>
  <c r="J1174" i="61"/>
  <c r="J1173" i="61"/>
  <c r="J1171" i="61"/>
  <c r="J1055" i="61"/>
  <c r="J1170" i="61"/>
  <c r="J1169" i="61"/>
  <c r="J1168" i="61"/>
  <c r="J1167" i="61"/>
  <c r="J1228" i="61"/>
  <c r="J1227" i="61"/>
  <c r="J1226" i="61"/>
  <c r="J1151" i="61"/>
  <c r="J1225" i="61"/>
  <c r="J1224" i="61"/>
  <c r="J1223" i="61"/>
  <c r="J1222" i="61"/>
  <c r="J1221" i="61"/>
  <c r="J1095" i="61"/>
  <c r="J1166" i="61"/>
  <c r="J1129" i="61"/>
  <c r="J1128" i="61"/>
  <c r="J1127" i="61"/>
  <c r="J1126" i="61"/>
  <c r="J1125" i="61"/>
  <c r="J1123" i="61"/>
  <c r="J1122" i="61"/>
  <c r="J1121" i="61"/>
  <c r="J1120" i="61"/>
  <c r="J1118" i="61"/>
  <c r="J1119" i="61"/>
  <c r="J1117" i="61"/>
  <c r="J1060" i="61"/>
  <c r="J1116" i="61"/>
  <c r="J1115" i="61"/>
  <c r="J1113" i="61"/>
  <c r="J1112" i="61"/>
  <c r="J1110" i="61"/>
  <c r="J1111" i="61"/>
  <c r="J1109" i="61"/>
  <c r="J1107" i="61"/>
  <c r="J1108" i="61"/>
  <c r="J1106" i="61"/>
  <c r="J1105" i="61"/>
  <c r="J1104" i="61"/>
  <c r="J1053" i="61"/>
  <c r="J1103" i="61"/>
  <c r="J1102" i="61"/>
  <c r="J1052" i="61"/>
  <c r="J1165" i="61"/>
  <c r="J1163" i="61"/>
  <c r="J1164" i="61"/>
  <c r="J1162" i="61"/>
  <c r="J1161" i="61"/>
  <c r="J1160" i="61"/>
  <c r="J1159" i="61"/>
  <c r="J1158" i="61"/>
  <c r="J1157" i="61"/>
  <c r="J1099" i="61"/>
  <c r="J1156" i="61"/>
  <c r="J1155" i="61"/>
  <c r="J1154" i="61"/>
  <c r="J1153" i="61"/>
  <c r="J1152" i="61"/>
  <c r="J1150" i="61"/>
  <c r="J1064" i="61"/>
  <c r="J1063" i="61"/>
  <c r="J1124" i="61"/>
  <c r="J1062" i="61"/>
  <c r="J1114" i="61"/>
  <c r="J1057" i="61"/>
  <c r="J1101" i="61"/>
  <c r="J1010" i="61"/>
  <c r="J1100" i="61"/>
  <c r="J1098" i="61"/>
  <c r="J1097" i="61"/>
  <c r="J1096" i="61"/>
  <c r="J1050" i="61"/>
  <c r="J1049" i="61"/>
  <c r="J1045" i="61"/>
  <c r="J1044" i="61"/>
  <c r="J1043" i="61"/>
  <c r="J1042" i="61"/>
  <c r="J1038" i="61"/>
  <c r="J1037" i="61"/>
  <c r="J1036" i="61"/>
  <c r="J1035" i="61"/>
  <c r="J1034" i="61"/>
  <c r="J1033" i="61"/>
  <c r="J1032" i="61"/>
  <c r="J1041" i="61"/>
  <c r="J1040" i="61"/>
  <c r="J1025" i="61"/>
  <c r="J1024" i="61"/>
  <c r="J1023" i="61"/>
  <c r="J1031" i="61"/>
  <c r="J936" i="61"/>
  <c r="J1030" i="61"/>
  <c r="J1029" i="61"/>
  <c r="J1028" i="61"/>
  <c r="J1022" i="61"/>
  <c r="J856" i="61"/>
  <c r="J1014" i="61"/>
  <c r="J1012" i="61"/>
  <c r="J1021" i="61"/>
  <c r="J1020" i="61"/>
  <c r="J1019" i="61"/>
  <c r="J1018" i="61"/>
  <c r="J1015" i="61"/>
  <c r="J1013" i="61"/>
  <c r="J1011" i="61"/>
  <c r="J1006" i="61"/>
  <c r="J1005" i="61"/>
  <c r="J1004" i="61"/>
  <c r="J995" i="61"/>
  <c r="J994" i="61"/>
  <c r="J993" i="61"/>
  <c r="J992" i="61"/>
  <c r="J991" i="61"/>
  <c r="J990" i="61"/>
  <c r="J1003" i="61"/>
  <c r="J1002" i="61"/>
  <c r="J1001" i="61"/>
  <c r="J989" i="61"/>
  <c r="J1000" i="61"/>
  <c r="J985" i="61"/>
  <c r="J988" i="61"/>
  <c r="J968" i="61"/>
  <c r="J967" i="61"/>
  <c r="J966" i="61"/>
  <c r="J984" i="61"/>
  <c r="J983" i="61"/>
  <c r="J982" i="61"/>
  <c r="J981" i="61"/>
  <c r="J980" i="61"/>
  <c r="J979" i="61"/>
  <c r="J978" i="61"/>
  <c r="J977" i="61"/>
  <c r="J954" i="61"/>
  <c r="J953" i="61"/>
  <c r="J952" i="61"/>
  <c r="J951" i="61"/>
  <c r="J959" i="61"/>
  <c r="J942" i="61"/>
  <c r="J941" i="61"/>
  <c r="J940" i="61"/>
  <c r="J939" i="61"/>
  <c r="J938" i="61"/>
  <c r="J937" i="61"/>
  <c r="J950" i="61"/>
  <c r="J926" i="61"/>
  <c r="J925" i="61"/>
  <c r="J924" i="61"/>
  <c r="J923" i="61"/>
  <c r="J922" i="61"/>
  <c r="J935" i="61"/>
  <c r="J934" i="61"/>
  <c r="J920" i="61"/>
  <c r="J921" i="61"/>
  <c r="J866" i="61"/>
  <c r="J901" i="61"/>
  <c r="J900" i="61"/>
  <c r="J899" i="61"/>
  <c r="J898" i="61"/>
  <c r="J897" i="61"/>
  <c r="J896" i="61"/>
  <c r="J895" i="61"/>
  <c r="J894" i="61"/>
  <c r="J893" i="61"/>
  <c r="J892" i="61"/>
  <c r="J891" i="61"/>
  <c r="J890" i="61"/>
  <c r="J888" i="61"/>
  <c r="J887" i="61"/>
  <c r="J919" i="61"/>
  <c r="J918" i="61"/>
  <c r="J917" i="61"/>
  <c r="J916" i="61"/>
  <c r="J915" i="61"/>
  <c r="J914" i="61"/>
  <c r="J913" i="61"/>
  <c r="J911" i="61"/>
  <c r="J881" i="61"/>
  <c r="J880" i="61"/>
  <c r="J879" i="61"/>
  <c r="J878" i="61"/>
  <c r="J877" i="61"/>
  <c r="J876" i="61"/>
  <c r="J889" i="61"/>
  <c r="J886" i="61"/>
  <c r="J885" i="61"/>
  <c r="J872" i="61"/>
  <c r="J871" i="61"/>
  <c r="J800" i="61"/>
  <c r="J874" i="61"/>
  <c r="J796" i="61"/>
  <c r="J869" i="61"/>
  <c r="J862" i="61"/>
  <c r="J863" i="61"/>
  <c r="J861" i="61"/>
  <c r="J706" i="61"/>
  <c r="J868" i="61"/>
  <c r="J867" i="61"/>
  <c r="J865" i="61"/>
  <c r="J782" i="61"/>
  <c r="J857" i="61"/>
  <c r="J860" i="61"/>
  <c r="J848" i="61"/>
  <c r="J759" i="61"/>
  <c r="J847" i="61"/>
  <c r="J855" i="61"/>
  <c r="J854" i="61"/>
  <c r="J853" i="61"/>
  <c r="J852" i="61"/>
  <c r="J763" i="61"/>
  <c r="J851" i="61"/>
  <c r="J844" i="61"/>
  <c r="J843" i="61"/>
  <c r="J842" i="61"/>
  <c r="J846" i="61"/>
  <c r="J837" i="61"/>
  <c r="J835" i="61"/>
  <c r="J834" i="61"/>
  <c r="J833" i="61"/>
  <c r="J832" i="61"/>
  <c r="J731" i="61"/>
  <c r="J841" i="61"/>
  <c r="J840" i="61"/>
  <c r="J839" i="61"/>
  <c r="J836" i="61"/>
  <c r="J831" i="61"/>
  <c r="J830" i="61"/>
  <c r="J829" i="61"/>
  <c r="J826" i="61"/>
  <c r="J694" i="61"/>
  <c r="J816" i="61"/>
  <c r="J814" i="61"/>
  <c r="J825" i="61"/>
  <c r="J824" i="61"/>
  <c r="J823" i="61"/>
  <c r="J822" i="61"/>
  <c r="J821" i="61"/>
  <c r="J820" i="61"/>
  <c r="J819" i="61"/>
  <c r="J813" i="61"/>
  <c r="J810" i="61"/>
  <c r="J809" i="61"/>
  <c r="J812" i="61"/>
  <c r="J807" i="61"/>
  <c r="J806" i="61"/>
  <c r="J805" i="61"/>
  <c r="J803" i="61"/>
  <c r="J802" i="61"/>
  <c r="J801" i="61"/>
  <c r="J875" i="61"/>
  <c r="J794" i="61"/>
  <c r="J798" i="61"/>
  <c r="J797" i="61"/>
  <c r="J795" i="61"/>
  <c r="J799" i="61"/>
  <c r="J379" i="61"/>
  <c r="J281" i="61"/>
  <c r="J672" i="61"/>
  <c r="J788" i="61"/>
  <c r="J787" i="61"/>
  <c r="J786" i="61"/>
  <c r="J785" i="61"/>
  <c r="J784" i="61"/>
  <c r="J757" i="61"/>
  <c r="J793" i="61"/>
  <c r="J792" i="61"/>
  <c r="J778" i="61"/>
  <c r="J777" i="61"/>
  <c r="J774" i="61"/>
  <c r="J773" i="61"/>
  <c r="J772" i="61"/>
  <c r="J766" i="61"/>
  <c r="J760" i="61"/>
  <c r="J758" i="61"/>
  <c r="J756" i="61"/>
  <c r="J765" i="61"/>
  <c r="J764" i="61"/>
  <c r="J748" i="61"/>
  <c r="J747" i="61"/>
  <c r="J746" i="61"/>
  <c r="J745" i="61"/>
  <c r="J755" i="61"/>
  <c r="J754" i="61"/>
  <c r="J753" i="61"/>
  <c r="J752" i="61"/>
  <c r="J751" i="61"/>
  <c r="J744" i="61"/>
  <c r="J743" i="61"/>
  <c r="J735" i="61"/>
  <c r="J734" i="61"/>
  <c r="J738" i="61"/>
  <c r="J742" i="61"/>
  <c r="J741" i="61"/>
  <c r="J740" i="61"/>
  <c r="J739" i="61"/>
  <c r="J716" i="61"/>
  <c r="J715" i="61"/>
  <c r="J714" i="61"/>
  <c r="J712" i="61"/>
  <c r="J711" i="61"/>
  <c r="J710" i="61"/>
  <c r="J709" i="61"/>
  <c r="J708" i="61"/>
  <c r="J704" i="61"/>
  <c r="J703" i="61"/>
  <c r="J732" i="61"/>
  <c r="J730" i="61"/>
  <c r="J690" i="61"/>
  <c r="J728" i="61"/>
  <c r="J726" i="61"/>
  <c r="J725" i="61"/>
  <c r="J724" i="61"/>
  <c r="J723" i="61"/>
  <c r="J698" i="61"/>
  <c r="J697" i="61"/>
  <c r="J702" i="61"/>
  <c r="J701" i="61"/>
  <c r="J827" i="61"/>
  <c r="J679" i="61"/>
  <c r="J678" i="61"/>
  <c r="J676" i="61"/>
  <c r="J696" i="61"/>
  <c r="J695" i="61"/>
  <c r="J693" i="61"/>
  <c r="J692" i="61"/>
  <c r="J691" i="61"/>
  <c r="J689" i="61"/>
  <c r="J688" i="61"/>
  <c r="J687" i="61"/>
  <c r="J686" i="61"/>
  <c r="J685" i="61"/>
  <c r="J684" i="61"/>
  <c r="J677" i="61"/>
  <c r="J675" i="61"/>
  <c r="J671" i="61"/>
  <c r="J670" i="61"/>
  <c r="J669" i="61"/>
  <c r="J668" i="61"/>
  <c r="J667" i="61"/>
  <c r="J666" i="61"/>
  <c r="J659" i="61"/>
  <c r="J664" i="61"/>
  <c r="J663" i="61"/>
  <c r="J662" i="61"/>
  <c r="J661" i="61"/>
  <c r="J657" i="61"/>
  <c r="J658" i="61"/>
  <c r="J653" i="61"/>
  <c r="J652" i="61"/>
  <c r="J651" i="61"/>
  <c r="J656" i="61"/>
  <c r="J655" i="61"/>
  <c r="J775" i="61"/>
  <c r="J464" i="61"/>
  <c r="J780" i="61"/>
  <c r="J646" i="61"/>
  <c r="J645" i="61"/>
  <c r="J644" i="61"/>
  <c r="J643" i="61"/>
  <c r="J642" i="61"/>
  <c r="J641" i="61"/>
  <c r="J640" i="61"/>
  <c r="J779" i="61"/>
  <c r="J639" i="61"/>
  <c r="J781" i="61"/>
  <c r="J649" i="61"/>
  <c r="J648" i="61"/>
  <c r="J776" i="61"/>
  <c r="J638" i="61"/>
  <c r="J637" i="61"/>
  <c r="J636" i="61"/>
  <c r="J635" i="61"/>
  <c r="J197" i="61"/>
  <c r="J767" i="61"/>
  <c r="J733" i="61"/>
  <c r="J633" i="61"/>
  <c r="J632" i="61"/>
  <c r="J631" i="61"/>
  <c r="J630" i="61"/>
  <c r="J629" i="61"/>
  <c r="J628" i="61"/>
  <c r="J627" i="61"/>
  <c r="J626" i="61"/>
  <c r="J634" i="61"/>
  <c r="J625" i="61"/>
  <c r="J616" i="61"/>
  <c r="J615" i="61"/>
  <c r="J713" i="61"/>
  <c r="J614" i="61"/>
  <c r="J613" i="61"/>
  <c r="J707" i="61"/>
  <c r="J705" i="61"/>
  <c r="J612" i="61"/>
  <c r="J611" i="61"/>
  <c r="J623" i="61"/>
  <c r="J622" i="61"/>
  <c r="J621" i="61"/>
  <c r="J620" i="61"/>
  <c r="J727" i="61"/>
  <c r="J961" i="61"/>
  <c r="J619" i="61"/>
  <c r="J206" i="61"/>
  <c r="J964" i="61"/>
  <c r="J203" i="61"/>
  <c r="J962" i="61"/>
  <c r="J202" i="61"/>
  <c r="J963" i="61"/>
  <c r="J960" i="61"/>
  <c r="J591" i="61"/>
  <c r="J590" i="61"/>
  <c r="J588" i="61"/>
  <c r="J587" i="61"/>
  <c r="J586" i="61"/>
  <c r="J650" i="61"/>
  <c r="J609" i="61"/>
  <c r="J608" i="61"/>
  <c r="J607" i="61"/>
  <c r="J606" i="61"/>
  <c r="J605" i="61"/>
  <c r="J610" i="61"/>
  <c r="J604" i="61"/>
  <c r="J602" i="61"/>
  <c r="J601" i="61"/>
  <c r="J600" i="61"/>
  <c r="J593" i="61"/>
  <c r="J589" i="61"/>
  <c r="J647" i="61"/>
  <c r="J567" i="61"/>
  <c r="J566" i="61"/>
  <c r="J565" i="61"/>
  <c r="J564" i="61"/>
  <c r="J562" i="61"/>
  <c r="J561" i="61"/>
  <c r="J585" i="61"/>
  <c r="J582" i="61"/>
  <c r="J546" i="61"/>
  <c r="J544" i="61"/>
  <c r="J543" i="61"/>
  <c r="J542" i="61"/>
  <c r="J560" i="61"/>
  <c r="J559" i="61"/>
  <c r="J558" i="61"/>
  <c r="J557" i="61"/>
  <c r="J556" i="61"/>
  <c r="J555" i="61"/>
  <c r="J554" i="61"/>
  <c r="J553" i="61"/>
  <c r="J603" i="61"/>
  <c r="J552" i="61"/>
  <c r="J551" i="61"/>
  <c r="J545" i="61"/>
  <c r="J541" i="61"/>
  <c r="J525" i="61"/>
  <c r="J524" i="61"/>
  <c r="J523" i="61"/>
  <c r="J522" i="61"/>
  <c r="J521" i="61"/>
  <c r="J520" i="61"/>
  <c r="J519" i="61"/>
  <c r="J518" i="61"/>
  <c r="J540" i="61"/>
  <c r="J538" i="61"/>
  <c r="J539" i="61"/>
  <c r="J537" i="61"/>
  <c r="J536" i="61"/>
  <c r="J535" i="61"/>
  <c r="J534" i="61"/>
  <c r="J533" i="61"/>
  <c r="J497" i="61"/>
  <c r="J495" i="61"/>
  <c r="J494" i="61"/>
  <c r="J516" i="61"/>
  <c r="J515" i="61"/>
  <c r="J514" i="61"/>
  <c r="J513" i="61"/>
  <c r="J512" i="61"/>
  <c r="J517" i="61"/>
  <c r="J511" i="61"/>
  <c r="J510" i="61"/>
  <c r="J508" i="61"/>
  <c r="J509" i="61"/>
  <c r="J507" i="61"/>
  <c r="J506" i="61"/>
  <c r="J476" i="61"/>
  <c r="J473" i="61"/>
  <c r="J493" i="61"/>
  <c r="J492" i="61"/>
  <c r="J491" i="61"/>
  <c r="J490" i="61"/>
  <c r="J489" i="61"/>
  <c r="J488" i="61"/>
  <c r="J487" i="61"/>
  <c r="J486" i="61"/>
  <c r="J485" i="61"/>
  <c r="J484" i="61"/>
  <c r="J483" i="61"/>
  <c r="J482" i="61"/>
  <c r="J481" i="61"/>
  <c r="J478" i="61"/>
  <c r="J472" i="61"/>
  <c r="J471" i="61"/>
  <c r="J470" i="61"/>
  <c r="J469" i="61"/>
  <c r="J965" i="61"/>
  <c r="J205" i="61"/>
  <c r="J453" i="61"/>
  <c r="J461" i="61"/>
  <c r="J460" i="61"/>
  <c r="J459" i="61"/>
  <c r="J583" i="61"/>
  <c r="J581" i="61"/>
  <c r="J458" i="61"/>
  <c r="J457" i="61"/>
  <c r="J456" i="61"/>
  <c r="J455" i="61"/>
  <c r="J454" i="61"/>
  <c r="J563" i="61"/>
  <c r="J319" i="61"/>
  <c r="J328" i="61"/>
  <c r="J331" i="61"/>
  <c r="J330" i="61"/>
  <c r="J342" i="61"/>
  <c r="J432" i="61"/>
  <c r="J311" i="61"/>
  <c r="J431" i="61"/>
  <c r="J430" i="61"/>
  <c r="J343" i="61"/>
  <c r="J422" i="61"/>
  <c r="J441" i="61"/>
  <c r="J452" i="61"/>
  <c r="J462" i="61"/>
  <c r="J392" i="61"/>
  <c r="J390" i="61"/>
  <c r="J409" i="61"/>
  <c r="J408" i="61"/>
  <c r="J407" i="61"/>
  <c r="J406" i="61"/>
  <c r="J440" i="61"/>
  <c r="J404" i="61"/>
  <c r="J421" i="61"/>
  <c r="J405" i="61"/>
  <c r="J420" i="61"/>
  <c r="J403" i="61"/>
  <c r="J402" i="61"/>
  <c r="J419" i="61"/>
  <c r="J310" i="61"/>
  <c r="J418" i="61"/>
  <c r="J417" i="61"/>
  <c r="J391" i="61"/>
  <c r="J307" i="61"/>
  <c r="J389" i="61"/>
  <c r="J388" i="61"/>
  <c r="J387" i="61"/>
  <c r="J380" i="61"/>
  <c r="J783" i="61"/>
  <c r="J382" i="61"/>
  <c r="J381" i="61"/>
  <c r="J378" i="61"/>
  <c r="J376" i="61"/>
  <c r="J374" i="61"/>
  <c r="J366" i="61"/>
  <c r="J357" i="61"/>
  <c r="J365" i="61"/>
  <c r="J356" i="61"/>
  <c r="J355" i="61"/>
  <c r="J283" i="61"/>
  <c r="J364" i="61"/>
  <c r="J373" i="61"/>
  <c r="J363" i="61"/>
  <c r="J372" i="61"/>
  <c r="J410" i="61"/>
  <c r="J354" i="61"/>
  <c r="J312" i="61"/>
  <c r="J375" i="61"/>
  <c r="J318" i="61"/>
  <c r="J317" i="61"/>
  <c r="J316" i="61"/>
  <c r="J329" i="61"/>
  <c r="J315" i="61"/>
  <c r="J275" i="61"/>
  <c r="J296" i="61"/>
  <c r="J295" i="61"/>
  <c r="J294" i="61"/>
  <c r="J308" i="61"/>
  <c r="J306" i="61"/>
  <c r="J305" i="61"/>
  <c r="J327" i="61"/>
  <c r="J304" i="61"/>
  <c r="J425" i="61"/>
  <c r="J424" i="61"/>
  <c r="J423" i="61"/>
  <c r="J290" i="61"/>
  <c r="J293" i="61"/>
  <c r="J292" i="61"/>
  <c r="J291" i="61"/>
  <c r="J274" i="61"/>
  <c r="J465" i="61"/>
  <c r="J771" i="61"/>
  <c r="J106" i="61"/>
  <c r="J57" i="61"/>
  <c r="J103" i="61"/>
  <c r="J101" i="61"/>
  <c r="J51" i="61"/>
  <c r="J68" i="61"/>
  <c r="J729" i="61"/>
  <c r="J475" i="61"/>
  <c r="J25" i="61"/>
  <c r="J105" i="61"/>
  <c r="J24" i="61"/>
  <c r="J22" i="61"/>
  <c r="J20" i="61"/>
  <c r="J18" i="61"/>
  <c r="J14" i="61"/>
  <c r="J95" i="61"/>
  <c r="J13" i="61"/>
  <c r="J11" i="61"/>
  <c r="J9" i="61"/>
  <c r="J43" i="61"/>
  <c r="J42" i="61"/>
  <c r="J15" i="61"/>
  <c r="J12" i="61"/>
  <c r="J6" i="61"/>
  <c r="J8" i="61"/>
  <c r="J121" i="61"/>
  <c r="J73" i="61"/>
  <c r="J96" i="61"/>
  <c r="J120" i="61"/>
  <c r="J140" i="61"/>
  <c r="J139" i="61"/>
  <c r="J138" i="61"/>
  <c r="J141" i="61"/>
  <c r="J137" i="61"/>
  <c r="J135" i="61"/>
  <c r="J134" i="61"/>
  <c r="J132" i="61"/>
  <c r="J131" i="61"/>
  <c r="J130" i="61"/>
  <c r="J129" i="61"/>
  <c r="J119" i="61"/>
  <c r="J149" i="61"/>
  <c r="J146" i="61"/>
  <c r="J145" i="61"/>
  <c r="J181" i="61"/>
  <c r="J180" i="61"/>
  <c r="J178" i="61"/>
  <c r="J176" i="61"/>
  <c r="J144" i="61"/>
  <c r="J267" i="61"/>
  <c r="J266" i="61"/>
  <c r="J273" i="61"/>
  <c r="J272" i="61"/>
  <c r="J261" i="61"/>
  <c r="J265" i="61"/>
  <c r="J264" i="61"/>
  <c r="J263" i="61"/>
  <c r="J243" i="61"/>
  <c r="J237" i="61"/>
  <c r="J236" i="61"/>
  <c r="J235" i="61"/>
  <c r="J228" i="61"/>
  <c r="J258" i="61"/>
  <c r="J254" i="61"/>
  <c r="J244" i="61"/>
  <c r="J242" i="61"/>
  <c r="J241" i="61"/>
  <c r="J240" i="61"/>
  <c r="J239" i="61"/>
  <c r="J238" i="61"/>
  <c r="J234" i="61"/>
  <c r="J233" i="61"/>
  <c r="J232" i="61"/>
  <c r="J231" i="61"/>
  <c r="J230" i="61"/>
  <c r="J229" i="61"/>
  <c r="J260" i="61"/>
  <c r="J257" i="61"/>
  <c r="J256" i="61"/>
  <c r="J255" i="61"/>
  <c r="J226" i="61"/>
  <c r="J183" i="61"/>
  <c r="J227" i="61"/>
  <c r="J279" i="61"/>
  <c r="J196" i="61"/>
  <c r="J195" i="61"/>
  <c r="J192" i="61"/>
  <c r="J191" i="61"/>
  <c r="J190" i="61"/>
  <c r="J189" i="61"/>
  <c r="J204" i="61"/>
  <c r="J65" i="61"/>
  <c r="J201" i="61"/>
  <c r="J188" i="61"/>
  <c r="J213" i="61"/>
  <c r="J212" i="61"/>
  <c r="J194" i="61"/>
  <c r="J208" i="61"/>
  <c r="J225" i="61"/>
  <c r="J223" i="61"/>
  <c r="J222" i="61"/>
  <c r="J221" i="61"/>
  <c r="J220" i="61"/>
  <c r="J219" i="61"/>
  <c r="J218" i="61"/>
  <c r="J217" i="61"/>
  <c r="J210" i="61"/>
  <c r="J207" i="61"/>
  <c r="J211" i="61"/>
  <c r="J151" i="61"/>
  <c r="J104" i="61"/>
  <c r="J474" i="61"/>
  <c r="J148" i="61"/>
  <c r="J147" i="61"/>
  <c r="J187" i="61"/>
  <c r="J224" i="61"/>
  <c r="J186" i="61"/>
  <c r="J185" i="61"/>
  <c r="J184" i="61"/>
  <c r="J179" i="61"/>
  <c r="J177" i="61"/>
  <c r="J175" i="61"/>
  <c r="J174" i="61"/>
  <c r="J143" i="61"/>
  <c r="J74" i="61"/>
  <c r="J150" i="61"/>
  <c r="J496" i="61"/>
  <c r="J442" i="61"/>
  <c r="J209" i="61"/>
  <c r="J94" i="61"/>
  <c r="J182" i="61"/>
  <c r="J133" i="61"/>
  <c r="J200" i="61"/>
  <c r="J344" i="61"/>
  <c r="J321" i="61"/>
  <c r="J320" i="61"/>
  <c r="J56" i="61"/>
  <c r="J55" i="61"/>
  <c r="J54" i="61"/>
  <c r="J53" i="61"/>
  <c r="J52" i="61"/>
  <c r="J50" i="61"/>
  <c r="J49" i="61"/>
  <c r="J48" i="61"/>
  <c r="J67" i="61"/>
  <c r="J66" i="61"/>
  <c r="J27" i="61"/>
  <c r="J77" i="61"/>
  <c r="J76" i="61"/>
  <c r="J26" i="61"/>
  <c r="J75" i="61"/>
  <c r="J23" i="61"/>
  <c r="J21" i="61"/>
  <c r="J16" i="61"/>
  <c r="J193" i="61"/>
  <c r="J72" i="61"/>
  <c r="J71" i="61"/>
  <c r="J70" i="61"/>
  <c r="J10" i="61"/>
  <c r="J69" i="61"/>
  <c r="J46" i="61"/>
  <c r="J45" i="61"/>
  <c r="J44" i="61"/>
  <c r="J93" i="61"/>
  <c r="J92" i="61"/>
  <c r="J47" i="61"/>
  <c r="J41" i="61"/>
  <c r="J91" i="61"/>
  <c r="J90" i="61"/>
  <c r="J89" i="61"/>
  <c r="J88" i="61"/>
  <c r="J40" i="61"/>
  <c r="J87" i="61"/>
  <c r="J39" i="61"/>
  <c r="J86" i="61"/>
  <c r="J85" i="61"/>
  <c r="J37" i="61"/>
  <c r="J38" i="61"/>
  <c r="J7" i="61"/>
  <c r="J107" i="61"/>
  <c r="J19" i="61"/>
  <c r="J100" i="61"/>
  <c r="J99" i="61"/>
  <c r="J98" i="61"/>
  <c r="J17" i="61"/>
  <c r="J97" i="61"/>
  <c r="J259" i="61"/>
  <c r="J118" i="61"/>
  <c r="J117" i="61"/>
  <c r="J116" i="61"/>
  <c r="J136" i="61"/>
  <c r="J115" i="61"/>
  <c r="J102" i="61"/>
  <c r="J35" i="61" l="1"/>
  <c r="J112" i="61"/>
  <c r="J429" i="61"/>
  <c r="J974" i="61"/>
  <c r="J450" i="61"/>
  <c r="J948" i="61"/>
  <c r="J1082" i="61"/>
  <c r="J932" i="61"/>
  <c r="J818" i="61"/>
  <c r="J323" i="61"/>
  <c r="J160" i="61"/>
  <c r="J340" i="61"/>
  <c r="J438" i="61"/>
  <c r="J1047" i="61"/>
  <c r="J353" i="61"/>
  <c r="J1026" i="61"/>
  <c r="J1258" i="61"/>
  <c r="J791" i="61"/>
  <c r="J505" i="61"/>
  <c r="J198" i="61"/>
  <c r="J171" i="61"/>
  <c r="J1219" i="61"/>
  <c r="J683" i="61"/>
  <c r="J504" i="61"/>
  <c r="J173" i="61"/>
  <c r="J1216" i="61"/>
  <c r="J142" i="61"/>
  <c r="J428" i="61"/>
  <c r="J947" i="61"/>
  <c r="J303" i="61"/>
  <c r="J1079" i="61"/>
  <c r="J63" i="61"/>
  <c r="J1144" i="61"/>
  <c r="J352" i="61"/>
  <c r="J451" i="61"/>
  <c r="J931" i="61"/>
  <c r="P137" i="62" l="1"/>
  <c r="E24" i="66" l="1"/>
  <c r="G24" i="66"/>
  <c r="H24" i="66"/>
  <c r="I24" i="66"/>
  <c r="J24" i="66"/>
  <c r="K24" i="66"/>
  <c r="M24" i="66"/>
  <c r="N24" i="66"/>
  <c r="O24" i="66"/>
  <c r="P24" i="66"/>
  <c r="Q24" i="66"/>
  <c r="R24" i="66"/>
  <c r="S24" i="66"/>
  <c r="T24" i="66"/>
  <c r="U24" i="66"/>
  <c r="A23" i="66"/>
  <c r="A24" i="66"/>
  <c r="A25" i="66"/>
  <c r="A27" i="35"/>
  <c r="A28" i="35"/>
  <c r="E27" i="35"/>
  <c r="G27" i="35"/>
  <c r="H27" i="35"/>
  <c r="I27" i="35"/>
  <c r="J27" i="35"/>
  <c r="K27" i="35"/>
  <c r="H10" i="61"/>
  <c r="G10" i="61"/>
  <c r="D10" i="61"/>
  <c r="C10" i="61"/>
  <c r="A10" i="61"/>
  <c r="H9" i="61"/>
  <c r="G9" i="61"/>
  <c r="D9" i="61"/>
  <c r="C9" i="61"/>
  <c r="A9" i="61"/>
  <c r="H8" i="61"/>
  <c r="G8" i="61"/>
  <c r="D8" i="61"/>
  <c r="C8" i="61"/>
  <c r="A8" i="61"/>
  <c r="A17" i="61"/>
  <c r="BA1291" i="27"/>
  <c r="BA1290" i="27"/>
  <c r="BA1289" i="27"/>
  <c r="BA1288" i="27"/>
  <c r="BA1287" i="27"/>
  <c r="BA1286" i="27"/>
  <c r="BA1285" i="27"/>
  <c r="BA1284" i="27"/>
  <c r="BA1283" i="27"/>
  <c r="BA1282" i="27"/>
  <c r="BA1281" i="27"/>
  <c r="BA1280" i="27"/>
  <c r="BA1279" i="27"/>
  <c r="BA1278" i="27"/>
  <c r="BA1276" i="27"/>
  <c r="BA1275" i="27"/>
  <c r="BA1274" i="27"/>
  <c r="BA1273" i="27"/>
  <c r="BA1272" i="27"/>
  <c r="BA1271" i="27"/>
  <c r="BA1270" i="27"/>
  <c r="BA1269" i="27"/>
  <c r="BA1268" i="27"/>
  <c r="BA1267" i="27"/>
  <c r="BA1266" i="27"/>
  <c r="BA1265" i="27"/>
  <c r="BA1264" i="27"/>
  <c r="BA1263" i="27"/>
  <c r="BA1262" i="27"/>
  <c r="BA1261" i="27"/>
  <c r="BA1260" i="27"/>
  <c r="BA1259" i="27"/>
  <c r="BA1258" i="27"/>
  <c r="BA1257" i="27"/>
  <c r="BA1256" i="27"/>
  <c r="BA1255" i="27"/>
  <c r="BA1254" i="27"/>
  <c r="BA1253" i="27"/>
  <c r="BA1252" i="27"/>
  <c r="BA1251" i="27"/>
  <c r="BA1250" i="27"/>
  <c r="BA1249" i="27"/>
  <c r="BA1248" i="27"/>
  <c r="BA1247" i="27"/>
  <c r="BA1246" i="27"/>
  <c r="BA1245" i="27"/>
  <c r="BA1244" i="27"/>
  <c r="BA1243" i="27"/>
  <c r="BA1242" i="27"/>
  <c r="BA1241" i="27"/>
  <c r="BA1240" i="27"/>
  <c r="BA1239" i="27"/>
  <c r="BA1238" i="27"/>
  <c r="BA1237" i="27"/>
  <c r="BA1236" i="27"/>
  <c r="BA1235" i="27"/>
  <c r="BA1234" i="27"/>
  <c r="BA1233" i="27"/>
  <c r="BA1232" i="27"/>
  <c r="BA1231" i="27"/>
  <c r="BA1230" i="27"/>
  <c r="BA1229" i="27"/>
  <c r="BA1228" i="27"/>
  <c r="BA1227" i="27"/>
  <c r="BA1226" i="27"/>
  <c r="BA1225" i="27"/>
  <c r="BA1224" i="27"/>
  <c r="BA1223" i="27"/>
  <c r="BA1222" i="27"/>
  <c r="BA1221" i="27"/>
  <c r="BA1220" i="27"/>
  <c r="BA1219" i="27"/>
  <c r="BA1218" i="27"/>
  <c r="BA1217" i="27"/>
  <c r="BA1216" i="27"/>
  <c r="BA1215" i="27"/>
  <c r="BA1214" i="27"/>
  <c r="BA1213" i="27"/>
  <c r="BA1212" i="27"/>
  <c r="BA1211" i="27"/>
  <c r="BA1210" i="27"/>
  <c r="BA1209" i="27"/>
  <c r="BA1208" i="27"/>
  <c r="BA1207" i="27"/>
  <c r="BA1206" i="27"/>
  <c r="BA1205" i="27"/>
  <c r="BA1204" i="27"/>
  <c r="BA1203" i="27"/>
  <c r="BA1202" i="27"/>
  <c r="BA1201" i="27"/>
  <c r="BA1200" i="27"/>
  <c r="BA1199" i="27"/>
  <c r="BA1198" i="27"/>
  <c r="BA1197" i="27"/>
  <c r="BA1196" i="27"/>
  <c r="BA1195" i="27"/>
  <c r="BA1194" i="27"/>
  <c r="BA1193" i="27"/>
  <c r="BA1192" i="27"/>
  <c r="BA1191" i="27"/>
  <c r="BA1190" i="27"/>
  <c r="BA1189" i="27"/>
  <c r="BA1188" i="27"/>
  <c r="BA1187" i="27"/>
  <c r="BA1186" i="27"/>
  <c r="BA1185" i="27"/>
  <c r="BA1184" i="27"/>
  <c r="BA1183" i="27"/>
  <c r="BA1182" i="27"/>
  <c r="BA1181" i="27"/>
  <c r="BA1180" i="27"/>
  <c r="BA1179" i="27"/>
  <c r="BA1178" i="27"/>
  <c r="BA1177" i="27"/>
  <c r="BA1176" i="27"/>
  <c r="BA1175" i="27"/>
  <c r="BA1174" i="27"/>
  <c r="BA1173" i="27"/>
  <c r="BA1172" i="27"/>
  <c r="BA1171" i="27"/>
  <c r="BA1170" i="27"/>
  <c r="BA1169" i="27"/>
  <c r="BA1168" i="27"/>
  <c r="BA1167" i="27"/>
  <c r="BA1166" i="27"/>
  <c r="BA1165" i="27"/>
  <c r="BA1164" i="27"/>
  <c r="BA1163" i="27"/>
  <c r="BA1162" i="27"/>
  <c r="BA1161" i="27"/>
  <c r="BA1160" i="27"/>
  <c r="BA1159" i="27"/>
  <c r="BA1158" i="27"/>
  <c r="BA1157" i="27"/>
  <c r="BA1156" i="27"/>
  <c r="BA1155" i="27"/>
  <c r="BA1154" i="27"/>
  <c r="BA1153" i="27"/>
  <c r="BA1152" i="27"/>
  <c r="BA1151" i="27"/>
  <c r="BA1150" i="27"/>
  <c r="BA1149" i="27"/>
  <c r="BA1148" i="27"/>
  <c r="BA1147" i="27"/>
  <c r="BA1146" i="27"/>
  <c r="BA1145" i="27"/>
  <c r="BA1144" i="27"/>
  <c r="BA1143" i="27"/>
  <c r="BA1142" i="27"/>
  <c r="BA1141" i="27"/>
  <c r="BA1140" i="27"/>
  <c r="BA1139" i="27"/>
  <c r="BA1138" i="27"/>
  <c r="BA1137" i="27"/>
  <c r="BA1136" i="27"/>
  <c r="BA1135" i="27"/>
  <c r="BA1134" i="27"/>
  <c r="BA1133" i="27"/>
  <c r="BA1132" i="27"/>
  <c r="BA1131" i="27"/>
  <c r="BA1130" i="27"/>
  <c r="BA1129" i="27"/>
  <c r="BA1128" i="27"/>
  <c r="BA1127" i="27"/>
  <c r="BA1126" i="27"/>
  <c r="BA1125" i="27"/>
  <c r="BA1124" i="27"/>
  <c r="BA1123" i="27"/>
  <c r="BA1122" i="27"/>
  <c r="BA1121" i="27"/>
  <c r="BA1120" i="27"/>
  <c r="BA1119" i="27"/>
  <c r="BA1118" i="27"/>
  <c r="BA1117" i="27"/>
  <c r="BA1116" i="27"/>
  <c r="BA1115" i="27"/>
  <c r="BA1114" i="27"/>
  <c r="BA1113" i="27"/>
  <c r="BA1112" i="27"/>
  <c r="BA1111" i="27"/>
  <c r="BA1110" i="27"/>
  <c r="BA1109" i="27"/>
  <c r="BA1108" i="27"/>
  <c r="BA1107" i="27"/>
  <c r="BA1106" i="27"/>
  <c r="BA1105" i="27"/>
  <c r="BA1104" i="27"/>
  <c r="BA1103" i="27"/>
  <c r="BA1102" i="27"/>
  <c r="BA1101" i="27"/>
  <c r="BA1100" i="27"/>
  <c r="BA1099" i="27"/>
  <c r="BA1098" i="27"/>
  <c r="BA1097" i="27"/>
  <c r="BA1096" i="27"/>
  <c r="BA1095" i="27"/>
  <c r="BA1094" i="27"/>
  <c r="BA1093" i="27"/>
  <c r="BA1092" i="27"/>
  <c r="BA1091" i="27"/>
  <c r="BA1090" i="27"/>
  <c r="BA1089" i="27"/>
  <c r="BA1088" i="27"/>
  <c r="BA1087" i="27"/>
  <c r="BA1086" i="27"/>
  <c r="BA1085" i="27"/>
  <c r="BA1084" i="27"/>
  <c r="BA1083" i="27"/>
  <c r="BA1082" i="27"/>
  <c r="BA1081" i="27"/>
  <c r="BA1080" i="27"/>
  <c r="BA1079" i="27"/>
  <c r="BA1078" i="27"/>
  <c r="BA1077" i="27"/>
  <c r="BA1076" i="27"/>
  <c r="BA1075" i="27"/>
  <c r="BA1074" i="27"/>
  <c r="BA1073" i="27"/>
  <c r="BA1072" i="27"/>
  <c r="BA1071" i="27"/>
  <c r="BA1070" i="27"/>
  <c r="BA1069" i="27"/>
  <c r="BA1068" i="27"/>
  <c r="BA1067" i="27"/>
  <c r="BA1066" i="27"/>
  <c r="BA1065" i="27"/>
  <c r="BA1064" i="27"/>
  <c r="BA1063" i="27"/>
  <c r="BA1062" i="27"/>
  <c r="BA1061" i="27"/>
  <c r="BA1060" i="27"/>
  <c r="BA1059" i="27"/>
  <c r="BA1058" i="27"/>
  <c r="BA1057" i="27"/>
  <c r="BA1056" i="27"/>
  <c r="BA1055" i="27"/>
  <c r="BA1054" i="27"/>
  <c r="BA1053" i="27"/>
  <c r="BA1052" i="27"/>
  <c r="BA1051" i="27"/>
  <c r="BA1050" i="27"/>
  <c r="BA1049" i="27"/>
  <c r="BA1048" i="27"/>
  <c r="BA1047" i="27"/>
  <c r="BA1046" i="27"/>
  <c r="BA1045" i="27"/>
  <c r="BA1044" i="27"/>
  <c r="BA1043" i="27"/>
  <c r="BA1042" i="27"/>
  <c r="BA1041" i="27"/>
  <c r="BA1040" i="27"/>
  <c r="BA1039" i="27"/>
  <c r="BA1038" i="27"/>
  <c r="BA1037" i="27"/>
  <c r="BA1036" i="27"/>
  <c r="BA1035" i="27"/>
  <c r="BA1034" i="27"/>
  <c r="BA1033" i="27"/>
  <c r="BA1032" i="27"/>
  <c r="BA1031" i="27"/>
  <c r="BA1030" i="27"/>
  <c r="BA1029" i="27"/>
  <c r="BA1028" i="27"/>
  <c r="BA1027" i="27"/>
  <c r="BA1026" i="27"/>
  <c r="BA1025" i="27"/>
  <c r="BA1024" i="27"/>
  <c r="BA1023" i="27"/>
  <c r="BA1022" i="27"/>
  <c r="BA1021" i="27"/>
  <c r="BA1020" i="27"/>
  <c r="BA1019" i="27"/>
  <c r="BA1018" i="27"/>
  <c r="BA1017" i="27"/>
  <c r="BA1016" i="27"/>
  <c r="BA1015" i="27"/>
  <c r="BA1014" i="27"/>
  <c r="BA1013" i="27"/>
  <c r="BA1012" i="27"/>
  <c r="BA1011" i="27"/>
  <c r="BA1009" i="27"/>
  <c r="BA1008" i="27"/>
  <c r="BA1007" i="27"/>
  <c r="BA1006" i="27"/>
  <c r="BA1005" i="27"/>
  <c r="BA1004" i="27"/>
  <c r="BA1003" i="27"/>
  <c r="BA1002" i="27"/>
  <c r="BA1001" i="27"/>
  <c r="BA1000" i="27"/>
  <c r="BA999" i="27"/>
  <c r="BA998" i="27"/>
  <c r="BA997" i="27"/>
  <c r="BA996" i="27"/>
  <c r="BA995" i="27"/>
  <c r="BA994" i="27"/>
  <c r="BA993" i="27"/>
  <c r="BA992" i="27"/>
  <c r="BA991" i="27"/>
  <c r="BA990" i="27"/>
  <c r="BA989" i="27"/>
  <c r="BA988" i="27"/>
  <c r="BA987" i="27"/>
  <c r="BA986" i="27"/>
  <c r="BA985" i="27"/>
  <c r="BA984" i="27"/>
  <c r="BA983" i="27"/>
  <c r="BA982" i="27"/>
  <c r="BA981" i="27"/>
  <c r="BA980" i="27"/>
  <c r="BA979" i="27"/>
  <c r="BA978" i="27"/>
  <c r="BA977" i="27"/>
  <c r="BA976" i="27"/>
  <c r="BA975" i="27"/>
  <c r="BA974" i="27"/>
  <c r="BA973" i="27"/>
  <c r="BA972" i="27"/>
  <c r="BA971" i="27"/>
  <c r="BA970" i="27"/>
  <c r="BA969" i="27"/>
  <c r="BA968" i="27"/>
  <c r="BA967" i="27"/>
  <c r="BA966" i="27"/>
  <c r="BA965" i="27"/>
  <c r="BA964" i="27"/>
  <c r="BA963" i="27"/>
  <c r="BA962" i="27"/>
  <c r="BA961" i="27"/>
  <c r="BA960" i="27"/>
  <c r="BA959" i="27"/>
  <c r="BA958" i="27"/>
  <c r="BA957" i="27"/>
  <c r="BA956" i="27"/>
  <c r="BA955" i="27"/>
  <c r="BA954" i="27"/>
  <c r="BA953" i="27"/>
  <c r="BA952" i="27"/>
  <c r="BA951" i="27"/>
  <c r="BA950" i="27"/>
  <c r="BA949" i="27"/>
  <c r="BA948" i="27"/>
  <c r="BA947" i="27"/>
  <c r="BA946" i="27"/>
  <c r="BA945" i="27"/>
  <c r="BA944" i="27"/>
  <c r="BA943" i="27"/>
  <c r="BA942" i="27"/>
  <c r="BA941" i="27"/>
  <c r="BA940" i="27"/>
  <c r="BA939" i="27"/>
  <c r="BA938" i="27"/>
  <c r="BA937" i="27"/>
  <c r="BA936" i="27"/>
  <c r="BA935" i="27"/>
  <c r="BA934" i="27"/>
  <c r="BA933" i="27"/>
  <c r="BA932" i="27"/>
  <c r="BA931" i="27"/>
  <c r="BA930" i="27"/>
  <c r="BA929" i="27"/>
  <c r="BA928" i="27"/>
  <c r="BA927" i="27"/>
  <c r="BA926" i="27"/>
  <c r="BA924" i="27"/>
  <c r="BA923" i="27"/>
  <c r="BA922" i="27"/>
  <c r="BA921" i="27"/>
  <c r="BA920" i="27"/>
  <c r="BA919" i="27"/>
  <c r="BA918" i="27"/>
  <c r="BA917" i="27"/>
  <c r="BA916" i="27"/>
  <c r="BA915" i="27"/>
  <c r="BA914" i="27"/>
  <c r="BA913" i="27"/>
  <c r="BA912" i="27"/>
  <c r="BA911" i="27"/>
  <c r="BA910" i="27"/>
  <c r="BA909" i="27"/>
  <c r="BA908" i="27"/>
  <c r="BA907" i="27"/>
  <c r="BA906" i="27"/>
  <c r="BA905" i="27"/>
  <c r="BA904" i="27"/>
  <c r="BA903" i="27"/>
  <c r="BA902" i="27"/>
  <c r="BA901" i="27"/>
  <c r="BA900" i="27"/>
  <c r="BA899" i="27"/>
  <c r="BA898" i="27"/>
  <c r="BA897" i="27"/>
  <c r="BA896" i="27"/>
  <c r="BA895" i="27"/>
  <c r="BA894" i="27"/>
  <c r="BA893" i="27"/>
  <c r="BA892" i="27"/>
  <c r="BA891" i="27"/>
  <c r="BA890" i="27"/>
  <c r="BA889" i="27"/>
  <c r="BA888" i="27"/>
  <c r="BA887" i="27"/>
  <c r="BA886" i="27"/>
  <c r="BA885" i="27"/>
  <c r="BA884" i="27"/>
  <c r="BA883" i="27"/>
  <c r="BA882" i="27"/>
  <c r="BA881" i="27"/>
  <c r="BA880" i="27"/>
  <c r="BA879" i="27"/>
  <c r="BA878" i="27"/>
  <c r="BA877" i="27"/>
  <c r="BA876" i="27"/>
  <c r="BA875" i="27"/>
  <c r="BA871" i="27"/>
  <c r="BA870" i="27"/>
  <c r="BA869" i="27"/>
  <c r="BA868" i="27"/>
  <c r="BA867" i="27"/>
  <c r="BA866" i="27"/>
  <c r="BA865" i="27"/>
  <c r="BA864" i="27"/>
  <c r="BA863" i="27"/>
  <c r="BA862" i="27"/>
  <c r="BA861" i="27"/>
  <c r="BA860" i="27"/>
  <c r="BA859" i="27"/>
  <c r="BA849" i="27"/>
  <c r="BA848" i="27"/>
  <c r="BA847" i="27"/>
  <c r="BA846" i="27"/>
  <c r="BA845" i="27"/>
  <c r="BA844" i="27"/>
  <c r="BA842" i="27"/>
  <c r="BA841" i="27"/>
  <c r="BA840" i="27"/>
  <c r="BA839" i="27"/>
  <c r="BA838" i="27"/>
  <c r="BA837" i="27"/>
  <c r="BA836" i="27"/>
  <c r="BA835" i="27"/>
  <c r="BA831" i="27"/>
  <c r="BA830" i="27"/>
  <c r="BA829" i="27"/>
  <c r="BA828" i="27"/>
  <c r="BA827" i="27"/>
  <c r="BA825" i="27"/>
  <c r="BA824" i="27"/>
  <c r="BA823" i="27"/>
  <c r="BA822" i="27"/>
  <c r="BA821" i="27"/>
  <c r="BA820" i="27"/>
  <c r="BA819" i="27"/>
  <c r="BA818" i="27"/>
  <c r="BA817" i="27"/>
  <c r="BA816" i="27"/>
  <c r="BA814" i="27"/>
  <c r="BA813" i="27"/>
  <c r="BA812" i="27"/>
  <c r="BA811" i="27"/>
  <c r="BA810" i="27"/>
  <c r="BA809" i="27"/>
  <c r="BA808" i="27"/>
  <c r="BA807" i="27"/>
  <c r="BA805" i="27"/>
  <c r="BA804" i="27"/>
  <c r="BA803" i="27"/>
  <c r="BA796" i="27"/>
  <c r="BA795" i="27"/>
  <c r="BA794" i="27"/>
  <c r="BA793" i="27"/>
  <c r="BA792" i="27"/>
  <c r="BA791" i="27"/>
  <c r="BA790" i="27"/>
  <c r="BA789" i="27"/>
  <c r="BA788" i="27"/>
  <c r="BA786" i="27"/>
  <c r="BA785" i="27"/>
  <c r="BA784" i="27"/>
  <c r="BA783" i="27"/>
  <c r="BA782" i="27"/>
  <c r="BA781" i="27"/>
  <c r="BA780" i="27"/>
  <c r="BA779" i="27"/>
  <c r="BA778" i="27"/>
  <c r="BA777" i="27"/>
  <c r="BA776" i="27"/>
  <c r="BA775" i="27"/>
  <c r="BA774" i="27"/>
  <c r="BA773" i="27"/>
  <c r="BA771" i="27"/>
  <c r="BA770" i="27"/>
  <c r="BA769" i="27"/>
  <c r="BA757" i="27"/>
  <c r="BA756" i="27"/>
  <c r="BA755" i="27"/>
  <c r="BA754" i="27"/>
  <c r="BA753" i="27"/>
  <c r="BA752" i="27"/>
  <c r="BA751" i="27"/>
  <c r="BA750" i="27"/>
  <c r="BA749" i="27"/>
  <c r="BA748" i="27"/>
  <c r="BA747" i="27"/>
  <c r="BA746" i="27"/>
  <c r="BA736" i="27"/>
  <c r="BA735" i="27"/>
  <c r="BA734" i="27"/>
  <c r="BA733" i="27"/>
  <c r="BA732" i="27"/>
  <c r="BA731" i="27"/>
  <c r="BA730" i="27"/>
  <c r="BA729" i="27"/>
  <c r="BA728" i="27"/>
  <c r="BA727" i="27"/>
  <c r="BA726" i="27"/>
  <c r="BA725" i="27"/>
  <c r="BA724" i="27"/>
  <c r="BA723" i="27"/>
  <c r="BA722" i="27"/>
  <c r="BA721" i="27"/>
  <c r="BA720" i="27"/>
  <c r="BA719" i="27"/>
  <c r="BA718" i="27"/>
  <c r="BA717" i="27"/>
  <c r="BA716" i="27"/>
  <c r="BA715" i="27"/>
  <c r="BA714" i="27"/>
  <c r="BA713" i="27"/>
  <c r="BA712" i="27"/>
  <c r="BA711" i="27"/>
  <c r="BA710" i="27"/>
  <c r="BA709" i="27"/>
  <c r="BA708" i="27"/>
  <c r="BA707" i="27"/>
  <c r="BA706" i="27"/>
  <c r="BA699" i="27"/>
  <c r="BA698" i="27"/>
  <c r="BA697" i="27"/>
  <c r="BA696" i="27"/>
  <c r="BA695" i="27"/>
  <c r="BA694" i="27"/>
  <c r="BA693" i="27"/>
  <c r="BA692" i="27"/>
  <c r="BA691" i="27"/>
  <c r="BA690" i="27"/>
  <c r="BA689" i="27"/>
  <c r="BA688" i="27"/>
  <c r="BA687" i="27"/>
  <c r="BA686" i="27"/>
  <c r="BA685" i="27"/>
  <c r="BA684" i="27"/>
  <c r="BA683" i="27"/>
  <c r="BA682" i="27"/>
  <c r="BA681" i="27"/>
  <c r="BA680" i="27"/>
  <c r="BA679" i="27"/>
  <c r="BA678" i="27"/>
  <c r="BA677" i="27"/>
  <c r="BA676" i="27"/>
  <c r="BA675" i="27"/>
  <c r="BA674" i="27"/>
  <c r="BA673" i="27"/>
  <c r="BA672" i="27"/>
  <c r="BA671" i="27"/>
  <c r="BA670" i="27"/>
  <c r="BA669" i="27"/>
  <c r="BA668" i="27"/>
  <c r="BA667" i="27"/>
  <c r="BA666" i="27"/>
  <c r="BA665" i="27"/>
  <c r="BA664" i="27"/>
  <c r="BA663" i="27"/>
  <c r="BA662" i="27"/>
  <c r="BA661" i="27"/>
  <c r="BA652" i="27"/>
  <c r="BA651" i="27"/>
  <c r="BA650" i="27"/>
  <c r="BA649" i="27"/>
  <c r="BA648" i="27"/>
  <c r="BA647" i="27"/>
  <c r="BA646" i="27"/>
  <c r="BA645" i="27"/>
  <c r="BA644" i="27"/>
  <c r="BA643" i="27"/>
  <c r="BA642" i="27"/>
  <c r="BA641" i="27"/>
  <c r="BA640" i="27"/>
  <c r="BA638" i="27"/>
  <c r="BA637" i="27"/>
  <c r="BA636" i="27"/>
  <c r="BA635" i="27"/>
  <c r="BA634" i="27"/>
  <c r="BA633" i="27"/>
  <c r="BA632" i="27"/>
  <c r="BA631" i="27"/>
  <c r="BA630" i="27"/>
  <c r="BA629" i="27"/>
  <c r="BA628" i="27"/>
  <c r="BA627" i="27"/>
  <c r="BA626" i="27"/>
  <c r="BA625" i="27"/>
  <c r="BA624" i="27"/>
  <c r="BA623" i="27"/>
  <c r="BA622" i="27"/>
  <c r="BA621" i="27"/>
  <c r="BA620" i="27"/>
  <c r="BA619" i="27"/>
  <c r="BA618" i="27"/>
  <c r="BA617" i="27"/>
  <c r="BA616" i="27"/>
  <c r="BA615" i="27"/>
  <c r="BA614" i="27"/>
  <c r="BA613" i="27"/>
  <c r="BA612" i="27"/>
  <c r="BA611" i="27"/>
  <c r="BA610" i="27"/>
  <c r="BA609" i="27"/>
  <c r="BA608" i="27"/>
  <c r="BA607" i="27"/>
  <c r="BA606" i="27"/>
  <c r="BA605" i="27"/>
  <c r="BA604" i="27"/>
  <c r="BA603" i="27"/>
  <c r="BA602" i="27"/>
  <c r="BA601" i="27"/>
  <c r="BA600" i="27"/>
  <c r="BA599" i="27"/>
  <c r="BA598" i="27"/>
  <c r="BA597" i="27"/>
  <c r="BA596" i="27"/>
  <c r="BA595" i="27"/>
  <c r="BA594" i="27"/>
  <c r="BA593" i="27"/>
  <c r="BA592" i="27"/>
  <c r="BA591" i="27"/>
  <c r="BA590" i="27"/>
  <c r="BA589" i="27"/>
  <c r="BA588" i="27"/>
  <c r="BA587" i="27"/>
  <c r="BA586" i="27"/>
  <c r="BA585" i="27"/>
  <c r="BA584" i="27"/>
  <c r="BA583" i="27"/>
  <c r="BA582" i="27"/>
  <c r="BA581" i="27"/>
  <c r="BA580" i="27"/>
  <c r="BA579" i="27"/>
  <c r="BA578" i="27"/>
  <c r="BA577" i="27"/>
  <c r="BA576" i="27"/>
  <c r="BA575" i="27"/>
  <c r="BA574" i="27"/>
  <c r="BA573" i="27"/>
  <c r="BA572" i="27"/>
  <c r="BA571" i="27"/>
  <c r="BA570" i="27"/>
  <c r="BA569" i="27"/>
  <c r="BA568" i="27"/>
  <c r="BA567" i="27"/>
  <c r="BA566" i="27"/>
  <c r="BA565" i="27"/>
  <c r="BA564" i="27"/>
  <c r="BA563" i="27"/>
  <c r="BA562" i="27"/>
  <c r="BA561" i="27"/>
  <c r="BA560" i="27"/>
  <c r="BA559" i="27"/>
  <c r="BA558" i="27"/>
  <c r="BA557" i="27"/>
  <c r="BA556" i="27"/>
  <c r="BA555" i="27"/>
  <c r="BA554" i="27"/>
  <c r="BA553" i="27"/>
  <c r="BA552" i="27"/>
  <c r="BA551" i="27"/>
  <c r="BA550" i="27"/>
  <c r="BA549" i="27"/>
  <c r="BA548" i="27"/>
  <c r="BA547" i="27"/>
  <c r="BA546" i="27"/>
  <c r="BA545" i="27"/>
  <c r="BA544" i="27"/>
  <c r="BA543" i="27"/>
  <c r="BA542" i="27"/>
  <c r="BA541" i="27"/>
  <c r="BA540" i="27"/>
  <c r="BA539" i="27"/>
  <c r="BA538" i="27"/>
  <c r="BA537" i="27"/>
  <c r="BA536" i="27"/>
  <c r="BA535" i="27"/>
  <c r="BA534" i="27"/>
  <c r="BA533" i="27"/>
  <c r="BA532" i="27"/>
  <c r="BA531" i="27"/>
  <c r="BA530" i="27"/>
  <c r="BA529" i="27"/>
  <c r="BA528" i="27"/>
  <c r="BA527" i="27"/>
  <c r="BA526" i="27"/>
  <c r="BA525" i="27"/>
  <c r="BA524" i="27"/>
  <c r="BA523" i="27"/>
  <c r="BA522" i="27"/>
  <c r="BA521" i="27"/>
  <c r="BA520" i="27"/>
  <c r="BA519" i="27"/>
  <c r="BA518" i="27"/>
  <c r="BA517" i="27"/>
  <c r="BA516" i="27"/>
  <c r="BA515" i="27"/>
  <c r="BA514" i="27"/>
  <c r="BA513" i="27"/>
  <c r="BA512" i="27"/>
  <c r="BA511" i="27"/>
  <c r="BA510" i="27"/>
  <c r="BA509" i="27"/>
  <c r="BA508" i="27"/>
  <c r="BA507" i="27"/>
  <c r="BA506" i="27"/>
  <c r="BA505" i="27"/>
  <c r="BA504" i="27"/>
  <c r="BA503" i="27"/>
  <c r="BA502" i="27"/>
  <c r="BA501" i="27"/>
  <c r="BA500" i="27"/>
  <c r="BA499" i="27"/>
  <c r="BA498" i="27"/>
  <c r="BA497" i="27"/>
  <c r="BA496" i="27"/>
  <c r="BA495" i="27"/>
  <c r="BA494" i="27"/>
  <c r="BA493" i="27"/>
  <c r="BA492" i="27"/>
  <c r="BA491" i="27"/>
  <c r="BA490" i="27"/>
  <c r="BA489" i="27"/>
  <c r="BA488" i="27"/>
  <c r="BA487" i="27"/>
  <c r="BA486" i="27"/>
  <c r="BA485" i="27"/>
  <c r="BA484" i="27"/>
  <c r="BA483" i="27"/>
  <c r="BA482" i="27"/>
  <c r="BA481" i="27"/>
  <c r="BA480" i="27"/>
  <c r="BA479" i="27"/>
  <c r="BA478" i="27"/>
  <c r="BA477" i="27"/>
  <c r="BA476" i="27"/>
  <c r="BA475" i="27"/>
  <c r="BA474" i="27"/>
  <c r="BA473" i="27"/>
  <c r="BA472" i="27"/>
  <c r="BA471" i="27"/>
  <c r="BA470" i="27"/>
  <c r="BA469" i="27"/>
  <c r="BA468" i="27"/>
  <c r="BA467" i="27"/>
  <c r="BA466" i="27"/>
  <c r="BA465" i="27"/>
  <c r="BA464" i="27"/>
  <c r="BA463" i="27"/>
  <c r="BA462" i="27"/>
  <c r="BA461" i="27"/>
  <c r="BA460" i="27"/>
  <c r="BA459" i="27"/>
  <c r="BA458" i="27"/>
  <c r="BA457" i="27"/>
  <c r="BA456" i="27"/>
  <c r="BA455" i="27"/>
  <c r="BA454" i="27"/>
  <c r="BA453" i="27"/>
  <c r="BA452" i="27"/>
  <c r="BA451" i="27"/>
  <c r="BA450" i="27"/>
  <c r="BA449" i="27"/>
  <c r="BA448" i="27"/>
  <c r="BA447" i="27"/>
  <c r="BA446" i="27"/>
  <c r="BA445" i="27"/>
  <c r="BA444" i="27"/>
  <c r="BA443" i="27"/>
  <c r="BA442" i="27"/>
  <c r="BA441" i="27"/>
  <c r="BA440" i="27"/>
  <c r="BA439" i="27"/>
  <c r="BA438" i="27"/>
  <c r="BA437" i="27"/>
  <c r="BA436" i="27"/>
  <c r="BA435" i="27"/>
  <c r="BA434" i="27"/>
  <c r="BA433" i="27"/>
  <c r="BA432" i="27"/>
  <c r="BA431" i="27"/>
  <c r="BA430" i="27"/>
  <c r="BA429" i="27"/>
  <c r="BA428" i="27"/>
  <c r="BA427" i="27"/>
  <c r="BA426" i="27"/>
  <c r="BA425" i="27"/>
  <c r="BA424" i="27"/>
  <c r="BA423" i="27"/>
  <c r="BA422" i="27"/>
  <c r="BA421" i="27"/>
  <c r="BA420" i="27"/>
  <c r="BA419" i="27"/>
  <c r="BA418" i="27"/>
  <c r="BA417" i="27"/>
  <c r="BA416" i="27"/>
  <c r="BA415" i="27"/>
  <c r="BA414" i="27"/>
  <c r="BA413" i="27"/>
  <c r="BA412" i="27"/>
  <c r="BA411" i="27"/>
  <c r="BA410" i="27"/>
  <c r="BA409" i="27"/>
  <c r="BA408" i="27"/>
  <c r="BA407" i="27"/>
  <c r="BA406" i="27"/>
  <c r="BA405" i="27"/>
  <c r="BA404" i="27"/>
  <c r="BA403" i="27"/>
  <c r="BA402" i="27"/>
  <c r="BA401" i="27"/>
  <c r="BA400" i="27"/>
  <c r="BA399" i="27"/>
  <c r="BA398" i="27"/>
  <c r="BA397" i="27"/>
  <c r="BA396" i="27"/>
  <c r="BA395" i="27"/>
  <c r="BA394" i="27"/>
  <c r="BA393" i="27"/>
  <c r="BA392" i="27"/>
  <c r="BA391" i="27"/>
  <c r="BA390" i="27"/>
  <c r="BA389" i="27"/>
  <c r="BA388" i="27"/>
  <c r="BA387" i="27"/>
  <c r="BA386" i="27"/>
  <c r="BA385" i="27"/>
  <c r="BA384" i="27"/>
  <c r="BA383" i="27"/>
  <c r="BA382" i="27"/>
  <c r="BA381" i="27"/>
  <c r="BA380" i="27"/>
  <c r="BA378" i="27"/>
  <c r="BA377" i="27"/>
  <c r="BA376" i="27"/>
  <c r="BA375" i="27"/>
  <c r="BA374" i="27"/>
  <c r="BA373" i="27"/>
  <c r="BA372" i="27"/>
  <c r="BA371" i="27"/>
  <c r="BA370" i="27"/>
  <c r="BA369" i="27"/>
  <c r="BA368" i="27"/>
  <c r="BA367" i="27"/>
  <c r="BA366" i="27"/>
  <c r="BA365" i="27"/>
  <c r="BA364" i="27"/>
  <c r="BA363" i="27"/>
  <c r="BA362" i="27"/>
  <c r="BA361" i="27"/>
  <c r="BA360" i="27"/>
  <c r="BA359" i="27"/>
  <c r="BA358" i="27"/>
  <c r="BA357" i="27"/>
  <c r="BA356" i="27"/>
  <c r="BA355" i="27"/>
  <c r="BA354" i="27"/>
  <c r="BA353" i="27"/>
  <c r="BA352" i="27"/>
  <c r="BA351" i="27"/>
  <c r="BA350" i="27"/>
  <c r="BA349" i="27"/>
  <c r="BA348" i="27"/>
  <c r="BA347" i="27"/>
  <c r="BA346" i="27"/>
  <c r="BA345" i="27"/>
  <c r="BA344" i="27"/>
  <c r="BA343" i="27"/>
  <c r="BA342" i="27"/>
  <c r="BA341" i="27"/>
  <c r="BA340" i="27"/>
  <c r="BA339" i="27"/>
  <c r="BA338" i="27"/>
  <c r="BA337" i="27"/>
  <c r="BA336" i="27"/>
  <c r="BA335" i="27"/>
  <c r="BA334" i="27"/>
  <c r="BA333" i="27"/>
  <c r="BA332" i="27"/>
  <c r="BA331" i="27"/>
  <c r="BA330" i="27"/>
  <c r="BA329" i="27"/>
  <c r="BA328" i="27"/>
  <c r="BA327" i="27"/>
  <c r="BA326" i="27"/>
  <c r="BA325" i="27"/>
  <c r="BA324" i="27"/>
  <c r="BA323" i="27"/>
  <c r="BA322" i="27"/>
  <c r="BA321" i="27"/>
  <c r="BA320" i="27"/>
  <c r="BA319" i="27"/>
  <c r="BA318" i="27"/>
  <c r="BA317" i="27"/>
  <c r="BA316" i="27"/>
  <c r="BA315" i="27"/>
  <c r="BA314" i="27"/>
  <c r="BA313" i="27"/>
  <c r="BA312" i="27"/>
  <c r="BA311" i="27"/>
  <c r="BA310" i="27"/>
  <c r="BA309" i="27"/>
  <c r="BA308" i="27"/>
  <c r="BA307" i="27"/>
  <c r="BA306" i="27"/>
  <c r="BA305" i="27"/>
  <c r="BA304" i="27"/>
  <c r="BA303" i="27"/>
  <c r="BA302" i="27"/>
  <c r="BA301" i="27"/>
  <c r="BA300" i="27"/>
  <c r="BA299" i="27"/>
  <c r="BA298" i="27"/>
  <c r="BA297" i="27"/>
  <c r="BA296" i="27"/>
  <c r="BA295" i="27"/>
  <c r="BA294" i="27"/>
  <c r="BA293" i="27"/>
  <c r="BA292" i="27"/>
  <c r="BA291" i="27"/>
  <c r="BA290" i="27"/>
  <c r="BA289" i="27"/>
  <c r="BA288" i="27"/>
  <c r="BA287" i="27"/>
  <c r="BA286" i="27"/>
  <c r="BA285" i="27"/>
  <c r="BA284" i="27"/>
  <c r="BA283" i="27"/>
  <c r="BA282" i="27"/>
  <c r="BA281" i="27"/>
  <c r="BA279" i="27"/>
  <c r="BA278" i="27"/>
  <c r="BA277" i="27"/>
  <c r="BA276" i="27"/>
  <c r="BA275" i="27"/>
  <c r="BA274" i="27"/>
  <c r="BA273" i="27"/>
  <c r="BA272" i="27"/>
  <c r="BA271" i="27"/>
  <c r="BA270" i="27"/>
  <c r="BA269" i="27"/>
  <c r="BA268" i="27"/>
  <c r="BA267" i="27"/>
  <c r="BA266" i="27"/>
  <c r="BA265" i="27"/>
  <c r="BA263" i="27"/>
  <c r="BA261" i="27"/>
  <c r="BA260" i="27"/>
  <c r="BA259" i="27"/>
  <c r="BA258" i="27"/>
  <c r="BA257" i="27"/>
  <c r="BA256" i="27"/>
  <c r="BA255" i="27"/>
  <c r="BA254" i="27"/>
  <c r="BA253" i="27"/>
  <c r="BA252" i="27"/>
  <c r="BA251" i="27"/>
  <c r="BA250" i="27"/>
  <c r="BA249" i="27"/>
  <c r="BA248" i="27"/>
  <c r="BA247" i="27"/>
  <c r="BA246" i="27"/>
  <c r="BA245" i="27"/>
  <c r="BA244" i="27"/>
  <c r="BA243" i="27"/>
  <c r="BA242" i="27"/>
  <c r="BA241" i="27"/>
  <c r="BA240" i="27"/>
  <c r="BA239" i="27"/>
  <c r="BA238" i="27"/>
  <c r="BA237" i="27"/>
  <c r="BA236" i="27"/>
  <c r="BA235" i="27"/>
  <c r="BA234" i="27"/>
  <c r="BA233" i="27"/>
  <c r="BA232" i="27"/>
  <c r="BA231" i="27"/>
  <c r="BA230" i="27"/>
  <c r="BA229" i="27"/>
  <c r="BA228" i="27"/>
  <c r="BA227" i="27"/>
  <c r="BA226" i="27"/>
  <c r="BA225" i="27"/>
  <c r="BA224" i="27"/>
  <c r="BA223" i="27"/>
  <c r="BA222" i="27"/>
  <c r="BA221" i="27"/>
  <c r="BA220" i="27"/>
  <c r="BA219" i="27"/>
  <c r="BA218" i="27"/>
  <c r="BA217" i="27"/>
  <c r="BA216" i="27"/>
  <c r="BA215" i="27"/>
  <c r="BA214" i="27"/>
  <c r="BA213" i="27"/>
  <c r="BA212" i="27"/>
  <c r="BA211" i="27"/>
  <c r="BA210" i="27"/>
  <c r="BA209" i="27"/>
  <c r="BA208" i="27"/>
  <c r="BA207" i="27"/>
  <c r="BA206" i="27"/>
  <c r="BA205" i="27"/>
  <c r="BA204" i="27"/>
  <c r="BA203" i="27"/>
  <c r="BA202" i="27"/>
  <c r="BA201" i="27"/>
  <c r="BA200" i="27"/>
  <c r="BA199" i="27"/>
  <c r="BA198" i="27"/>
  <c r="BA197" i="27"/>
  <c r="BA196" i="27"/>
  <c r="BA195" i="27"/>
  <c r="BA194" i="27"/>
  <c r="BA193" i="27"/>
  <c r="BA192" i="27"/>
  <c r="BA191" i="27"/>
  <c r="BA190" i="27"/>
  <c r="BA189" i="27"/>
  <c r="BA188" i="27"/>
  <c r="BA187" i="27"/>
  <c r="BA186" i="27"/>
  <c r="BA185" i="27"/>
  <c r="BA184" i="27"/>
  <c r="BA183" i="27"/>
  <c r="BA182" i="27"/>
  <c r="BA181" i="27"/>
  <c r="BA180" i="27"/>
  <c r="BA179" i="27"/>
  <c r="BA178" i="27"/>
  <c r="BA177" i="27"/>
  <c r="BA176" i="27"/>
  <c r="BA175" i="27"/>
  <c r="BA174" i="27"/>
  <c r="BA173" i="27"/>
  <c r="BA172" i="27"/>
  <c r="BA171" i="27"/>
  <c r="BA170" i="27"/>
  <c r="BA169" i="27"/>
  <c r="BA168" i="27"/>
  <c r="BA167" i="27"/>
  <c r="BA166" i="27"/>
  <c r="BA165" i="27"/>
  <c r="BA164" i="27"/>
  <c r="BA163" i="27"/>
  <c r="BA162" i="27"/>
  <c r="BA161" i="27"/>
  <c r="BA160" i="27"/>
  <c r="BA159" i="27"/>
  <c r="BA158" i="27"/>
  <c r="BA157" i="27"/>
  <c r="BA156" i="27"/>
  <c r="BA155" i="27"/>
  <c r="BA154" i="27"/>
  <c r="BA153" i="27"/>
  <c r="BA152" i="27"/>
  <c r="BA151" i="27"/>
  <c r="BA150" i="27"/>
  <c r="BA149" i="27"/>
  <c r="BA148" i="27"/>
  <c r="BA147" i="27"/>
  <c r="BA146" i="27"/>
  <c r="BA145" i="27"/>
  <c r="BA144" i="27"/>
  <c r="BA143" i="27"/>
  <c r="BA142" i="27"/>
  <c r="BA141" i="27"/>
  <c r="BA140" i="27"/>
  <c r="BA139" i="27"/>
  <c r="BA138" i="27"/>
  <c r="BA137" i="27"/>
  <c r="BA136" i="27"/>
  <c r="BA135" i="27"/>
  <c r="BA134" i="27"/>
  <c r="BA133" i="27"/>
  <c r="BA132" i="27"/>
  <c r="BA131" i="27"/>
  <c r="BA130" i="27"/>
  <c r="BA129" i="27"/>
  <c r="BA128" i="27"/>
  <c r="BA127" i="27"/>
  <c r="BA126" i="27"/>
  <c r="BA125" i="27"/>
  <c r="BA124" i="27"/>
  <c r="BA123" i="27"/>
  <c r="BA122" i="27"/>
  <c r="BA121" i="27"/>
  <c r="BA120" i="27"/>
  <c r="BA119" i="27"/>
  <c r="BA118" i="27"/>
  <c r="BA117" i="27"/>
  <c r="BA116" i="27"/>
  <c r="BA115" i="27"/>
  <c r="BA114" i="27"/>
  <c r="BA113" i="27"/>
  <c r="BA112" i="27"/>
  <c r="BA111" i="27"/>
  <c r="BA110" i="27"/>
  <c r="BA109" i="27"/>
  <c r="BA108" i="27"/>
  <c r="BA107" i="27"/>
  <c r="BA106" i="27"/>
  <c r="BA105" i="27"/>
  <c r="BA104" i="27"/>
  <c r="BA103" i="27"/>
  <c r="BA102" i="27"/>
  <c r="BA101" i="27"/>
  <c r="BA100" i="27"/>
  <c r="BA99" i="27"/>
  <c r="BA98" i="27"/>
  <c r="BA97" i="27"/>
  <c r="BA96" i="27"/>
  <c r="BA95" i="27"/>
  <c r="BA94" i="27"/>
  <c r="BA93" i="27"/>
  <c r="BA92" i="27"/>
  <c r="BA91" i="27"/>
  <c r="BA90" i="27"/>
  <c r="BA89" i="27"/>
  <c r="BA88" i="27"/>
  <c r="BA87" i="27"/>
  <c r="BA86" i="27"/>
  <c r="BA85" i="27"/>
  <c r="BA84" i="27"/>
  <c r="BA83" i="27"/>
  <c r="BA82" i="27"/>
  <c r="BA81" i="27"/>
  <c r="BA80" i="27"/>
  <c r="BA79" i="27"/>
  <c r="BA78" i="27"/>
  <c r="BA77" i="27"/>
  <c r="BA76" i="27"/>
  <c r="BA75" i="27"/>
  <c r="BA74" i="27"/>
  <c r="BA73" i="27"/>
  <c r="BA72" i="27"/>
  <c r="BA71" i="27"/>
  <c r="BA70" i="27"/>
  <c r="BA69" i="27"/>
  <c r="BA68" i="27"/>
  <c r="BA67" i="27"/>
  <c r="BA66" i="27"/>
  <c r="BA65" i="27"/>
  <c r="BA64" i="27"/>
  <c r="BA63" i="27"/>
  <c r="BA62" i="27"/>
  <c r="BA61" i="27"/>
  <c r="BA60" i="27"/>
  <c r="BA59" i="27"/>
  <c r="BA58" i="27"/>
  <c r="BA57" i="27"/>
  <c r="BA56" i="27"/>
  <c r="BA55" i="27"/>
  <c r="BA54" i="27"/>
  <c r="BA53" i="27"/>
  <c r="BA52" i="27"/>
  <c r="BA51" i="27"/>
  <c r="BA50" i="27"/>
  <c r="BA49" i="27"/>
  <c r="BA48" i="27"/>
  <c r="BA47" i="27"/>
  <c r="BA46" i="27"/>
  <c r="BA45" i="27"/>
  <c r="BA44" i="27"/>
  <c r="BA43" i="27"/>
  <c r="BA42" i="27"/>
  <c r="BA41" i="27"/>
  <c r="BA40" i="27"/>
  <c r="BA39" i="27"/>
  <c r="BA38" i="27"/>
  <c r="BA37" i="27"/>
  <c r="BA36" i="27"/>
  <c r="BA35" i="27"/>
  <c r="BA34" i="27"/>
  <c r="BA33" i="27"/>
  <c r="BA32" i="27"/>
  <c r="BA31" i="27"/>
  <c r="BA30" i="27"/>
  <c r="BA29" i="27"/>
  <c r="BA28" i="27"/>
  <c r="BA27" i="27"/>
  <c r="BA26" i="27"/>
  <c r="BA25" i="27"/>
  <c r="BA24" i="27"/>
  <c r="BA23" i="27"/>
  <c r="BA22" i="27"/>
  <c r="BA21" i="27"/>
  <c r="BA20" i="27"/>
  <c r="BA19" i="27"/>
  <c r="BA18" i="27"/>
  <c r="BA17" i="27"/>
  <c r="BA16" i="27"/>
  <c r="BA15" i="27"/>
  <c r="BA14" i="27"/>
  <c r="BA13" i="27"/>
  <c r="BA12" i="27"/>
  <c r="BA11" i="27"/>
  <c r="BA10" i="27"/>
  <c r="BA9" i="27"/>
  <c r="BA8" i="27"/>
  <c r="BA7" i="27"/>
  <c r="BA6" i="27"/>
  <c r="J17" i="63"/>
  <c r="E4" i="64"/>
  <c r="E5" i="64" s="1"/>
  <c r="G4" i="64"/>
  <c r="G5" i="64" s="1"/>
  <c r="E7" i="64"/>
  <c r="E8" i="64" s="1"/>
  <c r="G7" i="64"/>
  <c r="G8" i="64" s="1"/>
  <c r="E10" i="64"/>
  <c r="E11" i="64" s="1"/>
  <c r="G10" i="64"/>
  <c r="G11" i="64" s="1"/>
  <c r="D12" i="64"/>
  <c r="E12" i="64"/>
  <c r="E13" i="64" s="1"/>
  <c r="E14" i="64" s="1"/>
  <c r="F12" i="64"/>
  <c r="F21" i="64" s="1"/>
  <c r="G12" i="64"/>
  <c r="E16" i="64"/>
  <c r="E17" i="64" s="1"/>
  <c r="G16" i="64"/>
  <c r="G17" i="64" s="1"/>
  <c r="E19" i="64"/>
  <c r="E20" i="64" s="1"/>
  <c r="G19" i="64"/>
  <c r="G20" i="64" s="1"/>
  <c r="D21" i="64"/>
  <c r="E21" i="64"/>
  <c r="E22" i="64" s="1"/>
  <c r="G21" i="64"/>
  <c r="G22" i="64" s="1"/>
  <c r="Q189" i="62"/>
  <c r="P189" i="62"/>
  <c r="Q188" i="62"/>
  <c r="P188" i="62"/>
  <c r="Q178" i="62"/>
  <c r="P178" i="62"/>
  <c r="Q177" i="62"/>
  <c r="P177" i="62"/>
  <c r="Q167" i="62"/>
  <c r="P167" i="62"/>
  <c r="Q165" i="62"/>
  <c r="P165" i="62"/>
  <c r="Q164" i="62"/>
  <c r="P164" i="62"/>
  <c r="Q162" i="62"/>
  <c r="P162" i="62"/>
  <c r="Q161" i="62"/>
  <c r="P161" i="62"/>
  <c r="Q136" i="62"/>
  <c r="P136" i="62"/>
  <c r="Q134" i="62"/>
  <c r="P134" i="62"/>
  <c r="Q133" i="62"/>
  <c r="P133" i="62"/>
  <c r="Q131" i="62"/>
  <c r="P131" i="62"/>
  <c r="Q130" i="62"/>
  <c r="P130" i="62"/>
  <c r="Q105" i="62"/>
  <c r="P105" i="62"/>
  <c r="Q103" i="62"/>
  <c r="P103" i="62"/>
  <c r="Q98" i="62"/>
  <c r="P98" i="62"/>
  <c r="Q96" i="62"/>
  <c r="P96" i="62"/>
  <c r="Q95" i="62"/>
  <c r="P95" i="62"/>
  <c r="Q94" i="62"/>
  <c r="P94" i="62"/>
  <c r="Q91" i="62"/>
  <c r="P91" i="62"/>
  <c r="Q89" i="62"/>
  <c r="P89" i="62"/>
  <c r="Q88" i="62"/>
  <c r="P88" i="62"/>
  <c r="Q87" i="62"/>
  <c r="P87" i="62"/>
  <c r="Q34" i="62"/>
  <c r="P34" i="62"/>
  <c r="Q33" i="62"/>
  <c r="P33" i="62"/>
  <c r="Q22" i="62"/>
  <c r="P22" i="62"/>
  <c r="Q21" i="62"/>
  <c r="P21" i="62"/>
  <c r="I10" i="61" l="1"/>
  <c r="K10" i="61" s="1"/>
  <c r="I9" i="61"/>
  <c r="K9" i="61" s="1"/>
  <c r="I8" i="61"/>
  <c r="K8" i="61" s="1"/>
  <c r="G13" i="64"/>
  <c r="G14" i="64" s="1"/>
  <c r="G23" i="64"/>
  <c r="G24" i="64" s="1"/>
  <c r="E23" i="64"/>
  <c r="E24" i="64" s="1"/>
  <c r="AK116" i="66" l="1"/>
  <c r="AJ116" i="66"/>
  <c r="G11" i="62"/>
  <c r="AN18" i="60"/>
  <c r="AL18" i="60"/>
  <c r="AK18" i="60"/>
  <c r="AJ18" i="60"/>
  <c r="AI18" i="60"/>
  <c r="AH18" i="60"/>
  <c r="AE18" i="60"/>
  <c r="AD18" i="60"/>
  <c r="AC18" i="60"/>
  <c r="AB18" i="60"/>
  <c r="AB11" i="60" s="1"/>
  <c r="AA18" i="60"/>
  <c r="Y18" i="60"/>
  <c r="W18" i="60"/>
  <c r="V18" i="60"/>
  <c r="V11" i="60" s="1"/>
  <c r="U18" i="60"/>
  <c r="T18" i="60"/>
  <c r="S18" i="60"/>
  <c r="R18" i="60"/>
  <c r="Q18" i="60"/>
  <c r="P18" i="60"/>
  <c r="O18" i="60"/>
  <c r="N18" i="60"/>
  <c r="M18" i="60"/>
  <c r="L18" i="60"/>
  <c r="I18" i="60"/>
  <c r="G18" i="60"/>
  <c r="E18" i="60"/>
  <c r="AN17" i="60"/>
  <c r="AL17" i="60"/>
  <c r="AK17" i="60"/>
  <c r="AK10" i="60" s="1"/>
  <c r="AJ17" i="60"/>
  <c r="AI17" i="60"/>
  <c r="AH17" i="60"/>
  <c r="AE17" i="60"/>
  <c r="AD17" i="60"/>
  <c r="AC17" i="60"/>
  <c r="AB17" i="60"/>
  <c r="AB10" i="60" s="1"/>
  <c r="AA17" i="60"/>
  <c r="AA10" i="60" s="1"/>
  <c r="Y17" i="60"/>
  <c r="W17" i="60"/>
  <c r="V17" i="60"/>
  <c r="U17" i="60"/>
  <c r="T17" i="60"/>
  <c r="S17" i="60"/>
  <c r="R17" i="60"/>
  <c r="Q17" i="60"/>
  <c r="P17" i="60"/>
  <c r="O17" i="60"/>
  <c r="N17" i="60"/>
  <c r="M17" i="60"/>
  <c r="L17" i="60"/>
  <c r="I17" i="60"/>
  <c r="G17" i="60"/>
  <c r="E17" i="60"/>
  <c r="AN16" i="60"/>
  <c r="AL16" i="60"/>
  <c r="AK16" i="60"/>
  <c r="AK9" i="60" s="1"/>
  <c r="AJ16" i="60"/>
  <c r="AI16" i="60"/>
  <c r="AH16" i="60"/>
  <c r="AE16" i="60"/>
  <c r="AD16" i="60"/>
  <c r="AC16" i="60"/>
  <c r="AB16" i="60"/>
  <c r="AA16" i="60"/>
  <c r="AA9" i="60" s="1"/>
  <c r="Y16" i="60"/>
  <c r="W16" i="60"/>
  <c r="V16" i="60"/>
  <c r="V9" i="60" s="1"/>
  <c r="U16" i="60"/>
  <c r="T16" i="60"/>
  <c r="S16" i="60"/>
  <c r="R16" i="60"/>
  <c r="Q16" i="60"/>
  <c r="P16" i="60"/>
  <c r="O16" i="60"/>
  <c r="N16" i="60"/>
  <c r="M16" i="60"/>
  <c r="L16" i="60"/>
  <c r="I16" i="60"/>
  <c r="G16" i="60"/>
  <c r="E16" i="60"/>
  <c r="AN15" i="60"/>
  <c r="AL15" i="60"/>
  <c r="AL8" i="60" s="1"/>
  <c r="AK15" i="60"/>
  <c r="AJ15" i="60"/>
  <c r="AI15" i="60"/>
  <c r="AH15" i="60"/>
  <c r="AE15" i="60"/>
  <c r="AD15" i="60"/>
  <c r="AC15" i="60"/>
  <c r="AC8" i="60" s="1"/>
  <c r="AB15" i="60"/>
  <c r="AB8" i="60" s="1"/>
  <c r="AA15" i="60"/>
  <c r="AA8" i="60" s="1"/>
  <c r="Y15" i="60"/>
  <c r="W15" i="60"/>
  <c r="V15" i="60"/>
  <c r="V8" i="60" s="1"/>
  <c r="U15" i="60"/>
  <c r="T15" i="60"/>
  <c r="S15" i="60"/>
  <c r="R15" i="60"/>
  <c r="Q15" i="60"/>
  <c r="P15" i="60"/>
  <c r="O15" i="60"/>
  <c r="N15" i="60"/>
  <c r="M15" i="60"/>
  <c r="L15" i="60"/>
  <c r="I15" i="60"/>
  <c r="G15" i="60"/>
  <c r="E15" i="60"/>
  <c r="AN14" i="60"/>
  <c r="AL14" i="60"/>
  <c r="AL7" i="60" s="1"/>
  <c r="AK14" i="60"/>
  <c r="AK7" i="60" s="1"/>
  <c r="AJ14" i="60"/>
  <c r="AI14" i="60"/>
  <c r="AH14" i="60"/>
  <c r="AE14" i="60"/>
  <c r="AD14" i="60"/>
  <c r="AC14" i="60"/>
  <c r="AB14" i="60"/>
  <c r="AA14" i="60"/>
  <c r="AA7" i="60" s="1"/>
  <c r="Y14" i="60"/>
  <c r="W14" i="60"/>
  <c r="V14" i="60"/>
  <c r="V7" i="60" s="1"/>
  <c r="U14" i="60"/>
  <c r="T14" i="60"/>
  <c r="S14" i="60"/>
  <c r="R14" i="60"/>
  <c r="Q14" i="60"/>
  <c r="P14" i="60"/>
  <c r="O14" i="60"/>
  <c r="N14" i="60"/>
  <c r="M14" i="60"/>
  <c r="L14" i="60"/>
  <c r="I14" i="60"/>
  <c r="G14" i="60"/>
  <c r="E14" i="60"/>
  <c r="X12" i="60"/>
  <c r="C7" i="60"/>
  <c r="AL9" i="59"/>
  <c r="AK9" i="59"/>
  <c r="AI12" i="59"/>
  <c r="AI14" i="59" s="1"/>
  <c r="AI8" i="59"/>
  <c r="AI7" i="59"/>
  <c r="AI6" i="59"/>
  <c r="AI5" i="59"/>
  <c r="Q99" i="62"/>
  <c r="P99" i="62"/>
  <c r="P92" i="62"/>
  <c r="P90" i="62"/>
  <c r="AK19" i="60" l="1"/>
  <c r="AI10" i="59"/>
  <c r="P19" i="60"/>
  <c r="Y19" i="60"/>
  <c r="E19" i="60"/>
  <c r="AA19" i="60"/>
  <c r="G19" i="60"/>
  <c r="AL19" i="60"/>
  <c r="AI19" i="60"/>
  <c r="AD19" i="60"/>
  <c r="AB19" i="60"/>
  <c r="L19" i="60"/>
  <c r="T19" i="60"/>
  <c r="O19" i="60"/>
  <c r="W19" i="60"/>
  <c r="Q19" i="60"/>
  <c r="R19" i="60"/>
  <c r="I19" i="60"/>
  <c r="S19" i="60"/>
  <c r="AC19" i="60"/>
  <c r="AN19" i="60"/>
  <c r="M19" i="60"/>
  <c r="U19" i="60"/>
  <c r="AE19" i="60"/>
  <c r="N19" i="60"/>
  <c r="V19" i="60"/>
  <c r="AH19" i="60"/>
  <c r="AJ19" i="60"/>
  <c r="AD116" i="66"/>
  <c r="AL116" i="66"/>
  <c r="AE116" i="66"/>
  <c r="AF116" i="66"/>
  <c r="AG116" i="66"/>
  <c r="AH116" i="66"/>
  <c r="AI116" i="66"/>
  <c r="AI16" i="59" l="1"/>
  <c r="AI15" i="59" s="1"/>
  <c r="BA1298" i="27"/>
  <c r="AI11" i="59" l="1"/>
  <c r="AN21" i="59"/>
  <c r="H1257" i="61" l="1"/>
  <c r="G1257" i="61"/>
  <c r="D1257" i="61"/>
  <c r="C1257" i="61"/>
  <c r="A1257" i="61"/>
  <c r="H1256" i="61"/>
  <c r="G1256" i="61"/>
  <c r="D1256" i="61"/>
  <c r="C1256" i="61"/>
  <c r="A1256" i="61"/>
  <c r="H1255" i="61"/>
  <c r="G1255" i="61"/>
  <c r="D1255" i="61"/>
  <c r="C1255" i="61"/>
  <c r="A1255" i="61"/>
  <c r="H1254" i="61"/>
  <c r="G1254" i="61"/>
  <c r="D1254" i="61"/>
  <c r="C1254" i="61"/>
  <c r="A1254" i="61"/>
  <c r="H1227" i="61"/>
  <c r="G1227" i="61"/>
  <c r="D1227" i="61"/>
  <c r="C1227" i="61"/>
  <c r="A1227" i="61"/>
  <c r="H1226" i="61"/>
  <c r="G1226" i="61"/>
  <c r="D1226" i="61"/>
  <c r="C1226" i="61"/>
  <c r="A1226" i="61"/>
  <c r="H1225" i="61"/>
  <c r="G1225" i="61"/>
  <c r="D1225" i="61"/>
  <c r="C1225" i="61"/>
  <c r="A1225" i="61"/>
  <c r="H1224" i="61"/>
  <c r="G1224" i="61"/>
  <c r="D1224" i="61"/>
  <c r="C1224" i="61"/>
  <c r="A1224" i="61"/>
  <c r="H1223" i="61"/>
  <c r="G1223" i="61"/>
  <c r="D1223" i="61"/>
  <c r="C1223" i="61"/>
  <c r="A1223" i="61"/>
  <c r="H1222" i="61"/>
  <c r="G1222" i="61"/>
  <c r="D1222" i="61"/>
  <c r="C1222" i="61"/>
  <c r="A1222" i="61"/>
  <c r="H1221" i="61"/>
  <c r="G1221" i="61"/>
  <c r="D1221" i="61"/>
  <c r="C1221" i="61"/>
  <c r="A1221" i="61"/>
  <c r="H1220" i="61"/>
  <c r="G1220" i="61"/>
  <c r="D1220" i="61"/>
  <c r="C1220" i="61"/>
  <c r="A1220" i="61"/>
  <c r="H1219" i="61"/>
  <c r="G1219" i="61"/>
  <c r="D1219" i="61"/>
  <c r="C1219" i="61"/>
  <c r="A1219" i="61"/>
  <c r="H1218" i="61"/>
  <c r="G1218" i="61"/>
  <c r="D1218" i="61"/>
  <c r="C1218" i="61"/>
  <c r="A1218" i="61"/>
  <c r="H1217" i="61"/>
  <c r="G1217" i="61"/>
  <c r="D1217" i="61"/>
  <c r="C1217" i="61"/>
  <c r="A1217" i="61"/>
  <c r="H1216" i="61"/>
  <c r="G1216" i="61"/>
  <c r="D1216" i="61"/>
  <c r="C1216" i="61"/>
  <c r="A1216" i="61"/>
  <c r="H1215" i="61"/>
  <c r="G1215" i="61"/>
  <c r="D1215" i="61"/>
  <c r="C1215" i="61"/>
  <c r="A1215" i="61"/>
  <c r="H1214" i="61"/>
  <c r="G1214" i="61"/>
  <c r="D1214" i="61"/>
  <c r="C1214" i="61"/>
  <c r="A1214" i="61"/>
  <c r="H1213" i="61"/>
  <c r="G1213" i="61"/>
  <c r="D1213" i="61"/>
  <c r="C1213" i="61"/>
  <c r="A1213" i="61"/>
  <c r="H1212" i="61"/>
  <c r="G1212" i="61"/>
  <c r="D1212" i="61"/>
  <c r="C1212" i="61"/>
  <c r="A1212" i="61"/>
  <c r="H1211" i="61"/>
  <c r="G1211" i="61"/>
  <c r="D1211" i="61"/>
  <c r="C1211" i="61"/>
  <c r="A1211" i="61"/>
  <c r="H1210" i="61"/>
  <c r="G1210" i="61"/>
  <c r="D1210" i="61"/>
  <c r="C1210" i="61"/>
  <c r="A1210" i="61"/>
  <c r="H1209" i="61"/>
  <c r="G1209" i="61"/>
  <c r="D1209" i="61"/>
  <c r="C1209" i="61"/>
  <c r="A1209" i="61"/>
  <c r="H1208" i="61"/>
  <c r="G1208" i="61"/>
  <c r="D1208" i="61"/>
  <c r="C1208" i="61"/>
  <c r="A1208" i="61"/>
  <c r="H1207" i="61"/>
  <c r="G1207" i="61"/>
  <c r="D1207" i="61"/>
  <c r="C1207" i="61"/>
  <c r="A1207" i="61"/>
  <c r="H1206" i="61"/>
  <c r="G1206" i="61"/>
  <c r="D1206" i="61"/>
  <c r="C1206" i="61"/>
  <c r="A1206" i="61"/>
  <c r="H1205" i="61"/>
  <c r="G1205" i="61"/>
  <c r="D1205" i="61"/>
  <c r="C1205" i="61"/>
  <c r="A1205" i="61"/>
  <c r="H1204" i="61"/>
  <c r="G1204" i="61"/>
  <c r="D1204" i="61"/>
  <c r="C1204" i="61"/>
  <c r="A1204" i="61"/>
  <c r="H1203" i="61"/>
  <c r="G1203" i="61"/>
  <c r="D1203" i="61"/>
  <c r="C1203" i="61"/>
  <c r="A1203" i="61"/>
  <c r="H1202" i="61"/>
  <c r="G1202" i="61"/>
  <c r="D1202" i="61"/>
  <c r="C1202" i="61"/>
  <c r="A1202" i="61"/>
  <c r="H1201" i="61"/>
  <c r="G1201" i="61"/>
  <c r="D1201" i="61"/>
  <c r="C1201" i="61"/>
  <c r="A1201" i="61"/>
  <c r="H1200" i="61"/>
  <c r="G1200" i="61"/>
  <c r="D1200" i="61"/>
  <c r="C1200" i="61"/>
  <c r="A1200" i="61"/>
  <c r="H1199" i="61"/>
  <c r="G1199" i="61"/>
  <c r="D1199" i="61"/>
  <c r="C1199" i="61"/>
  <c r="A1199" i="61"/>
  <c r="H1198" i="61"/>
  <c r="G1198" i="61"/>
  <c r="D1198" i="61"/>
  <c r="C1198" i="61"/>
  <c r="A1198" i="61"/>
  <c r="H1197" i="61"/>
  <c r="G1197" i="61"/>
  <c r="D1197" i="61"/>
  <c r="C1197" i="61"/>
  <c r="A1197" i="61"/>
  <c r="P1277" i="27"/>
  <c r="N1277" i="27"/>
  <c r="AM1277" i="27" s="1"/>
  <c r="L1277" i="27"/>
  <c r="A1277" i="27"/>
  <c r="P1276" i="27"/>
  <c r="N1276" i="27"/>
  <c r="AM1276" i="27" s="1"/>
  <c r="L1276" i="27"/>
  <c r="A1276" i="27"/>
  <c r="P1275" i="27"/>
  <c r="N1275" i="27"/>
  <c r="AM1275" i="27" s="1"/>
  <c r="L1275" i="27"/>
  <c r="A1275" i="27"/>
  <c r="P1274" i="27"/>
  <c r="N1274" i="27"/>
  <c r="AM1274" i="27" s="1"/>
  <c r="L1274" i="27"/>
  <c r="A1274" i="27"/>
  <c r="P1273" i="27"/>
  <c r="N1273" i="27"/>
  <c r="AM1273" i="27" s="1"/>
  <c r="L1273" i="27"/>
  <c r="A1273" i="27"/>
  <c r="P1272" i="27"/>
  <c r="N1272" i="27"/>
  <c r="AM1272" i="27" s="1"/>
  <c r="L1272" i="27"/>
  <c r="A1272" i="27"/>
  <c r="P1271" i="27"/>
  <c r="N1271" i="27"/>
  <c r="AM1271" i="27" s="1"/>
  <c r="L1271" i="27"/>
  <c r="A1271" i="27"/>
  <c r="P1270" i="27"/>
  <c r="N1270" i="27"/>
  <c r="AM1270" i="27" s="1"/>
  <c r="L1270" i="27"/>
  <c r="A1270" i="27"/>
  <c r="P1269" i="27"/>
  <c r="N1269" i="27"/>
  <c r="AM1269" i="27" s="1"/>
  <c r="L1269" i="27"/>
  <c r="A1269" i="27"/>
  <c r="P1268" i="27"/>
  <c r="N1268" i="27"/>
  <c r="AM1268" i="27" s="1"/>
  <c r="L1268" i="27"/>
  <c r="A1268" i="27"/>
  <c r="P1267" i="27"/>
  <c r="N1267" i="27"/>
  <c r="AM1267" i="27" s="1"/>
  <c r="L1267" i="27"/>
  <c r="A1267" i="27"/>
  <c r="P1266" i="27"/>
  <c r="N1266" i="27"/>
  <c r="AM1266" i="27" s="1"/>
  <c r="L1266" i="27"/>
  <c r="A1266" i="27"/>
  <c r="P1265" i="27"/>
  <c r="N1265" i="27"/>
  <c r="AM1265" i="27" s="1"/>
  <c r="L1265" i="27"/>
  <c r="A1265" i="27"/>
  <c r="P1264" i="27"/>
  <c r="N1264" i="27"/>
  <c r="AM1264" i="27" s="1"/>
  <c r="L1264" i="27"/>
  <c r="A1264" i="27"/>
  <c r="P1263" i="27"/>
  <c r="N1263" i="27"/>
  <c r="AM1263" i="27" s="1"/>
  <c r="L1263" i="27"/>
  <c r="A1263" i="27"/>
  <c r="P1262" i="27"/>
  <c r="N1262" i="27"/>
  <c r="AM1262" i="27" s="1"/>
  <c r="L1262" i="27"/>
  <c r="A1262" i="27"/>
  <c r="P1261" i="27"/>
  <c r="N1261" i="27"/>
  <c r="AM1261" i="27" s="1"/>
  <c r="L1261" i="27"/>
  <c r="A1261" i="27"/>
  <c r="P1260" i="27"/>
  <c r="N1260" i="27"/>
  <c r="AM1260" i="27" s="1"/>
  <c r="L1260" i="27"/>
  <c r="A1260" i="27"/>
  <c r="P1259" i="27"/>
  <c r="N1259" i="27"/>
  <c r="AM1259" i="27" s="1"/>
  <c r="L1259" i="27"/>
  <c r="A1259" i="27"/>
  <c r="P1258" i="27"/>
  <c r="N1258" i="27"/>
  <c r="AM1258" i="27" s="1"/>
  <c r="L1258" i="27"/>
  <c r="A1258" i="27"/>
  <c r="P1257" i="27"/>
  <c r="N1257" i="27"/>
  <c r="AM1257" i="27" s="1"/>
  <c r="L1257" i="27"/>
  <c r="A1257" i="27"/>
  <c r="P1256" i="27"/>
  <c r="N1256" i="27"/>
  <c r="AM1256" i="27" s="1"/>
  <c r="L1256" i="27"/>
  <c r="A1256" i="27"/>
  <c r="P1291" i="27"/>
  <c r="N1291" i="27"/>
  <c r="AM1291" i="27" s="1"/>
  <c r="L1291" i="27"/>
  <c r="A1291" i="27"/>
  <c r="P1290" i="27"/>
  <c r="N1290" i="27"/>
  <c r="AM1290" i="27" s="1"/>
  <c r="L1290" i="27"/>
  <c r="A1290" i="27"/>
  <c r="P1289" i="27"/>
  <c r="N1289" i="27"/>
  <c r="AM1289" i="27" s="1"/>
  <c r="L1289" i="27"/>
  <c r="A1289" i="27"/>
  <c r="P1288" i="27"/>
  <c r="N1288" i="27"/>
  <c r="AM1288" i="27" s="1"/>
  <c r="L1288" i="27"/>
  <c r="A1288" i="27"/>
  <c r="P1287" i="27"/>
  <c r="N1287" i="27"/>
  <c r="AM1287" i="27" s="1"/>
  <c r="L1287" i="27"/>
  <c r="A1287" i="27"/>
  <c r="P1286" i="27"/>
  <c r="N1286" i="27"/>
  <c r="AM1286" i="27" s="1"/>
  <c r="L1286" i="27"/>
  <c r="A1286" i="27"/>
  <c r="P1285" i="27"/>
  <c r="N1285" i="27"/>
  <c r="AM1285" i="27" s="1"/>
  <c r="L1285" i="27"/>
  <c r="A1285" i="27"/>
  <c r="P1284" i="27"/>
  <c r="N1284" i="27"/>
  <c r="AM1284" i="27" s="1"/>
  <c r="L1284" i="27"/>
  <c r="A1284" i="27"/>
  <c r="P1283" i="27"/>
  <c r="N1283" i="27"/>
  <c r="AM1283" i="27" s="1"/>
  <c r="L1283" i="27"/>
  <c r="A1283" i="27"/>
  <c r="P1282" i="27"/>
  <c r="N1282" i="27"/>
  <c r="AM1282" i="27" s="1"/>
  <c r="L1282" i="27"/>
  <c r="A1282" i="27"/>
  <c r="P1281" i="27"/>
  <c r="N1281" i="27"/>
  <c r="AM1281" i="27" s="1"/>
  <c r="L1281" i="27"/>
  <c r="A1281" i="27"/>
  <c r="P1280" i="27"/>
  <c r="N1280" i="27"/>
  <c r="AM1280" i="27" s="1"/>
  <c r="L1280" i="27"/>
  <c r="A1280" i="27"/>
  <c r="P1279" i="27"/>
  <c r="N1279" i="27"/>
  <c r="AM1279" i="27" s="1"/>
  <c r="L1279" i="27"/>
  <c r="A1279" i="27"/>
  <c r="P1278" i="27"/>
  <c r="N1278" i="27"/>
  <c r="AM1278" i="27" s="1"/>
  <c r="L1278" i="27"/>
  <c r="A1278" i="27"/>
  <c r="AM14" i="59"/>
  <c r="AP9" i="59" l="1"/>
  <c r="I1216" i="61"/>
  <c r="K1216" i="61" s="1"/>
  <c r="I1200" i="61"/>
  <c r="K1200" i="61" s="1"/>
  <c r="I1199" i="61"/>
  <c r="K1199" i="61" s="1"/>
  <c r="I1215" i="61"/>
  <c r="K1215" i="61" s="1"/>
  <c r="I1219" i="61"/>
  <c r="K1219" i="61" s="1"/>
  <c r="I1227" i="61"/>
  <c r="K1227" i="61" s="1"/>
  <c r="I1198" i="61"/>
  <c r="K1198" i="61" s="1"/>
  <c r="I1214" i="61"/>
  <c r="K1214" i="61" s="1"/>
  <c r="I1201" i="61"/>
  <c r="K1201" i="61" s="1"/>
  <c r="I1255" i="61"/>
  <c r="K1255" i="61" s="1"/>
  <c r="I1206" i="61"/>
  <c r="K1206" i="61" s="1"/>
  <c r="I1217" i="61"/>
  <c r="K1217" i="61" s="1"/>
  <c r="I1218" i="61"/>
  <c r="K1218" i="61" s="1"/>
  <c r="I1226" i="61"/>
  <c r="K1226" i="61" s="1"/>
  <c r="I1224" i="61"/>
  <c r="K1224" i="61" s="1"/>
  <c r="I1257" i="61"/>
  <c r="K1257" i="61" s="1"/>
  <c r="I1211" i="61"/>
  <c r="K1211" i="61" s="1"/>
  <c r="I1222" i="61"/>
  <c r="K1222" i="61" s="1"/>
  <c r="I1256" i="61"/>
  <c r="K1256" i="61" s="1"/>
  <c r="I1254" i="61"/>
  <c r="K1254" i="61" s="1"/>
  <c r="I1205" i="61"/>
  <c r="K1205" i="61" s="1"/>
  <c r="I1213" i="61"/>
  <c r="K1213" i="61" s="1"/>
  <c r="I1223" i="61"/>
  <c r="K1223" i="61" s="1"/>
  <c r="I1210" i="61"/>
  <c r="K1210" i="61" s="1"/>
  <c r="I1221" i="61"/>
  <c r="K1221" i="61" s="1"/>
  <c r="I1207" i="61"/>
  <c r="K1207" i="61" s="1"/>
  <c r="I1208" i="61"/>
  <c r="K1208" i="61" s="1"/>
  <c r="I1197" i="61"/>
  <c r="K1197" i="61" s="1"/>
  <c r="I1202" i="61"/>
  <c r="K1202" i="61" s="1"/>
  <c r="I1212" i="61"/>
  <c r="K1212" i="61" s="1"/>
  <c r="I1225" i="61"/>
  <c r="K1225" i="61" s="1"/>
  <c r="I1209" i="61"/>
  <c r="K1209" i="61" s="1"/>
  <c r="I1220" i="61"/>
  <c r="K1220" i="61" s="1"/>
  <c r="I1204" i="61"/>
  <c r="K1204" i="61" s="1"/>
  <c r="I1203" i="61"/>
  <c r="K1203" i="61" s="1"/>
  <c r="R1276" i="27"/>
  <c r="S1276" i="27" s="1"/>
  <c r="AG1276" i="27" s="1"/>
  <c r="AN1276" i="27" s="1"/>
  <c r="AT1276" i="27" s="1"/>
  <c r="R1290" i="27"/>
  <c r="S1290" i="27" s="1"/>
  <c r="AG1290" i="27" s="1"/>
  <c r="AN1290" i="27" s="1"/>
  <c r="AT1290" i="27" s="1"/>
  <c r="R1268" i="27"/>
  <c r="S1268" i="27" s="1"/>
  <c r="AG1268" i="27" s="1"/>
  <c r="AN1268" i="27" s="1"/>
  <c r="AT1268" i="27" s="1"/>
  <c r="R1271" i="27"/>
  <c r="S1271" i="27" s="1"/>
  <c r="AG1271" i="27" s="1"/>
  <c r="AN1271" i="27" s="1"/>
  <c r="AT1271" i="27" s="1"/>
  <c r="R1282" i="27"/>
  <c r="S1282" i="27" s="1"/>
  <c r="AG1282" i="27" s="1"/>
  <c r="AN1282" i="27" s="1"/>
  <c r="R1260" i="27"/>
  <c r="S1260" i="27" s="1"/>
  <c r="AG1260" i="27" s="1"/>
  <c r="AN1260" i="27" s="1"/>
  <c r="AT1260" i="27" s="1"/>
  <c r="R1259" i="27"/>
  <c r="R1257" i="27"/>
  <c r="S1257" i="27" s="1"/>
  <c r="AG1257" i="27" s="1"/>
  <c r="AN1257" i="27" s="1"/>
  <c r="AT1257" i="27" s="1"/>
  <c r="R1263" i="27"/>
  <c r="S1263" i="27" s="1"/>
  <c r="AG1263" i="27" s="1"/>
  <c r="R1267" i="27"/>
  <c r="S1267" i="27" s="1"/>
  <c r="AG1267" i="27" s="1"/>
  <c r="R1279" i="27"/>
  <c r="S1279" i="27" s="1"/>
  <c r="AG1279" i="27" s="1"/>
  <c r="AN1279" i="27" s="1"/>
  <c r="AT1279" i="27" s="1"/>
  <c r="R1289" i="27"/>
  <c r="S1289" i="27" s="1"/>
  <c r="AG1289" i="27" s="1"/>
  <c r="R1287" i="27"/>
  <c r="S1287" i="27" s="1"/>
  <c r="AG1287" i="27" s="1"/>
  <c r="AN1287" i="27" s="1"/>
  <c r="AT1287" i="27" s="1"/>
  <c r="R1270" i="27"/>
  <c r="S1270" i="27" s="1"/>
  <c r="AG1270" i="27" s="1"/>
  <c r="AN1270" i="27" s="1"/>
  <c r="AT1270" i="27" s="1"/>
  <c r="R1286" i="27"/>
  <c r="S1286" i="27" s="1"/>
  <c r="AG1286" i="27" s="1"/>
  <c r="AN1286" i="27" s="1"/>
  <c r="AT1286" i="27" s="1"/>
  <c r="R1291" i="27"/>
  <c r="S1291" i="27" s="1"/>
  <c r="AG1291" i="27" s="1"/>
  <c r="AN1291" i="27" s="1"/>
  <c r="AT1291" i="27" s="1"/>
  <c r="R1261" i="27"/>
  <c r="S1261" i="27" s="1"/>
  <c r="AG1261" i="27" s="1"/>
  <c r="AN1261" i="27" s="1"/>
  <c r="AT1261" i="27" s="1"/>
  <c r="R1272" i="27"/>
  <c r="S1272" i="27" s="1"/>
  <c r="AG1272" i="27" s="1"/>
  <c r="AN1272" i="27" s="1"/>
  <c r="AT1272" i="27" s="1"/>
  <c r="R1288" i="27"/>
  <c r="S1288" i="27" s="1"/>
  <c r="AG1288" i="27" s="1"/>
  <c r="AN1288" i="27" s="1"/>
  <c r="AT1288" i="27" s="1"/>
  <c r="R1269" i="27"/>
  <c r="S1269" i="27" s="1"/>
  <c r="AG1269" i="27" s="1"/>
  <c r="AN1269" i="27" s="1"/>
  <c r="AT1269" i="27" s="1"/>
  <c r="R1277" i="27"/>
  <c r="S1277" i="27" s="1"/>
  <c r="AG1277" i="27" s="1"/>
  <c r="AN1277" i="27" s="1"/>
  <c r="AT1277" i="27" s="1"/>
  <c r="R1285" i="27"/>
  <c r="S1285" i="27" s="1"/>
  <c r="AG1285" i="27" s="1"/>
  <c r="AN1285" i="27" s="1"/>
  <c r="AT1285" i="27" s="1"/>
  <c r="R1266" i="27"/>
  <c r="S1266" i="27" s="1"/>
  <c r="AG1266" i="27" s="1"/>
  <c r="AN1266" i="27" s="1"/>
  <c r="AT1266" i="27" s="1"/>
  <c r="R1274" i="27"/>
  <c r="S1274" i="27" s="1"/>
  <c r="AG1274" i="27" s="1"/>
  <c r="AN1274" i="27" s="1"/>
  <c r="AT1274" i="27" s="1"/>
  <c r="R1262" i="27"/>
  <c r="S1262" i="27" s="1"/>
  <c r="AG1262" i="27" s="1"/>
  <c r="AN1262" i="27" s="1"/>
  <c r="AT1262" i="27" s="1"/>
  <c r="R1265" i="27"/>
  <c r="S1265" i="27" s="1"/>
  <c r="AG1265" i="27" s="1"/>
  <c r="AN1265" i="27" s="1"/>
  <c r="AT1265" i="27" s="1"/>
  <c r="R1273" i="27"/>
  <c r="S1273" i="27" s="1"/>
  <c r="AG1273" i="27" s="1"/>
  <c r="AN1273" i="27" s="1"/>
  <c r="AT1273" i="27" s="1"/>
  <c r="R1284" i="27"/>
  <c r="S1284" i="27" s="1"/>
  <c r="AG1284" i="27" s="1"/>
  <c r="AN1284" i="27" s="1"/>
  <c r="AT1284" i="27" s="1"/>
  <c r="R1281" i="27"/>
  <c r="S1281" i="27" s="1"/>
  <c r="AG1281" i="27" s="1"/>
  <c r="AN1281" i="27" s="1"/>
  <c r="AT1281" i="27" s="1"/>
  <c r="R1278" i="27"/>
  <c r="S1278" i="27" s="1"/>
  <c r="AG1278" i="27" s="1"/>
  <c r="AN1278" i="27" s="1"/>
  <c r="AT1278" i="27" s="1"/>
  <c r="R1275" i="27"/>
  <c r="S1275" i="27" s="1"/>
  <c r="AG1275" i="27" s="1"/>
  <c r="R1256" i="27"/>
  <c r="S1256" i="27" s="1"/>
  <c r="AG1256" i="27" s="1"/>
  <c r="AN1256" i="27" s="1"/>
  <c r="AT1256" i="27" s="1"/>
  <c r="R1283" i="27"/>
  <c r="S1283" i="27" s="1"/>
  <c r="AG1283" i="27" s="1"/>
  <c r="AN1283" i="27" s="1"/>
  <c r="AT1283" i="27" s="1"/>
  <c r="R1264" i="27"/>
  <c r="S1264" i="27" s="1"/>
  <c r="AG1264" i="27" s="1"/>
  <c r="AN1264" i="27" s="1"/>
  <c r="AT1264" i="27" s="1"/>
  <c r="R1280" i="27"/>
  <c r="S1280" i="27" s="1"/>
  <c r="AG1280" i="27" s="1"/>
  <c r="AN1280" i="27" s="1"/>
  <c r="AT1280" i="27" s="1"/>
  <c r="R1258" i="27"/>
  <c r="S1258" i="27" s="1"/>
  <c r="AG1258" i="27" s="1"/>
  <c r="AN1258" i="27" s="1"/>
  <c r="AT1258" i="27" s="1"/>
  <c r="S1259" i="27"/>
  <c r="AG1259" i="27" s="1"/>
  <c r="AM10" i="59"/>
  <c r="AM16" i="59" s="1"/>
  <c r="AM15" i="59" s="1"/>
  <c r="AT1282" i="27" l="1"/>
  <c r="AN1267" i="27"/>
  <c r="AT1267" i="27" s="1"/>
  <c r="E1255" i="61" s="1"/>
  <c r="E1256" i="61"/>
  <c r="E1254" i="61"/>
  <c r="E1257" i="61"/>
  <c r="AN1289" i="27"/>
  <c r="AT1289" i="27" s="1"/>
  <c r="AN1263" i="27"/>
  <c r="AT1263" i="27" s="1"/>
  <c r="AN1275" i="27"/>
  <c r="AT1275" i="27" s="1"/>
  <c r="AN1259" i="27"/>
  <c r="AT1259" i="27" s="1"/>
  <c r="AM11" i="59"/>
  <c r="AY116" i="66" l="1"/>
  <c r="H17" i="63"/>
  <c r="AZ116" i="66" l="1"/>
  <c r="BA116" i="66"/>
  <c r="BB116" i="66"/>
  <c r="AU116" i="66"/>
  <c r="AW116" i="66"/>
  <c r="BC116" i="66"/>
  <c r="AV116" i="66"/>
  <c r="AX116" i="66"/>
  <c r="C21" i="60" l="1"/>
  <c r="C35" i="60"/>
  <c r="AN11" i="60"/>
  <c r="AK11" i="60"/>
  <c r="AJ11" i="60"/>
  <c r="AI11" i="60"/>
  <c r="AH11" i="60"/>
  <c r="AE11" i="60"/>
  <c r="AD11" i="60"/>
  <c r="AC11" i="60"/>
  <c r="AA11" i="60"/>
  <c r="W11" i="60"/>
  <c r="U11" i="60"/>
  <c r="R11" i="60"/>
  <c r="Q11" i="60"/>
  <c r="P11" i="60"/>
  <c r="O11" i="60"/>
  <c r="N11" i="60"/>
  <c r="M11" i="60"/>
  <c r="L11" i="60"/>
  <c r="I11" i="60"/>
  <c r="G11" i="60"/>
  <c r="E11" i="60"/>
  <c r="AN10" i="60"/>
  <c r="AJ10" i="60"/>
  <c r="AI10" i="60"/>
  <c r="AH10" i="60"/>
  <c r="AE10" i="60"/>
  <c r="AD10" i="60"/>
  <c r="W10" i="60"/>
  <c r="V10" i="60"/>
  <c r="U10" i="60"/>
  <c r="R10" i="60"/>
  <c r="Q10" i="60"/>
  <c r="P10" i="60"/>
  <c r="O10" i="60"/>
  <c r="N10" i="60"/>
  <c r="M10" i="60"/>
  <c r="L10" i="60"/>
  <c r="G10" i="60"/>
  <c r="E10" i="60"/>
  <c r="AN9" i="60"/>
  <c r="AJ9" i="60"/>
  <c r="AI9" i="60"/>
  <c r="AH9" i="60"/>
  <c r="AE9" i="60"/>
  <c r="AD9" i="60"/>
  <c r="W9" i="60"/>
  <c r="U9" i="60"/>
  <c r="R9" i="60"/>
  <c r="Q9" i="60"/>
  <c r="P9" i="60"/>
  <c r="O9" i="60"/>
  <c r="N9" i="60"/>
  <c r="L9" i="60"/>
  <c r="G9" i="60"/>
  <c r="E9" i="60"/>
  <c r="AN8" i="60"/>
  <c r="AJ8" i="60"/>
  <c r="AI8" i="60"/>
  <c r="AH8" i="60"/>
  <c r="AE8" i="60"/>
  <c r="AD8" i="60"/>
  <c r="W8" i="60"/>
  <c r="U8" i="60"/>
  <c r="R8" i="60"/>
  <c r="Q8" i="60"/>
  <c r="P8" i="60"/>
  <c r="O8" i="60"/>
  <c r="N8" i="60"/>
  <c r="M8" i="60"/>
  <c r="L8" i="60"/>
  <c r="I8" i="60"/>
  <c r="G8" i="60"/>
  <c r="E8" i="60"/>
  <c r="AN7" i="60"/>
  <c r="AJ7" i="60"/>
  <c r="AI7" i="60"/>
  <c r="AH7" i="60"/>
  <c r="AE7" i="60"/>
  <c r="AD7" i="60"/>
  <c r="W7" i="60"/>
  <c r="U7" i="60"/>
  <c r="R7" i="60"/>
  <c r="Q7" i="60"/>
  <c r="P7" i="60"/>
  <c r="O7" i="60"/>
  <c r="N7" i="60"/>
  <c r="L7" i="60"/>
  <c r="G7" i="60"/>
  <c r="E7" i="60"/>
  <c r="X26" i="60"/>
  <c r="AY21" i="59"/>
  <c r="AU21" i="59"/>
  <c r="AL25" i="60" l="1"/>
  <c r="AL11" i="60"/>
  <c r="N33" i="60"/>
  <c r="N12" i="60" s="1"/>
  <c r="V33" i="60"/>
  <c r="V12" i="60" s="1"/>
  <c r="AE33" i="60"/>
  <c r="AE12" i="60" s="1"/>
  <c r="Y33" i="60"/>
  <c r="Y12" i="60" s="1"/>
  <c r="AB33" i="60"/>
  <c r="AB12" i="60" s="1"/>
  <c r="AJ33" i="60"/>
  <c r="AJ12" i="60" s="1"/>
  <c r="S33" i="60"/>
  <c r="S12" i="60" s="1"/>
  <c r="E33" i="60"/>
  <c r="E12" i="60" s="1"/>
  <c r="M33" i="60"/>
  <c r="M12" i="60" s="1"/>
  <c r="U33" i="60"/>
  <c r="U12" i="60" s="1"/>
  <c r="AD33" i="60"/>
  <c r="AD12" i="60" s="1"/>
  <c r="AL33" i="60"/>
  <c r="AL12" i="60" s="1"/>
  <c r="I33" i="60"/>
  <c r="I12" i="60" s="1"/>
  <c r="AH33" i="60"/>
  <c r="AH12" i="60" s="1"/>
  <c r="AI33" i="60"/>
  <c r="AI12" i="60" s="1"/>
  <c r="Q33" i="60"/>
  <c r="Q12" i="60" s="1"/>
  <c r="R33" i="60"/>
  <c r="R12" i="60" s="1"/>
  <c r="AA33" i="60"/>
  <c r="AA12" i="60" s="1"/>
  <c r="T33" i="60"/>
  <c r="T12" i="60" s="1"/>
  <c r="AC33" i="60"/>
  <c r="AC12" i="60" s="1"/>
  <c r="AK33" i="60"/>
  <c r="AK12" i="60" s="1"/>
  <c r="G33" i="60"/>
  <c r="G12" i="60" s="1"/>
  <c r="O33" i="60"/>
  <c r="O12" i="60" s="1"/>
  <c r="W33" i="60"/>
  <c r="W12" i="60" s="1"/>
  <c r="AN33" i="60"/>
  <c r="AN12" i="60" s="1"/>
  <c r="P33" i="60"/>
  <c r="P12" i="60" s="1"/>
  <c r="L33" i="60"/>
  <c r="L12" i="60" s="1"/>
  <c r="E13" i="51" l="1"/>
  <c r="A13" i="51"/>
  <c r="E12" i="51"/>
  <c r="A12" i="51"/>
  <c r="E11" i="51"/>
  <c r="A11" i="51"/>
  <c r="E10" i="51"/>
  <c r="A10" i="51"/>
  <c r="E9" i="51"/>
  <c r="A9" i="51"/>
  <c r="E8" i="51"/>
  <c r="A8" i="51"/>
  <c r="E7" i="51"/>
  <c r="A7" i="51"/>
  <c r="E15" i="51"/>
  <c r="A15" i="51"/>
  <c r="E14" i="51"/>
  <c r="A14" i="51"/>
  <c r="E6" i="51"/>
  <c r="A6" i="51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H1278" i="61"/>
  <c r="H1277" i="61"/>
  <c r="H1276" i="61"/>
  <c r="H1275" i="61"/>
  <c r="H1274" i="61"/>
  <c r="H1273" i="61"/>
  <c r="H1272" i="61"/>
  <c r="H1271" i="61"/>
  <c r="H1270" i="61"/>
  <c r="H1269" i="61"/>
  <c r="H1268" i="61"/>
  <c r="H1267" i="61"/>
  <c r="H1266" i="61"/>
  <c r="H1265" i="61"/>
  <c r="H1264" i="61"/>
  <c r="H1263" i="61"/>
  <c r="H1262" i="61"/>
  <c r="H1261" i="61"/>
  <c r="H1260" i="61"/>
  <c r="H1259" i="61"/>
  <c r="H1258" i="61"/>
  <c r="H1253" i="61"/>
  <c r="H1252" i="61"/>
  <c r="H1251" i="61"/>
  <c r="H1250" i="61"/>
  <c r="H1249" i="61"/>
  <c r="H1248" i="61"/>
  <c r="H1247" i="61"/>
  <c r="H1246" i="61"/>
  <c r="H1245" i="61"/>
  <c r="H1244" i="61"/>
  <c r="H1243" i="61"/>
  <c r="H1242" i="61"/>
  <c r="H1241" i="61"/>
  <c r="H1240" i="61"/>
  <c r="H1239" i="61"/>
  <c r="H1238" i="61"/>
  <c r="H1237" i="61"/>
  <c r="H1236" i="61"/>
  <c r="H1235" i="61"/>
  <c r="H1234" i="61"/>
  <c r="H1233" i="61"/>
  <c r="H1232" i="61"/>
  <c r="H1231" i="61"/>
  <c r="H1230" i="61"/>
  <c r="H1229" i="61"/>
  <c r="H1228" i="61"/>
  <c r="H1196" i="61"/>
  <c r="H1195" i="61"/>
  <c r="H1194" i="61"/>
  <c r="H1193" i="61"/>
  <c r="H1192" i="61"/>
  <c r="H1191" i="61"/>
  <c r="H1190" i="61"/>
  <c r="H1189" i="61"/>
  <c r="H1188" i="61"/>
  <c r="H1187" i="61"/>
  <c r="H1186" i="61"/>
  <c r="H1185" i="61"/>
  <c r="H1184" i="61"/>
  <c r="H1183" i="61"/>
  <c r="H1182" i="61"/>
  <c r="H1181" i="61"/>
  <c r="H1180" i="61"/>
  <c r="H1179" i="61"/>
  <c r="H1178" i="61"/>
  <c r="H1177" i="61"/>
  <c r="H1176" i="61"/>
  <c r="H1175" i="61"/>
  <c r="H1174" i="61"/>
  <c r="H1173" i="61"/>
  <c r="H1172" i="61"/>
  <c r="H1171" i="61"/>
  <c r="H1170" i="61"/>
  <c r="H1169" i="61"/>
  <c r="H1168" i="61"/>
  <c r="H1167" i="61"/>
  <c r="H1166" i="61"/>
  <c r="H1165" i="61"/>
  <c r="H1164" i="61"/>
  <c r="H1163" i="61"/>
  <c r="H1162" i="61"/>
  <c r="H1161" i="61"/>
  <c r="H1160" i="61"/>
  <c r="H1159" i="61"/>
  <c r="H1158" i="61"/>
  <c r="H1157" i="61"/>
  <c r="H1156" i="61"/>
  <c r="H1155" i="61"/>
  <c r="H1154" i="61"/>
  <c r="H1153" i="61"/>
  <c r="H1152" i="61"/>
  <c r="H1151" i="61"/>
  <c r="H1150" i="61"/>
  <c r="H1149" i="61"/>
  <c r="H1148" i="61"/>
  <c r="H1147" i="61"/>
  <c r="H1146" i="61"/>
  <c r="H1145" i="61"/>
  <c r="H1144" i="61"/>
  <c r="H1143" i="61"/>
  <c r="H1142" i="61"/>
  <c r="H1141" i="61"/>
  <c r="H1140" i="61"/>
  <c r="H1139" i="61"/>
  <c r="H1138" i="61"/>
  <c r="H1137" i="61"/>
  <c r="H1136" i="61"/>
  <c r="H1135" i="61"/>
  <c r="H1134" i="61"/>
  <c r="H1133" i="61"/>
  <c r="H1132" i="61"/>
  <c r="H1131" i="61"/>
  <c r="H1130" i="61"/>
  <c r="H1129" i="61"/>
  <c r="H1128" i="61"/>
  <c r="H1127" i="61"/>
  <c r="H1126" i="61"/>
  <c r="H1125" i="61"/>
  <c r="H1124" i="61"/>
  <c r="H1123" i="61"/>
  <c r="H1122" i="61"/>
  <c r="H1121" i="61"/>
  <c r="H1120" i="61"/>
  <c r="H1119" i="61"/>
  <c r="H1118" i="61"/>
  <c r="H1117" i="61"/>
  <c r="H1116" i="61"/>
  <c r="H1115" i="61"/>
  <c r="H1114" i="61"/>
  <c r="H1113" i="61"/>
  <c r="H1112" i="61"/>
  <c r="H1111" i="61"/>
  <c r="H1110" i="61"/>
  <c r="H1109" i="61"/>
  <c r="H1108" i="61"/>
  <c r="H1107" i="61"/>
  <c r="H1106" i="61"/>
  <c r="H1105" i="61"/>
  <c r="H1104" i="61"/>
  <c r="H1103" i="61"/>
  <c r="H1102" i="61"/>
  <c r="H1101" i="61"/>
  <c r="H1100" i="61"/>
  <c r="H1099" i="61"/>
  <c r="H1098" i="61"/>
  <c r="H1097" i="61"/>
  <c r="H1096" i="61"/>
  <c r="H1095" i="61"/>
  <c r="H1094" i="61"/>
  <c r="H1093" i="61"/>
  <c r="H1092" i="61"/>
  <c r="H1091" i="61"/>
  <c r="H1090" i="61"/>
  <c r="H1089" i="61"/>
  <c r="H1088" i="61"/>
  <c r="H1087" i="61"/>
  <c r="H1086" i="61"/>
  <c r="H1085" i="61"/>
  <c r="H1084" i="61"/>
  <c r="H1083" i="61"/>
  <c r="H1082" i="61"/>
  <c r="H1081" i="61"/>
  <c r="H1080" i="61"/>
  <c r="H1079" i="61"/>
  <c r="H1078" i="61"/>
  <c r="H1077" i="61"/>
  <c r="H1076" i="61"/>
  <c r="H1075" i="61"/>
  <c r="H1074" i="61"/>
  <c r="H1073" i="61"/>
  <c r="H1072" i="61"/>
  <c r="H1071" i="61"/>
  <c r="H1070" i="61"/>
  <c r="H1069" i="61"/>
  <c r="H1068" i="61"/>
  <c r="H1067" i="61"/>
  <c r="H1066" i="61"/>
  <c r="H1065" i="61"/>
  <c r="H1064" i="61"/>
  <c r="H1063" i="61"/>
  <c r="H1062" i="61"/>
  <c r="H1061" i="61"/>
  <c r="H1060" i="61"/>
  <c r="H1059" i="61"/>
  <c r="H1058" i="61"/>
  <c r="H1057" i="61"/>
  <c r="H1056" i="61"/>
  <c r="H1055" i="61"/>
  <c r="H1054" i="61"/>
  <c r="H1053" i="61"/>
  <c r="H1052" i="61"/>
  <c r="H1051" i="61"/>
  <c r="H1050" i="61"/>
  <c r="H1049" i="61"/>
  <c r="H1048" i="61"/>
  <c r="H1047" i="61"/>
  <c r="H1046" i="61"/>
  <c r="H1045" i="61"/>
  <c r="H1044" i="61"/>
  <c r="H1043" i="61"/>
  <c r="H1042" i="61"/>
  <c r="H1041" i="61"/>
  <c r="H1040" i="61"/>
  <c r="H1039" i="61"/>
  <c r="H1038" i="61"/>
  <c r="H1037" i="61"/>
  <c r="H1036" i="61"/>
  <c r="H1035" i="61"/>
  <c r="H1034" i="61"/>
  <c r="H1033" i="61"/>
  <c r="H1032" i="61"/>
  <c r="H1031" i="61"/>
  <c r="H1030" i="61"/>
  <c r="H1029" i="61"/>
  <c r="H1028" i="61"/>
  <c r="H1027" i="61"/>
  <c r="H1026" i="61"/>
  <c r="H1025" i="61"/>
  <c r="H1024" i="61"/>
  <c r="H1023" i="61"/>
  <c r="H1022" i="61"/>
  <c r="H1021" i="61"/>
  <c r="H1020" i="61"/>
  <c r="H1019" i="61"/>
  <c r="H1018" i="61"/>
  <c r="H1017" i="61"/>
  <c r="H1016" i="61"/>
  <c r="H1015" i="61"/>
  <c r="H1014" i="61"/>
  <c r="H1013" i="61"/>
  <c r="H1012" i="61"/>
  <c r="H1011" i="61"/>
  <c r="H1010" i="61"/>
  <c r="H1009" i="61"/>
  <c r="H1008" i="61"/>
  <c r="H1007" i="61"/>
  <c r="H1006" i="61"/>
  <c r="H1005" i="61"/>
  <c r="H1004" i="61"/>
  <c r="H1003" i="61"/>
  <c r="H1002" i="61"/>
  <c r="H1001" i="61"/>
  <c r="H1000" i="61"/>
  <c r="H999" i="61"/>
  <c r="H998" i="61"/>
  <c r="H997" i="61"/>
  <c r="H996" i="61"/>
  <c r="H995" i="61"/>
  <c r="H994" i="61"/>
  <c r="H993" i="61"/>
  <c r="H992" i="61"/>
  <c r="H991" i="61"/>
  <c r="H990" i="61"/>
  <c r="H989" i="61"/>
  <c r="H988" i="61"/>
  <c r="H987" i="61"/>
  <c r="H986" i="61"/>
  <c r="H985" i="61"/>
  <c r="H984" i="61"/>
  <c r="H983" i="61"/>
  <c r="H982" i="61"/>
  <c r="H981" i="61"/>
  <c r="H980" i="61"/>
  <c r="H979" i="61"/>
  <c r="H978" i="61"/>
  <c r="H977" i="61"/>
  <c r="H976" i="61"/>
  <c r="H975" i="61"/>
  <c r="H974" i="61"/>
  <c r="H973" i="61"/>
  <c r="H972" i="61"/>
  <c r="H971" i="61"/>
  <c r="H970" i="61"/>
  <c r="H969" i="61"/>
  <c r="H968" i="61"/>
  <c r="H967" i="61"/>
  <c r="H966" i="61"/>
  <c r="H965" i="61"/>
  <c r="H964" i="61"/>
  <c r="H963" i="61"/>
  <c r="H962" i="61"/>
  <c r="H961" i="61"/>
  <c r="H960" i="61"/>
  <c r="H959" i="61"/>
  <c r="H958" i="61"/>
  <c r="H957" i="61"/>
  <c r="H956" i="61"/>
  <c r="H955" i="61"/>
  <c r="H954" i="61"/>
  <c r="H953" i="61"/>
  <c r="H952" i="61"/>
  <c r="H951" i="61"/>
  <c r="H950" i="61"/>
  <c r="H949" i="61"/>
  <c r="H948" i="61"/>
  <c r="H947" i="61"/>
  <c r="H946" i="61"/>
  <c r="H945" i="61"/>
  <c r="H944" i="61"/>
  <c r="H943" i="61"/>
  <c r="H942" i="61"/>
  <c r="H941" i="61"/>
  <c r="H940" i="61"/>
  <c r="H939" i="61"/>
  <c r="H938" i="61"/>
  <c r="H937" i="61"/>
  <c r="H936" i="61"/>
  <c r="H935" i="61"/>
  <c r="H934" i="61"/>
  <c r="H933" i="61"/>
  <c r="H932" i="61"/>
  <c r="H931" i="61"/>
  <c r="H930" i="61"/>
  <c r="H929" i="61"/>
  <c r="H928" i="61"/>
  <c r="H927" i="61"/>
  <c r="H926" i="61"/>
  <c r="H925" i="61"/>
  <c r="H924" i="61"/>
  <c r="H923" i="61"/>
  <c r="H922" i="61"/>
  <c r="H921" i="61"/>
  <c r="H920" i="61"/>
  <c r="H919" i="61"/>
  <c r="H918" i="61"/>
  <c r="H917" i="61"/>
  <c r="H916" i="61"/>
  <c r="H915" i="61"/>
  <c r="H914" i="61"/>
  <c r="H913" i="61"/>
  <c r="H912" i="61"/>
  <c r="H911" i="61"/>
  <c r="H910" i="61"/>
  <c r="H909" i="61"/>
  <c r="H908" i="61"/>
  <c r="H907" i="61"/>
  <c r="H906" i="61"/>
  <c r="H905" i="61"/>
  <c r="H904" i="61"/>
  <c r="H903" i="61"/>
  <c r="H902" i="61"/>
  <c r="H901" i="61"/>
  <c r="H900" i="61"/>
  <c r="H899" i="61"/>
  <c r="H898" i="61"/>
  <c r="H897" i="61"/>
  <c r="H896" i="61"/>
  <c r="H895" i="61"/>
  <c r="H894" i="61"/>
  <c r="H893" i="61"/>
  <c r="H892" i="61"/>
  <c r="H891" i="61"/>
  <c r="H890" i="61"/>
  <c r="H889" i="61"/>
  <c r="H888" i="61"/>
  <c r="H887" i="61"/>
  <c r="H886" i="61"/>
  <c r="H885" i="61"/>
  <c r="H884" i="61"/>
  <c r="H883" i="61"/>
  <c r="H882" i="61"/>
  <c r="H881" i="61"/>
  <c r="H880" i="61"/>
  <c r="H879" i="61"/>
  <c r="H878" i="61"/>
  <c r="H877" i="61"/>
  <c r="H876" i="61"/>
  <c r="H875" i="61"/>
  <c r="H874" i="61"/>
  <c r="H873" i="61"/>
  <c r="H872" i="61"/>
  <c r="H871" i="61"/>
  <c r="H870" i="61"/>
  <c r="H869" i="61"/>
  <c r="H868" i="61"/>
  <c r="H867" i="61"/>
  <c r="H866" i="61"/>
  <c r="H865" i="61"/>
  <c r="H864" i="61"/>
  <c r="H863" i="61"/>
  <c r="H862" i="61"/>
  <c r="H861" i="61"/>
  <c r="H860" i="61"/>
  <c r="H859" i="61"/>
  <c r="H858" i="61"/>
  <c r="H857" i="61"/>
  <c r="H856" i="61"/>
  <c r="H855" i="61"/>
  <c r="H854" i="61"/>
  <c r="H853" i="61"/>
  <c r="H852" i="61"/>
  <c r="H851" i="61"/>
  <c r="H850" i="61"/>
  <c r="H849" i="61"/>
  <c r="H848" i="61"/>
  <c r="H847" i="61"/>
  <c r="H846" i="61"/>
  <c r="H845" i="61"/>
  <c r="H844" i="61"/>
  <c r="H843" i="61"/>
  <c r="H842" i="61"/>
  <c r="H841" i="61"/>
  <c r="H840" i="61"/>
  <c r="H839" i="61"/>
  <c r="H838" i="61"/>
  <c r="H837" i="61"/>
  <c r="H836" i="61"/>
  <c r="H835" i="61"/>
  <c r="H834" i="61"/>
  <c r="H833" i="61"/>
  <c r="H832" i="61"/>
  <c r="H831" i="61"/>
  <c r="H830" i="61"/>
  <c r="H829" i="61"/>
  <c r="H828" i="61"/>
  <c r="H827" i="61"/>
  <c r="H826" i="61"/>
  <c r="H825" i="61"/>
  <c r="H824" i="61"/>
  <c r="H823" i="61"/>
  <c r="H822" i="61"/>
  <c r="H821" i="61"/>
  <c r="H820" i="61"/>
  <c r="H819" i="61"/>
  <c r="H818" i="61"/>
  <c r="H817" i="61"/>
  <c r="H816" i="61"/>
  <c r="H815" i="61"/>
  <c r="H814" i="61"/>
  <c r="H813" i="61"/>
  <c r="H812" i="61"/>
  <c r="H811" i="61"/>
  <c r="H810" i="61"/>
  <c r="H809" i="61"/>
  <c r="H808" i="61"/>
  <c r="H807" i="61"/>
  <c r="H806" i="61"/>
  <c r="H805" i="61"/>
  <c r="H804" i="61"/>
  <c r="H803" i="61"/>
  <c r="H802" i="61"/>
  <c r="H801" i="61"/>
  <c r="H800" i="61"/>
  <c r="H799" i="61"/>
  <c r="H798" i="61"/>
  <c r="H797" i="61"/>
  <c r="H796" i="61"/>
  <c r="H795" i="61"/>
  <c r="H794" i="61"/>
  <c r="H793" i="61"/>
  <c r="H792" i="61"/>
  <c r="H791" i="61"/>
  <c r="H790" i="61"/>
  <c r="H789" i="61"/>
  <c r="H788" i="61"/>
  <c r="H787" i="61"/>
  <c r="H786" i="61"/>
  <c r="H785" i="61"/>
  <c r="H784" i="61"/>
  <c r="H783" i="61"/>
  <c r="H782" i="61"/>
  <c r="H781" i="61"/>
  <c r="H780" i="61"/>
  <c r="H779" i="61"/>
  <c r="H778" i="61"/>
  <c r="H777" i="61"/>
  <c r="H776" i="61"/>
  <c r="H775" i="61"/>
  <c r="H774" i="61"/>
  <c r="H773" i="61"/>
  <c r="H772" i="61"/>
  <c r="H771" i="61"/>
  <c r="H770" i="61"/>
  <c r="H769" i="61"/>
  <c r="H768" i="61"/>
  <c r="H767" i="61"/>
  <c r="H766" i="61"/>
  <c r="H765" i="61"/>
  <c r="H764" i="61"/>
  <c r="H763" i="61"/>
  <c r="H762" i="61"/>
  <c r="H761" i="61"/>
  <c r="H760" i="61"/>
  <c r="H759" i="61"/>
  <c r="H758" i="61"/>
  <c r="H757" i="61"/>
  <c r="H756" i="61"/>
  <c r="H755" i="61"/>
  <c r="H754" i="61"/>
  <c r="H753" i="61"/>
  <c r="H752" i="61"/>
  <c r="H751" i="61"/>
  <c r="H750" i="61"/>
  <c r="H749" i="61"/>
  <c r="H748" i="61"/>
  <c r="H747" i="61"/>
  <c r="H746" i="61"/>
  <c r="H745" i="61"/>
  <c r="H744" i="61"/>
  <c r="H743" i="61"/>
  <c r="H742" i="61"/>
  <c r="H741" i="61"/>
  <c r="H740" i="61"/>
  <c r="H739" i="61"/>
  <c r="H738" i="61"/>
  <c r="H737" i="61"/>
  <c r="H736" i="61"/>
  <c r="H735" i="61"/>
  <c r="H734" i="61"/>
  <c r="H733" i="61"/>
  <c r="H732" i="61"/>
  <c r="H731" i="61"/>
  <c r="H730" i="61"/>
  <c r="H729" i="61"/>
  <c r="H728" i="61"/>
  <c r="H727" i="61"/>
  <c r="H726" i="61"/>
  <c r="H725" i="61"/>
  <c r="H724" i="61"/>
  <c r="H723" i="61"/>
  <c r="H722" i="61"/>
  <c r="H721" i="61"/>
  <c r="H720" i="61"/>
  <c r="H719" i="61"/>
  <c r="H718" i="61"/>
  <c r="H717" i="61"/>
  <c r="H716" i="61"/>
  <c r="H715" i="61"/>
  <c r="H714" i="61"/>
  <c r="H713" i="61"/>
  <c r="H712" i="61"/>
  <c r="H711" i="61"/>
  <c r="H710" i="61"/>
  <c r="H709" i="61"/>
  <c r="H708" i="61"/>
  <c r="H707" i="61"/>
  <c r="H706" i="61"/>
  <c r="H705" i="61"/>
  <c r="H704" i="61"/>
  <c r="H703" i="61"/>
  <c r="H702" i="61"/>
  <c r="H701" i="61"/>
  <c r="H700" i="61"/>
  <c r="H699" i="61"/>
  <c r="H698" i="61"/>
  <c r="H697" i="61"/>
  <c r="H696" i="61"/>
  <c r="H695" i="61"/>
  <c r="H694" i="61"/>
  <c r="H693" i="61"/>
  <c r="H692" i="61"/>
  <c r="H691" i="61"/>
  <c r="H690" i="61"/>
  <c r="H689" i="61"/>
  <c r="H688" i="61"/>
  <c r="H687" i="61"/>
  <c r="H686" i="61"/>
  <c r="H685" i="61"/>
  <c r="H684" i="61"/>
  <c r="H683" i="61"/>
  <c r="H682" i="61"/>
  <c r="H681" i="61"/>
  <c r="H680" i="61"/>
  <c r="H679" i="61"/>
  <c r="H678" i="61"/>
  <c r="H677" i="61"/>
  <c r="H676" i="61"/>
  <c r="H675" i="61"/>
  <c r="H674" i="61"/>
  <c r="H673" i="61"/>
  <c r="H672" i="61"/>
  <c r="H671" i="61"/>
  <c r="H670" i="61"/>
  <c r="H669" i="61"/>
  <c r="H668" i="61"/>
  <c r="H667" i="61"/>
  <c r="H666" i="61"/>
  <c r="H665" i="61"/>
  <c r="H664" i="61"/>
  <c r="H663" i="61"/>
  <c r="H662" i="61"/>
  <c r="H661" i="61"/>
  <c r="H660" i="61"/>
  <c r="H659" i="61"/>
  <c r="H658" i="61"/>
  <c r="H657" i="61"/>
  <c r="H656" i="61"/>
  <c r="H655" i="61"/>
  <c r="H654" i="61"/>
  <c r="H653" i="61"/>
  <c r="H652" i="61"/>
  <c r="H651" i="61"/>
  <c r="H650" i="61"/>
  <c r="H649" i="61"/>
  <c r="H648" i="61"/>
  <c r="H647" i="61"/>
  <c r="H646" i="61"/>
  <c r="H645" i="61"/>
  <c r="H644" i="61"/>
  <c r="H643" i="61"/>
  <c r="H642" i="61"/>
  <c r="H641" i="61"/>
  <c r="H640" i="61"/>
  <c r="H639" i="61"/>
  <c r="H638" i="61"/>
  <c r="H637" i="61"/>
  <c r="H636" i="61"/>
  <c r="H635" i="61"/>
  <c r="H634" i="61"/>
  <c r="H633" i="61"/>
  <c r="H632" i="61"/>
  <c r="H631" i="61"/>
  <c r="H630" i="61"/>
  <c r="H629" i="61"/>
  <c r="H628" i="61"/>
  <c r="H627" i="61"/>
  <c r="H626" i="61"/>
  <c r="H625" i="61"/>
  <c r="H624" i="61"/>
  <c r="H623" i="61"/>
  <c r="H622" i="61"/>
  <c r="H621" i="61"/>
  <c r="H620" i="61"/>
  <c r="H619" i="61"/>
  <c r="H618" i="61"/>
  <c r="H617" i="61"/>
  <c r="H616" i="61"/>
  <c r="H615" i="61"/>
  <c r="H614" i="61"/>
  <c r="H613" i="61"/>
  <c r="H612" i="61"/>
  <c r="H611" i="61"/>
  <c r="H610" i="61"/>
  <c r="H609" i="61"/>
  <c r="H608" i="61"/>
  <c r="H607" i="61"/>
  <c r="H606" i="61"/>
  <c r="H605" i="61"/>
  <c r="H604" i="61"/>
  <c r="H603" i="61"/>
  <c r="H602" i="61"/>
  <c r="H601" i="61"/>
  <c r="H600" i="61"/>
  <c r="H599" i="61"/>
  <c r="H598" i="61"/>
  <c r="H597" i="61"/>
  <c r="H596" i="61"/>
  <c r="H595" i="61"/>
  <c r="H594" i="61"/>
  <c r="H593" i="61"/>
  <c r="H592" i="61"/>
  <c r="H591" i="61"/>
  <c r="H590" i="61"/>
  <c r="H589" i="61"/>
  <c r="H588" i="61"/>
  <c r="H587" i="61"/>
  <c r="H586" i="61"/>
  <c r="H585" i="61"/>
  <c r="H584" i="61"/>
  <c r="H583" i="61"/>
  <c r="H582" i="61"/>
  <c r="H581" i="61"/>
  <c r="H580" i="61"/>
  <c r="H579" i="61"/>
  <c r="H578" i="61"/>
  <c r="H577" i="61"/>
  <c r="H576" i="61"/>
  <c r="H575" i="61"/>
  <c r="H574" i="61"/>
  <c r="H573" i="61"/>
  <c r="H572" i="61"/>
  <c r="H571" i="61"/>
  <c r="H570" i="61"/>
  <c r="H569" i="61"/>
  <c r="H568" i="61"/>
  <c r="H567" i="61"/>
  <c r="H566" i="61"/>
  <c r="H565" i="61"/>
  <c r="H564" i="61"/>
  <c r="H563" i="61"/>
  <c r="H562" i="61"/>
  <c r="H561" i="61"/>
  <c r="H560" i="61"/>
  <c r="H559" i="61"/>
  <c r="H558" i="61"/>
  <c r="H557" i="61"/>
  <c r="H556" i="61"/>
  <c r="H555" i="61"/>
  <c r="H554" i="61"/>
  <c r="H553" i="61"/>
  <c r="H552" i="61"/>
  <c r="H551" i="61"/>
  <c r="H550" i="61"/>
  <c r="H549" i="61"/>
  <c r="H548" i="61"/>
  <c r="H547" i="61"/>
  <c r="H546" i="61"/>
  <c r="H545" i="61"/>
  <c r="H544" i="61"/>
  <c r="H543" i="61"/>
  <c r="H542" i="61"/>
  <c r="H541" i="61"/>
  <c r="H540" i="61"/>
  <c r="H539" i="61"/>
  <c r="H538" i="61"/>
  <c r="H537" i="61"/>
  <c r="H536" i="61"/>
  <c r="H535" i="61"/>
  <c r="H534" i="61"/>
  <c r="H533" i="61"/>
  <c r="H532" i="61"/>
  <c r="H531" i="61"/>
  <c r="H530" i="61"/>
  <c r="H529" i="61"/>
  <c r="H528" i="61"/>
  <c r="H527" i="61"/>
  <c r="H526" i="61"/>
  <c r="H525" i="61"/>
  <c r="H524" i="61"/>
  <c r="H523" i="61"/>
  <c r="H522" i="61"/>
  <c r="H521" i="61"/>
  <c r="H520" i="61"/>
  <c r="H519" i="61"/>
  <c r="H518" i="61"/>
  <c r="H517" i="61"/>
  <c r="H516" i="61"/>
  <c r="H515" i="61"/>
  <c r="H514" i="61"/>
  <c r="H513" i="61"/>
  <c r="H512" i="61"/>
  <c r="H511" i="61"/>
  <c r="H510" i="61"/>
  <c r="H509" i="61"/>
  <c r="H508" i="61"/>
  <c r="H507" i="61"/>
  <c r="H506" i="61"/>
  <c r="H505" i="61"/>
  <c r="H504" i="61"/>
  <c r="H503" i="61"/>
  <c r="H502" i="61"/>
  <c r="H501" i="61"/>
  <c r="H500" i="61"/>
  <c r="H499" i="61"/>
  <c r="H498" i="61"/>
  <c r="H497" i="61"/>
  <c r="H496" i="61"/>
  <c r="H495" i="61"/>
  <c r="H494" i="61"/>
  <c r="H493" i="61"/>
  <c r="H492" i="61"/>
  <c r="H491" i="61"/>
  <c r="H490" i="61"/>
  <c r="H489" i="61"/>
  <c r="H488" i="61"/>
  <c r="H487" i="61"/>
  <c r="H486" i="61"/>
  <c r="H485" i="61"/>
  <c r="H484" i="61"/>
  <c r="H483" i="61"/>
  <c r="H482" i="61"/>
  <c r="H481" i="61"/>
  <c r="H480" i="61"/>
  <c r="H479" i="61"/>
  <c r="H478" i="61"/>
  <c r="H477" i="61"/>
  <c r="H476" i="61"/>
  <c r="H475" i="61"/>
  <c r="H474" i="61"/>
  <c r="H473" i="61"/>
  <c r="H472" i="61"/>
  <c r="H471" i="61"/>
  <c r="H470" i="61"/>
  <c r="H469" i="61"/>
  <c r="H468" i="61"/>
  <c r="H467" i="61"/>
  <c r="H466" i="61"/>
  <c r="H465" i="61"/>
  <c r="H464" i="61"/>
  <c r="H463" i="61"/>
  <c r="H462" i="61"/>
  <c r="H461" i="61"/>
  <c r="H460" i="61"/>
  <c r="H459" i="61"/>
  <c r="H458" i="61"/>
  <c r="H457" i="61"/>
  <c r="H456" i="61"/>
  <c r="H455" i="61"/>
  <c r="H454" i="61"/>
  <c r="H453" i="61"/>
  <c r="H452" i="61"/>
  <c r="H451" i="61"/>
  <c r="H450" i="61"/>
  <c r="H449" i="61"/>
  <c r="H448" i="61"/>
  <c r="H447" i="61"/>
  <c r="H446" i="61"/>
  <c r="H445" i="61"/>
  <c r="H444" i="61"/>
  <c r="H443" i="61"/>
  <c r="H442" i="61"/>
  <c r="H441" i="61"/>
  <c r="H440" i="61"/>
  <c r="H439" i="61"/>
  <c r="H438" i="61"/>
  <c r="H437" i="61"/>
  <c r="H436" i="61"/>
  <c r="H435" i="61"/>
  <c r="H434" i="61"/>
  <c r="H433" i="61"/>
  <c r="H432" i="61"/>
  <c r="H431" i="61"/>
  <c r="H430" i="61"/>
  <c r="H429" i="61"/>
  <c r="H428" i="61"/>
  <c r="H427" i="61"/>
  <c r="H426" i="61"/>
  <c r="H425" i="61"/>
  <c r="H424" i="61"/>
  <c r="H423" i="61"/>
  <c r="H422" i="61"/>
  <c r="H421" i="61"/>
  <c r="H420" i="61"/>
  <c r="H419" i="61"/>
  <c r="H418" i="61"/>
  <c r="H417" i="61"/>
  <c r="H416" i="61"/>
  <c r="H415" i="61"/>
  <c r="H414" i="61"/>
  <c r="H413" i="61"/>
  <c r="H412" i="61"/>
  <c r="H411" i="61"/>
  <c r="H410" i="61"/>
  <c r="H409" i="61"/>
  <c r="H408" i="61"/>
  <c r="H407" i="61"/>
  <c r="H406" i="61"/>
  <c r="H405" i="61"/>
  <c r="H404" i="61"/>
  <c r="H403" i="61"/>
  <c r="H402" i="61"/>
  <c r="H401" i="61"/>
  <c r="H400" i="61"/>
  <c r="H399" i="61"/>
  <c r="H398" i="61"/>
  <c r="H397" i="61"/>
  <c r="H396" i="61"/>
  <c r="H395" i="61"/>
  <c r="H394" i="61"/>
  <c r="H393" i="61"/>
  <c r="H392" i="61"/>
  <c r="H391" i="61"/>
  <c r="H390" i="61"/>
  <c r="H389" i="61"/>
  <c r="H388" i="61"/>
  <c r="H387" i="61"/>
  <c r="H386" i="61"/>
  <c r="H385" i="61"/>
  <c r="H384" i="61"/>
  <c r="H383" i="61"/>
  <c r="H382" i="61"/>
  <c r="H381" i="61"/>
  <c r="H380" i="61"/>
  <c r="H379" i="61"/>
  <c r="H378" i="61"/>
  <c r="H377" i="61"/>
  <c r="H376" i="61"/>
  <c r="H375" i="61"/>
  <c r="H374" i="61"/>
  <c r="H373" i="61"/>
  <c r="H372" i="61"/>
  <c r="H371" i="61"/>
  <c r="H370" i="61"/>
  <c r="H369" i="61"/>
  <c r="H368" i="61"/>
  <c r="H367" i="61"/>
  <c r="H366" i="61"/>
  <c r="H365" i="61"/>
  <c r="H364" i="61"/>
  <c r="H363" i="61"/>
  <c r="H362" i="61"/>
  <c r="H361" i="61"/>
  <c r="H360" i="61"/>
  <c r="H359" i="61"/>
  <c r="H358" i="61"/>
  <c r="H357" i="61"/>
  <c r="H356" i="61"/>
  <c r="H355" i="61"/>
  <c r="H354" i="61"/>
  <c r="H353" i="61"/>
  <c r="H352" i="61"/>
  <c r="H351" i="61"/>
  <c r="H350" i="61"/>
  <c r="H349" i="61"/>
  <c r="H348" i="61"/>
  <c r="H347" i="61"/>
  <c r="H346" i="61"/>
  <c r="H345" i="61"/>
  <c r="H344" i="61"/>
  <c r="H343" i="61"/>
  <c r="H342" i="61"/>
  <c r="H341" i="61"/>
  <c r="H340" i="61"/>
  <c r="H339" i="61"/>
  <c r="H338" i="61"/>
  <c r="H337" i="61"/>
  <c r="H336" i="61"/>
  <c r="H335" i="61"/>
  <c r="H334" i="61"/>
  <c r="H333" i="61"/>
  <c r="H332" i="61"/>
  <c r="H331" i="61"/>
  <c r="H330" i="61"/>
  <c r="H329" i="61"/>
  <c r="H328" i="61"/>
  <c r="H327" i="61"/>
  <c r="H326" i="61"/>
  <c r="H325" i="61"/>
  <c r="H324" i="61"/>
  <c r="H323" i="61"/>
  <c r="H322" i="61"/>
  <c r="H321" i="61"/>
  <c r="H320" i="61"/>
  <c r="H319" i="61"/>
  <c r="H318" i="61"/>
  <c r="H317" i="61"/>
  <c r="H316" i="61"/>
  <c r="H315" i="61"/>
  <c r="H314" i="61"/>
  <c r="H313" i="61"/>
  <c r="H312" i="61"/>
  <c r="H311" i="61"/>
  <c r="H310" i="61"/>
  <c r="H309" i="61"/>
  <c r="H308" i="61"/>
  <c r="H307" i="61"/>
  <c r="H306" i="61"/>
  <c r="H305" i="61"/>
  <c r="H304" i="61"/>
  <c r="H303" i="61"/>
  <c r="H302" i="61"/>
  <c r="H301" i="61"/>
  <c r="H300" i="61"/>
  <c r="H299" i="61"/>
  <c r="H298" i="61"/>
  <c r="H297" i="61"/>
  <c r="H296" i="61"/>
  <c r="H295" i="61"/>
  <c r="H294" i="61"/>
  <c r="H293" i="61"/>
  <c r="H292" i="61"/>
  <c r="H291" i="61"/>
  <c r="H290" i="61"/>
  <c r="H289" i="61"/>
  <c r="H288" i="61"/>
  <c r="H287" i="61"/>
  <c r="H286" i="61"/>
  <c r="H285" i="61"/>
  <c r="H284" i="61"/>
  <c r="H283" i="61"/>
  <c r="H282" i="61"/>
  <c r="H281" i="61"/>
  <c r="H280" i="61"/>
  <c r="H279" i="61"/>
  <c r="H278" i="61"/>
  <c r="H277" i="61"/>
  <c r="H276" i="61"/>
  <c r="H275" i="61"/>
  <c r="H274" i="61"/>
  <c r="H273" i="61"/>
  <c r="H272" i="61"/>
  <c r="H271" i="61"/>
  <c r="H270" i="61"/>
  <c r="H269" i="61"/>
  <c r="H268" i="61"/>
  <c r="H267" i="61"/>
  <c r="H266" i="61"/>
  <c r="H265" i="61"/>
  <c r="H264" i="61"/>
  <c r="H263" i="61"/>
  <c r="H262" i="61"/>
  <c r="H261" i="61"/>
  <c r="H260" i="61"/>
  <c r="H259" i="61"/>
  <c r="H258" i="61"/>
  <c r="H257" i="61"/>
  <c r="H256" i="61"/>
  <c r="H255" i="61"/>
  <c r="H254" i="61"/>
  <c r="H253" i="61"/>
  <c r="H252" i="61"/>
  <c r="H251" i="61"/>
  <c r="H250" i="61"/>
  <c r="H249" i="61"/>
  <c r="H248" i="61"/>
  <c r="H247" i="61"/>
  <c r="H246" i="61"/>
  <c r="H245" i="61"/>
  <c r="H244" i="61"/>
  <c r="H243" i="61"/>
  <c r="H242" i="61"/>
  <c r="H241" i="61"/>
  <c r="H240" i="61"/>
  <c r="H239" i="61"/>
  <c r="H238" i="61"/>
  <c r="H237" i="61"/>
  <c r="H236" i="61"/>
  <c r="H235" i="61"/>
  <c r="H234" i="61"/>
  <c r="H233" i="61"/>
  <c r="H232" i="61"/>
  <c r="H231" i="61"/>
  <c r="H230" i="61"/>
  <c r="H229" i="61"/>
  <c r="H228" i="61"/>
  <c r="H227" i="61"/>
  <c r="H226" i="61"/>
  <c r="H225" i="61"/>
  <c r="H224" i="61"/>
  <c r="H223" i="61"/>
  <c r="H222" i="61"/>
  <c r="H221" i="61"/>
  <c r="H220" i="61"/>
  <c r="H219" i="61"/>
  <c r="H218" i="61"/>
  <c r="H217" i="61"/>
  <c r="H216" i="61"/>
  <c r="H215" i="61"/>
  <c r="H214" i="61"/>
  <c r="H213" i="61"/>
  <c r="H212" i="61"/>
  <c r="H211" i="61"/>
  <c r="H210" i="61"/>
  <c r="H209" i="61"/>
  <c r="H208" i="61"/>
  <c r="H207" i="61"/>
  <c r="H206" i="61"/>
  <c r="H205" i="61"/>
  <c r="H204" i="61"/>
  <c r="H203" i="61"/>
  <c r="H202" i="61"/>
  <c r="H201" i="61"/>
  <c r="H200" i="61"/>
  <c r="H199" i="61"/>
  <c r="H198" i="61"/>
  <c r="H197" i="61"/>
  <c r="H196" i="61"/>
  <c r="H195" i="61"/>
  <c r="H194" i="61"/>
  <c r="H193" i="61"/>
  <c r="H192" i="61"/>
  <c r="H191" i="61"/>
  <c r="H190" i="61"/>
  <c r="H189" i="61"/>
  <c r="H188" i="61"/>
  <c r="H187" i="61"/>
  <c r="H186" i="61"/>
  <c r="H185" i="61"/>
  <c r="H184" i="61"/>
  <c r="H183" i="61"/>
  <c r="H182" i="61"/>
  <c r="H181" i="61"/>
  <c r="H180" i="61"/>
  <c r="H179" i="61"/>
  <c r="H178" i="61"/>
  <c r="H177" i="61"/>
  <c r="H176" i="61"/>
  <c r="H175" i="61"/>
  <c r="H174" i="61"/>
  <c r="H173" i="61"/>
  <c r="H172" i="61"/>
  <c r="H171" i="61"/>
  <c r="H170" i="61"/>
  <c r="H169" i="61"/>
  <c r="H168" i="61"/>
  <c r="H167" i="61"/>
  <c r="H166" i="61"/>
  <c r="H165" i="61"/>
  <c r="H164" i="61"/>
  <c r="H163" i="61"/>
  <c r="H162" i="61"/>
  <c r="H161" i="61"/>
  <c r="H160" i="61"/>
  <c r="H159" i="61"/>
  <c r="H158" i="61"/>
  <c r="H157" i="61"/>
  <c r="H156" i="61"/>
  <c r="H155" i="61"/>
  <c r="H154" i="61"/>
  <c r="H153" i="61"/>
  <c r="H152" i="61"/>
  <c r="H151" i="61"/>
  <c r="H150" i="61"/>
  <c r="H149" i="61"/>
  <c r="H148" i="61"/>
  <c r="H147" i="61"/>
  <c r="H146" i="61"/>
  <c r="H145" i="61"/>
  <c r="H144" i="61"/>
  <c r="H143" i="61"/>
  <c r="H142" i="61"/>
  <c r="H141" i="61"/>
  <c r="H140" i="61"/>
  <c r="H139" i="61"/>
  <c r="H138" i="61"/>
  <c r="H137" i="61"/>
  <c r="H136" i="61"/>
  <c r="H135" i="61"/>
  <c r="H134" i="61"/>
  <c r="H133" i="61"/>
  <c r="H132" i="61"/>
  <c r="H131" i="61"/>
  <c r="H130" i="61"/>
  <c r="H129" i="61"/>
  <c r="H128" i="61"/>
  <c r="H127" i="61"/>
  <c r="H126" i="61"/>
  <c r="H125" i="61"/>
  <c r="H124" i="61"/>
  <c r="H123" i="61"/>
  <c r="H122" i="61"/>
  <c r="H121" i="61"/>
  <c r="H120" i="61"/>
  <c r="H119" i="61"/>
  <c r="H118" i="61"/>
  <c r="H117" i="61"/>
  <c r="H116" i="61"/>
  <c r="H115" i="61"/>
  <c r="H114" i="61"/>
  <c r="H113" i="61"/>
  <c r="H112" i="61"/>
  <c r="H111" i="61"/>
  <c r="H110" i="61"/>
  <c r="H109" i="61"/>
  <c r="H108" i="61"/>
  <c r="H107" i="61"/>
  <c r="H106" i="61"/>
  <c r="H105" i="61"/>
  <c r="H104" i="61"/>
  <c r="H103" i="61"/>
  <c r="H102" i="61"/>
  <c r="H101" i="61"/>
  <c r="H100" i="61"/>
  <c r="H99" i="61"/>
  <c r="H98" i="61"/>
  <c r="H97" i="61"/>
  <c r="H96" i="61"/>
  <c r="H95" i="61"/>
  <c r="H94" i="61"/>
  <c r="H93" i="61"/>
  <c r="H92" i="61"/>
  <c r="H91" i="61"/>
  <c r="H90" i="61"/>
  <c r="H89" i="61"/>
  <c r="H88" i="61"/>
  <c r="H87" i="61"/>
  <c r="H86" i="61"/>
  <c r="H85" i="61"/>
  <c r="H84" i="61"/>
  <c r="H83" i="61"/>
  <c r="H82" i="61"/>
  <c r="H81" i="61"/>
  <c r="H80" i="61"/>
  <c r="H79" i="61"/>
  <c r="H78" i="61"/>
  <c r="H77" i="61"/>
  <c r="H76" i="61"/>
  <c r="H75" i="61"/>
  <c r="H74" i="61"/>
  <c r="H73" i="61"/>
  <c r="H72" i="61"/>
  <c r="H71" i="61"/>
  <c r="H70" i="61"/>
  <c r="H69" i="61"/>
  <c r="H68" i="61"/>
  <c r="H67" i="61"/>
  <c r="H66" i="61"/>
  <c r="H65" i="61"/>
  <c r="H64" i="61"/>
  <c r="H63" i="61"/>
  <c r="H62" i="61"/>
  <c r="H61" i="61"/>
  <c r="H60" i="61"/>
  <c r="H59" i="61"/>
  <c r="H58" i="61"/>
  <c r="H57" i="61"/>
  <c r="H56" i="61"/>
  <c r="H55" i="61"/>
  <c r="H54" i="61"/>
  <c r="H53" i="61"/>
  <c r="H52" i="61"/>
  <c r="H51" i="61"/>
  <c r="H50" i="61"/>
  <c r="H49" i="61"/>
  <c r="H48" i="61"/>
  <c r="H47" i="61"/>
  <c r="H46" i="61"/>
  <c r="H45" i="61"/>
  <c r="H44" i="61"/>
  <c r="H43" i="61"/>
  <c r="H42" i="61"/>
  <c r="H41" i="61"/>
  <c r="H40" i="61"/>
  <c r="H39" i="61"/>
  <c r="H38" i="61"/>
  <c r="H37" i="61"/>
  <c r="H36" i="61"/>
  <c r="H35" i="61"/>
  <c r="H34" i="61"/>
  <c r="H33" i="61"/>
  <c r="H32" i="61"/>
  <c r="H31" i="61"/>
  <c r="H30" i="61"/>
  <c r="H29" i="61"/>
  <c r="H28" i="61"/>
  <c r="H27" i="61"/>
  <c r="H26" i="61"/>
  <c r="H25" i="61"/>
  <c r="H24" i="61"/>
  <c r="H23" i="61"/>
  <c r="H22" i="61"/>
  <c r="H21" i="61"/>
  <c r="H20" i="61"/>
  <c r="H19" i="61"/>
  <c r="H18" i="61"/>
  <c r="H17" i="61"/>
  <c r="H16" i="61"/>
  <c r="H15" i="61"/>
  <c r="H14" i="61"/>
  <c r="H13" i="61"/>
  <c r="H12" i="61"/>
  <c r="H11" i="61"/>
  <c r="H7" i="61"/>
  <c r="D1278" i="61"/>
  <c r="C1278" i="61"/>
  <c r="D1277" i="61"/>
  <c r="C1277" i="61"/>
  <c r="D1276" i="61"/>
  <c r="C1276" i="61"/>
  <c r="D1275" i="61"/>
  <c r="C1275" i="61"/>
  <c r="D1274" i="61"/>
  <c r="C1274" i="61"/>
  <c r="D1273" i="61"/>
  <c r="C1273" i="61"/>
  <c r="D1272" i="61"/>
  <c r="C1272" i="61"/>
  <c r="D1271" i="61"/>
  <c r="C1271" i="61"/>
  <c r="D1270" i="61"/>
  <c r="C1270" i="61"/>
  <c r="D1269" i="61"/>
  <c r="C1269" i="61"/>
  <c r="D1268" i="61"/>
  <c r="C1268" i="61"/>
  <c r="D1267" i="61"/>
  <c r="C1267" i="61"/>
  <c r="D1266" i="61"/>
  <c r="C1266" i="61"/>
  <c r="D1265" i="61"/>
  <c r="C1265" i="61"/>
  <c r="D1264" i="61"/>
  <c r="C1264" i="61"/>
  <c r="D1263" i="61"/>
  <c r="C1263" i="61"/>
  <c r="D1262" i="61"/>
  <c r="C1262" i="61"/>
  <c r="D1261" i="61"/>
  <c r="C1261" i="61"/>
  <c r="D1260" i="61"/>
  <c r="C1260" i="61"/>
  <c r="D1259" i="61"/>
  <c r="C1259" i="61"/>
  <c r="D1258" i="61"/>
  <c r="C1258" i="61"/>
  <c r="D1253" i="61"/>
  <c r="C1253" i="61"/>
  <c r="D1252" i="61"/>
  <c r="C1252" i="61"/>
  <c r="D1251" i="61"/>
  <c r="C1251" i="61"/>
  <c r="D1250" i="61"/>
  <c r="C1250" i="61"/>
  <c r="D1249" i="61"/>
  <c r="C1249" i="61"/>
  <c r="D1248" i="61"/>
  <c r="C1248" i="61"/>
  <c r="D1247" i="61"/>
  <c r="C1247" i="61"/>
  <c r="D1246" i="61"/>
  <c r="C1246" i="61"/>
  <c r="D1245" i="61"/>
  <c r="C1245" i="61"/>
  <c r="D1244" i="61"/>
  <c r="C1244" i="61"/>
  <c r="D1243" i="61"/>
  <c r="C1243" i="61"/>
  <c r="D1242" i="61"/>
  <c r="C1242" i="61"/>
  <c r="D1241" i="61"/>
  <c r="C1241" i="61"/>
  <c r="D1240" i="61"/>
  <c r="C1240" i="61"/>
  <c r="D1239" i="61"/>
  <c r="C1239" i="61"/>
  <c r="D1238" i="61"/>
  <c r="C1238" i="61"/>
  <c r="D1237" i="61"/>
  <c r="C1237" i="61"/>
  <c r="D1236" i="61"/>
  <c r="C1236" i="61"/>
  <c r="D1235" i="61"/>
  <c r="C1235" i="61"/>
  <c r="D1234" i="61"/>
  <c r="C1234" i="61"/>
  <c r="D1233" i="61"/>
  <c r="C1233" i="61"/>
  <c r="D1232" i="61"/>
  <c r="C1232" i="61"/>
  <c r="D1231" i="61"/>
  <c r="C1231" i="61"/>
  <c r="D1230" i="61"/>
  <c r="C1230" i="61"/>
  <c r="D1229" i="61"/>
  <c r="C1229" i="61"/>
  <c r="D1228" i="61"/>
  <c r="C1228" i="61"/>
  <c r="D1196" i="61"/>
  <c r="C1196" i="61"/>
  <c r="D1195" i="61"/>
  <c r="C1195" i="61"/>
  <c r="D1194" i="61"/>
  <c r="C1194" i="61"/>
  <c r="D1193" i="61"/>
  <c r="C1193" i="61"/>
  <c r="D1192" i="61"/>
  <c r="C1192" i="61"/>
  <c r="D1191" i="61"/>
  <c r="C1191" i="61"/>
  <c r="D1190" i="61"/>
  <c r="C1190" i="61"/>
  <c r="D1189" i="61"/>
  <c r="C1189" i="61"/>
  <c r="D1188" i="61"/>
  <c r="C1188" i="61"/>
  <c r="D1187" i="61"/>
  <c r="C1187" i="61"/>
  <c r="D1186" i="61"/>
  <c r="C1186" i="61"/>
  <c r="D1185" i="61"/>
  <c r="C1185" i="61"/>
  <c r="D1184" i="61"/>
  <c r="C1184" i="61"/>
  <c r="D1183" i="61"/>
  <c r="C1183" i="61"/>
  <c r="D1182" i="61"/>
  <c r="C1182" i="61"/>
  <c r="D1181" i="61"/>
  <c r="C1181" i="61"/>
  <c r="D1180" i="61"/>
  <c r="C1180" i="61"/>
  <c r="D1179" i="61"/>
  <c r="C1179" i="61"/>
  <c r="D1178" i="61"/>
  <c r="C1178" i="61"/>
  <c r="D1177" i="61"/>
  <c r="C1177" i="61"/>
  <c r="D1176" i="61"/>
  <c r="C1176" i="61"/>
  <c r="D1175" i="61"/>
  <c r="C1175" i="61"/>
  <c r="D1174" i="61"/>
  <c r="C1174" i="61"/>
  <c r="D1173" i="61"/>
  <c r="C1173" i="61"/>
  <c r="D1172" i="61"/>
  <c r="C1172" i="61"/>
  <c r="D1171" i="61"/>
  <c r="C1171" i="61"/>
  <c r="D1170" i="61"/>
  <c r="C1170" i="61"/>
  <c r="D1169" i="61"/>
  <c r="C1169" i="61"/>
  <c r="D1168" i="61"/>
  <c r="C1168" i="61"/>
  <c r="D1167" i="61"/>
  <c r="C1167" i="61"/>
  <c r="D1166" i="61"/>
  <c r="C1166" i="61"/>
  <c r="D1165" i="61"/>
  <c r="C1165" i="61"/>
  <c r="D1164" i="61"/>
  <c r="C1164" i="61"/>
  <c r="D1163" i="61"/>
  <c r="C1163" i="61"/>
  <c r="D1162" i="61"/>
  <c r="C1162" i="61"/>
  <c r="D1161" i="61"/>
  <c r="C1161" i="61"/>
  <c r="D1160" i="61"/>
  <c r="C1160" i="61"/>
  <c r="D1159" i="61"/>
  <c r="C1159" i="61"/>
  <c r="D1158" i="61"/>
  <c r="C1158" i="61"/>
  <c r="D1157" i="61"/>
  <c r="C1157" i="61"/>
  <c r="D1156" i="61"/>
  <c r="C1156" i="61"/>
  <c r="D1155" i="61"/>
  <c r="C1155" i="61"/>
  <c r="D1154" i="61"/>
  <c r="C1154" i="61"/>
  <c r="D1153" i="61"/>
  <c r="C1153" i="61"/>
  <c r="D1152" i="61"/>
  <c r="C1152" i="61"/>
  <c r="D1151" i="61"/>
  <c r="C1151" i="61"/>
  <c r="D1150" i="61"/>
  <c r="C1150" i="61"/>
  <c r="D1149" i="61"/>
  <c r="C1149" i="61"/>
  <c r="D1148" i="61"/>
  <c r="C1148" i="61"/>
  <c r="D1147" i="61"/>
  <c r="C1147" i="61"/>
  <c r="D1146" i="61"/>
  <c r="C1146" i="61"/>
  <c r="D1145" i="61"/>
  <c r="C1145" i="61"/>
  <c r="D1144" i="61"/>
  <c r="C1144" i="61"/>
  <c r="D1143" i="61"/>
  <c r="C1143" i="61"/>
  <c r="D1142" i="61"/>
  <c r="C1142" i="61"/>
  <c r="D1141" i="61"/>
  <c r="C1141" i="61"/>
  <c r="D1140" i="61"/>
  <c r="C1140" i="61"/>
  <c r="D1139" i="61"/>
  <c r="C1139" i="61"/>
  <c r="D1138" i="61"/>
  <c r="C1138" i="61"/>
  <c r="D1137" i="61"/>
  <c r="C1137" i="61"/>
  <c r="D1136" i="61"/>
  <c r="C1136" i="61"/>
  <c r="D1135" i="61"/>
  <c r="C1135" i="61"/>
  <c r="D1134" i="61"/>
  <c r="C1134" i="61"/>
  <c r="D1133" i="61"/>
  <c r="C1133" i="61"/>
  <c r="D1132" i="61"/>
  <c r="C1132" i="61"/>
  <c r="D1131" i="61"/>
  <c r="C1131" i="61"/>
  <c r="D1130" i="61"/>
  <c r="C1130" i="61"/>
  <c r="D1129" i="61"/>
  <c r="C1129" i="61"/>
  <c r="D1128" i="61"/>
  <c r="C1128" i="61"/>
  <c r="D1127" i="61"/>
  <c r="C1127" i="61"/>
  <c r="D1126" i="61"/>
  <c r="C1126" i="61"/>
  <c r="D1125" i="61"/>
  <c r="C1125" i="61"/>
  <c r="D1124" i="61"/>
  <c r="C1124" i="61"/>
  <c r="D1123" i="61"/>
  <c r="C1123" i="61"/>
  <c r="D1122" i="61"/>
  <c r="C1122" i="61"/>
  <c r="D1121" i="61"/>
  <c r="C1121" i="61"/>
  <c r="D1120" i="61"/>
  <c r="C1120" i="61"/>
  <c r="D1119" i="61"/>
  <c r="C1119" i="61"/>
  <c r="D1118" i="61"/>
  <c r="C1118" i="61"/>
  <c r="D1117" i="61"/>
  <c r="C1117" i="61"/>
  <c r="D1116" i="61"/>
  <c r="C1116" i="61"/>
  <c r="D1115" i="61"/>
  <c r="C1115" i="61"/>
  <c r="D1114" i="61"/>
  <c r="C1114" i="61"/>
  <c r="D1113" i="61"/>
  <c r="C1113" i="61"/>
  <c r="D1112" i="61"/>
  <c r="C1112" i="61"/>
  <c r="D1111" i="61"/>
  <c r="C1111" i="61"/>
  <c r="D1110" i="61"/>
  <c r="C1110" i="61"/>
  <c r="D1109" i="61"/>
  <c r="C1109" i="61"/>
  <c r="D1108" i="61"/>
  <c r="C1108" i="61"/>
  <c r="D1107" i="61"/>
  <c r="C1107" i="61"/>
  <c r="D1106" i="61"/>
  <c r="C1106" i="61"/>
  <c r="D1105" i="61"/>
  <c r="C1105" i="61"/>
  <c r="D1104" i="61"/>
  <c r="C1104" i="61"/>
  <c r="D1103" i="61"/>
  <c r="C1103" i="61"/>
  <c r="D1102" i="61"/>
  <c r="C1102" i="61"/>
  <c r="D1101" i="61"/>
  <c r="C1101" i="61"/>
  <c r="D1100" i="61"/>
  <c r="C1100" i="61"/>
  <c r="D1099" i="61"/>
  <c r="C1099" i="61"/>
  <c r="D1098" i="61"/>
  <c r="C1098" i="61"/>
  <c r="D1097" i="61"/>
  <c r="C1097" i="61"/>
  <c r="D1096" i="61"/>
  <c r="C1096" i="61"/>
  <c r="D1095" i="61"/>
  <c r="C1095" i="61"/>
  <c r="D1094" i="61"/>
  <c r="C1094" i="61"/>
  <c r="D1093" i="61"/>
  <c r="C1093" i="61"/>
  <c r="D1092" i="61"/>
  <c r="C1092" i="61"/>
  <c r="D1091" i="61"/>
  <c r="C1091" i="61"/>
  <c r="D1090" i="61"/>
  <c r="C1090" i="61"/>
  <c r="D1089" i="61"/>
  <c r="C1089" i="61"/>
  <c r="D1088" i="61"/>
  <c r="C1088" i="61"/>
  <c r="D1087" i="61"/>
  <c r="C1087" i="61"/>
  <c r="D1086" i="61"/>
  <c r="C1086" i="61"/>
  <c r="D1085" i="61"/>
  <c r="C1085" i="61"/>
  <c r="D1084" i="61"/>
  <c r="C1084" i="61"/>
  <c r="D1083" i="61"/>
  <c r="C1083" i="61"/>
  <c r="D1082" i="61"/>
  <c r="C1082" i="61"/>
  <c r="D1081" i="61"/>
  <c r="C1081" i="61"/>
  <c r="D1080" i="61"/>
  <c r="C1080" i="61"/>
  <c r="D1079" i="61"/>
  <c r="C1079" i="61"/>
  <c r="D1078" i="61"/>
  <c r="C1078" i="61"/>
  <c r="D1077" i="61"/>
  <c r="C1077" i="61"/>
  <c r="D1076" i="61"/>
  <c r="C1076" i="61"/>
  <c r="D1075" i="61"/>
  <c r="C1075" i="61"/>
  <c r="D1074" i="61"/>
  <c r="C1074" i="61"/>
  <c r="D1073" i="61"/>
  <c r="C1073" i="61"/>
  <c r="D1072" i="61"/>
  <c r="C1072" i="61"/>
  <c r="D1071" i="61"/>
  <c r="C1071" i="61"/>
  <c r="D1070" i="61"/>
  <c r="C1070" i="61"/>
  <c r="D1069" i="61"/>
  <c r="C1069" i="61"/>
  <c r="D1068" i="61"/>
  <c r="C1068" i="61"/>
  <c r="D1067" i="61"/>
  <c r="C1067" i="61"/>
  <c r="D1066" i="61"/>
  <c r="C1066" i="61"/>
  <c r="D1065" i="61"/>
  <c r="C1065" i="61"/>
  <c r="D1064" i="61"/>
  <c r="C1064" i="61"/>
  <c r="D1063" i="61"/>
  <c r="C1063" i="61"/>
  <c r="D1062" i="61"/>
  <c r="C1062" i="61"/>
  <c r="D1061" i="61"/>
  <c r="C1061" i="61"/>
  <c r="D1060" i="61"/>
  <c r="C1060" i="61"/>
  <c r="D1059" i="61"/>
  <c r="C1059" i="61"/>
  <c r="D1058" i="61"/>
  <c r="C1058" i="61"/>
  <c r="D1057" i="61"/>
  <c r="C1057" i="61"/>
  <c r="D1056" i="61"/>
  <c r="C1056" i="61"/>
  <c r="D1055" i="61"/>
  <c r="C1055" i="61"/>
  <c r="D1054" i="61"/>
  <c r="C1054" i="61"/>
  <c r="D1053" i="61"/>
  <c r="C1053" i="61"/>
  <c r="D1052" i="61"/>
  <c r="C1052" i="61"/>
  <c r="D1051" i="61"/>
  <c r="C1051" i="61"/>
  <c r="D1050" i="61"/>
  <c r="C1050" i="61"/>
  <c r="D1049" i="61"/>
  <c r="C1049" i="61"/>
  <c r="D1048" i="61"/>
  <c r="C1048" i="61"/>
  <c r="D1047" i="61"/>
  <c r="C1047" i="61"/>
  <c r="D1046" i="61"/>
  <c r="C1046" i="61"/>
  <c r="D1045" i="61"/>
  <c r="C1045" i="61"/>
  <c r="D1044" i="61"/>
  <c r="C1044" i="61"/>
  <c r="D1043" i="61"/>
  <c r="C1043" i="61"/>
  <c r="D1042" i="61"/>
  <c r="C1042" i="61"/>
  <c r="D1041" i="61"/>
  <c r="C1041" i="61"/>
  <c r="D1040" i="61"/>
  <c r="C1040" i="61"/>
  <c r="D1039" i="61"/>
  <c r="C1039" i="61"/>
  <c r="D1038" i="61"/>
  <c r="C1038" i="61"/>
  <c r="D1037" i="61"/>
  <c r="C1037" i="61"/>
  <c r="D1036" i="61"/>
  <c r="C1036" i="61"/>
  <c r="D1035" i="61"/>
  <c r="C1035" i="61"/>
  <c r="D1034" i="61"/>
  <c r="C1034" i="61"/>
  <c r="D1033" i="61"/>
  <c r="C1033" i="61"/>
  <c r="D1032" i="61"/>
  <c r="C1032" i="61"/>
  <c r="D1031" i="61"/>
  <c r="C1031" i="61"/>
  <c r="D1030" i="61"/>
  <c r="C1030" i="61"/>
  <c r="D1029" i="61"/>
  <c r="C1029" i="61"/>
  <c r="D1028" i="61"/>
  <c r="C1028" i="61"/>
  <c r="D1027" i="61"/>
  <c r="C1027" i="61"/>
  <c r="D1026" i="61"/>
  <c r="C1026" i="61"/>
  <c r="D1025" i="61"/>
  <c r="C1025" i="61"/>
  <c r="D1024" i="61"/>
  <c r="C1024" i="61"/>
  <c r="D1023" i="61"/>
  <c r="C1023" i="61"/>
  <c r="D1022" i="61"/>
  <c r="C1022" i="61"/>
  <c r="D1021" i="61"/>
  <c r="C1021" i="61"/>
  <c r="D1020" i="61"/>
  <c r="C1020" i="61"/>
  <c r="D1019" i="61"/>
  <c r="C1019" i="61"/>
  <c r="D1018" i="61"/>
  <c r="C1018" i="61"/>
  <c r="D1017" i="61"/>
  <c r="C1017" i="61"/>
  <c r="D1016" i="61"/>
  <c r="C1016" i="61"/>
  <c r="D1015" i="61"/>
  <c r="C1015" i="61"/>
  <c r="D1014" i="61"/>
  <c r="C1014" i="61"/>
  <c r="D1013" i="61"/>
  <c r="C1013" i="61"/>
  <c r="D1012" i="61"/>
  <c r="C1012" i="61"/>
  <c r="D1011" i="61"/>
  <c r="C1011" i="61"/>
  <c r="D1010" i="61"/>
  <c r="C1010" i="61"/>
  <c r="D1009" i="61"/>
  <c r="C1009" i="61"/>
  <c r="D1008" i="61"/>
  <c r="C1008" i="61"/>
  <c r="D1007" i="61"/>
  <c r="C1007" i="61"/>
  <c r="D1006" i="61"/>
  <c r="C1006" i="61"/>
  <c r="D1005" i="61"/>
  <c r="C1005" i="61"/>
  <c r="D1004" i="61"/>
  <c r="C1004" i="61"/>
  <c r="D1003" i="61"/>
  <c r="C1003" i="61"/>
  <c r="D1002" i="61"/>
  <c r="C1002" i="61"/>
  <c r="D1001" i="61"/>
  <c r="C1001" i="61"/>
  <c r="D1000" i="61"/>
  <c r="C1000" i="61"/>
  <c r="D999" i="61"/>
  <c r="C999" i="61"/>
  <c r="D998" i="61"/>
  <c r="C998" i="61"/>
  <c r="D997" i="61"/>
  <c r="C997" i="61"/>
  <c r="D996" i="61"/>
  <c r="C996" i="61"/>
  <c r="D995" i="61"/>
  <c r="C995" i="61"/>
  <c r="D994" i="61"/>
  <c r="C994" i="61"/>
  <c r="D993" i="61"/>
  <c r="C993" i="61"/>
  <c r="D992" i="61"/>
  <c r="C992" i="61"/>
  <c r="D991" i="61"/>
  <c r="C991" i="61"/>
  <c r="D990" i="61"/>
  <c r="C990" i="61"/>
  <c r="D989" i="61"/>
  <c r="C989" i="61"/>
  <c r="D988" i="61"/>
  <c r="C988" i="61"/>
  <c r="D987" i="61"/>
  <c r="C987" i="61"/>
  <c r="D986" i="61"/>
  <c r="C986" i="61"/>
  <c r="D985" i="61"/>
  <c r="C985" i="61"/>
  <c r="D984" i="61"/>
  <c r="C984" i="61"/>
  <c r="D983" i="61"/>
  <c r="C983" i="61"/>
  <c r="D982" i="61"/>
  <c r="C982" i="61"/>
  <c r="D981" i="61"/>
  <c r="C981" i="61"/>
  <c r="D980" i="61"/>
  <c r="C980" i="61"/>
  <c r="D979" i="61"/>
  <c r="C979" i="61"/>
  <c r="D978" i="61"/>
  <c r="C978" i="61"/>
  <c r="D977" i="61"/>
  <c r="C977" i="61"/>
  <c r="D976" i="61"/>
  <c r="C976" i="61"/>
  <c r="D975" i="61"/>
  <c r="C975" i="61"/>
  <c r="D974" i="61"/>
  <c r="C974" i="61"/>
  <c r="D973" i="61"/>
  <c r="C973" i="61"/>
  <c r="D972" i="61"/>
  <c r="C972" i="61"/>
  <c r="D971" i="61"/>
  <c r="C971" i="61"/>
  <c r="D970" i="61"/>
  <c r="C970" i="61"/>
  <c r="D969" i="61"/>
  <c r="C969" i="61"/>
  <c r="D968" i="61"/>
  <c r="C968" i="61"/>
  <c r="D967" i="61"/>
  <c r="C967" i="61"/>
  <c r="D966" i="61"/>
  <c r="C966" i="61"/>
  <c r="D965" i="61"/>
  <c r="C965" i="61"/>
  <c r="D964" i="61"/>
  <c r="C964" i="61"/>
  <c r="D963" i="61"/>
  <c r="C963" i="61"/>
  <c r="D962" i="61"/>
  <c r="C962" i="61"/>
  <c r="D961" i="61"/>
  <c r="C961" i="61"/>
  <c r="D960" i="61"/>
  <c r="C960" i="61"/>
  <c r="D959" i="61"/>
  <c r="C959" i="61"/>
  <c r="D958" i="61"/>
  <c r="C958" i="61"/>
  <c r="D957" i="61"/>
  <c r="C957" i="61"/>
  <c r="D956" i="61"/>
  <c r="C956" i="61"/>
  <c r="D955" i="61"/>
  <c r="C955" i="61"/>
  <c r="D954" i="61"/>
  <c r="C954" i="61"/>
  <c r="D953" i="61"/>
  <c r="C953" i="61"/>
  <c r="D952" i="61"/>
  <c r="C952" i="61"/>
  <c r="D951" i="61"/>
  <c r="C951" i="61"/>
  <c r="D950" i="61"/>
  <c r="C950" i="61"/>
  <c r="D949" i="61"/>
  <c r="C949" i="61"/>
  <c r="D948" i="61"/>
  <c r="C948" i="61"/>
  <c r="D947" i="61"/>
  <c r="C947" i="61"/>
  <c r="D946" i="61"/>
  <c r="C946" i="61"/>
  <c r="D945" i="61"/>
  <c r="C945" i="61"/>
  <c r="D944" i="61"/>
  <c r="C944" i="61"/>
  <c r="D943" i="61"/>
  <c r="C943" i="61"/>
  <c r="D942" i="61"/>
  <c r="C942" i="61"/>
  <c r="D941" i="61"/>
  <c r="C941" i="61"/>
  <c r="D940" i="61"/>
  <c r="C940" i="61"/>
  <c r="D939" i="61"/>
  <c r="C939" i="61"/>
  <c r="D938" i="61"/>
  <c r="C938" i="61"/>
  <c r="D937" i="61"/>
  <c r="C937" i="61"/>
  <c r="D936" i="61"/>
  <c r="C936" i="61"/>
  <c r="D935" i="61"/>
  <c r="C935" i="61"/>
  <c r="D934" i="61"/>
  <c r="C934" i="61"/>
  <c r="D933" i="61"/>
  <c r="C933" i="61"/>
  <c r="D932" i="61"/>
  <c r="C932" i="61"/>
  <c r="D931" i="61"/>
  <c r="C931" i="61"/>
  <c r="D930" i="61"/>
  <c r="C930" i="61"/>
  <c r="D929" i="61"/>
  <c r="C929" i="61"/>
  <c r="D928" i="61"/>
  <c r="C928" i="61"/>
  <c r="D927" i="61"/>
  <c r="C927" i="61"/>
  <c r="D926" i="61"/>
  <c r="C926" i="61"/>
  <c r="D925" i="61"/>
  <c r="C925" i="61"/>
  <c r="D924" i="61"/>
  <c r="C924" i="61"/>
  <c r="D923" i="61"/>
  <c r="C923" i="61"/>
  <c r="D922" i="61"/>
  <c r="C922" i="61"/>
  <c r="D921" i="61"/>
  <c r="C921" i="61"/>
  <c r="D920" i="61"/>
  <c r="C920" i="61"/>
  <c r="D919" i="61"/>
  <c r="C919" i="61"/>
  <c r="D918" i="61"/>
  <c r="C918" i="61"/>
  <c r="D917" i="61"/>
  <c r="C917" i="61"/>
  <c r="D916" i="61"/>
  <c r="C916" i="61"/>
  <c r="D915" i="61"/>
  <c r="C915" i="61"/>
  <c r="D914" i="61"/>
  <c r="C914" i="61"/>
  <c r="D913" i="61"/>
  <c r="C913" i="61"/>
  <c r="D912" i="61"/>
  <c r="C912" i="61"/>
  <c r="D911" i="61"/>
  <c r="C911" i="61"/>
  <c r="D910" i="61"/>
  <c r="C910" i="61"/>
  <c r="D909" i="61"/>
  <c r="C909" i="61"/>
  <c r="D908" i="61"/>
  <c r="C908" i="61"/>
  <c r="D907" i="61"/>
  <c r="C907" i="61"/>
  <c r="D906" i="61"/>
  <c r="C906" i="61"/>
  <c r="D905" i="61"/>
  <c r="C905" i="61"/>
  <c r="D904" i="61"/>
  <c r="C904" i="61"/>
  <c r="D903" i="61"/>
  <c r="C903" i="61"/>
  <c r="D902" i="61"/>
  <c r="C902" i="61"/>
  <c r="D901" i="61"/>
  <c r="C901" i="61"/>
  <c r="D900" i="61"/>
  <c r="C900" i="61"/>
  <c r="D899" i="61"/>
  <c r="C899" i="61"/>
  <c r="D898" i="61"/>
  <c r="C898" i="61"/>
  <c r="D897" i="61"/>
  <c r="C897" i="61"/>
  <c r="D896" i="61"/>
  <c r="C896" i="61"/>
  <c r="D895" i="61"/>
  <c r="C895" i="61"/>
  <c r="D894" i="61"/>
  <c r="C894" i="61"/>
  <c r="D893" i="61"/>
  <c r="C893" i="61"/>
  <c r="D892" i="61"/>
  <c r="C892" i="61"/>
  <c r="D891" i="61"/>
  <c r="C891" i="61"/>
  <c r="D890" i="61"/>
  <c r="C890" i="61"/>
  <c r="D889" i="61"/>
  <c r="C889" i="61"/>
  <c r="D888" i="61"/>
  <c r="C888" i="61"/>
  <c r="D887" i="61"/>
  <c r="C887" i="61"/>
  <c r="D886" i="61"/>
  <c r="C886" i="61"/>
  <c r="D885" i="61"/>
  <c r="C885" i="61"/>
  <c r="D884" i="61"/>
  <c r="C884" i="61"/>
  <c r="D883" i="61"/>
  <c r="C883" i="61"/>
  <c r="D882" i="61"/>
  <c r="C882" i="61"/>
  <c r="D881" i="61"/>
  <c r="C881" i="61"/>
  <c r="D880" i="61"/>
  <c r="C880" i="61"/>
  <c r="D879" i="61"/>
  <c r="C879" i="61"/>
  <c r="D878" i="61"/>
  <c r="C878" i="61"/>
  <c r="D877" i="61"/>
  <c r="C877" i="61"/>
  <c r="D876" i="61"/>
  <c r="C876" i="61"/>
  <c r="D875" i="61"/>
  <c r="C875" i="61"/>
  <c r="D874" i="61"/>
  <c r="C874" i="61"/>
  <c r="D873" i="61"/>
  <c r="C873" i="61"/>
  <c r="D872" i="61"/>
  <c r="C872" i="61"/>
  <c r="D871" i="61"/>
  <c r="C871" i="61"/>
  <c r="D870" i="61"/>
  <c r="C870" i="61"/>
  <c r="D869" i="61"/>
  <c r="C869" i="61"/>
  <c r="D868" i="61"/>
  <c r="C868" i="61"/>
  <c r="D867" i="61"/>
  <c r="C867" i="61"/>
  <c r="D866" i="61"/>
  <c r="C866" i="61"/>
  <c r="D865" i="61"/>
  <c r="C865" i="61"/>
  <c r="D864" i="61"/>
  <c r="C864" i="61"/>
  <c r="D863" i="61"/>
  <c r="C863" i="61"/>
  <c r="D862" i="61"/>
  <c r="C862" i="61"/>
  <c r="D861" i="61"/>
  <c r="C861" i="61"/>
  <c r="D860" i="61"/>
  <c r="C860" i="61"/>
  <c r="D859" i="61"/>
  <c r="C859" i="61"/>
  <c r="D858" i="61"/>
  <c r="C858" i="61"/>
  <c r="D857" i="61"/>
  <c r="C857" i="61"/>
  <c r="D856" i="61"/>
  <c r="C856" i="61"/>
  <c r="D855" i="61"/>
  <c r="C855" i="61"/>
  <c r="D854" i="61"/>
  <c r="C854" i="61"/>
  <c r="D853" i="61"/>
  <c r="C853" i="61"/>
  <c r="D852" i="61"/>
  <c r="C852" i="61"/>
  <c r="D851" i="61"/>
  <c r="C851" i="61"/>
  <c r="D850" i="61"/>
  <c r="C850" i="61"/>
  <c r="D849" i="61"/>
  <c r="C849" i="61"/>
  <c r="D848" i="61"/>
  <c r="C848" i="61"/>
  <c r="D847" i="61"/>
  <c r="C847" i="61"/>
  <c r="D846" i="61"/>
  <c r="C846" i="61"/>
  <c r="D845" i="61"/>
  <c r="C845" i="61"/>
  <c r="D844" i="61"/>
  <c r="C844" i="61"/>
  <c r="D843" i="61"/>
  <c r="C843" i="61"/>
  <c r="D842" i="61"/>
  <c r="C842" i="61"/>
  <c r="D841" i="61"/>
  <c r="C841" i="61"/>
  <c r="D840" i="61"/>
  <c r="C840" i="61"/>
  <c r="D839" i="61"/>
  <c r="C839" i="61"/>
  <c r="D838" i="61"/>
  <c r="C838" i="61"/>
  <c r="D837" i="61"/>
  <c r="C837" i="61"/>
  <c r="D836" i="61"/>
  <c r="C836" i="61"/>
  <c r="D835" i="61"/>
  <c r="C835" i="61"/>
  <c r="D834" i="61"/>
  <c r="C834" i="61"/>
  <c r="D833" i="61"/>
  <c r="C833" i="61"/>
  <c r="D832" i="61"/>
  <c r="C832" i="61"/>
  <c r="D831" i="61"/>
  <c r="C831" i="61"/>
  <c r="D830" i="61"/>
  <c r="C830" i="61"/>
  <c r="D829" i="61"/>
  <c r="C829" i="61"/>
  <c r="D828" i="61"/>
  <c r="C828" i="61"/>
  <c r="D827" i="61"/>
  <c r="C827" i="61"/>
  <c r="D826" i="61"/>
  <c r="C826" i="61"/>
  <c r="D825" i="61"/>
  <c r="C825" i="61"/>
  <c r="D824" i="61"/>
  <c r="C824" i="61"/>
  <c r="D823" i="61"/>
  <c r="C823" i="61"/>
  <c r="D822" i="61"/>
  <c r="C822" i="61"/>
  <c r="D821" i="61"/>
  <c r="C821" i="61"/>
  <c r="D820" i="61"/>
  <c r="C820" i="61"/>
  <c r="D819" i="61"/>
  <c r="C819" i="61"/>
  <c r="D818" i="61"/>
  <c r="C818" i="61"/>
  <c r="D817" i="61"/>
  <c r="C817" i="61"/>
  <c r="D816" i="61"/>
  <c r="C816" i="61"/>
  <c r="D815" i="61"/>
  <c r="C815" i="61"/>
  <c r="D814" i="61"/>
  <c r="C814" i="61"/>
  <c r="D813" i="61"/>
  <c r="C813" i="61"/>
  <c r="D812" i="61"/>
  <c r="C812" i="61"/>
  <c r="D811" i="61"/>
  <c r="C811" i="61"/>
  <c r="D810" i="61"/>
  <c r="C810" i="61"/>
  <c r="D809" i="61"/>
  <c r="C809" i="61"/>
  <c r="D808" i="61"/>
  <c r="C808" i="61"/>
  <c r="D807" i="61"/>
  <c r="C807" i="61"/>
  <c r="D806" i="61"/>
  <c r="C806" i="61"/>
  <c r="D805" i="61"/>
  <c r="C805" i="61"/>
  <c r="D804" i="61"/>
  <c r="C804" i="61"/>
  <c r="D803" i="61"/>
  <c r="C803" i="61"/>
  <c r="D802" i="61"/>
  <c r="C802" i="61"/>
  <c r="D801" i="61"/>
  <c r="C801" i="61"/>
  <c r="D800" i="61"/>
  <c r="C800" i="61"/>
  <c r="D799" i="61"/>
  <c r="C799" i="61"/>
  <c r="D798" i="61"/>
  <c r="C798" i="61"/>
  <c r="D797" i="61"/>
  <c r="C797" i="61"/>
  <c r="D796" i="61"/>
  <c r="C796" i="61"/>
  <c r="D795" i="61"/>
  <c r="C795" i="61"/>
  <c r="D794" i="61"/>
  <c r="C794" i="61"/>
  <c r="D793" i="61"/>
  <c r="C793" i="61"/>
  <c r="D792" i="61"/>
  <c r="C792" i="61"/>
  <c r="D791" i="61"/>
  <c r="C791" i="61"/>
  <c r="D790" i="61"/>
  <c r="C790" i="61"/>
  <c r="D789" i="61"/>
  <c r="C789" i="61"/>
  <c r="D788" i="61"/>
  <c r="C788" i="61"/>
  <c r="D787" i="61"/>
  <c r="C787" i="61"/>
  <c r="D786" i="61"/>
  <c r="C786" i="61"/>
  <c r="D785" i="61"/>
  <c r="C785" i="61"/>
  <c r="D784" i="61"/>
  <c r="C784" i="61"/>
  <c r="D783" i="61"/>
  <c r="C783" i="61"/>
  <c r="D782" i="61"/>
  <c r="C782" i="61"/>
  <c r="D781" i="61"/>
  <c r="C781" i="61"/>
  <c r="D780" i="61"/>
  <c r="C780" i="61"/>
  <c r="D779" i="61"/>
  <c r="C779" i="61"/>
  <c r="D778" i="61"/>
  <c r="C778" i="61"/>
  <c r="D777" i="61"/>
  <c r="C777" i="61"/>
  <c r="D776" i="61"/>
  <c r="C776" i="61"/>
  <c r="D775" i="61"/>
  <c r="C775" i="61"/>
  <c r="D774" i="61"/>
  <c r="C774" i="61"/>
  <c r="D773" i="61"/>
  <c r="C773" i="61"/>
  <c r="D772" i="61"/>
  <c r="C772" i="61"/>
  <c r="D771" i="61"/>
  <c r="C771" i="61"/>
  <c r="D770" i="61"/>
  <c r="C770" i="61"/>
  <c r="D769" i="61"/>
  <c r="C769" i="61"/>
  <c r="D768" i="61"/>
  <c r="C768" i="61"/>
  <c r="D767" i="61"/>
  <c r="C767" i="61"/>
  <c r="D766" i="61"/>
  <c r="C766" i="61"/>
  <c r="D765" i="61"/>
  <c r="C765" i="61"/>
  <c r="D764" i="61"/>
  <c r="C764" i="61"/>
  <c r="D763" i="61"/>
  <c r="C763" i="61"/>
  <c r="D762" i="61"/>
  <c r="C762" i="61"/>
  <c r="D761" i="61"/>
  <c r="C761" i="61"/>
  <c r="D760" i="61"/>
  <c r="C760" i="61"/>
  <c r="D759" i="61"/>
  <c r="C759" i="61"/>
  <c r="D758" i="61"/>
  <c r="C758" i="61"/>
  <c r="D757" i="61"/>
  <c r="C757" i="61"/>
  <c r="D756" i="61"/>
  <c r="C756" i="61"/>
  <c r="D755" i="61"/>
  <c r="C755" i="61"/>
  <c r="D754" i="61"/>
  <c r="C754" i="61"/>
  <c r="D753" i="61"/>
  <c r="C753" i="61"/>
  <c r="D752" i="61"/>
  <c r="C752" i="61"/>
  <c r="D751" i="61"/>
  <c r="C751" i="61"/>
  <c r="D750" i="61"/>
  <c r="C750" i="61"/>
  <c r="D749" i="61"/>
  <c r="C749" i="61"/>
  <c r="D748" i="61"/>
  <c r="C748" i="61"/>
  <c r="D747" i="61"/>
  <c r="C747" i="61"/>
  <c r="D746" i="61"/>
  <c r="C746" i="61"/>
  <c r="D745" i="61"/>
  <c r="C745" i="61"/>
  <c r="D744" i="61"/>
  <c r="C744" i="61"/>
  <c r="D743" i="61"/>
  <c r="C743" i="61"/>
  <c r="D742" i="61"/>
  <c r="C742" i="61"/>
  <c r="D741" i="61"/>
  <c r="C741" i="61"/>
  <c r="D740" i="61"/>
  <c r="C740" i="61"/>
  <c r="D739" i="61"/>
  <c r="C739" i="61"/>
  <c r="D738" i="61"/>
  <c r="C738" i="61"/>
  <c r="D737" i="61"/>
  <c r="C737" i="61"/>
  <c r="D736" i="61"/>
  <c r="C736" i="61"/>
  <c r="D735" i="61"/>
  <c r="C735" i="61"/>
  <c r="D734" i="61"/>
  <c r="C734" i="61"/>
  <c r="D733" i="61"/>
  <c r="C733" i="61"/>
  <c r="D732" i="61"/>
  <c r="C732" i="61"/>
  <c r="D731" i="61"/>
  <c r="C731" i="61"/>
  <c r="D730" i="61"/>
  <c r="C730" i="61"/>
  <c r="D729" i="61"/>
  <c r="C729" i="61"/>
  <c r="D728" i="61"/>
  <c r="C728" i="61"/>
  <c r="D727" i="61"/>
  <c r="C727" i="61"/>
  <c r="D726" i="61"/>
  <c r="C726" i="61"/>
  <c r="D725" i="61"/>
  <c r="C725" i="61"/>
  <c r="D724" i="61"/>
  <c r="C724" i="61"/>
  <c r="D723" i="61"/>
  <c r="C723" i="61"/>
  <c r="D722" i="61"/>
  <c r="C722" i="61"/>
  <c r="D721" i="61"/>
  <c r="C721" i="61"/>
  <c r="D720" i="61"/>
  <c r="C720" i="61"/>
  <c r="D719" i="61"/>
  <c r="C719" i="61"/>
  <c r="D718" i="61"/>
  <c r="C718" i="61"/>
  <c r="D717" i="61"/>
  <c r="C717" i="61"/>
  <c r="D716" i="61"/>
  <c r="C716" i="61"/>
  <c r="D715" i="61"/>
  <c r="C715" i="61"/>
  <c r="D714" i="61"/>
  <c r="C714" i="61"/>
  <c r="D713" i="61"/>
  <c r="C713" i="61"/>
  <c r="D712" i="61"/>
  <c r="C712" i="61"/>
  <c r="D711" i="61"/>
  <c r="C711" i="61"/>
  <c r="D710" i="61"/>
  <c r="C710" i="61"/>
  <c r="D709" i="61"/>
  <c r="C709" i="61"/>
  <c r="D708" i="61"/>
  <c r="C708" i="61"/>
  <c r="D707" i="61"/>
  <c r="C707" i="61"/>
  <c r="D706" i="61"/>
  <c r="C706" i="61"/>
  <c r="D705" i="61"/>
  <c r="C705" i="61"/>
  <c r="D704" i="61"/>
  <c r="C704" i="61"/>
  <c r="D703" i="61"/>
  <c r="C703" i="61"/>
  <c r="D702" i="61"/>
  <c r="C702" i="61"/>
  <c r="D701" i="61"/>
  <c r="C701" i="61"/>
  <c r="D700" i="61"/>
  <c r="C700" i="61"/>
  <c r="D699" i="61"/>
  <c r="C699" i="61"/>
  <c r="D698" i="61"/>
  <c r="C698" i="61"/>
  <c r="D697" i="61"/>
  <c r="C697" i="61"/>
  <c r="D696" i="61"/>
  <c r="C696" i="61"/>
  <c r="D695" i="61"/>
  <c r="C695" i="61"/>
  <c r="D694" i="61"/>
  <c r="C694" i="61"/>
  <c r="D693" i="61"/>
  <c r="C693" i="61"/>
  <c r="D692" i="61"/>
  <c r="C692" i="61"/>
  <c r="D691" i="61"/>
  <c r="C691" i="61"/>
  <c r="D690" i="61"/>
  <c r="C690" i="61"/>
  <c r="D689" i="61"/>
  <c r="C689" i="61"/>
  <c r="D688" i="61"/>
  <c r="C688" i="61"/>
  <c r="D687" i="61"/>
  <c r="C687" i="61"/>
  <c r="D686" i="61"/>
  <c r="C686" i="61"/>
  <c r="D685" i="61"/>
  <c r="C685" i="61"/>
  <c r="D684" i="61"/>
  <c r="C684" i="61"/>
  <c r="D683" i="61"/>
  <c r="C683" i="61"/>
  <c r="D682" i="61"/>
  <c r="C682" i="61"/>
  <c r="D681" i="61"/>
  <c r="C681" i="61"/>
  <c r="D680" i="61"/>
  <c r="C680" i="61"/>
  <c r="D679" i="61"/>
  <c r="C679" i="61"/>
  <c r="D678" i="61"/>
  <c r="C678" i="61"/>
  <c r="D677" i="61"/>
  <c r="C677" i="61"/>
  <c r="D676" i="61"/>
  <c r="C676" i="61"/>
  <c r="D675" i="61"/>
  <c r="C675" i="61"/>
  <c r="D674" i="61"/>
  <c r="C674" i="61"/>
  <c r="D673" i="61"/>
  <c r="C673" i="61"/>
  <c r="D672" i="61"/>
  <c r="C672" i="61"/>
  <c r="D671" i="61"/>
  <c r="C671" i="61"/>
  <c r="D670" i="61"/>
  <c r="C670" i="61"/>
  <c r="D669" i="61"/>
  <c r="C669" i="61"/>
  <c r="D668" i="61"/>
  <c r="C668" i="61"/>
  <c r="D667" i="61"/>
  <c r="C667" i="61"/>
  <c r="D666" i="61"/>
  <c r="C666" i="61"/>
  <c r="D665" i="61"/>
  <c r="C665" i="61"/>
  <c r="D664" i="61"/>
  <c r="C664" i="61"/>
  <c r="D663" i="61"/>
  <c r="C663" i="61"/>
  <c r="D662" i="61"/>
  <c r="C662" i="61"/>
  <c r="D661" i="61"/>
  <c r="C661" i="61"/>
  <c r="D660" i="61"/>
  <c r="C660" i="61"/>
  <c r="D659" i="61"/>
  <c r="C659" i="61"/>
  <c r="D658" i="61"/>
  <c r="C658" i="61"/>
  <c r="D657" i="61"/>
  <c r="C657" i="61"/>
  <c r="D656" i="61"/>
  <c r="C656" i="61"/>
  <c r="D655" i="61"/>
  <c r="C655" i="61"/>
  <c r="D654" i="61"/>
  <c r="C654" i="61"/>
  <c r="D653" i="61"/>
  <c r="C653" i="61"/>
  <c r="D652" i="61"/>
  <c r="C652" i="61"/>
  <c r="D651" i="61"/>
  <c r="C651" i="61"/>
  <c r="D650" i="61"/>
  <c r="C650" i="61"/>
  <c r="D649" i="61"/>
  <c r="C649" i="61"/>
  <c r="D648" i="61"/>
  <c r="C648" i="61"/>
  <c r="D647" i="61"/>
  <c r="C647" i="61"/>
  <c r="D646" i="61"/>
  <c r="C646" i="61"/>
  <c r="D645" i="61"/>
  <c r="C645" i="61"/>
  <c r="D644" i="61"/>
  <c r="C644" i="61"/>
  <c r="D643" i="61"/>
  <c r="C643" i="61"/>
  <c r="D642" i="61"/>
  <c r="C642" i="61"/>
  <c r="D641" i="61"/>
  <c r="C641" i="61"/>
  <c r="D640" i="61"/>
  <c r="C640" i="61"/>
  <c r="D639" i="61"/>
  <c r="C639" i="61"/>
  <c r="D638" i="61"/>
  <c r="C638" i="61"/>
  <c r="D637" i="61"/>
  <c r="C637" i="61"/>
  <c r="D636" i="61"/>
  <c r="C636" i="61"/>
  <c r="D635" i="61"/>
  <c r="C635" i="61"/>
  <c r="D634" i="61"/>
  <c r="C634" i="61"/>
  <c r="D633" i="61"/>
  <c r="C633" i="61"/>
  <c r="D632" i="61"/>
  <c r="C632" i="61"/>
  <c r="D631" i="61"/>
  <c r="C631" i="61"/>
  <c r="D630" i="61"/>
  <c r="C630" i="61"/>
  <c r="D629" i="61"/>
  <c r="C629" i="61"/>
  <c r="D628" i="61"/>
  <c r="C628" i="61"/>
  <c r="D627" i="61"/>
  <c r="C627" i="61"/>
  <c r="D626" i="61"/>
  <c r="C626" i="61"/>
  <c r="D625" i="61"/>
  <c r="C625" i="61"/>
  <c r="D624" i="61"/>
  <c r="C624" i="61"/>
  <c r="D623" i="61"/>
  <c r="C623" i="61"/>
  <c r="D622" i="61"/>
  <c r="C622" i="61"/>
  <c r="D621" i="61"/>
  <c r="C621" i="61"/>
  <c r="D620" i="61"/>
  <c r="C620" i="61"/>
  <c r="D619" i="61"/>
  <c r="C619" i="61"/>
  <c r="D618" i="61"/>
  <c r="C618" i="61"/>
  <c r="D617" i="61"/>
  <c r="C617" i="61"/>
  <c r="D616" i="61"/>
  <c r="C616" i="61"/>
  <c r="D615" i="61"/>
  <c r="C615" i="61"/>
  <c r="D614" i="61"/>
  <c r="C614" i="61"/>
  <c r="D613" i="61"/>
  <c r="C613" i="61"/>
  <c r="D612" i="61"/>
  <c r="C612" i="61"/>
  <c r="D611" i="61"/>
  <c r="C611" i="61"/>
  <c r="D610" i="61"/>
  <c r="C610" i="61"/>
  <c r="D609" i="61"/>
  <c r="C609" i="61"/>
  <c r="D608" i="61"/>
  <c r="C608" i="61"/>
  <c r="D607" i="61"/>
  <c r="C607" i="61"/>
  <c r="D606" i="61"/>
  <c r="C606" i="61"/>
  <c r="D605" i="61"/>
  <c r="C605" i="61"/>
  <c r="D604" i="61"/>
  <c r="C604" i="61"/>
  <c r="D603" i="61"/>
  <c r="C603" i="61"/>
  <c r="D602" i="61"/>
  <c r="C602" i="61"/>
  <c r="D601" i="61"/>
  <c r="C601" i="61"/>
  <c r="D600" i="61"/>
  <c r="C600" i="61"/>
  <c r="D599" i="61"/>
  <c r="C599" i="61"/>
  <c r="D598" i="61"/>
  <c r="C598" i="61"/>
  <c r="D597" i="61"/>
  <c r="C597" i="61"/>
  <c r="D596" i="61"/>
  <c r="C596" i="61"/>
  <c r="D595" i="61"/>
  <c r="C595" i="61"/>
  <c r="D594" i="61"/>
  <c r="C594" i="61"/>
  <c r="D593" i="61"/>
  <c r="C593" i="61"/>
  <c r="D592" i="61"/>
  <c r="C592" i="61"/>
  <c r="D591" i="61"/>
  <c r="C591" i="61"/>
  <c r="D590" i="61"/>
  <c r="C590" i="61"/>
  <c r="D589" i="61"/>
  <c r="C589" i="61"/>
  <c r="D588" i="61"/>
  <c r="C588" i="61"/>
  <c r="D587" i="61"/>
  <c r="C587" i="61"/>
  <c r="D586" i="61"/>
  <c r="C586" i="61"/>
  <c r="D585" i="61"/>
  <c r="C585" i="61"/>
  <c r="D584" i="61"/>
  <c r="C584" i="61"/>
  <c r="D583" i="61"/>
  <c r="C583" i="61"/>
  <c r="D582" i="61"/>
  <c r="C582" i="61"/>
  <c r="D581" i="61"/>
  <c r="C581" i="61"/>
  <c r="D580" i="61"/>
  <c r="C580" i="61"/>
  <c r="D579" i="61"/>
  <c r="C579" i="61"/>
  <c r="D578" i="61"/>
  <c r="C578" i="61"/>
  <c r="D577" i="61"/>
  <c r="C577" i="61"/>
  <c r="D576" i="61"/>
  <c r="C576" i="61"/>
  <c r="D575" i="61"/>
  <c r="C575" i="61"/>
  <c r="D574" i="61"/>
  <c r="C574" i="61"/>
  <c r="D573" i="61"/>
  <c r="C573" i="61"/>
  <c r="D572" i="61"/>
  <c r="C572" i="61"/>
  <c r="D571" i="61"/>
  <c r="C571" i="61"/>
  <c r="D570" i="61"/>
  <c r="C570" i="61"/>
  <c r="D569" i="61"/>
  <c r="C569" i="61"/>
  <c r="D568" i="61"/>
  <c r="C568" i="61"/>
  <c r="D567" i="61"/>
  <c r="C567" i="61"/>
  <c r="D566" i="61"/>
  <c r="C566" i="61"/>
  <c r="D565" i="61"/>
  <c r="C565" i="61"/>
  <c r="D564" i="61"/>
  <c r="C564" i="61"/>
  <c r="D563" i="61"/>
  <c r="C563" i="61"/>
  <c r="D562" i="61"/>
  <c r="C562" i="61"/>
  <c r="D561" i="61"/>
  <c r="C561" i="61"/>
  <c r="D560" i="61"/>
  <c r="C560" i="61"/>
  <c r="D559" i="61"/>
  <c r="C559" i="61"/>
  <c r="D558" i="61"/>
  <c r="C558" i="61"/>
  <c r="D557" i="61"/>
  <c r="C557" i="61"/>
  <c r="D556" i="61"/>
  <c r="C556" i="61"/>
  <c r="D555" i="61"/>
  <c r="C555" i="61"/>
  <c r="D554" i="61"/>
  <c r="C554" i="61"/>
  <c r="D553" i="61"/>
  <c r="C553" i="61"/>
  <c r="D552" i="61"/>
  <c r="C552" i="61"/>
  <c r="D551" i="61"/>
  <c r="C551" i="61"/>
  <c r="D550" i="61"/>
  <c r="C550" i="61"/>
  <c r="D549" i="61"/>
  <c r="C549" i="61"/>
  <c r="D548" i="61"/>
  <c r="C548" i="61"/>
  <c r="D547" i="61"/>
  <c r="C547" i="61"/>
  <c r="D546" i="61"/>
  <c r="C546" i="61"/>
  <c r="D545" i="61"/>
  <c r="C545" i="61"/>
  <c r="D544" i="61"/>
  <c r="C544" i="61"/>
  <c r="D543" i="61"/>
  <c r="C543" i="61"/>
  <c r="D542" i="61"/>
  <c r="C542" i="61"/>
  <c r="D541" i="61"/>
  <c r="C541" i="61"/>
  <c r="D540" i="61"/>
  <c r="C540" i="61"/>
  <c r="D539" i="61"/>
  <c r="C539" i="61"/>
  <c r="D538" i="61"/>
  <c r="C538" i="61"/>
  <c r="D537" i="61"/>
  <c r="C537" i="61"/>
  <c r="D536" i="61"/>
  <c r="C536" i="61"/>
  <c r="D535" i="61"/>
  <c r="C535" i="61"/>
  <c r="D534" i="61"/>
  <c r="C534" i="61"/>
  <c r="D533" i="61"/>
  <c r="C533" i="61"/>
  <c r="D532" i="61"/>
  <c r="C532" i="61"/>
  <c r="D531" i="61"/>
  <c r="C531" i="61"/>
  <c r="D530" i="61"/>
  <c r="C530" i="61"/>
  <c r="D529" i="61"/>
  <c r="C529" i="61"/>
  <c r="D528" i="61"/>
  <c r="C528" i="61"/>
  <c r="D527" i="61"/>
  <c r="C527" i="61"/>
  <c r="D526" i="61"/>
  <c r="C526" i="61"/>
  <c r="D525" i="61"/>
  <c r="C525" i="61"/>
  <c r="D524" i="61"/>
  <c r="C524" i="61"/>
  <c r="D523" i="61"/>
  <c r="C523" i="61"/>
  <c r="D522" i="61"/>
  <c r="C522" i="61"/>
  <c r="D521" i="61"/>
  <c r="C521" i="61"/>
  <c r="D520" i="61"/>
  <c r="C520" i="61"/>
  <c r="D519" i="61"/>
  <c r="C519" i="61"/>
  <c r="D518" i="61"/>
  <c r="C518" i="61"/>
  <c r="D517" i="61"/>
  <c r="C517" i="61"/>
  <c r="D516" i="61"/>
  <c r="C516" i="61"/>
  <c r="D515" i="61"/>
  <c r="C515" i="61"/>
  <c r="D514" i="61"/>
  <c r="C514" i="61"/>
  <c r="D513" i="61"/>
  <c r="C513" i="61"/>
  <c r="D512" i="61"/>
  <c r="C512" i="61"/>
  <c r="D511" i="61"/>
  <c r="C511" i="61"/>
  <c r="D510" i="61"/>
  <c r="C510" i="61"/>
  <c r="D509" i="61"/>
  <c r="C509" i="61"/>
  <c r="D508" i="61"/>
  <c r="C508" i="61"/>
  <c r="D507" i="61"/>
  <c r="C507" i="61"/>
  <c r="D506" i="61"/>
  <c r="C506" i="61"/>
  <c r="D505" i="61"/>
  <c r="C505" i="61"/>
  <c r="D504" i="61"/>
  <c r="C504" i="61"/>
  <c r="D503" i="61"/>
  <c r="C503" i="61"/>
  <c r="D502" i="61"/>
  <c r="C502" i="61"/>
  <c r="D501" i="61"/>
  <c r="C501" i="61"/>
  <c r="D500" i="61"/>
  <c r="C500" i="61"/>
  <c r="D499" i="61"/>
  <c r="C499" i="61"/>
  <c r="D498" i="61"/>
  <c r="C498" i="61"/>
  <c r="D497" i="61"/>
  <c r="C497" i="61"/>
  <c r="D496" i="61"/>
  <c r="C496" i="61"/>
  <c r="D495" i="61"/>
  <c r="C495" i="61"/>
  <c r="D494" i="61"/>
  <c r="C494" i="61"/>
  <c r="D493" i="61"/>
  <c r="C493" i="61"/>
  <c r="D492" i="61"/>
  <c r="C492" i="61"/>
  <c r="D491" i="61"/>
  <c r="C491" i="61"/>
  <c r="D490" i="61"/>
  <c r="C490" i="61"/>
  <c r="D489" i="61"/>
  <c r="C489" i="61"/>
  <c r="D488" i="61"/>
  <c r="C488" i="61"/>
  <c r="D487" i="61"/>
  <c r="C487" i="61"/>
  <c r="D486" i="61"/>
  <c r="C486" i="61"/>
  <c r="D485" i="61"/>
  <c r="C485" i="61"/>
  <c r="D484" i="61"/>
  <c r="C484" i="61"/>
  <c r="D483" i="61"/>
  <c r="C483" i="61"/>
  <c r="D482" i="61"/>
  <c r="C482" i="61"/>
  <c r="D481" i="61"/>
  <c r="C481" i="61"/>
  <c r="D480" i="61"/>
  <c r="C480" i="61"/>
  <c r="D479" i="61"/>
  <c r="C479" i="61"/>
  <c r="D478" i="61"/>
  <c r="C478" i="61"/>
  <c r="D477" i="61"/>
  <c r="C477" i="61"/>
  <c r="D476" i="61"/>
  <c r="C476" i="61"/>
  <c r="D475" i="61"/>
  <c r="C475" i="61"/>
  <c r="D474" i="61"/>
  <c r="C474" i="61"/>
  <c r="D473" i="61"/>
  <c r="C473" i="61"/>
  <c r="D472" i="61"/>
  <c r="C472" i="61"/>
  <c r="D471" i="61"/>
  <c r="C471" i="61"/>
  <c r="D470" i="61"/>
  <c r="C470" i="61"/>
  <c r="D469" i="61"/>
  <c r="C469" i="61"/>
  <c r="D468" i="61"/>
  <c r="C468" i="61"/>
  <c r="D467" i="61"/>
  <c r="C467" i="61"/>
  <c r="D466" i="61"/>
  <c r="C466" i="61"/>
  <c r="D465" i="61"/>
  <c r="C465" i="61"/>
  <c r="D464" i="61"/>
  <c r="C464" i="61"/>
  <c r="D463" i="61"/>
  <c r="C463" i="61"/>
  <c r="D462" i="61"/>
  <c r="C462" i="61"/>
  <c r="D461" i="61"/>
  <c r="C461" i="61"/>
  <c r="D460" i="61"/>
  <c r="C460" i="61"/>
  <c r="D459" i="61"/>
  <c r="C459" i="61"/>
  <c r="D458" i="61"/>
  <c r="C458" i="61"/>
  <c r="D457" i="61"/>
  <c r="C457" i="61"/>
  <c r="D456" i="61"/>
  <c r="C456" i="61"/>
  <c r="D455" i="61"/>
  <c r="C455" i="61"/>
  <c r="D454" i="61"/>
  <c r="C454" i="61"/>
  <c r="D453" i="61"/>
  <c r="C453" i="61"/>
  <c r="D452" i="61"/>
  <c r="C452" i="61"/>
  <c r="D451" i="61"/>
  <c r="C451" i="61"/>
  <c r="D450" i="61"/>
  <c r="C450" i="61"/>
  <c r="D449" i="61"/>
  <c r="C449" i="61"/>
  <c r="D448" i="61"/>
  <c r="C448" i="61"/>
  <c r="D447" i="61"/>
  <c r="C447" i="61"/>
  <c r="D446" i="61"/>
  <c r="C446" i="61"/>
  <c r="D445" i="61"/>
  <c r="C445" i="61"/>
  <c r="D444" i="61"/>
  <c r="C444" i="61"/>
  <c r="D443" i="61"/>
  <c r="C443" i="61"/>
  <c r="D442" i="61"/>
  <c r="C442" i="61"/>
  <c r="D441" i="61"/>
  <c r="C441" i="61"/>
  <c r="D440" i="61"/>
  <c r="C440" i="61"/>
  <c r="D439" i="61"/>
  <c r="C439" i="61"/>
  <c r="D438" i="61"/>
  <c r="C438" i="61"/>
  <c r="D437" i="61"/>
  <c r="C437" i="61"/>
  <c r="D436" i="61"/>
  <c r="C436" i="61"/>
  <c r="D435" i="61"/>
  <c r="C435" i="61"/>
  <c r="D434" i="61"/>
  <c r="C434" i="61"/>
  <c r="D433" i="61"/>
  <c r="C433" i="61"/>
  <c r="D432" i="61"/>
  <c r="C432" i="61"/>
  <c r="D431" i="61"/>
  <c r="C431" i="61"/>
  <c r="D430" i="61"/>
  <c r="C430" i="61"/>
  <c r="D429" i="61"/>
  <c r="C429" i="61"/>
  <c r="D428" i="61"/>
  <c r="C428" i="61"/>
  <c r="D427" i="61"/>
  <c r="C427" i="61"/>
  <c r="D426" i="61"/>
  <c r="C426" i="61"/>
  <c r="D425" i="61"/>
  <c r="C425" i="61"/>
  <c r="D424" i="61"/>
  <c r="C424" i="61"/>
  <c r="D423" i="61"/>
  <c r="C423" i="61"/>
  <c r="D422" i="61"/>
  <c r="C422" i="61"/>
  <c r="D421" i="61"/>
  <c r="C421" i="61"/>
  <c r="D420" i="61"/>
  <c r="C420" i="61"/>
  <c r="D419" i="61"/>
  <c r="C419" i="61"/>
  <c r="D418" i="61"/>
  <c r="C418" i="61"/>
  <c r="D417" i="61"/>
  <c r="C417" i="61"/>
  <c r="D416" i="61"/>
  <c r="C416" i="61"/>
  <c r="D415" i="61"/>
  <c r="C415" i="61"/>
  <c r="D414" i="61"/>
  <c r="C414" i="61"/>
  <c r="D413" i="61"/>
  <c r="C413" i="61"/>
  <c r="D412" i="61"/>
  <c r="C412" i="61"/>
  <c r="D411" i="61"/>
  <c r="C411" i="61"/>
  <c r="D410" i="61"/>
  <c r="C410" i="61"/>
  <c r="D409" i="61"/>
  <c r="C409" i="61"/>
  <c r="D408" i="61"/>
  <c r="C408" i="61"/>
  <c r="D407" i="61"/>
  <c r="C407" i="61"/>
  <c r="D406" i="61"/>
  <c r="C406" i="61"/>
  <c r="D405" i="61"/>
  <c r="C405" i="61"/>
  <c r="D404" i="61"/>
  <c r="C404" i="61"/>
  <c r="D403" i="61"/>
  <c r="C403" i="61"/>
  <c r="D402" i="61"/>
  <c r="C402" i="61"/>
  <c r="D401" i="61"/>
  <c r="C401" i="61"/>
  <c r="D400" i="61"/>
  <c r="C400" i="61"/>
  <c r="D399" i="61"/>
  <c r="C399" i="61"/>
  <c r="D398" i="61"/>
  <c r="C398" i="61"/>
  <c r="D397" i="61"/>
  <c r="C397" i="61"/>
  <c r="D396" i="61"/>
  <c r="C396" i="61"/>
  <c r="D395" i="61"/>
  <c r="C395" i="61"/>
  <c r="D394" i="61"/>
  <c r="C394" i="61"/>
  <c r="D393" i="61"/>
  <c r="C393" i="61"/>
  <c r="D392" i="61"/>
  <c r="C392" i="61"/>
  <c r="D391" i="61"/>
  <c r="C391" i="61"/>
  <c r="D390" i="61"/>
  <c r="C390" i="61"/>
  <c r="D389" i="61"/>
  <c r="C389" i="61"/>
  <c r="D388" i="61"/>
  <c r="C388" i="61"/>
  <c r="D387" i="61"/>
  <c r="C387" i="61"/>
  <c r="D386" i="61"/>
  <c r="C386" i="61"/>
  <c r="D385" i="61"/>
  <c r="C385" i="61"/>
  <c r="D384" i="61"/>
  <c r="C384" i="61"/>
  <c r="D383" i="61"/>
  <c r="C383" i="61"/>
  <c r="D382" i="61"/>
  <c r="C382" i="61"/>
  <c r="D381" i="61"/>
  <c r="C381" i="61"/>
  <c r="D380" i="61"/>
  <c r="C380" i="61"/>
  <c r="D379" i="61"/>
  <c r="C379" i="61"/>
  <c r="D378" i="61"/>
  <c r="C378" i="61"/>
  <c r="D377" i="61"/>
  <c r="C377" i="61"/>
  <c r="D376" i="61"/>
  <c r="C376" i="61"/>
  <c r="D375" i="61"/>
  <c r="C375" i="61"/>
  <c r="D374" i="61"/>
  <c r="C374" i="61"/>
  <c r="D373" i="61"/>
  <c r="C373" i="61"/>
  <c r="D372" i="61"/>
  <c r="C372" i="61"/>
  <c r="D371" i="61"/>
  <c r="C371" i="61"/>
  <c r="D370" i="61"/>
  <c r="C370" i="61"/>
  <c r="D369" i="61"/>
  <c r="C369" i="61"/>
  <c r="D368" i="61"/>
  <c r="C368" i="61"/>
  <c r="D367" i="61"/>
  <c r="C367" i="61"/>
  <c r="D366" i="61"/>
  <c r="C366" i="61"/>
  <c r="D365" i="61"/>
  <c r="C365" i="61"/>
  <c r="D364" i="61"/>
  <c r="C364" i="61"/>
  <c r="D363" i="61"/>
  <c r="C363" i="61"/>
  <c r="D362" i="61"/>
  <c r="C362" i="61"/>
  <c r="D361" i="61"/>
  <c r="C361" i="61"/>
  <c r="D360" i="61"/>
  <c r="C360" i="61"/>
  <c r="D359" i="61"/>
  <c r="C359" i="61"/>
  <c r="D358" i="61"/>
  <c r="C358" i="61"/>
  <c r="D357" i="61"/>
  <c r="C357" i="61"/>
  <c r="D356" i="61"/>
  <c r="C356" i="61"/>
  <c r="D355" i="61"/>
  <c r="C355" i="61"/>
  <c r="D354" i="61"/>
  <c r="C354" i="61"/>
  <c r="D353" i="61"/>
  <c r="C353" i="61"/>
  <c r="D352" i="61"/>
  <c r="C352" i="61"/>
  <c r="D351" i="61"/>
  <c r="C351" i="61"/>
  <c r="D350" i="61"/>
  <c r="C350" i="61"/>
  <c r="D349" i="61"/>
  <c r="C349" i="61"/>
  <c r="D348" i="61"/>
  <c r="C348" i="61"/>
  <c r="D347" i="61"/>
  <c r="C347" i="61"/>
  <c r="D346" i="61"/>
  <c r="C346" i="61"/>
  <c r="D345" i="61"/>
  <c r="C345" i="61"/>
  <c r="D344" i="61"/>
  <c r="C344" i="61"/>
  <c r="D343" i="61"/>
  <c r="C343" i="61"/>
  <c r="D342" i="61"/>
  <c r="C342" i="61"/>
  <c r="D341" i="61"/>
  <c r="C341" i="61"/>
  <c r="D340" i="61"/>
  <c r="C340" i="61"/>
  <c r="D339" i="61"/>
  <c r="C339" i="61"/>
  <c r="D338" i="61"/>
  <c r="C338" i="61"/>
  <c r="D337" i="61"/>
  <c r="C337" i="61"/>
  <c r="D336" i="61"/>
  <c r="C336" i="61"/>
  <c r="D335" i="61"/>
  <c r="C335" i="61"/>
  <c r="D334" i="61"/>
  <c r="C334" i="61"/>
  <c r="D333" i="61"/>
  <c r="C333" i="61"/>
  <c r="D332" i="61"/>
  <c r="C332" i="61"/>
  <c r="D331" i="61"/>
  <c r="C331" i="61"/>
  <c r="D330" i="61"/>
  <c r="C330" i="61"/>
  <c r="D329" i="61"/>
  <c r="C329" i="61"/>
  <c r="D328" i="61"/>
  <c r="C328" i="61"/>
  <c r="D327" i="61"/>
  <c r="C327" i="61"/>
  <c r="D326" i="61"/>
  <c r="C326" i="61"/>
  <c r="D325" i="61"/>
  <c r="C325" i="61"/>
  <c r="D324" i="61"/>
  <c r="C324" i="61"/>
  <c r="D323" i="61"/>
  <c r="C323" i="61"/>
  <c r="D322" i="61"/>
  <c r="C322" i="61"/>
  <c r="D321" i="61"/>
  <c r="C321" i="61"/>
  <c r="D320" i="61"/>
  <c r="C320" i="61"/>
  <c r="D319" i="61"/>
  <c r="C319" i="61"/>
  <c r="D318" i="61"/>
  <c r="C318" i="61"/>
  <c r="D317" i="61"/>
  <c r="C317" i="61"/>
  <c r="D316" i="61"/>
  <c r="C316" i="61"/>
  <c r="D315" i="61"/>
  <c r="C315" i="61"/>
  <c r="D314" i="61"/>
  <c r="C314" i="61"/>
  <c r="D313" i="61"/>
  <c r="C313" i="61"/>
  <c r="D312" i="61"/>
  <c r="C312" i="61"/>
  <c r="D311" i="61"/>
  <c r="C311" i="61"/>
  <c r="D310" i="61"/>
  <c r="C310" i="61"/>
  <c r="D309" i="61"/>
  <c r="C309" i="61"/>
  <c r="D308" i="61"/>
  <c r="C308" i="61"/>
  <c r="D307" i="61"/>
  <c r="C307" i="61"/>
  <c r="D306" i="61"/>
  <c r="C306" i="61"/>
  <c r="D305" i="61"/>
  <c r="C305" i="61"/>
  <c r="D304" i="61"/>
  <c r="C304" i="61"/>
  <c r="D303" i="61"/>
  <c r="C303" i="61"/>
  <c r="D302" i="61"/>
  <c r="C302" i="61"/>
  <c r="D301" i="61"/>
  <c r="C301" i="61"/>
  <c r="D300" i="61"/>
  <c r="C300" i="61"/>
  <c r="D299" i="61"/>
  <c r="C299" i="61"/>
  <c r="D298" i="61"/>
  <c r="C298" i="61"/>
  <c r="D297" i="61"/>
  <c r="C297" i="61"/>
  <c r="D296" i="61"/>
  <c r="C296" i="61"/>
  <c r="D295" i="61"/>
  <c r="C295" i="61"/>
  <c r="D294" i="61"/>
  <c r="C294" i="61"/>
  <c r="D293" i="61"/>
  <c r="C293" i="61"/>
  <c r="D292" i="61"/>
  <c r="C292" i="61"/>
  <c r="D291" i="61"/>
  <c r="C291" i="61"/>
  <c r="D290" i="61"/>
  <c r="C290" i="61"/>
  <c r="D289" i="61"/>
  <c r="C289" i="61"/>
  <c r="D288" i="61"/>
  <c r="C288" i="61"/>
  <c r="D287" i="61"/>
  <c r="C287" i="61"/>
  <c r="D286" i="61"/>
  <c r="C286" i="61"/>
  <c r="D285" i="61"/>
  <c r="C285" i="61"/>
  <c r="D284" i="61"/>
  <c r="C284" i="61"/>
  <c r="D283" i="61"/>
  <c r="C283" i="61"/>
  <c r="D282" i="61"/>
  <c r="C282" i="61"/>
  <c r="D281" i="61"/>
  <c r="C281" i="61"/>
  <c r="D280" i="61"/>
  <c r="C280" i="61"/>
  <c r="D279" i="61"/>
  <c r="C279" i="61"/>
  <c r="D278" i="61"/>
  <c r="C278" i="61"/>
  <c r="D277" i="61"/>
  <c r="C277" i="61"/>
  <c r="D276" i="61"/>
  <c r="C276" i="61"/>
  <c r="D275" i="61"/>
  <c r="C275" i="61"/>
  <c r="D274" i="61"/>
  <c r="C274" i="61"/>
  <c r="D273" i="61"/>
  <c r="C273" i="61"/>
  <c r="D272" i="61"/>
  <c r="C272" i="61"/>
  <c r="D271" i="61"/>
  <c r="C271" i="61"/>
  <c r="D270" i="61"/>
  <c r="C270" i="61"/>
  <c r="D269" i="61"/>
  <c r="C269" i="61"/>
  <c r="D268" i="61"/>
  <c r="C268" i="61"/>
  <c r="D267" i="61"/>
  <c r="C267" i="61"/>
  <c r="D266" i="61"/>
  <c r="C266" i="61"/>
  <c r="D265" i="61"/>
  <c r="C265" i="61"/>
  <c r="D264" i="61"/>
  <c r="C264" i="61"/>
  <c r="D263" i="61"/>
  <c r="C263" i="61"/>
  <c r="D262" i="61"/>
  <c r="C262" i="61"/>
  <c r="D261" i="61"/>
  <c r="C261" i="61"/>
  <c r="D260" i="61"/>
  <c r="C260" i="61"/>
  <c r="D259" i="61"/>
  <c r="C259" i="61"/>
  <c r="D258" i="61"/>
  <c r="C258" i="61"/>
  <c r="D257" i="61"/>
  <c r="C257" i="61"/>
  <c r="D256" i="61"/>
  <c r="C256" i="61"/>
  <c r="D255" i="61"/>
  <c r="C255" i="61"/>
  <c r="D254" i="61"/>
  <c r="C254" i="61"/>
  <c r="D253" i="61"/>
  <c r="C253" i="61"/>
  <c r="D252" i="61"/>
  <c r="C252" i="61"/>
  <c r="D251" i="61"/>
  <c r="C251" i="61"/>
  <c r="D250" i="61"/>
  <c r="C250" i="61"/>
  <c r="D249" i="61"/>
  <c r="C249" i="61"/>
  <c r="D248" i="61"/>
  <c r="C248" i="61"/>
  <c r="D247" i="61"/>
  <c r="C247" i="61"/>
  <c r="D246" i="61"/>
  <c r="C246" i="61"/>
  <c r="D245" i="61"/>
  <c r="C245" i="61"/>
  <c r="D244" i="61"/>
  <c r="C244" i="61"/>
  <c r="D243" i="61"/>
  <c r="C243" i="61"/>
  <c r="D242" i="61"/>
  <c r="C242" i="61"/>
  <c r="D241" i="61"/>
  <c r="C241" i="61"/>
  <c r="D240" i="61"/>
  <c r="C240" i="61"/>
  <c r="D239" i="61"/>
  <c r="C239" i="61"/>
  <c r="D238" i="61"/>
  <c r="C238" i="61"/>
  <c r="D237" i="61"/>
  <c r="C237" i="61"/>
  <c r="D236" i="61"/>
  <c r="C236" i="61"/>
  <c r="D235" i="61"/>
  <c r="C235" i="61"/>
  <c r="D234" i="61"/>
  <c r="C234" i="61"/>
  <c r="D233" i="61"/>
  <c r="C233" i="61"/>
  <c r="D232" i="61"/>
  <c r="C232" i="61"/>
  <c r="D231" i="61"/>
  <c r="C231" i="61"/>
  <c r="D230" i="61"/>
  <c r="C230" i="61"/>
  <c r="D229" i="61"/>
  <c r="C229" i="61"/>
  <c r="D228" i="61"/>
  <c r="C228" i="61"/>
  <c r="D227" i="61"/>
  <c r="C227" i="61"/>
  <c r="D226" i="61"/>
  <c r="C226" i="61"/>
  <c r="D225" i="61"/>
  <c r="C225" i="61"/>
  <c r="D224" i="61"/>
  <c r="C224" i="61"/>
  <c r="D223" i="61"/>
  <c r="C223" i="61"/>
  <c r="D222" i="61"/>
  <c r="C222" i="61"/>
  <c r="D221" i="61"/>
  <c r="C221" i="61"/>
  <c r="D220" i="61"/>
  <c r="C220" i="61"/>
  <c r="D219" i="61"/>
  <c r="C219" i="61"/>
  <c r="D218" i="61"/>
  <c r="C218" i="61"/>
  <c r="D217" i="61"/>
  <c r="C217" i="61"/>
  <c r="D216" i="61"/>
  <c r="C216" i="61"/>
  <c r="D215" i="61"/>
  <c r="C215" i="61"/>
  <c r="D214" i="61"/>
  <c r="C214" i="61"/>
  <c r="D213" i="61"/>
  <c r="C213" i="61"/>
  <c r="D212" i="61"/>
  <c r="C212" i="61"/>
  <c r="D211" i="61"/>
  <c r="C211" i="61"/>
  <c r="D210" i="61"/>
  <c r="C210" i="61"/>
  <c r="D209" i="61"/>
  <c r="C209" i="61"/>
  <c r="D208" i="61"/>
  <c r="C208" i="61"/>
  <c r="D207" i="61"/>
  <c r="C207" i="61"/>
  <c r="D206" i="61"/>
  <c r="C206" i="61"/>
  <c r="D205" i="61"/>
  <c r="C205" i="61"/>
  <c r="D204" i="61"/>
  <c r="C204" i="61"/>
  <c r="D203" i="61"/>
  <c r="C203" i="61"/>
  <c r="D202" i="61"/>
  <c r="C202" i="61"/>
  <c r="D201" i="61"/>
  <c r="C201" i="61"/>
  <c r="D200" i="61"/>
  <c r="C200" i="61"/>
  <c r="D199" i="61"/>
  <c r="C199" i="61"/>
  <c r="D198" i="61"/>
  <c r="C198" i="61"/>
  <c r="D197" i="61"/>
  <c r="C197" i="61"/>
  <c r="D196" i="61"/>
  <c r="C196" i="61"/>
  <c r="D195" i="61"/>
  <c r="C195" i="61"/>
  <c r="D194" i="61"/>
  <c r="C194" i="61"/>
  <c r="D193" i="61"/>
  <c r="C193" i="61"/>
  <c r="D192" i="61"/>
  <c r="C192" i="61"/>
  <c r="D191" i="61"/>
  <c r="C191" i="61"/>
  <c r="D190" i="61"/>
  <c r="C190" i="61"/>
  <c r="D189" i="61"/>
  <c r="C189" i="61"/>
  <c r="D188" i="61"/>
  <c r="C188" i="61"/>
  <c r="D187" i="61"/>
  <c r="C187" i="61"/>
  <c r="D186" i="61"/>
  <c r="C186" i="61"/>
  <c r="D185" i="61"/>
  <c r="C185" i="61"/>
  <c r="D184" i="61"/>
  <c r="C184" i="61"/>
  <c r="D183" i="61"/>
  <c r="C183" i="61"/>
  <c r="D182" i="61"/>
  <c r="C182" i="61"/>
  <c r="D181" i="61"/>
  <c r="C181" i="61"/>
  <c r="D180" i="61"/>
  <c r="C180" i="61"/>
  <c r="D179" i="61"/>
  <c r="C179" i="61"/>
  <c r="D178" i="61"/>
  <c r="C178" i="61"/>
  <c r="D177" i="61"/>
  <c r="C177" i="61"/>
  <c r="D176" i="61"/>
  <c r="C176" i="61"/>
  <c r="D175" i="61"/>
  <c r="C175" i="61"/>
  <c r="D174" i="61"/>
  <c r="C174" i="61"/>
  <c r="D173" i="61"/>
  <c r="C173" i="61"/>
  <c r="D172" i="61"/>
  <c r="C172" i="61"/>
  <c r="D171" i="61"/>
  <c r="C171" i="61"/>
  <c r="D170" i="61"/>
  <c r="C170" i="61"/>
  <c r="D169" i="61"/>
  <c r="C169" i="61"/>
  <c r="D168" i="61"/>
  <c r="C168" i="61"/>
  <c r="D167" i="61"/>
  <c r="C167" i="61"/>
  <c r="D166" i="61"/>
  <c r="C166" i="61"/>
  <c r="D165" i="61"/>
  <c r="C165" i="61"/>
  <c r="D164" i="61"/>
  <c r="C164" i="61"/>
  <c r="D163" i="61"/>
  <c r="C163" i="61"/>
  <c r="D162" i="61"/>
  <c r="C162" i="61"/>
  <c r="D161" i="61"/>
  <c r="C161" i="61"/>
  <c r="D160" i="61"/>
  <c r="C160" i="61"/>
  <c r="D159" i="61"/>
  <c r="C159" i="61"/>
  <c r="D158" i="61"/>
  <c r="C158" i="61"/>
  <c r="D157" i="61"/>
  <c r="C157" i="61"/>
  <c r="D156" i="61"/>
  <c r="C156" i="61"/>
  <c r="D155" i="61"/>
  <c r="C155" i="61"/>
  <c r="D154" i="61"/>
  <c r="C154" i="61"/>
  <c r="D153" i="61"/>
  <c r="C153" i="61"/>
  <c r="D152" i="61"/>
  <c r="C152" i="61"/>
  <c r="D151" i="61"/>
  <c r="C151" i="61"/>
  <c r="D150" i="61"/>
  <c r="C150" i="61"/>
  <c r="D149" i="61"/>
  <c r="C149" i="61"/>
  <c r="D148" i="61"/>
  <c r="C148" i="61"/>
  <c r="D147" i="61"/>
  <c r="C147" i="61"/>
  <c r="D146" i="61"/>
  <c r="C146" i="61"/>
  <c r="D145" i="61"/>
  <c r="C145" i="61"/>
  <c r="D144" i="61"/>
  <c r="C144" i="61"/>
  <c r="D143" i="61"/>
  <c r="C143" i="61"/>
  <c r="D142" i="61"/>
  <c r="C142" i="61"/>
  <c r="D141" i="61"/>
  <c r="C141" i="61"/>
  <c r="D140" i="61"/>
  <c r="C140" i="61"/>
  <c r="D139" i="61"/>
  <c r="C139" i="61"/>
  <c r="D138" i="61"/>
  <c r="C138" i="61"/>
  <c r="D137" i="61"/>
  <c r="C137" i="61"/>
  <c r="D136" i="61"/>
  <c r="C136" i="61"/>
  <c r="D135" i="61"/>
  <c r="C135" i="61"/>
  <c r="D134" i="61"/>
  <c r="C134" i="61"/>
  <c r="D133" i="61"/>
  <c r="C133" i="61"/>
  <c r="D132" i="61"/>
  <c r="C132" i="61"/>
  <c r="D131" i="61"/>
  <c r="C131" i="61"/>
  <c r="D130" i="61"/>
  <c r="C130" i="61"/>
  <c r="D129" i="61"/>
  <c r="C129" i="61"/>
  <c r="D128" i="61"/>
  <c r="C128" i="61"/>
  <c r="D127" i="61"/>
  <c r="C127" i="61"/>
  <c r="D126" i="61"/>
  <c r="C126" i="61"/>
  <c r="D125" i="61"/>
  <c r="C125" i="61"/>
  <c r="D124" i="61"/>
  <c r="C124" i="61"/>
  <c r="D123" i="61"/>
  <c r="C123" i="61"/>
  <c r="D122" i="61"/>
  <c r="C122" i="61"/>
  <c r="D121" i="61"/>
  <c r="C121" i="61"/>
  <c r="D120" i="61"/>
  <c r="C120" i="61"/>
  <c r="D119" i="61"/>
  <c r="C119" i="61"/>
  <c r="D118" i="61"/>
  <c r="C118" i="61"/>
  <c r="D117" i="61"/>
  <c r="C117" i="61"/>
  <c r="D116" i="61"/>
  <c r="C116" i="61"/>
  <c r="D115" i="61"/>
  <c r="C115" i="61"/>
  <c r="D114" i="61"/>
  <c r="C114" i="61"/>
  <c r="D113" i="61"/>
  <c r="C113" i="61"/>
  <c r="D112" i="61"/>
  <c r="C112" i="61"/>
  <c r="D111" i="61"/>
  <c r="C111" i="61"/>
  <c r="D110" i="61"/>
  <c r="C110" i="61"/>
  <c r="D109" i="61"/>
  <c r="C109" i="61"/>
  <c r="D108" i="61"/>
  <c r="C108" i="61"/>
  <c r="D107" i="61"/>
  <c r="C107" i="61"/>
  <c r="D106" i="61"/>
  <c r="C106" i="61"/>
  <c r="D105" i="61"/>
  <c r="C105" i="61"/>
  <c r="D104" i="61"/>
  <c r="C104" i="61"/>
  <c r="D103" i="61"/>
  <c r="C103" i="61"/>
  <c r="D102" i="61"/>
  <c r="C102" i="61"/>
  <c r="D101" i="61"/>
  <c r="C101" i="61"/>
  <c r="D100" i="61"/>
  <c r="C100" i="61"/>
  <c r="D99" i="61"/>
  <c r="C99" i="61"/>
  <c r="D98" i="61"/>
  <c r="C98" i="61"/>
  <c r="D97" i="61"/>
  <c r="C97" i="61"/>
  <c r="D96" i="61"/>
  <c r="C96" i="61"/>
  <c r="D95" i="61"/>
  <c r="C95" i="61"/>
  <c r="D94" i="61"/>
  <c r="C94" i="61"/>
  <c r="D93" i="61"/>
  <c r="C93" i="61"/>
  <c r="D92" i="61"/>
  <c r="C92" i="61"/>
  <c r="D91" i="61"/>
  <c r="C91" i="61"/>
  <c r="D90" i="61"/>
  <c r="C90" i="61"/>
  <c r="D89" i="61"/>
  <c r="C89" i="61"/>
  <c r="D88" i="61"/>
  <c r="C88" i="61"/>
  <c r="D87" i="61"/>
  <c r="C87" i="61"/>
  <c r="D86" i="61"/>
  <c r="C86" i="61"/>
  <c r="D85" i="61"/>
  <c r="C85" i="61"/>
  <c r="D84" i="61"/>
  <c r="C84" i="61"/>
  <c r="D83" i="61"/>
  <c r="C83" i="61"/>
  <c r="D82" i="61"/>
  <c r="C82" i="61"/>
  <c r="D81" i="61"/>
  <c r="C81" i="61"/>
  <c r="D80" i="61"/>
  <c r="C80" i="61"/>
  <c r="D79" i="61"/>
  <c r="C79" i="61"/>
  <c r="D78" i="61"/>
  <c r="C78" i="61"/>
  <c r="D77" i="61"/>
  <c r="C77" i="61"/>
  <c r="D76" i="61"/>
  <c r="C76" i="61"/>
  <c r="D75" i="61"/>
  <c r="C75" i="61"/>
  <c r="D74" i="61"/>
  <c r="C74" i="61"/>
  <c r="D73" i="61"/>
  <c r="C73" i="61"/>
  <c r="D72" i="61"/>
  <c r="C72" i="61"/>
  <c r="D71" i="61"/>
  <c r="C71" i="61"/>
  <c r="D70" i="61"/>
  <c r="C70" i="61"/>
  <c r="D69" i="61"/>
  <c r="C69" i="61"/>
  <c r="D68" i="61"/>
  <c r="C68" i="61"/>
  <c r="D67" i="61"/>
  <c r="C67" i="61"/>
  <c r="D66" i="61"/>
  <c r="C66" i="61"/>
  <c r="D65" i="61"/>
  <c r="C65" i="61"/>
  <c r="D64" i="61"/>
  <c r="C64" i="61"/>
  <c r="D63" i="61"/>
  <c r="C63" i="61"/>
  <c r="D62" i="61"/>
  <c r="C62" i="61"/>
  <c r="D61" i="61"/>
  <c r="C61" i="61"/>
  <c r="D60" i="61"/>
  <c r="C60" i="61"/>
  <c r="D59" i="61"/>
  <c r="C59" i="61"/>
  <c r="D58" i="61"/>
  <c r="C58" i="61"/>
  <c r="D57" i="61"/>
  <c r="C57" i="61"/>
  <c r="D56" i="61"/>
  <c r="C56" i="61"/>
  <c r="D55" i="61"/>
  <c r="C55" i="61"/>
  <c r="D54" i="61"/>
  <c r="C54" i="61"/>
  <c r="D53" i="61"/>
  <c r="C53" i="61"/>
  <c r="D52" i="61"/>
  <c r="C52" i="61"/>
  <c r="D51" i="61"/>
  <c r="C51" i="61"/>
  <c r="D50" i="61"/>
  <c r="C50" i="61"/>
  <c r="D49" i="61"/>
  <c r="C49" i="61"/>
  <c r="D48" i="61"/>
  <c r="C48" i="61"/>
  <c r="D47" i="61"/>
  <c r="C47" i="61"/>
  <c r="D46" i="61"/>
  <c r="C46" i="61"/>
  <c r="D45" i="61"/>
  <c r="C45" i="61"/>
  <c r="D44" i="61"/>
  <c r="C44" i="61"/>
  <c r="D43" i="61"/>
  <c r="C43" i="61"/>
  <c r="D42" i="61"/>
  <c r="C42" i="61"/>
  <c r="D41" i="61"/>
  <c r="C41" i="61"/>
  <c r="D40" i="61"/>
  <c r="C40" i="61"/>
  <c r="D39" i="61"/>
  <c r="C39" i="61"/>
  <c r="D38" i="61"/>
  <c r="C38" i="61"/>
  <c r="D37" i="61"/>
  <c r="C37" i="61"/>
  <c r="D36" i="61"/>
  <c r="C36" i="61"/>
  <c r="D35" i="61"/>
  <c r="C35" i="61"/>
  <c r="D34" i="61"/>
  <c r="C34" i="61"/>
  <c r="D33" i="61"/>
  <c r="C33" i="61"/>
  <c r="D32" i="61"/>
  <c r="C32" i="61"/>
  <c r="D31" i="61"/>
  <c r="C31" i="61"/>
  <c r="D30" i="61"/>
  <c r="C30" i="61"/>
  <c r="D29" i="61"/>
  <c r="C29" i="61"/>
  <c r="D28" i="61"/>
  <c r="C28" i="61"/>
  <c r="D27" i="61"/>
  <c r="C27" i="61"/>
  <c r="D26" i="61"/>
  <c r="C26" i="61"/>
  <c r="D25" i="61"/>
  <c r="C25" i="61"/>
  <c r="D24" i="61"/>
  <c r="C24" i="61"/>
  <c r="D23" i="61"/>
  <c r="C23" i="61"/>
  <c r="D22" i="61"/>
  <c r="C22" i="61"/>
  <c r="D21" i="61"/>
  <c r="C21" i="61"/>
  <c r="D20" i="61"/>
  <c r="C20" i="61"/>
  <c r="D19" i="61"/>
  <c r="C19" i="61"/>
  <c r="D18" i="61"/>
  <c r="C18" i="61"/>
  <c r="D17" i="61"/>
  <c r="C17" i="61"/>
  <c r="D16" i="61"/>
  <c r="C16" i="61"/>
  <c r="D15" i="61"/>
  <c r="C15" i="61"/>
  <c r="D14" i="61"/>
  <c r="C14" i="61"/>
  <c r="D13" i="61"/>
  <c r="C13" i="61"/>
  <c r="D12" i="61"/>
  <c r="C12" i="61"/>
  <c r="D11" i="61"/>
  <c r="C11" i="61"/>
  <c r="D7" i="61"/>
  <c r="C7" i="61"/>
  <c r="H6" i="61"/>
  <c r="D6" i="61"/>
  <c r="C6" i="61"/>
  <c r="G32" i="61"/>
  <c r="A32" i="61"/>
  <c r="G31" i="61"/>
  <c r="A31" i="61"/>
  <c r="G30" i="61"/>
  <c r="A30" i="61"/>
  <c r="G29" i="61"/>
  <c r="A29" i="61"/>
  <c r="G28" i="61"/>
  <c r="A28" i="61"/>
  <c r="G27" i="61"/>
  <c r="A27" i="61"/>
  <c r="G26" i="61"/>
  <c r="A26" i="61"/>
  <c r="G25" i="61"/>
  <c r="A25" i="61"/>
  <c r="G24" i="61"/>
  <c r="A24" i="61"/>
  <c r="G23" i="61"/>
  <c r="A23" i="61"/>
  <c r="G22" i="61"/>
  <c r="A22" i="61"/>
  <c r="G21" i="61"/>
  <c r="A21" i="61"/>
  <c r="G20" i="61"/>
  <c r="A20" i="61"/>
  <c r="G19" i="61"/>
  <c r="A19" i="61"/>
  <c r="G18" i="61"/>
  <c r="A18" i="61"/>
  <c r="G17" i="61"/>
  <c r="G16" i="61"/>
  <c r="A16" i="61"/>
  <c r="G15" i="61"/>
  <c r="A15" i="61"/>
  <c r="G14" i="61"/>
  <c r="A14" i="61"/>
  <c r="G13" i="61"/>
  <c r="A13" i="61"/>
  <c r="G12" i="61"/>
  <c r="A12" i="61"/>
  <c r="G11" i="61"/>
  <c r="A11" i="61"/>
  <c r="P110" i="27"/>
  <c r="N110" i="27"/>
  <c r="AM110" i="27" s="1"/>
  <c r="L110" i="27"/>
  <c r="A110" i="27"/>
  <c r="P109" i="27"/>
  <c r="N109" i="27"/>
  <c r="AM109" i="27" s="1"/>
  <c r="L109" i="27"/>
  <c r="A109" i="27"/>
  <c r="P108" i="27"/>
  <c r="N108" i="27"/>
  <c r="AM108" i="27" s="1"/>
  <c r="L108" i="27"/>
  <c r="A108" i="27"/>
  <c r="P107" i="27"/>
  <c r="N107" i="27"/>
  <c r="AM107" i="27" s="1"/>
  <c r="L107" i="27"/>
  <c r="A107" i="27"/>
  <c r="P106" i="27"/>
  <c r="N106" i="27"/>
  <c r="AM106" i="27" s="1"/>
  <c r="L106" i="27"/>
  <c r="A106" i="27"/>
  <c r="P105" i="27"/>
  <c r="N105" i="27"/>
  <c r="AM105" i="27" s="1"/>
  <c r="L105" i="27"/>
  <c r="A105" i="27"/>
  <c r="P104" i="27"/>
  <c r="N104" i="27"/>
  <c r="AM104" i="27" s="1"/>
  <c r="L104" i="27"/>
  <c r="A104" i="27"/>
  <c r="P103" i="27"/>
  <c r="N103" i="27"/>
  <c r="AM103" i="27" s="1"/>
  <c r="L103" i="27"/>
  <c r="A103" i="27"/>
  <c r="P102" i="27"/>
  <c r="N102" i="27"/>
  <c r="AM102" i="27" s="1"/>
  <c r="L102" i="27"/>
  <c r="A102" i="27"/>
  <c r="P101" i="27"/>
  <c r="N101" i="27"/>
  <c r="AM101" i="27" s="1"/>
  <c r="L101" i="27"/>
  <c r="A101" i="27"/>
  <c r="P100" i="27"/>
  <c r="N100" i="27"/>
  <c r="AM100" i="27" s="1"/>
  <c r="L100" i="27"/>
  <c r="A100" i="27"/>
  <c r="P99" i="27"/>
  <c r="N99" i="27"/>
  <c r="AM99" i="27" s="1"/>
  <c r="L99" i="27"/>
  <c r="A99" i="27"/>
  <c r="P98" i="27"/>
  <c r="N98" i="27"/>
  <c r="AM98" i="27" s="1"/>
  <c r="L98" i="27"/>
  <c r="A98" i="27"/>
  <c r="P97" i="27"/>
  <c r="N97" i="27"/>
  <c r="AM97" i="27" s="1"/>
  <c r="L97" i="27"/>
  <c r="A97" i="27"/>
  <c r="P96" i="27"/>
  <c r="N96" i="27"/>
  <c r="AM96" i="27" s="1"/>
  <c r="L96" i="27"/>
  <c r="A96" i="27"/>
  <c r="P95" i="27"/>
  <c r="N95" i="27"/>
  <c r="AM95" i="27" s="1"/>
  <c r="L95" i="27"/>
  <c r="A95" i="27"/>
  <c r="P94" i="27"/>
  <c r="N94" i="27"/>
  <c r="AM94" i="27" s="1"/>
  <c r="L94" i="27"/>
  <c r="A94" i="27"/>
  <c r="P93" i="27"/>
  <c r="N93" i="27"/>
  <c r="AM93" i="27" s="1"/>
  <c r="L93" i="27"/>
  <c r="A93" i="27"/>
  <c r="P92" i="27"/>
  <c r="N92" i="27"/>
  <c r="AM92" i="27" s="1"/>
  <c r="L92" i="27"/>
  <c r="A92" i="27"/>
  <c r="P91" i="27"/>
  <c r="N91" i="27"/>
  <c r="AM91" i="27" s="1"/>
  <c r="L91" i="27"/>
  <c r="A91" i="27"/>
  <c r="P90" i="27"/>
  <c r="N90" i="27"/>
  <c r="AM90" i="27" s="1"/>
  <c r="L90" i="27"/>
  <c r="A90" i="27"/>
  <c r="P89" i="27"/>
  <c r="N89" i="27"/>
  <c r="AM89" i="27" s="1"/>
  <c r="L89" i="27"/>
  <c r="A89" i="27"/>
  <c r="P88" i="27"/>
  <c r="N88" i="27"/>
  <c r="AM88" i="27" s="1"/>
  <c r="L88" i="27"/>
  <c r="A88" i="27"/>
  <c r="P87" i="27"/>
  <c r="N87" i="27"/>
  <c r="AM87" i="27" s="1"/>
  <c r="L87" i="27"/>
  <c r="A87" i="27"/>
  <c r="P86" i="27"/>
  <c r="N86" i="27"/>
  <c r="AM86" i="27" s="1"/>
  <c r="L86" i="27"/>
  <c r="A86" i="27"/>
  <c r="P85" i="27"/>
  <c r="N85" i="27"/>
  <c r="AM85" i="27" s="1"/>
  <c r="L85" i="27"/>
  <c r="A85" i="27"/>
  <c r="P84" i="27"/>
  <c r="N84" i="27"/>
  <c r="AM84" i="27" s="1"/>
  <c r="L84" i="27"/>
  <c r="A84" i="27"/>
  <c r="P83" i="27"/>
  <c r="N83" i="27"/>
  <c r="AM83" i="27" s="1"/>
  <c r="L83" i="27"/>
  <c r="A83" i="27"/>
  <c r="P82" i="27"/>
  <c r="N82" i="27"/>
  <c r="AM82" i="27" s="1"/>
  <c r="L82" i="27"/>
  <c r="A82" i="27"/>
  <c r="P81" i="27"/>
  <c r="N81" i="27"/>
  <c r="AM81" i="27" s="1"/>
  <c r="L81" i="27"/>
  <c r="A81" i="27"/>
  <c r="P80" i="27"/>
  <c r="N80" i="27"/>
  <c r="AM80" i="27" s="1"/>
  <c r="L80" i="27"/>
  <c r="A80" i="27"/>
  <c r="P79" i="27"/>
  <c r="N79" i="27"/>
  <c r="AM79" i="27" s="1"/>
  <c r="L79" i="27"/>
  <c r="A79" i="27"/>
  <c r="P78" i="27"/>
  <c r="N78" i="27"/>
  <c r="AM78" i="27" s="1"/>
  <c r="L78" i="27"/>
  <c r="A78" i="27"/>
  <c r="P77" i="27"/>
  <c r="N77" i="27"/>
  <c r="AM77" i="27" s="1"/>
  <c r="L77" i="27"/>
  <c r="A77" i="27"/>
  <c r="P76" i="27"/>
  <c r="N76" i="27"/>
  <c r="AM76" i="27" s="1"/>
  <c r="L76" i="27"/>
  <c r="A76" i="27"/>
  <c r="P75" i="27"/>
  <c r="N75" i="27"/>
  <c r="AM75" i="27" s="1"/>
  <c r="L75" i="27"/>
  <c r="A75" i="27"/>
  <c r="P74" i="27"/>
  <c r="N74" i="27"/>
  <c r="AM74" i="27" s="1"/>
  <c r="L74" i="27"/>
  <c r="A74" i="27"/>
  <c r="P73" i="27"/>
  <c r="N73" i="27"/>
  <c r="AM73" i="27" s="1"/>
  <c r="L73" i="27"/>
  <c r="A73" i="27"/>
  <c r="P72" i="27"/>
  <c r="N72" i="27"/>
  <c r="AM72" i="27" s="1"/>
  <c r="L72" i="27"/>
  <c r="A72" i="27"/>
  <c r="P71" i="27"/>
  <c r="N71" i="27"/>
  <c r="AM71" i="27" s="1"/>
  <c r="L71" i="27"/>
  <c r="A71" i="27"/>
  <c r="P70" i="27"/>
  <c r="N70" i="27"/>
  <c r="AM70" i="27" s="1"/>
  <c r="L70" i="27"/>
  <c r="A70" i="27"/>
  <c r="P69" i="27"/>
  <c r="N69" i="27"/>
  <c r="AM69" i="27" s="1"/>
  <c r="L69" i="27"/>
  <c r="A69" i="27"/>
  <c r="P68" i="27"/>
  <c r="N68" i="27"/>
  <c r="AM68" i="27" s="1"/>
  <c r="L68" i="27"/>
  <c r="A68" i="27"/>
  <c r="P67" i="27"/>
  <c r="N67" i="27"/>
  <c r="AM67" i="27" s="1"/>
  <c r="L67" i="27"/>
  <c r="A67" i="27"/>
  <c r="P66" i="27"/>
  <c r="N66" i="27"/>
  <c r="AM66" i="27" s="1"/>
  <c r="L66" i="27"/>
  <c r="A66" i="27"/>
  <c r="P65" i="27"/>
  <c r="N65" i="27"/>
  <c r="AM65" i="27" s="1"/>
  <c r="L65" i="27"/>
  <c r="A65" i="27"/>
  <c r="P64" i="27"/>
  <c r="N64" i="27"/>
  <c r="AM64" i="27" s="1"/>
  <c r="L64" i="27"/>
  <c r="A64" i="27"/>
  <c r="P63" i="27"/>
  <c r="N63" i="27"/>
  <c r="AM63" i="27" s="1"/>
  <c r="L63" i="27"/>
  <c r="A63" i="27"/>
  <c r="P62" i="27"/>
  <c r="N62" i="27"/>
  <c r="AM62" i="27" s="1"/>
  <c r="L62" i="27"/>
  <c r="A62" i="27"/>
  <c r="P61" i="27"/>
  <c r="N61" i="27"/>
  <c r="AM61" i="27" s="1"/>
  <c r="L61" i="27"/>
  <c r="A61" i="27"/>
  <c r="P60" i="27"/>
  <c r="N60" i="27"/>
  <c r="AM60" i="27" s="1"/>
  <c r="L60" i="27"/>
  <c r="A60" i="27"/>
  <c r="P59" i="27"/>
  <c r="N59" i="27"/>
  <c r="AM59" i="27" s="1"/>
  <c r="L59" i="27"/>
  <c r="A59" i="27"/>
  <c r="P58" i="27"/>
  <c r="N58" i="27"/>
  <c r="AM58" i="27" s="1"/>
  <c r="L58" i="27"/>
  <c r="A58" i="27"/>
  <c r="P57" i="27"/>
  <c r="N57" i="27"/>
  <c r="AM57" i="27" s="1"/>
  <c r="L57" i="27"/>
  <c r="A57" i="27"/>
  <c r="P56" i="27"/>
  <c r="N56" i="27"/>
  <c r="AM56" i="27" s="1"/>
  <c r="L56" i="27"/>
  <c r="A56" i="27"/>
  <c r="P55" i="27"/>
  <c r="N55" i="27"/>
  <c r="AM55" i="27" s="1"/>
  <c r="L55" i="27"/>
  <c r="A55" i="27"/>
  <c r="P54" i="27"/>
  <c r="N54" i="27"/>
  <c r="AM54" i="27" s="1"/>
  <c r="L54" i="27"/>
  <c r="A54" i="27"/>
  <c r="P53" i="27"/>
  <c r="N53" i="27"/>
  <c r="AM53" i="27" s="1"/>
  <c r="L53" i="27"/>
  <c r="A53" i="27"/>
  <c r="P52" i="27"/>
  <c r="N52" i="27"/>
  <c r="AM52" i="27" s="1"/>
  <c r="L52" i="27"/>
  <c r="A52" i="27"/>
  <c r="P51" i="27"/>
  <c r="N51" i="27"/>
  <c r="AM51" i="27" s="1"/>
  <c r="L51" i="27"/>
  <c r="A51" i="27"/>
  <c r="P50" i="27"/>
  <c r="N50" i="27"/>
  <c r="AM50" i="27" s="1"/>
  <c r="L50" i="27"/>
  <c r="A50" i="27"/>
  <c r="P49" i="27"/>
  <c r="N49" i="27"/>
  <c r="AM49" i="27" s="1"/>
  <c r="L49" i="27"/>
  <c r="A49" i="27"/>
  <c r="P48" i="27"/>
  <c r="N48" i="27"/>
  <c r="AM48" i="27" s="1"/>
  <c r="L48" i="27"/>
  <c r="A48" i="27"/>
  <c r="P47" i="27"/>
  <c r="N47" i="27"/>
  <c r="AM47" i="27" s="1"/>
  <c r="L47" i="27"/>
  <c r="A47" i="27"/>
  <c r="P46" i="27"/>
  <c r="N46" i="27"/>
  <c r="AM46" i="27" s="1"/>
  <c r="L46" i="27"/>
  <c r="A46" i="27"/>
  <c r="P45" i="27"/>
  <c r="N45" i="27"/>
  <c r="AM45" i="27" s="1"/>
  <c r="L45" i="27"/>
  <c r="A45" i="27"/>
  <c r="P44" i="27"/>
  <c r="N44" i="27"/>
  <c r="AM44" i="27" s="1"/>
  <c r="L44" i="27"/>
  <c r="A44" i="27"/>
  <c r="P43" i="27"/>
  <c r="N43" i="27"/>
  <c r="AM43" i="27" s="1"/>
  <c r="L43" i="27"/>
  <c r="A43" i="27"/>
  <c r="P42" i="27"/>
  <c r="N42" i="27"/>
  <c r="AM42" i="27" s="1"/>
  <c r="L42" i="27"/>
  <c r="A42" i="27"/>
  <c r="P41" i="27"/>
  <c r="N41" i="27"/>
  <c r="AM41" i="27" s="1"/>
  <c r="L41" i="27"/>
  <c r="A41" i="27"/>
  <c r="P40" i="27"/>
  <c r="N40" i="27"/>
  <c r="AM40" i="27" s="1"/>
  <c r="L40" i="27"/>
  <c r="A40" i="27"/>
  <c r="P39" i="27"/>
  <c r="N39" i="27"/>
  <c r="AM39" i="27" s="1"/>
  <c r="L39" i="27"/>
  <c r="A39" i="27"/>
  <c r="P38" i="27"/>
  <c r="N38" i="27"/>
  <c r="AM38" i="27" s="1"/>
  <c r="L38" i="27"/>
  <c r="A38" i="27"/>
  <c r="P37" i="27"/>
  <c r="N37" i="27"/>
  <c r="AM37" i="27" s="1"/>
  <c r="L37" i="27"/>
  <c r="A37" i="27"/>
  <c r="P36" i="27"/>
  <c r="N36" i="27"/>
  <c r="AM36" i="27" s="1"/>
  <c r="L36" i="27"/>
  <c r="A36" i="27"/>
  <c r="P35" i="27"/>
  <c r="N35" i="27"/>
  <c r="AM35" i="27" s="1"/>
  <c r="L35" i="27"/>
  <c r="A35" i="27"/>
  <c r="P34" i="27"/>
  <c r="N34" i="27"/>
  <c r="AM34" i="27" s="1"/>
  <c r="L34" i="27"/>
  <c r="A34" i="27"/>
  <c r="P33" i="27"/>
  <c r="N33" i="27"/>
  <c r="AM33" i="27" s="1"/>
  <c r="L33" i="27"/>
  <c r="A33" i="27"/>
  <c r="P32" i="27"/>
  <c r="N32" i="27"/>
  <c r="AM32" i="27" s="1"/>
  <c r="L32" i="27"/>
  <c r="A32" i="27"/>
  <c r="P31" i="27"/>
  <c r="N31" i="27"/>
  <c r="AM31" i="27" s="1"/>
  <c r="L31" i="27"/>
  <c r="A31" i="27"/>
  <c r="P30" i="27"/>
  <c r="N30" i="27"/>
  <c r="AM30" i="27" s="1"/>
  <c r="L30" i="27"/>
  <c r="A30" i="27"/>
  <c r="P29" i="27"/>
  <c r="N29" i="27"/>
  <c r="AM29" i="27" s="1"/>
  <c r="L29" i="27"/>
  <c r="A29" i="27"/>
  <c r="P28" i="27"/>
  <c r="N28" i="27"/>
  <c r="AM28" i="27" s="1"/>
  <c r="L28" i="27"/>
  <c r="A28" i="27"/>
  <c r="P27" i="27"/>
  <c r="N27" i="27"/>
  <c r="AM27" i="27" s="1"/>
  <c r="L27" i="27"/>
  <c r="A27" i="27"/>
  <c r="P26" i="27"/>
  <c r="N26" i="27"/>
  <c r="AM26" i="27" s="1"/>
  <c r="L26" i="27"/>
  <c r="A26" i="27"/>
  <c r="P25" i="27"/>
  <c r="N25" i="27"/>
  <c r="AM25" i="27" s="1"/>
  <c r="L25" i="27"/>
  <c r="A25" i="27"/>
  <c r="P24" i="27"/>
  <c r="N24" i="27"/>
  <c r="AM24" i="27" s="1"/>
  <c r="L24" i="27"/>
  <c r="A24" i="27"/>
  <c r="P23" i="27"/>
  <c r="N23" i="27"/>
  <c r="AM23" i="27" s="1"/>
  <c r="L23" i="27"/>
  <c r="A23" i="27"/>
  <c r="P22" i="27"/>
  <c r="N22" i="27"/>
  <c r="AM22" i="27" s="1"/>
  <c r="L22" i="27"/>
  <c r="A22" i="27"/>
  <c r="P21" i="27"/>
  <c r="N21" i="27"/>
  <c r="AM21" i="27" s="1"/>
  <c r="L21" i="27"/>
  <c r="A21" i="27"/>
  <c r="P20" i="27"/>
  <c r="N20" i="27"/>
  <c r="AM20" i="27" s="1"/>
  <c r="L20" i="27"/>
  <c r="A20" i="27"/>
  <c r="P19" i="27"/>
  <c r="N19" i="27"/>
  <c r="AM19" i="27" s="1"/>
  <c r="L19" i="27"/>
  <c r="A19" i="27"/>
  <c r="P18" i="27"/>
  <c r="N18" i="27"/>
  <c r="AM18" i="27" s="1"/>
  <c r="L18" i="27"/>
  <c r="A18" i="27"/>
  <c r="P17" i="27"/>
  <c r="N17" i="27"/>
  <c r="AM17" i="27" s="1"/>
  <c r="L17" i="27"/>
  <c r="A17" i="27"/>
  <c r="P16" i="27"/>
  <c r="N16" i="27"/>
  <c r="AM16" i="27" s="1"/>
  <c r="L16" i="27"/>
  <c r="A16" i="27"/>
  <c r="P15" i="27"/>
  <c r="N15" i="27"/>
  <c r="AM15" i="27" s="1"/>
  <c r="L15" i="27"/>
  <c r="A15" i="27"/>
  <c r="P14" i="27"/>
  <c r="N14" i="27"/>
  <c r="AM14" i="27" s="1"/>
  <c r="L14" i="27"/>
  <c r="A14" i="27"/>
  <c r="P13" i="27"/>
  <c r="N13" i="27"/>
  <c r="AM13" i="27" s="1"/>
  <c r="L13" i="27"/>
  <c r="A13" i="27"/>
  <c r="P12" i="27"/>
  <c r="N12" i="27"/>
  <c r="AM12" i="27" s="1"/>
  <c r="L12" i="27"/>
  <c r="A12" i="27"/>
  <c r="P11" i="27"/>
  <c r="N11" i="27"/>
  <c r="AM11" i="27" s="1"/>
  <c r="L11" i="27"/>
  <c r="A11" i="27"/>
  <c r="P10" i="27"/>
  <c r="N10" i="27"/>
  <c r="AM10" i="27" s="1"/>
  <c r="L10" i="27"/>
  <c r="A10" i="27"/>
  <c r="P9" i="27"/>
  <c r="N9" i="27"/>
  <c r="AM9" i="27" s="1"/>
  <c r="L9" i="27"/>
  <c r="A9" i="27"/>
  <c r="P8" i="27"/>
  <c r="N8" i="27"/>
  <c r="AM8" i="27" s="1"/>
  <c r="L8" i="27"/>
  <c r="A8" i="27"/>
  <c r="P7" i="27"/>
  <c r="N7" i="27"/>
  <c r="AM7" i="27" s="1"/>
  <c r="L7" i="27"/>
  <c r="A7" i="27"/>
  <c r="AU29" i="59"/>
  <c r="AX9" i="59"/>
  <c r="AX5" i="59"/>
  <c r="AQ14" i="59"/>
  <c r="R9" i="27" l="1"/>
  <c r="S9" i="27" s="1"/>
  <c r="AG9" i="27" s="1"/>
  <c r="R15" i="27"/>
  <c r="S15" i="27" s="1"/>
  <c r="AG15" i="27" s="1"/>
  <c r="R31" i="27"/>
  <c r="S31" i="27" s="1"/>
  <c r="AG31" i="27" s="1"/>
  <c r="R89" i="27"/>
  <c r="S89" i="27" s="1"/>
  <c r="AG89" i="27" s="1"/>
  <c r="R101" i="27"/>
  <c r="S101" i="27" s="1"/>
  <c r="AG101" i="27" s="1"/>
  <c r="R105" i="27"/>
  <c r="S105" i="27" s="1"/>
  <c r="AG105" i="27" s="1"/>
  <c r="R109" i="27"/>
  <c r="S109" i="27" s="1"/>
  <c r="AG109" i="27" s="1"/>
  <c r="R37" i="27"/>
  <c r="S37" i="27" s="1"/>
  <c r="AG37" i="27" s="1"/>
  <c r="R19" i="27"/>
  <c r="S19" i="27" s="1"/>
  <c r="AG19" i="27" s="1"/>
  <c r="R21" i="27"/>
  <c r="S21" i="27" s="1"/>
  <c r="AG21" i="27" s="1"/>
  <c r="R39" i="27"/>
  <c r="S39" i="27" s="1"/>
  <c r="AG39" i="27" s="1"/>
  <c r="R69" i="27"/>
  <c r="S69" i="27" s="1"/>
  <c r="AG69" i="27" s="1"/>
  <c r="R85" i="27"/>
  <c r="S85" i="27" s="1"/>
  <c r="AG85" i="27" s="1"/>
  <c r="R53" i="27"/>
  <c r="S53" i="27" s="1"/>
  <c r="AG53" i="27" s="1"/>
  <c r="R22" i="27"/>
  <c r="S22" i="27" s="1"/>
  <c r="AG22" i="27" s="1"/>
  <c r="R58" i="27"/>
  <c r="S58" i="27" s="1"/>
  <c r="AG58" i="27" s="1"/>
  <c r="R64" i="27"/>
  <c r="S64" i="27" s="1"/>
  <c r="AG64" i="27" s="1"/>
  <c r="R76" i="27"/>
  <c r="S76" i="27" s="1"/>
  <c r="AG76" i="27" s="1"/>
  <c r="R80" i="27"/>
  <c r="S80" i="27" s="1"/>
  <c r="AG80" i="27" s="1"/>
  <c r="R92" i="27"/>
  <c r="S92" i="27" s="1"/>
  <c r="AG92" i="27" s="1"/>
  <c r="R96" i="27"/>
  <c r="S96" i="27" s="1"/>
  <c r="AG96" i="27" s="1"/>
  <c r="R108" i="27"/>
  <c r="S108" i="27" s="1"/>
  <c r="AG108" i="27" s="1"/>
  <c r="R14" i="27"/>
  <c r="S14" i="27" s="1"/>
  <c r="AG14" i="27" s="1"/>
  <c r="R30" i="27"/>
  <c r="S30" i="27" s="1"/>
  <c r="AG30" i="27" s="1"/>
  <c r="R46" i="27"/>
  <c r="S46" i="27" s="1"/>
  <c r="AG46" i="27" s="1"/>
  <c r="R48" i="27"/>
  <c r="S48" i="27" s="1"/>
  <c r="AG48" i="27" s="1"/>
  <c r="I32" i="61"/>
  <c r="K32" i="61" s="1"/>
  <c r="I27" i="61"/>
  <c r="K27" i="61" s="1"/>
  <c r="I31" i="61"/>
  <c r="K31" i="61" s="1"/>
  <c r="I12" i="61"/>
  <c r="K12" i="61" s="1"/>
  <c r="I13" i="61"/>
  <c r="K13" i="61" s="1"/>
  <c r="I18" i="61"/>
  <c r="K18" i="61" s="1"/>
  <c r="I22" i="61"/>
  <c r="K22" i="61" s="1"/>
  <c r="I30" i="61"/>
  <c r="K30" i="61" s="1"/>
  <c r="R104" i="27"/>
  <c r="S104" i="27" s="1"/>
  <c r="AG104" i="27" s="1"/>
  <c r="R50" i="27"/>
  <c r="S50" i="27" s="1"/>
  <c r="AG50" i="27" s="1"/>
  <c r="AN50" i="27" s="1"/>
  <c r="AT50" i="27" s="1"/>
  <c r="I25" i="61"/>
  <c r="K25" i="61" s="1"/>
  <c r="I15" i="61"/>
  <c r="K15" i="61" s="1"/>
  <c r="I16" i="61"/>
  <c r="K16" i="61" s="1"/>
  <c r="I23" i="61"/>
  <c r="K23" i="61" s="1"/>
  <c r="I21" i="61"/>
  <c r="K21" i="61" s="1"/>
  <c r="I29" i="61"/>
  <c r="K29" i="61" s="1"/>
  <c r="I20" i="61"/>
  <c r="K20" i="61" s="1"/>
  <c r="I28" i="61"/>
  <c r="K28" i="61" s="1"/>
  <c r="I19" i="61"/>
  <c r="K19" i="61" s="1"/>
  <c r="I24" i="61"/>
  <c r="K24" i="61" s="1"/>
  <c r="I17" i="61"/>
  <c r="K17" i="61" s="1"/>
  <c r="I14" i="61"/>
  <c r="K14" i="61" s="1"/>
  <c r="I11" i="61"/>
  <c r="K11" i="61" s="1"/>
  <c r="I26" i="61"/>
  <c r="K26" i="61" s="1"/>
  <c r="R91" i="27"/>
  <c r="S91" i="27" s="1"/>
  <c r="AG91" i="27" s="1"/>
  <c r="AN91" i="27" s="1"/>
  <c r="AT91" i="27" s="1"/>
  <c r="R81" i="27"/>
  <c r="S81" i="27" s="1"/>
  <c r="AG81" i="27" s="1"/>
  <c r="AN81" i="27" s="1"/>
  <c r="AT81" i="27" s="1"/>
  <c r="R38" i="27"/>
  <c r="S38" i="27" s="1"/>
  <c r="AG38" i="27" s="1"/>
  <c r="AN38" i="27" s="1"/>
  <c r="AT38" i="27" s="1"/>
  <c r="R97" i="27"/>
  <c r="S97" i="27" s="1"/>
  <c r="AG97" i="27" s="1"/>
  <c r="AN97" i="27" s="1"/>
  <c r="AT97" i="27" s="1"/>
  <c r="R25" i="27"/>
  <c r="S25" i="27" s="1"/>
  <c r="AG25" i="27" s="1"/>
  <c r="AN25" i="27" s="1"/>
  <c r="AT25" i="27" s="1"/>
  <c r="R72" i="27"/>
  <c r="S72" i="27" s="1"/>
  <c r="AG72" i="27" s="1"/>
  <c r="R20" i="27"/>
  <c r="S20" i="27" s="1"/>
  <c r="AG20" i="27" s="1"/>
  <c r="AN20" i="27" s="1"/>
  <c r="AT20" i="27" s="1"/>
  <c r="R57" i="27"/>
  <c r="S57" i="27" s="1"/>
  <c r="AG57" i="27" s="1"/>
  <c r="AN57" i="27" s="1"/>
  <c r="AT57" i="27" s="1"/>
  <c r="R43" i="27"/>
  <c r="S43" i="27" s="1"/>
  <c r="AG43" i="27" s="1"/>
  <c r="AN43" i="27" s="1"/>
  <c r="AT43" i="27" s="1"/>
  <c r="R73" i="27"/>
  <c r="S73" i="27" s="1"/>
  <c r="AG73" i="27" s="1"/>
  <c r="AN73" i="27" s="1"/>
  <c r="AT73" i="27" s="1"/>
  <c r="R13" i="27"/>
  <c r="S13" i="27" s="1"/>
  <c r="AG13" i="27" s="1"/>
  <c r="AN13" i="27" s="1"/>
  <c r="AT13" i="27" s="1"/>
  <c r="R47" i="27"/>
  <c r="S47" i="27" s="1"/>
  <c r="AG47" i="27" s="1"/>
  <c r="AN47" i="27" s="1"/>
  <c r="AT47" i="27" s="1"/>
  <c r="R77" i="27"/>
  <c r="S77" i="27" s="1"/>
  <c r="AG77" i="27" s="1"/>
  <c r="AN77" i="27" s="1"/>
  <c r="AT77" i="27" s="1"/>
  <c r="R36" i="27"/>
  <c r="S36" i="27" s="1"/>
  <c r="AG36" i="27" s="1"/>
  <c r="AN36" i="27" s="1"/>
  <c r="AT36" i="27" s="1"/>
  <c r="R68" i="27"/>
  <c r="S68" i="27" s="1"/>
  <c r="AG68" i="27" s="1"/>
  <c r="AN68" i="27" s="1"/>
  <c r="AT68" i="27" s="1"/>
  <c r="R29" i="27"/>
  <c r="S29" i="27" s="1"/>
  <c r="AG29" i="27" s="1"/>
  <c r="AN29" i="27" s="1"/>
  <c r="AT29" i="27" s="1"/>
  <c r="R61" i="27"/>
  <c r="S61" i="27" s="1"/>
  <c r="AG61" i="27" s="1"/>
  <c r="AN61" i="27" s="1"/>
  <c r="AT61" i="27" s="1"/>
  <c r="R93" i="27"/>
  <c r="S93" i="27" s="1"/>
  <c r="AG93" i="27" s="1"/>
  <c r="AN93" i="27" s="1"/>
  <c r="AT93" i="27" s="1"/>
  <c r="R56" i="27"/>
  <c r="S56" i="27" s="1"/>
  <c r="AG56" i="27" s="1"/>
  <c r="AN56" i="27" s="1"/>
  <c r="AT56" i="27" s="1"/>
  <c r="R88" i="27"/>
  <c r="S88" i="27" s="1"/>
  <c r="AG88" i="27" s="1"/>
  <c r="AN88" i="27" s="1"/>
  <c r="AT88" i="27" s="1"/>
  <c r="R10" i="27"/>
  <c r="S10" i="27" s="1"/>
  <c r="AG10" i="27" s="1"/>
  <c r="AN10" i="27" s="1"/>
  <c r="AT10" i="27" s="1"/>
  <c r="R17" i="27"/>
  <c r="S17" i="27" s="1"/>
  <c r="AG17" i="27" s="1"/>
  <c r="AN17" i="27" s="1"/>
  <c r="AT17" i="27" s="1"/>
  <c r="R33" i="27"/>
  <c r="S33" i="27" s="1"/>
  <c r="AG33" i="27" s="1"/>
  <c r="AN33" i="27" s="1"/>
  <c r="AT33" i="27" s="1"/>
  <c r="R42" i="27"/>
  <c r="S42" i="27" s="1"/>
  <c r="AG42" i="27" s="1"/>
  <c r="AN42" i="27" s="1"/>
  <c r="AT42" i="27" s="1"/>
  <c r="R65" i="27"/>
  <c r="S65" i="27" s="1"/>
  <c r="AG65" i="27" s="1"/>
  <c r="AN65" i="27" s="1"/>
  <c r="AT65" i="27" s="1"/>
  <c r="R83" i="27"/>
  <c r="S83" i="27" s="1"/>
  <c r="AG83" i="27" s="1"/>
  <c r="AN83" i="27" s="1"/>
  <c r="AT83" i="27" s="1"/>
  <c r="R99" i="27"/>
  <c r="S99" i="27" s="1"/>
  <c r="AG99" i="27" s="1"/>
  <c r="AN99" i="27" s="1"/>
  <c r="AT99" i="27" s="1"/>
  <c r="R12" i="27"/>
  <c r="S12" i="27" s="1"/>
  <c r="AG12" i="27" s="1"/>
  <c r="AN12" i="27" s="1"/>
  <c r="AT12" i="27" s="1"/>
  <c r="R28" i="27"/>
  <c r="S28" i="27" s="1"/>
  <c r="AG28" i="27" s="1"/>
  <c r="AN28" i="27" s="1"/>
  <c r="AT28" i="27" s="1"/>
  <c r="R51" i="27"/>
  <c r="S51" i="27" s="1"/>
  <c r="AG51" i="27" s="1"/>
  <c r="AN51" i="27" s="1"/>
  <c r="AT51" i="27" s="1"/>
  <c r="R60" i="27"/>
  <c r="S60" i="27" s="1"/>
  <c r="AG60" i="27" s="1"/>
  <c r="R107" i="27"/>
  <c r="S107" i="27" s="1"/>
  <c r="AG107" i="27" s="1"/>
  <c r="AN107" i="27" s="1"/>
  <c r="AT107" i="27" s="1"/>
  <c r="R45" i="27"/>
  <c r="S45" i="27" s="1"/>
  <c r="AG45" i="27" s="1"/>
  <c r="AN45" i="27" s="1"/>
  <c r="AT45" i="27" s="1"/>
  <c r="R59" i="27"/>
  <c r="S59" i="27" s="1"/>
  <c r="AG59" i="27" s="1"/>
  <c r="AN59" i="27" s="1"/>
  <c r="AT59" i="27" s="1"/>
  <c r="R67" i="27"/>
  <c r="S67" i="27" s="1"/>
  <c r="AG67" i="27" s="1"/>
  <c r="AN67" i="27" s="1"/>
  <c r="AT67" i="27" s="1"/>
  <c r="R75" i="27"/>
  <c r="S75" i="27" s="1"/>
  <c r="AG75" i="27" s="1"/>
  <c r="AN75" i="27" s="1"/>
  <c r="AT75" i="27" s="1"/>
  <c r="R11" i="27"/>
  <c r="S11" i="27" s="1"/>
  <c r="AG11" i="27" s="1"/>
  <c r="AN11" i="27" s="1"/>
  <c r="AT11" i="27" s="1"/>
  <c r="R27" i="27"/>
  <c r="S27" i="27" s="1"/>
  <c r="AG27" i="27" s="1"/>
  <c r="AN27" i="27" s="1"/>
  <c r="AT27" i="27" s="1"/>
  <c r="R35" i="27"/>
  <c r="S35" i="27" s="1"/>
  <c r="AG35" i="27" s="1"/>
  <c r="AN35" i="27" s="1"/>
  <c r="AT35" i="27" s="1"/>
  <c r="R44" i="27"/>
  <c r="S44" i="27" s="1"/>
  <c r="AG44" i="27" s="1"/>
  <c r="AN44" i="27" s="1"/>
  <c r="AT44" i="27" s="1"/>
  <c r="R66" i="27"/>
  <c r="S66" i="27" s="1"/>
  <c r="AG66" i="27" s="1"/>
  <c r="AN66" i="27" s="1"/>
  <c r="AT66" i="27" s="1"/>
  <c r="R74" i="27"/>
  <c r="S74" i="27" s="1"/>
  <c r="AG74" i="27" s="1"/>
  <c r="AN74" i="27" s="1"/>
  <c r="AT74" i="27" s="1"/>
  <c r="R82" i="27"/>
  <c r="S82" i="27" s="1"/>
  <c r="AG82" i="27" s="1"/>
  <c r="AN82" i="27" s="1"/>
  <c r="AT82" i="27" s="1"/>
  <c r="R90" i="27"/>
  <c r="S90" i="27" s="1"/>
  <c r="AG90" i="27" s="1"/>
  <c r="AN90" i="27" s="1"/>
  <c r="AT90" i="27" s="1"/>
  <c r="R98" i="27"/>
  <c r="S98" i="27" s="1"/>
  <c r="AG98" i="27" s="1"/>
  <c r="AN98" i="27" s="1"/>
  <c r="AT98" i="27" s="1"/>
  <c r="R106" i="27"/>
  <c r="S106" i="27" s="1"/>
  <c r="AG106" i="27" s="1"/>
  <c r="AN106" i="27" s="1"/>
  <c r="AT106" i="27" s="1"/>
  <c r="R8" i="27"/>
  <c r="S8" i="27" s="1"/>
  <c r="AG8" i="27" s="1"/>
  <c r="AN8" i="27" s="1"/>
  <c r="AT8" i="27" s="1"/>
  <c r="R16" i="27"/>
  <c r="S16" i="27" s="1"/>
  <c r="AG16" i="27" s="1"/>
  <c r="AN16" i="27" s="1"/>
  <c r="AT16" i="27" s="1"/>
  <c r="R24" i="27"/>
  <c r="S24" i="27" s="1"/>
  <c r="AG24" i="27" s="1"/>
  <c r="AN24" i="27" s="1"/>
  <c r="AT24" i="27" s="1"/>
  <c r="R32" i="27"/>
  <c r="S32" i="27" s="1"/>
  <c r="AG32" i="27" s="1"/>
  <c r="AN32" i="27" s="1"/>
  <c r="AT32" i="27" s="1"/>
  <c r="R41" i="27"/>
  <c r="S41" i="27" s="1"/>
  <c r="AG41" i="27" s="1"/>
  <c r="AN41" i="27" s="1"/>
  <c r="AT41" i="27" s="1"/>
  <c r="R49" i="27"/>
  <c r="S49" i="27" s="1"/>
  <c r="AG49" i="27" s="1"/>
  <c r="AN49" i="27" s="1"/>
  <c r="AT49" i="27" s="1"/>
  <c r="R52" i="27"/>
  <c r="S52" i="27" s="1"/>
  <c r="AG52" i="27" s="1"/>
  <c r="AN52" i="27" s="1"/>
  <c r="AT52" i="27" s="1"/>
  <c r="R55" i="27"/>
  <c r="S55" i="27" s="1"/>
  <c r="AG55" i="27" s="1"/>
  <c r="AN55" i="27" s="1"/>
  <c r="AT55" i="27" s="1"/>
  <c r="R63" i="27"/>
  <c r="S63" i="27" s="1"/>
  <c r="AG63" i="27" s="1"/>
  <c r="AN63" i="27" s="1"/>
  <c r="AT63" i="27" s="1"/>
  <c r="R71" i="27"/>
  <c r="S71" i="27" s="1"/>
  <c r="AG71" i="27" s="1"/>
  <c r="AN71" i="27" s="1"/>
  <c r="AT71" i="27" s="1"/>
  <c r="R79" i="27"/>
  <c r="S79" i="27" s="1"/>
  <c r="AG79" i="27" s="1"/>
  <c r="AN79" i="27" s="1"/>
  <c r="AT79" i="27" s="1"/>
  <c r="R87" i="27"/>
  <c r="S87" i="27" s="1"/>
  <c r="AG87" i="27" s="1"/>
  <c r="AN87" i="27" s="1"/>
  <c r="AT87" i="27" s="1"/>
  <c r="R95" i="27"/>
  <c r="S95" i="27" s="1"/>
  <c r="AG95" i="27" s="1"/>
  <c r="AN95" i="27" s="1"/>
  <c r="AT95" i="27" s="1"/>
  <c r="R103" i="27"/>
  <c r="S103" i="27" s="1"/>
  <c r="AG103" i="27" s="1"/>
  <c r="AN103" i="27" s="1"/>
  <c r="AT103" i="27" s="1"/>
  <c r="R84" i="27"/>
  <c r="S84" i="27" s="1"/>
  <c r="AG84" i="27" s="1"/>
  <c r="AN84" i="27" s="1"/>
  <c r="AT84" i="27" s="1"/>
  <c r="R100" i="27"/>
  <c r="S100" i="27" s="1"/>
  <c r="AG100" i="27" s="1"/>
  <c r="AN100" i="27" s="1"/>
  <c r="AT100" i="27" s="1"/>
  <c r="R18" i="27"/>
  <c r="S18" i="27" s="1"/>
  <c r="AG18" i="27" s="1"/>
  <c r="AN18" i="27" s="1"/>
  <c r="AT18" i="27" s="1"/>
  <c r="R26" i="27"/>
  <c r="S26" i="27" s="1"/>
  <c r="AG26" i="27" s="1"/>
  <c r="AN26" i="27" s="1"/>
  <c r="AT26" i="27" s="1"/>
  <c r="R34" i="27"/>
  <c r="S34" i="27" s="1"/>
  <c r="AG34" i="27" s="1"/>
  <c r="AN34" i="27" s="1"/>
  <c r="AT34" i="27" s="1"/>
  <c r="R7" i="27"/>
  <c r="S7" i="27" s="1"/>
  <c r="AG7" i="27" s="1"/>
  <c r="AN7" i="27" s="1"/>
  <c r="AT7" i="27" s="1"/>
  <c r="R23" i="27"/>
  <c r="S23" i="27" s="1"/>
  <c r="AG23" i="27" s="1"/>
  <c r="AN23" i="27" s="1"/>
  <c r="AT23" i="27" s="1"/>
  <c r="R40" i="27"/>
  <c r="S40" i="27" s="1"/>
  <c r="AG40" i="27" s="1"/>
  <c r="AN40" i="27" s="1"/>
  <c r="AT40" i="27" s="1"/>
  <c r="R54" i="27"/>
  <c r="S54" i="27" s="1"/>
  <c r="AG54" i="27" s="1"/>
  <c r="AN54" i="27" s="1"/>
  <c r="AT54" i="27" s="1"/>
  <c r="R62" i="27"/>
  <c r="S62" i="27" s="1"/>
  <c r="AG62" i="27" s="1"/>
  <c r="AN62" i="27" s="1"/>
  <c r="AT62" i="27" s="1"/>
  <c r="R70" i="27"/>
  <c r="S70" i="27" s="1"/>
  <c r="AG70" i="27" s="1"/>
  <c r="AN70" i="27" s="1"/>
  <c r="AT70" i="27" s="1"/>
  <c r="R78" i="27"/>
  <c r="S78" i="27" s="1"/>
  <c r="AG78" i="27" s="1"/>
  <c r="AN78" i="27" s="1"/>
  <c r="AT78" i="27" s="1"/>
  <c r="R86" i="27"/>
  <c r="S86" i="27" s="1"/>
  <c r="AG86" i="27" s="1"/>
  <c r="AN86" i="27" s="1"/>
  <c r="AT86" i="27" s="1"/>
  <c r="R94" i="27"/>
  <c r="S94" i="27" s="1"/>
  <c r="AG94" i="27" s="1"/>
  <c r="AN94" i="27" s="1"/>
  <c r="AT94" i="27" s="1"/>
  <c r="R102" i="27"/>
  <c r="S102" i="27" s="1"/>
  <c r="AG102" i="27" s="1"/>
  <c r="AN102" i="27" s="1"/>
  <c r="AT102" i="27" s="1"/>
  <c r="R110" i="27"/>
  <c r="S110" i="27" s="1"/>
  <c r="AG110" i="27" s="1"/>
  <c r="AN110" i="27" s="1"/>
  <c r="AT110" i="27" s="1"/>
  <c r="AQ10" i="59"/>
  <c r="AQ16" i="59" s="1"/>
  <c r="AQ15" i="59" s="1"/>
  <c r="E10" i="61" l="1"/>
  <c r="E8" i="61"/>
  <c r="AN9" i="27"/>
  <c r="AT9" i="27" s="1"/>
  <c r="AN37" i="27"/>
  <c r="AT37" i="27" s="1"/>
  <c r="E37" i="61" s="1"/>
  <c r="AN22" i="27"/>
  <c r="AT22" i="27" s="1"/>
  <c r="AN30" i="27"/>
  <c r="AT30" i="27" s="1"/>
  <c r="AN105" i="27"/>
  <c r="AT105" i="27" s="1"/>
  <c r="E105" i="61" s="1"/>
  <c r="E45" i="61"/>
  <c r="E41" i="61"/>
  <c r="E81" i="61"/>
  <c r="E84" i="61"/>
  <c r="E35" i="61"/>
  <c r="E62" i="61"/>
  <c r="E54" i="61"/>
  <c r="E68" i="61"/>
  <c r="E93" i="61"/>
  <c r="E29" i="61"/>
  <c r="E73" i="61"/>
  <c r="E47" i="61"/>
  <c r="E32" i="61"/>
  <c r="E28" i="61"/>
  <c r="E7" i="61"/>
  <c r="E36" i="61"/>
  <c r="E38" i="61"/>
  <c r="E20" i="61"/>
  <c r="E27" i="61"/>
  <c r="E11" i="61"/>
  <c r="E65" i="61"/>
  <c r="E102" i="61"/>
  <c r="E30" i="61"/>
  <c r="E13" i="61"/>
  <c r="E90" i="61"/>
  <c r="E70" i="61"/>
  <c r="E16" i="61"/>
  <c r="E57" i="61"/>
  <c r="E86" i="61"/>
  <c r="E55" i="61"/>
  <c r="E100" i="61"/>
  <c r="E59" i="61"/>
  <c r="E23" i="61"/>
  <c r="E43" i="61"/>
  <c r="E52" i="61"/>
  <c r="E77" i="61"/>
  <c r="E66" i="61"/>
  <c r="E50" i="61"/>
  <c r="E26" i="61"/>
  <c r="E97" i="61"/>
  <c r="E44" i="61"/>
  <c r="AN15" i="27"/>
  <c r="AT15" i="27" s="1"/>
  <c r="AN64" i="27"/>
  <c r="AT64" i="27" s="1"/>
  <c r="AN101" i="27"/>
  <c r="AT101" i="27" s="1"/>
  <c r="AN109" i="27"/>
  <c r="AT109" i="27" s="1"/>
  <c r="AN21" i="27"/>
  <c r="AT21" i="27" s="1"/>
  <c r="AN96" i="27"/>
  <c r="AT96" i="27" s="1"/>
  <c r="AN92" i="27"/>
  <c r="AT92" i="27" s="1"/>
  <c r="AN14" i="27"/>
  <c r="AT14" i="27" s="1"/>
  <c r="AN39" i="27"/>
  <c r="AT39" i="27" s="1"/>
  <c r="AN89" i="27"/>
  <c r="AT89" i="27" s="1"/>
  <c r="AN46" i="27"/>
  <c r="AT46" i="27" s="1"/>
  <c r="AN31" i="27"/>
  <c r="AT31" i="27" s="1"/>
  <c r="AN53" i="27"/>
  <c r="AT53" i="27" s="1"/>
  <c r="AN58" i="27"/>
  <c r="AT58" i="27" s="1"/>
  <c r="AN85" i="27"/>
  <c r="AT85" i="27" s="1"/>
  <c r="AN69" i="27"/>
  <c r="AT69" i="27" s="1"/>
  <c r="AN80" i="27"/>
  <c r="AT80" i="27" s="1"/>
  <c r="AN48" i="27"/>
  <c r="AT48" i="27" s="1"/>
  <c r="AN76" i="27"/>
  <c r="AT76" i="27" s="1"/>
  <c r="AN60" i="27"/>
  <c r="AT60" i="27" s="1"/>
  <c r="AN104" i="27"/>
  <c r="AT104" i="27" s="1"/>
  <c r="AN72" i="27"/>
  <c r="AT72" i="27" s="1"/>
  <c r="AN19" i="27"/>
  <c r="AT19" i="27" s="1"/>
  <c r="AN108" i="27"/>
  <c r="AT108" i="27" s="1"/>
  <c r="AQ11" i="59"/>
  <c r="E19" i="61" l="1"/>
  <c r="E85" i="61"/>
  <c r="E39" i="61"/>
  <c r="E96" i="61"/>
  <c r="E21" i="61"/>
  <c r="E15" i="61"/>
  <c r="E53" i="61"/>
  <c r="E60" i="61"/>
  <c r="E31" i="61"/>
  <c r="E109" i="61"/>
  <c r="E80" i="61"/>
  <c r="E58" i="61"/>
  <c r="E46" i="61"/>
  <c r="E76" i="61"/>
  <c r="E101" i="61"/>
  <c r="E48" i="61"/>
  <c r="E89" i="61"/>
  <c r="E25" i="61"/>
  <c r="E69" i="61"/>
  <c r="E14" i="61"/>
  <c r="E64" i="61"/>
  <c r="E9" i="61"/>
  <c r="E12" i="61"/>
  <c r="E83" i="61"/>
  <c r="E108" i="61"/>
  <c r="E88" i="61"/>
  <c r="E33" i="61"/>
  <c r="E75" i="61"/>
  <c r="E92" i="61"/>
  <c r="E104" i="61"/>
  <c r="E40" i="61"/>
  <c r="E72" i="61"/>
  <c r="E95" i="61"/>
  <c r="E99" i="61"/>
  <c r="E107" i="61"/>
  <c r="E79" i="61"/>
  <c r="E82" i="61"/>
  <c r="E42" i="61"/>
  <c r="E18" i="61"/>
  <c r="E91" i="61"/>
  <c r="E17" i="61"/>
  <c r="E22" i="61"/>
  <c r="E87" i="61"/>
  <c r="E94" i="61"/>
  <c r="E74" i="61"/>
  <c r="E51" i="61"/>
  <c r="E110" i="61"/>
  <c r="E106" i="61"/>
  <c r="E56" i="61"/>
  <c r="E24" i="61"/>
  <c r="E61" i="61"/>
  <c r="E67" i="61"/>
  <c r="E71" i="61"/>
  <c r="E98" i="61"/>
  <c r="E63" i="61"/>
  <c r="E34" i="61"/>
  <c r="E78" i="61"/>
  <c r="E49" i="61"/>
  <c r="E103" i="61"/>
  <c r="G35" i="61"/>
  <c r="A35" i="61"/>
  <c r="G34" i="61"/>
  <c r="A34" i="61"/>
  <c r="G33" i="61"/>
  <c r="A33" i="61"/>
  <c r="I17" i="23"/>
  <c r="E17" i="23"/>
  <c r="A17" i="23"/>
  <c r="I16" i="23"/>
  <c r="E16" i="23"/>
  <c r="A16" i="23"/>
  <c r="I15" i="23"/>
  <c r="E15" i="23"/>
  <c r="A15" i="23"/>
  <c r="I14" i="23"/>
  <c r="E14" i="23"/>
  <c r="A14" i="23"/>
  <c r="I13" i="23"/>
  <c r="E13" i="23"/>
  <c r="A13" i="23"/>
  <c r="I12" i="23"/>
  <c r="E12" i="23"/>
  <c r="A12" i="23"/>
  <c r="I11" i="23"/>
  <c r="E11" i="23"/>
  <c r="A11" i="23"/>
  <c r="I10" i="23"/>
  <c r="E10" i="23"/>
  <c r="A10" i="23"/>
  <c r="I9" i="23"/>
  <c r="E9" i="23"/>
  <c r="A9" i="23"/>
  <c r="I8" i="23"/>
  <c r="E8" i="23"/>
  <c r="A8" i="23"/>
  <c r="I7" i="23"/>
  <c r="E7" i="23"/>
  <c r="A7" i="23"/>
  <c r="I6" i="23"/>
  <c r="E6" i="23"/>
  <c r="A6" i="23"/>
  <c r="I35" i="61" l="1"/>
  <c r="K35" i="61" s="1"/>
  <c r="I33" i="61"/>
  <c r="K33" i="61" s="1"/>
  <c r="I34" i="61"/>
  <c r="K34" i="61" s="1"/>
  <c r="K118" i="35" l="1"/>
  <c r="K117" i="35"/>
  <c r="K116" i="35"/>
  <c r="K115" i="35"/>
  <c r="K114" i="35"/>
  <c r="K113" i="35"/>
  <c r="K112" i="35"/>
  <c r="K111" i="35"/>
  <c r="K110" i="35"/>
  <c r="K109" i="35"/>
  <c r="K108" i="35"/>
  <c r="K107" i="35"/>
  <c r="K106" i="35"/>
  <c r="K105" i="35"/>
  <c r="K104" i="35"/>
  <c r="K103" i="35"/>
  <c r="K102" i="35"/>
  <c r="K101" i="35"/>
  <c r="K100" i="35"/>
  <c r="K99" i="35"/>
  <c r="K98" i="35"/>
  <c r="K97" i="35"/>
  <c r="K96" i="35"/>
  <c r="K95" i="35"/>
  <c r="K94" i="35"/>
  <c r="K93" i="35"/>
  <c r="K92" i="35"/>
  <c r="K91" i="35"/>
  <c r="K90" i="35"/>
  <c r="K89" i="35"/>
  <c r="K88" i="35"/>
  <c r="K87" i="35"/>
  <c r="K86" i="35"/>
  <c r="K85" i="35"/>
  <c r="K84" i="35"/>
  <c r="K83" i="35"/>
  <c r="K82" i="35"/>
  <c r="K81" i="35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BI116" i="66"/>
  <c r="BG116" i="66"/>
  <c r="BD116" i="66"/>
  <c r="BT116" i="66"/>
  <c r="BS116" i="66"/>
  <c r="BR116" i="66"/>
  <c r="BQ116" i="66"/>
  <c r="BP116" i="66"/>
  <c r="BO116" i="66"/>
  <c r="BN116" i="66"/>
  <c r="BM116" i="66"/>
  <c r="BL116" i="66"/>
  <c r="BJ116" i="66"/>
  <c r="BH116" i="66"/>
  <c r="BF116" i="66"/>
  <c r="BE116" i="66"/>
  <c r="E18" i="63"/>
  <c r="AN25" i="60"/>
  <c r="AK25" i="60"/>
  <c r="AJ25" i="60"/>
  <c r="AI25" i="60"/>
  <c r="AH25" i="60"/>
  <c r="AE25" i="60"/>
  <c r="AD25" i="60"/>
  <c r="AC25" i="60"/>
  <c r="AA25" i="60"/>
  <c r="W25" i="60"/>
  <c r="U25" i="60"/>
  <c r="R25" i="60"/>
  <c r="Q25" i="60"/>
  <c r="P25" i="60"/>
  <c r="O25" i="60"/>
  <c r="N25" i="60"/>
  <c r="M25" i="60"/>
  <c r="L25" i="60"/>
  <c r="I25" i="60"/>
  <c r="G25" i="60"/>
  <c r="E25" i="60"/>
  <c r="AN24" i="60"/>
  <c r="AJ24" i="60"/>
  <c r="AI24" i="60"/>
  <c r="AH24" i="60"/>
  <c r="AE24" i="60"/>
  <c r="AD24" i="60"/>
  <c r="AB24" i="60"/>
  <c r="AA24" i="60"/>
  <c r="W24" i="60"/>
  <c r="V24" i="60"/>
  <c r="U24" i="60"/>
  <c r="R24" i="60"/>
  <c r="Q24" i="60"/>
  <c r="P24" i="60"/>
  <c r="O24" i="60"/>
  <c r="N24" i="60"/>
  <c r="M24" i="60"/>
  <c r="L24" i="60"/>
  <c r="G24" i="60"/>
  <c r="E24" i="60"/>
  <c r="AN23" i="60"/>
  <c r="AJ23" i="60"/>
  <c r="AI23" i="60"/>
  <c r="AH23" i="60"/>
  <c r="AE23" i="60"/>
  <c r="AD23" i="60"/>
  <c r="AA23" i="60"/>
  <c r="W23" i="60"/>
  <c r="U23" i="60"/>
  <c r="R23" i="60"/>
  <c r="Q23" i="60"/>
  <c r="P23" i="60"/>
  <c r="O23" i="60"/>
  <c r="N23" i="60"/>
  <c r="L23" i="60"/>
  <c r="G23" i="60"/>
  <c r="E23" i="60"/>
  <c r="AN22" i="60"/>
  <c r="AJ22" i="60"/>
  <c r="AI22" i="60"/>
  <c r="AH22" i="60"/>
  <c r="AE22" i="60"/>
  <c r="AD22" i="60"/>
  <c r="AC22" i="60"/>
  <c r="AA22" i="60"/>
  <c r="W22" i="60"/>
  <c r="U22" i="60"/>
  <c r="R22" i="60"/>
  <c r="Q22" i="60"/>
  <c r="P22" i="60"/>
  <c r="O22" i="60"/>
  <c r="N22" i="60"/>
  <c r="M22" i="60"/>
  <c r="L22" i="60"/>
  <c r="I22" i="60"/>
  <c r="G22" i="60"/>
  <c r="E22" i="60"/>
  <c r="AN21" i="60"/>
  <c r="AL21" i="60"/>
  <c r="AJ21" i="60"/>
  <c r="AI21" i="60"/>
  <c r="AH21" i="60"/>
  <c r="AE21" i="60"/>
  <c r="AD21" i="60"/>
  <c r="AA21" i="60"/>
  <c r="W21" i="60"/>
  <c r="U21" i="60"/>
  <c r="R21" i="60"/>
  <c r="Q21" i="60"/>
  <c r="P21" i="60"/>
  <c r="O21" i="60"/>
  <c r="N21" i="60"/>
  <c r="L21" i="60"/>
  <c r="G21" i="60"/>
  <c r="E21" i="60"/>
  <c r="X40" i="60"/>
  <c r="AL37" i="60" l="1"/>
  <c r="Y47" i="60"/>
  <c r="Y26" i="60" s="1"/>
  <c r="P47" i="60"/>
  <c r="P26" i="60" s="1"/>
  <c r="E47" i="60"/>
  <c r="E26" i="60" s="1"/>
  <c r="AK47" i="60"/>
  <c r="Q47" i="60"/>
  <c r="Q26" i="60" s="1"/>
  <c r="G47" i="60"/>
  <c r="G26" i="60" s="1"/>
  <c r="L47" i="60"/>
  <c r="L26" i="60" s="1"/>
  <c r="AC47" i="60"/>
  <c r="AC26" i="60" s="1"/>
  <c r="T47" i="60"/>
  <c r="T26" i="60" s="1"/>
  <c r="AD47" i="60"/>
  <c r="AD26" i="60" s="1"/>
  <c r="M47" i="60"/>
  <c r="M26" i="60" s="1"/>
  <c r="U47" i="60"/>
  <c r="U26" i="60" s="1"/>
  <c r="AE47" i="60"/>
  <c r="AE26" i="60" s="1"/>
  <c r="S47" i="60"/>
  <c r="S26" i="60" s="1"/>
  <c r="V47" i="60"/>
  <c r="V26" i="60" s="1"/>
  <c r="I47" i="60"/>
  <c r="I26" i="60" s="1"/>
  <c r="AN47" i="60"/>
  <c r="AN26" i="60" s="1"/>
  <c r="N47" i="60"/>
  <c r="N26" i="60" s="1"/>
  <c r="AH47" i="60"/>
  <c r="AH26" i="60" s="1"/>
  <c r="O47" i="60"/>
  <c r="O26" i="60" s="1"/>
  <c r="W47" i="60"/>
  <c r="W26" i="60" s="1"/>
  <c r="AI47" i="60"/>
  <c r="AI26" i="60" s="1"/>
  <c r="R47" i="60"/>
  <c r="R26" i="60" s="1"/>
  <c r="AB47" i="60"/>
  <c r="AB26" i="60" s="1"/>
  <c r="AL47" i="60"/>
  <c r="AL26" i="60" s="1"/>
  <c r="BK116" i="66"/>
  <c r="AA47" i="60"/>
  <c r="AA26" i="60" s="1"/>
  <c r="AJ47" i="60"/>
  <c r="AJ26" i="60" s="1"/>
  <c r="AK26" i="60" l="1"/>
  <c r="BA5" i="59"/>
  <c r="AZ21" i="59"/>
  <c r="AY27" i="59"/>
  <c r="AZ27" i="59" s="1"/>
  <c r="AY26" i="59"/>
  <c r="AZ26" i="59" s="1"/>
  <c r="AY25" i="59"/>
  <c r="AZ25" i="59" s="1"/>
  <c r="AY24" i="59"/>
  <c r="AY28" i="59" s="1"/>
  <c r="BA13" i="59"/>
  <c r="AZ14" i="59"/>
  <c r="AY14" i="59"/>
  <c r="BA9" i="59"/>
  <c r="BA8" i="59"/>
  <c r="BA7" i="59"/>
  <c r="BA6" i="59"/>
  <c r="AY10" i="59"/>
  <c r="AZ24" i="59" l="1"/>
  <c r="AZ28" i="59" s="1"/>
  <c r="AY16" i="59"/>
  <c r="AY23" i="59" s="1"/>
  <c r="BA10" i="59"/>
  <c r="AY30" i="59"/>
  <c r="BA12" i="59"/>
  <c r="BA14" i="59" s="1"/>
  <c r="AZ10" i="59"/>
  <c r="AZ29" i="59"/>
  <c r="AZ30" i="59" l="1"/>
  <c r="AZ16" i="59"/>
  <c r="AZ18" i="59" s="1"/>
  <c r="BA18" i="59" s="1"/>
  <c r="AY11" i="59"/>
  <c r="AY15" i="59"/>
  <c r="BA16" i="59" l="1"/>
  <c r="AZ15" i="59"/>
  <c r="AZ11" i="59"/>
  <c r="BA15" i="59" l="1"/>
  <c r="BA11" i="59"/>
  <c r="C19" i="63" l="1"/>
  <c r="C18" i="63"/>
  <c r="D90" i="62" l="1"/>
  <c r="BC1297" i="27" l="1"/>
  <c r="J9" i="64" s="1"/>
  <c r="BC1296" i="27"/>
  <c r="BC1295" i="27"/>
  <c r="BC1294" i="27"/>
  <c r="J6" i="64" s="1"/>
  <c r="BC1293" i="27"/>
  <c r="J3" i="64" s="1"/>
  <c r="J12" i="64" l="1"/>
  <c r="I8" i="63" s="1"/>
  <c r="J8" i="63" s="1"/>
  <c r="G11" i="63"/>
  <c r="J15" i="64"/>
  <c r="I11" i="63" s="1"/>
  <c r="J11" i="63" s="1"/>
  <c r="G14" i="63"/>
  <c r="J18" i="64"/>
  <c r="E11" i="63"/>
  <c r="H11" i="63" s="1"/>
  <c r="E8" i="63"/>
  <c r="E14" i="63"/>
  <c r="H14" i="63" s="1"/>
  <c r="AB3" i="64"/>
  <c r="AD3" i="64"/>
  <c r="AD6" i="64"/>
  <c r="AB6" i="64"/>
  <c r="C11" i="63"/>
  <c r="AD9" i="64"/>
  <c r="AB9" i="64"/>
  <c r="AB15" i="64" l="1"/>
  <c r="AD15" i="64"/>
  <c r="I14" i="63"/>
  <c r="J14" i="63" s="1"/>
  <c r="J21" i="64"/>
  <c r="G35" i="62" s="1"/>
  <c r="AB12" i="64"/>
  <c r="E35" i="62"/>
  <c r="C8" i="63"/>
  <c r="D8" i="63" s="1"/>
  <c r="E29" i="64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U115" i="66"/>
  <c r="T115" i="66"/>
  <c r="S115" i="66"/>
  <c r="R115" i="66"/>
  <c r="Q115" i="66"/>
  <c r="P115" i="66"/>
  <c r="N115" i="66"/>
  <c r="M115" i="66"/>
  <c r="U114" i="66"/>
  <c r="T114" i="66"/>
  <c r="S114" i="66"/>
  <c r="R114" i="66"/>
  <c r="Q114" i="66"/>
  <c r="P114" i="66"/>
  <c r="N114" i="66"/>
  <c r="M114" i="66"/>
  <c r="U113" i="66"/>
  <c r="T113" i="66"/>
  <c r="S113" i="66"/>
  <c r="R113" i="66"/>
  <c r="Q113" i="66"/>
  <c r="P113" i="66"/>
  <c r="N113" i="66"/>
  <c r="M113" i="66"/>
  <c r="U112" i="66"/>
  <c r="T112" i="66"/>
  <c r="S112" i="66"/>
  <c r="R112" i="66"/>
  <c r="Q112" i="66"/>
  <c r="P112" i="66"/>
  <c r="N112" i="66"/>
  <c r="M112" i="66"/>
  <c r="U111" i="66"/>
  <c r="T111" i="66"/>
  <c r="S111" i="66"/>
  <c r="R111" i="66"/>
  <c r="Q111" i="66"/>
  <c r="P111" i="66"/>
  <c r="N111" i="66"/>
  <c r="M111" i="66"/>
  <c r="U110" i="66"/>
  <c r="T110" i="66"/>
  <c r="S110" i="66"/>
  <c r="R110" i="66"/>
  <c r="Q110" i="66"/>
  <c r="P110" i="66"/>
  <c r="N110" i="66"/>
  <c r="M110" i="66"/>
  <c r="U109" i="66"/>
  <c r="T109" i="66"/>
  <c r="S109" i="66"/>
  <c r="R109" i="66"/>
  <c r="Q109" i="66"/>
  <c r="P109" i="66"/>
  <c r="N109" i="66"/>
  <c r="M109" i="66"/>
  <c r="U108" i="66"/>
  <c r="T108" i="66"/>
  <c r="S108" i="66"/>
  <c r="R108" i="66"/>
  <c r="Q108" i="66"/>
  <c r="P108" i="66"/>
  <c r="N108" i="66"/>
  <c r="M108" i="66"/>
  <c r="U107" i="66"/>
  <c r="T107" i="66"/>
  <c r="S107" i="66"/>
  <c r="R107" i="66"/>
  <c r="Q107" i="66"/>
  <c r="P107" i="66"/>
  <c r="N107" i="66"/>
  <c r="M107" i="66"/>
  <c r="U106" i="66"/>
  <c r="T106" i="66"/>
  <c r="S106" i="66"/>
  <c r="R106" i="66"/>
  <c r="Q106" i="66"/>
  <c r="P106" i="66"/>
  <c r="N106" i="66"/>
  <c r="M106" i="66"/>
  <c r="U105" i="66"/>
  <c r="T105" i="66"/>
  <c r="S105" i="66"/>
  <c r="R105" i="66"/>
  <c r="Q105" i="66"/>
  <c r="P105" i="66"/>
  <c r="N105" i="66"/>
  <c r="M105" i="66"/>
  <c r="U104" i="66"/>
  <c r="T104" i="66"/>
  <c r="S104" i="66"/>
  <c r="R104" i="66"/>
  <c r="Q104" i="66"/>
  <c r="P104" i="66"/>
  <c r="N104" i="66"/>
  <c r="M104" i="66"/>
  <c r="U103" i="66"/>
  <c r="T103" i="66"/>
  <c r="S103" i="66"/>
  <c r="R103" i="66"/>
  <c r="Q103" i="66"/>
  <c r="P103" i="66"/>
  <c r="N103" i="66"/>
  <c r="M103" i="66"/>
  <c r="U102" i="66"/>
  <c r="T102" i="66"/>
  <c r="S102" i="66"/>
  <c r="R102" i="66"/>
  <c r="Q102" i="66"/>
  <c r="P102" i="66"/>
  <c r="N102" i="66"/>
  <c r="M102" i="66"/>
  <c r="U101" i="66"/>
  <c r="T101" i="66"/>
  <c r="S101" i="66"/>
  <c r="R101" i="66"/>
  <c r="Q101" i="66"/>
  <c r="P101" i="66"/>
  <c r="N101" i="66"/>
  <c r="M101" i="66"/>
  <c r="U100" i="66"/>
  <c r="T100" i="66"/>
  <c r="S100" i="66"/>
  <c r="R100" i="66"/>
  <c r="Q100" i="66"/>
  <c r="P100" i="66"/>
  <c r="N100" i="66"/>
  <c r="M100" i="66"/>
  <c r="U99" i="66"/>
  <c r="T99" i="66"/>
  <c r="S99" i="66"/>
  <c r="R99" i="66"/>
  <c r="Q99" i="66"/>
  <c r="P99" i="66"/>
  <c r="N99" i="66"/>
  <c r="M99" i="66"/>
  <c r="U98" i="66"/>
  <c r="T98" i="66"/>
  <c r="S98" i="66"/>
  <c r="R98" i="66"/>
  <c r="Q98" i="66"/>
  <c r="P98" i="66"/>
  <c r="N98" i="66"/>
  <c r="M98" i="66"/>
  <c r="U97" i="66"/>
  <c r="T97" i="66"/>
  <c r="S97" i="66"/>
  <c r="R97" i="66"/>
  <c r="Q97" i="66"/>
  <c r="P97" i="66"/>
  <c r="N97" i="66"/>
  <c r="M97" i="66"/>
  <c r="U96" i="66"/>
  <c r="T96" i="66"/>
  <c r="S96" i="66"/>
  <c r="R96" i="66"/>
  <c r="Q96" i="66"/>
  <c r="P96" i="66"/>
  <c r="N96" i="66"/>
  <c r="M96" i="66"/>
  <c r="U95" i="66"/>
  <c r="T95" i="66"/>
  <c r="S95" i="66"/>
  <c r="R95" i="66"/>
  <c r="Q95" i="66"/>
  <c r="P95" i="66"/>
  <c r="N95" i="66"/>
  <c r="M95" i="66"/>
  <c r="U94" i="66"/>
  <c r="T94" i="66"/>
  <c r="S94" i="66"/>
  <c r="R94" i="66"/>
  <c r="Q94" i="66"/>
  <c r="P94" i="66"/>
  <c r="N94" i="66"/>
  <c r="M94" i="66"/>
  <c r="U93" i="66"/>
  <c r="T93" i="66"/>
  <c r="S93" i="66"/>
  <c r="R93" i="66"/>
  <c r="Q93" i="66"/>
  <c r="P93" i="66"/>
  <c r="N93" i="66"/>
  <c r="M93" i="66"/>
  <c r="U92" i="66"/>
  <c r="T92" i="66"/>
  <c r="S92" i="66"/>
  <c r="R92" i="66"/>
  <c r="Q92" i="66"/>
  <c r="P92" i="66"/>
  <c r="N92" i="66"/>
  <c r="M92" i="66"/>
  <c r="U91" i="66"/>
  <c r="T91" i="66"/>
  <c r="S91" i="66"/>
  <c r="R91" i="66"/>
  <c r="Q91" i="66"/>
  <c r="P91" i="66"/>
  <c r="N91" i="66"/>
  <c r="M91" i="66"/>
  <c r="U90" i="66"/>
  <c r="T90" i="66"/>
  <c r="S90" i="66"/>
  <c r="R90" i="66"/>
  <c r="Q90" i="66"/>
  <c r="P90" i="66"/>
  <c r="N90" i="66"/>
  <c r="M90" i="66"/>
  <c r="U89" i="66"/>
  <c r="T89" i="66"/>
  <c r="S89" i="66"/>
  <c r="R89" i="66"/>
  <c r="Q89" i="66"/>
  <c r="P89" i="66"/>
  <c r="N89" i="66"/>
  <c r="M89" i="66"/>
  <c r="U88" i="66"/>
  <c r="T88" i="66"/>
  <c r="S88" i="66"/>
  <c r="R88" i="66"/>
  <c r="Q88" i="66"/>
  <c r="P88" i="66"/>
  <c r="N88" i="66"/>
  <c r="M88" i="66"/>
  <c r="U87" i="66"/>
  <c r="T87" i="66"/>
  <c r="S87" i="66"/>
  <c r="R87" i="66"/>
  <c r="Q87" i="66"/>
  <c r="P87" i="66"/>
  <c r="N87" i="66"/>
  <c r="M87" i="66"/>
  <c r="U86" i="66"/>
  <c r="T86" i="66"/>
  <c r="S86" i="66"/>
  <c r="R86" i="66"/>
  <c r="Q86" i="66"/>
  <c r="P86" i="66"/>
  <c r="N86" i="66"/>
  <c r="M86" i="66"/>
  <c r="U85" i="66"/>
  <c r="T85" i="66"/>
  <c r="S85" i="66"/>
  <c r="R85" i="66"/>
  <c r="Q85" i="66"/>
  <c r="P85" i="66"/>
  <c r="N85" i="66"/>
  <c r="M85" i="66"/>
  <c r="U84" i="66"/>
  <c r="T84" i="66"/>
  <c r="S84" i="66"/>
  <c r="R84" i="66"/>
  <c r="Q84" i="66"/>
  <c r="P84" i="66"/>
  <c r="N84" i="66"/>
  <c r="M84" i="66"/>
  <c r="U83" i="66"/>
  <c r="T83" i="66"/>
  <c r="S83" i="66"/>
  <c r="R83" i="66"/>
  <c r="Q83" i="66"/>
  <c r="P83" i="66"/>
  <c r="N83" i="66"/>
  <c r="M83" i="66"/>
  <c r="U82" i="66"/>
  <c r="T82" i="66"/>
  <c r="S82" i="66"/>
  <c r="R82" i="66"/>
  <c r="Q82" i="66"/>
  <c r="P82" i="66"/>
  <c r="N82" i="66"/>
  <c r="M82" i="66"/>
  <c r="U81" i="66"/>
  <c r="T81" i="66"/>
  <c r="S81" i="66"/>
  <c r="R81" i="66"/>
  <c r="Q81" i="66"/>
  <c r="P81" i="66"/>
  <c r="N81" i="66"/>
  <c r="M81" i="66"/>
  <c r="U80" i="66"/>
  <c r="T80" i="66"/>
  <c r="S80" i="66"/>
  <c r="R80" i="66"/>
  <c r="Q80" i="66"/>
  <c r="P80" i="66"/>
  <c r="N80" i="66"/>
  <c r="M80" i="66"/>
  <c r="U79" i="66"/>
  <c r="T79" i="66"/>
  <c r="S79" i="66"/>
  <c r="R79" i="66"/>
  <c r="Q79" i="66"/>
  <c r="P79" i="66"/>
  <c r="N79" i="66"/>
  <c r="M79" i="66"/>
  <c r="U78" i="66"/>
  <c r="T78" i="66"/>
  <c r="S78" i="66"/>
  <c r="R78" i="66"/>
  <c r="Q78" i="66"/>
  <c r="P78" i="66"/>
  <c r="N78" i="66"/>
  <c r="M78" i="66"/>
  <c r="U77" i="66"/>
  <c r="T77" i="66"/>
  <c r="S77" i="66"/>
  <c r="R77" i="66"/>
  <c r="Q77" i="66"/>
  <c r="P77" i="66"/>
  <c r="N77" i="66"/>
  <c r="M77" i="66"/>
  <c r="U76" i="66"/>
  <c r="T76" i="66"/>
  <c r="S76" i="66"/>
  <c r="R76" i="66"/>
  <c r="Q76" i="66"/>
  <c r="P76" i="66"/>
  <c r="N76" i="66"/>
  <c r="M76" i="66"/>
  <c r="U75" i="66"/>
  <c r="T75" i="66"/>
  <c r="S75" i="66"/>
  <c r="R75" i="66"/>
  <c r="Q75" i="66"/>
  <c r="P75" i="66"/>
  <c r="N75" i="66"/>
  <c r="M75" i="66"/>
  <c r="U74" i="66"/>
  <c r="T74" i="66"/>
  <c r="S74" i="66"/>
  <c r="R74" i="66"/>
  <c r="Q74" i="66"/>
  <c r="P74" i="66"/>
  <c r="N74" i="66"/>
  <c r="M74" i="66"/>
  <c r="U73" i="66"/>
  <c r="T73" i="66"/>
  <c r="S73" i="66"/>
  <c r="R73" i="66"/>
  <c r="Q73" i="66"/>
  <c r="P73" i="66"/>
  <c r="N73" i="66"/>
  <c r="M73" i="66"/>
  <c r="U72" i="66"/>
  <c r="T72" i="66"/>
  <c r="S72" i="66"/>
  <c r="R72" i="66"/>
  <c r="Q72" i="66"/>
  <c r="P72" i="66"/>
  <c r="N72" i="66"/>
  <c r="M72" i="66"/>
  <c r="U71" i="66"/>
  <c r="T71" i="66"/>
  <c r="S71" i="66"/>
  <c r="R71" i="66"/>
  <c r="Q71" i="66"/>
  <c r="P71" i="66"/>
  <c r="N71" i="66"/>
  <c r="M71" i="66"/>
  <c r="U70" i="66"/>
  <c r="T70" i="66"/>
  <c r="S70" i="66"/>
  <c r="R70" i="66"/>
  <c r="Q70" i="66"/>
  <c r="P70" i="66"/>
  <c r="N70" i="66"/>
  <c r="M70" i="66"/>
  <c r="U69" i="66"/>
  <c r="T69" i="66"/>
  <c r="S69" i="66"/>
  <c r="R69" i="66"/>
  <c r="Q69" i="66"/>
  <c r="P69" i="66"/>
  <c r="N69" i="66"/>
  <c r="M69" i="66"/>
  <c r="U68" i="66"/>
  <c r="T68" i="66"/>
  <c r="S68" i="66"/>
  <c r="R68" i="66"/>
  <c r="Q68" i="66"/>
  <c r="P68" i="66"/>
  <c r="N68" i="66"/>
  <c r="M68" i="66"/>
  <c r="U67" i="66"/>
  <c r="T67" i="66"/>
  <c r="S67" i="66"/>
  <c r="R67" i="66"/>
  <c r="Q67" i="66"/>
  <c r="P67" i="66"/>
  <c r="N67" i="66"/>
  <c r="M67" i="66"/>
  <c r="U66" i="66"/>
  <c r="T66" i="66"/>
  <c r="S66" i="66"/>
  <c r="R66" i="66"/>
  <c r="Q66" i="66"/>
  <c r="P66" i="66"/>
  <c r="N66" i="66"/>
  <c r="M66" i="66"/>
  <c r="U65" i="66"/>
  <c r="T65" i="66"/>
  <c r="S65" i="66"/>
  <c r="R65" i="66"/>
  <c r="Q65" i="66"/>
  <c r="P65" i="66"/>
  <c r="N65" i="66"/>
  <c r="M65" i="66"/>
  <c r="U64" i="66"/>
  <c r="T64" i="66"/>
  <c r="S64" i="66"/>
  <c r="R64" i="66"/>
  <c r="Q64" i="66"/>
  <c r="P64" i="66"/>
  <c r="N64" i="66"/>
  <c r="M64" i="66"/>
  <c r="U63" i="66"/>
  <c r="T63" i="66"/>
  <c r="S63" i="66"/>
  <c r="R63" i="66"/>
  <c r="Q63" i="66"/>
  <c r="P63" i="66"/>
  <c r="N63" i="66"/>
  <c r="M63" i="66"/>
  <c r="U62" i="66"/>
  <c r="T62" i="66"/>
  <c r="S62" i="66"/>
  <c r="R62" i="66"/>
  <c r="Q62" i="66"/>
  <c r="P62" i="66"/>
  <c r="N62" i="66"/>
  <c r="M62" i="66"/>
  <c r="U61" i="66"/>
  <c r="T61" i="66"/>
  <c r="S61" i="66"/>
  <c r="R61" i="66"/>
  <c r="Q61" i="66"/>
  <c r="P61" i="66"/>
  <c r="N61" i="66"/>
  <c r="M61" i="66"/>
  <c r="U60" i="66"/>
  <c r="T60" i="66"/>
  <c r="S60" i="66"/>
  <c r="R60" i="66"/>
  <c r="Q60" i="66"/>
  <c r="P60" i="66"/>
  <c r="N60" i="66"/>
  <c r="M60" i="66"/>
  <c r="U59" i="66"/>
  <c r="T59" i="66"/>
  <c r="S59" i="66"/>
  <c r="R59" i="66"/>
  <c r="Q59" i="66"/>
  <c r="P59" i="66"/>
  <c r="N59" i="66"/>
  <c r="M59" i="66"/>
  <c r="U58" i="66"/>
  <c r="T58" i="66"/>
  <c r="S58" i="66"/>
  <c r="R58" i="66"/>
  <c r="Q58" i="66"/>
  <c r="P58" i="66"/>
  <c r="N58" i="66"/>
  <c r="M58" i="66"/>
  <c r="U57" i="66"/>
  <c r="T57" i="66"/>
  <c r="S57" i="66"/>
  <c r="R57" i="66"/>
  <c r="Q57" i="66"/>
  <c r="P57" i="66"/>
  <c r="N57" i="66"/>
  <c r="M57" i="66"/>
  <c r="U56" i="66"/>
  <c r="T56" i="66"/>
  <c r="S56" i="66"/>
  <c r="R56" i="66"/>
  <c r="Q56" i="66"/>
  <c r="P56" i="66"/>
  <c r="N56" i="66"/>
  <c r="M56" i="66"/>
  <c r="U55" i="66"/>
  <c r="T55" i="66"/>
  <c r="S55" i="66"/>
  <c r="R55" i="66"/>
  <c r="Q55" i="66"/>
  <c r="P55" i="66"/>
  <c r="N55" i="66"/>
  <c r="M55" i="66"/>
  <c r="U54" i="66"/>
  <c r="T54" i="66"/>
  <c r="S54" i="66"/>
  <c r="R54" i="66"/>
  <c r="Q54" i="66"/>
  <c r="P54" i="66"/>
  <c r="N54" i="66"/>
  <c r="M54" i="66"/>
  <c r="U53" i="66"/>
  <c r="T53" i="66"/>
  <c r="S53" i="66"/>
  <c r="R53" i="66"/>
  <c r="Q53" i="66"/>
  <c r="P53" i="66"/>
  <c r="N53" i="66"/>
  <c r="M53" i="66"/>
  <c r="U52" i="66"/>
  <c r="T52" i="66"/>
  <c r="S52" i="66"/>
  <c r="R52" i="66"/>
  <c r="Q52" i="66"/>
  <c r="P52" i="66"/>
  <c r="N52" i="66"/>
  <c r="M52" i="66"/>
  <c r="U51" i="66"/>
  <c r="T51" i="66"/>
  <c r="S51" i="66"/>
  <c r="R51" i="66"/>
  <c r="Q51" i="66"/>
  <c r="P51" i="66"/>
  <c r="N51" i="66"/>
  <c r="M51" i="66"/>
  <c r="U50" i="66"/>
  <c r="T50" i="66"/>
  <c r="S50" i="66"/>
  <c r="R50" i="66"/>
  <c r="Q50" i="66"/>
  <c r="P50" i="66"/>
  <c r="N50" i="66"/>
  <c r="M50" i="66"/>
  <c r="U49" i="66"/>
  <c r="T49" i="66"/>
  <c r="S49" i="66"/>
  <c r="R49" i="66"/>
  <c r="Q49" i="66"/>
  <c r="P49" i="66"/>
  <c r="N49" i="66"/>
  <c r="M49" i="66"/>
  <c r="U48" i="66"/>
  <c r="T48" i="66"/>
  <c r="S48" i="66"/>
  <c r="R48" i="66"/>
  <c r="Q48" i="66"/>
  <c r="P48" i="66"/>
  <c r="N48" i="66"/>
  <c r="M48" i="66"/>
  <c r="U47" i="66"/>
  <c r="T47" i="66"/>
  <c r="S47" i="66"/>
  <c r="R47" i="66"/>
  <c r="Q47" i="66"/>
  <c r="P47" i="66"/>
  <c r="N47" i="66"/>
  <c r="M47" i="66"/>
  <c r="U46" i="66"/>
  <c r="T46" i="66"/>
  <c r="S46" i="66"/>
  <c r="R46" i="66"/>
  <c r="Q46" i="66"/>
  <c r="P46" i="66"/>
  <c r="N46" i="66"/>
  <c r="M46" i="66"/>
  <c r="U45" i="66"/>
  <c r="T45" i="66"/>
  <c r="S45" i="66"/>
  <c r="R45" i="66"/>
  <c r="Q45" i="66"/>
  <c r="P45" i="66"/>
  <c r="N45" i="66"/>
  <c r="M45" i="66"/>
  <c r="U44" i="66"/>
  <c r="T44" i="66"/>
  <c r="S44" i="66"/>
  <c r="R44" i="66"/>
  <c r="Q44" i="66"/>
  <c r="P44" i="66"/>
  <c r="N44" i="66"/>
  <c r="M44" i="66"/>
  <c r="U43" i="66"/>
  <c r="T43" i="66"/>
  <c r="S43" i="66"/>
  <c r="R43" i="66"/>
  <c r="Q43" i="66"/>
  <c r="P43" i="66"/>
  <c r="N43" i="66"/>
  <c r="M43" i="66"/>
  <c r="U42" i="66"/>
  <c r="T42" i="66"/>
  <c r="S42" i="66"/>
  <c r="R42" i="66"/>
  <c r="Q42" i="66"/>
  <c r="P42" i="66"/>
  <c r="N42" i="66"/>
  <c r="M42" i="66"/>
  <c r="U41" i="66"/>
  <c r="T41" i="66"/>
  <c r="S41" i="66"/>
  <c r="R41" i="66"/>
  <c r="Q41" i="66"/>
  <c r="P41" i="66"/>
  <c r="N41" i="66"/>
  <c r="M41" i="66"/>
  <c r="U40" i="66"/>
  <c r="T40" i="66"/>
  <c r="S40" i="66"/>
  <c r="R40" i="66"/>
  <c r="Q40" i="66"/>
  <c r="P40" i="66"/>
  <c r="N40" i="66"/>
  <c r="M40" i="66"/>
  <c r="U39" i="66"/>
  <c r="T39" i="66"/>
  <c r="S39" i="66"/>
  <c r="R39" i="66"/>
  <c r="Q39" i="66"/>
  <c r="P39" i="66"/>
  <c r="N39" i="66"/>
  <c r="M39" i="66"/>
  <c r="U38" i="66"/>
  <c r="T38" i="66"/>
  <c r="S38" i="66"/>
  <c r="R38" i="66"/>
  <c r="Q38" i="66"/>
  <c r="P38" i="66"/>
  <c r="N38" i="66"/>
  <c r="M38" i="66"/>
  <c r="U37" i="66"/>
  <c r="T37" i="66"/>
  <c r="S37" i="66"/>
  <c r="R37" i="66"/>
  <c r="Q37" i="66"/>
  <c r="P37" i="66"/>
  <c r="N37" i="66"/>
  <c r="M37" i="66"/>
  <c r="U36" i="66"/>
  <c r="T36" i="66"/>
  <c r="S36" i="66"/>
  <c r="R36" i="66"/>
  <c r="Q36" i="66"/>
  <c r="P36" i="66"/>
  <c r="N36" i="66"/>
  <c r="M36" i="66"/>
  <c r="U35" i="66"/>
  <c r="T35" i="66"/>
  <c r="S35" i="66"/>
  <c r="R35" i="66"/>
  <c r="Q35" i="66"/>
  <c r="P35" i="66"/>
  <c r="N35" i="66"/>
  <c r="M35" i="66"/>
  <c r="U34" i="66"/>
  <c r="T34" i="66"/>
  <c r="S34" i="66"/>
  <c r="R34" i="66"/>
  <c r="Q34" i="66"/>
  <c r="P34" i="66"/>
  <c r="N34" i="66"/>
  <c r="M34" i="66"/>
  <c r="U33" i="66"/>
  <c r="T33" i="66"/>
  <c r="S33" i="66"/>
  <c r="R33" i="66"/>
  <c r="Q33" i="66"/>
  <c r="P33" i="66"/>
  <c r="N33" i="66"/>
  <c r="M33" i="66"/>
  <c r="U32" i="66"/>
  <c r="T32" i="66"/>
  <c r="S32" i="66"/>
  <c r="R32" i="66"/>
  <c r="Q32" i="66"/>
  <c r="P32" i="66"/>
  <c r="N32" i="66"/>
  <c r="M32" i="66"/>
  <c r="U31" i="66"/>
  <c r="T31" i="66"/>
  <c r="S31" i="66"/>
  <c r="R31" i="66"/>
  <c r="Q31" i="66"/>
  <c r="P31" i="66"/>
  <c r="N31" i="66"/>
  <c r="M31" i="66"/>
  <c r="U30" i="66"/>
  <c r="T30" i="66"/>
  <c r="S30" i="66"/>
  <c r="R30" i="66"/>
  <c r="Q30" i="66"/>
  <c r="P30" i="66"/>
  <c r="N30" i="66"/>
  <c r="M30" i="66"/>
  <c r="U29" i="66"/>
  <c r="T29" i="66"/>
  <c r="S29" i="66"/>
  <c r="R29" i="66"/>
  <c r="Q29" i="66"/>
  <c r="P29" i="66"/>
  <c r="N29" i="66"/>
  <c r="M29" i="66"/>
  <c r="U28" i="66"/>
  <c r="T28" i="66"/>
  <c r="S28" i="66"/>
  <c r="R28" i="66"/>
  <c r="Q28" i="66"/>
  <c r="P28" i="66"/>
  <c r="N28" i="66"/>
  <c r="M28" i="66"/>
  <c r="U27" i="66"/>
  <c r="T27" i="66"/>
  <c r="S27" i="66"/>
  <c r="R27" i="66"/>
  <c r="Q27" i="66"/>
  <c r="P27" i="66"/>
  <c r="N27" i="66"/>
  <c r="M27" i="66"/>
  <c r="U26" i="66"/>
  <c r="T26" i="66"/>
  <c r="S26" i="66"/>
  <c r="R26" i="66"/>
  <c r="Q26" i="66"/>
  <c r="P26" i="66"/>
  <c r="N26" i="66"/>
  <c r="M26" i="66"/>
  <c r="U25" i="66"/>
  <c r="T25" i="66"/>
  <c r="S25" i="66"/>
  <c r="R25" i="66"/>
  <c r="Q25" i="66"/>
  <c r="P25" i="66"/>
  <c r="N25" i="66"/>
  <c r="M25" i="66"/>
  <c r="U23" i="66"/>
  <c r="T23" i="66"/>
  <c r="S23" i="66"/>
  <c r="R23" i="66"/>
  <c r="Q23" i="66"/>
  <c r="P23" i="66"/>
  <c r="N23" i="66"/>
  <c r="M23" i="66"/>
  <c r="U22" i="66"/>
  <c r="T22" i="66"/>
  <c r="S22" i="66"/>
  <c r="R22" i="66"/>
  <c r="Q22" i="66"/>
  <c r="P22" i="66"/>
  <c r="N22" i="66"/>
  <c r="M22" i="66"/>
  <c r="U21" i="66"/>
  <c r="T21" i="66"/>
  <c r="S21" i="66"/>
  <c r="R21" i="66"/>
  <c r="Q21" i="66"/>
  <c r="P21" i="66"/>
  <c r="N21" i="66"/>
  <c r="M21" i="66"/>
  <c r="U20" i="66"/>
  <c r="T20" i="66"/>
  <c r="S20" i="66"/>
  <c r="R20" i="66"/>
  <c r="Q20" i="66"/>
  <c r="P20" i="66"/>
  <c r="N20" i="66"/>
  <c r="M20" i="66"/>
  <c r="U19" i="66"/>
  <c r="T19" i="66"/>
  <c r="S19" i="66"/>
  <c r="R19" i="66"/>
  <c r="Q19" i="66"/>
  <c r="P19" i="66"/>
  <c r="N19" i="66"/>
  <c r="M19" i="66"/>
  <c r="U18" i="66"/>
  <c r="T18" i="66"/>
  <c r="S18" i="66"/>
  <c r="R18" i="66"/>
  <c r="Q18" i="66"/>
  <c r="P18" i="66"/>
  <c r="N18" i="66"/>
  <c r="M18" i="66"/>
  <c r="U17" i="66"/>
  <c r="T17" i="66"/>
  <c r="S17" i="66"/>
  <c r="R17" i="66"/>
  <c r="Q17" i="66"/>
  <c r="P17" i="66"/>
  <c r="N17" i="66"/>
  <c r="M17" i="66"/>
  <c r="U16" i="66"/>
  <c r="T16" i="66"/>
  <c r="S16" i="66"/>
  <c r="R16" i="66"/>
  <c r="Q16" i="66"/>
  <c r="P16" i="66"/>
  <c r="N16" i="66"/>
  <c r="M16" i="66"/>
  <c r="U15" i="66"/>
  <c r="T15" i="66"/>
  <c r="S15" i="66"/>
  <c r="R15" i="66"/>
  <c r="Q15" i="66"/>
  <c r="P15" i="66"/>
  <c r="N15" i="66"/>
  <c r="M15" i="66"/>
  <c r="U14" i="66"/>
  <c r="T14" i="66"/>
  <c r="S14" i="66"/>
  <c r="R14" i="66"/>
  <c r="Q14" i="66"/>
  <c r="P14" i="66"/>
  <c r="N14" i="66"/>
  <c r="M14" i="66"/>
  <c r="U13" i="66"/>
  <c r="T13" i="66"/>
  <c r="S13" i="66"/>
  <c r="R13" i="66"/>
  <c r="Q13" i="66"/>
  <c r="P13" i="66"/>
  <c r="N13" i="66"/>
  <c r="M13" i="66"/>
  <c r="U12" i="66"/>
  <c r="T12" i="66"/>
  <c r="S12" i="66"/>
  <c r="R12" i="66"/>
  <c r="Q12" i="66"/>
  <c r="P12" i="66"/>
  <c r="N12" i="66"/>
  <c r="M12" i="66"/>
  <c r="U11" i="66"/>
  <c r="T11" i="66"/>
  <c r="S11" i="66"/>
  <c r="R11" i="66"/>
  <c r="Q11" i="66"/>
  <c r="P11" i="66"/>
  <c r="N11" i="66"/>
  <c r="M11" i="66"/>
  <c r="U10" i="66"/>
  <c r="T10" i="66"/>
  <c r="S10" i="66"/>
  <c r="R10" i="66"/>
  <c r="Q10" i="66"/>
  <c r="P10" i="66"/>
  <c r="N10" i="66"/>
  <c r="M10" i="66"/>
  <c r="U9" i="66"/>
  <c r="T9" i="66"/>
  <c r="S9" i="66"/>
  <c r="R9" i="66"/>
  <c r="Q9" i="66"/>
  <c r="P9" i="66"/>
  <c r="N9" i="66"/>
  <c r="M9" i="66"/>
  <c r="U8" i="66"/>
  <c r="T8" i="66"/>
  <c r="S8" i="66"/>
  <c r="R8" i="66"/>
  <c r="Q8" i="66"/>
  <c r="P8" i="66"/>
  <c r="N8" i="66"/>
  <c r="M8" i="66"/>
  <c r="U7" i="66"/>
  <c r="T7" i="66"/>
  <c r="S7" i="66"/>
  <c r="R7" i="66"/>
  <c r="Q7" i="66"/>
  <c r="P7" i="66"/>
  <c r="N7" i="66"/>
  <c r="M7" i="66"/>
  <c r="U6" i="66"/>
  <c r="T6" i="66"/>
  <c r="S6" i="66"/>
  <c r="R6" i="66"/>
  <c r="Q6" i="66"/>
  <c r="P6" i="66"/>
  <c r="N6" i="66"/>
  <c r="M6" i="66"/>
  <c r="U5" i="66"/>
  <c r="T5" i="66"/>
  <c r="S5" i="66"/>
  <c r="R5" i="66"/>
  <c r="Q5" i="66"/>
  <c r="P5" i="66"/>
  <c r="N5" i="66"/>
  <c r="M5" i="66"/>
  <c r="U4" i="66"/>
  <c r="R4" i="66"/>
  <c r="T4" i="66"/>
  <c r="S4" i="66"/>
  <c r="Q4" i="66"/>
  <c r="P4" i="66"/>
  <c r="N4" i="66"/>
  <c r="M4" i="66"/>
  <c r="K115" i="66"/>
  <c r="J115" i="66"/>
  <c r="I115" i="66"/>
  <c r="H115" i="66"/>
  <c r="G115" i="66"/>
  <c r="E115" i="66"/>
  <c r="A115" i="66"/>
  <c r="K114" i="66"/>
  <c r="J114" i="66"/>
  <c r="I114" i="66"/>
  <c r="H114" i="66"/>
  <c r="G114" i="66"/>
  <c r="E114" i="66"/>
  <c r="A114" i="66"/>
  <c r="K113" i="66"/>
  <c r="J113" i="66"/>
  <c r="I113" i="66"/>
  <c r="H113" i="66"/>
  <c r="G113" i="66"/>
  <c r="E113" i="66"/>
  <c r="A113" i="66"/>
  <c r="K112" i="66"/>
  <c r="J112" i="66"/>
  <c r="I112" i="66"/>
  <c r="H112" i="66"/>
  <c r="G112" i="66"/>
  <c r="E112" i="66"/>
  <c r="A112" i="66"/>
  <c r="K111" i="66"/>
  <c r="J111" i="66"/>
  <c r="I111" i="66"/>
  <c r="H111" i="66"/>
  <c r="G111" i="66"/>
  <c r="E111" i="66"/>
  <c r="A111" i="66"/>
  <c r="K110" i="66"/>
  <c r="J110" i="66"/>
  <c r="I110" i="66"/>
  <c r="H110" i="66"/>
  <c r="G110" i="66"/>
  <c r="E110" i="66"/>
  <c r="A110" i="66"/>
  <c r="K109" i="66"/>
  <c r="J109" i="66"/>
  <c r="I109" i="66"/>
  <c r="H109" i="66"/>
  <c r="G109" i="66"/>
  <c r="E109" i="66"/>
  <c r="A109" i="66"/>
  <c r="K108" i="66"/>
  <c r="J108" i="66"/>
  <c r="I108" i="66"/>
  <c r="H108" i="66"/>
  <c r="G108" i="66"/>
  <c r="E108" i="66"/>
  <c r="A108" i="66"/>
  <c r="K107" i="66"/>
  <c r="J107" i="66"/>
  <c r="I107" i="66"/>
  <c r="H107" i="66"/>
  <c r="G107" i="66"/>
  <c r="E107" i="66"/>
  <c r="A107" i="66"/>
  <c r="K106" i="66"/>
  <c r="J106" i="66"/>
  <c r="I106" i="66"/>
  <c r="H106" i="66"/>
  <c r="G106" i="66"/>
  <c r="E106" i="66"/>
  <c r="A106" i="66"/>
  <c r="K105" i="66"/>
  <c r="J105" i="66"/>
  <c r="I105" i="66"/>
  <c r="H105" i="66"/>
  <c r="G105" i="66"/>
  <c r="E105" i="66"/>
  <c r="A105" i="66"/>
  <c r="K104" i="66"/>
  <c r="J104" i="66"/>
  <c r="I104" i="66"/>
  <c r="H104" i="66"/>
  <c r="G104" i="66"/>
  <c r="E104" i="66"/>
  <c r="A104" i="66"/>
  <c r="K103" i="66"/>
  <c r="J103" i="66"/>
  <c r="I103" i="66"/>
  <c r="H103" i="66"/>
  <c r="G103" i="66"/>
  <c r="E103" i="66"/>
  <c r="A103" i="66"/>
  <c r="K102" i="66"/>
  <c r="J102" i="66"/>
  <c r="I102" i="66"/>
  <c r="H102" i="66"/>
  <c r="G102" i="66"/>
  <c r="E102" i="66"/>
  <c r="A102" i="66"/>
  <c r="K101" i="66"/>
  <c r="J101" i="66"/>
  <c r="I101" i="66"/>
  <c r="H101" i="66"/>
  <c r="G101" i="66"/>
  <c r="E101" i="66"/>
  <c r="A101" i="66"/>
  <c r="K100" i="66"/>
  <c r="J100" i="66"/>
  <c r="I100" i="66"/>
  <c r="H100" i="66"/>
  <c r="G100" i="66"/>
  <c r="E100" i="66"/>
  <c r="A100" i="66"/>
  <c r="K99" i="66"/>
  <c r="J99" i="66"/>
  <c r="I99" i="66"/>
  <c r="H99" i="66"/>
  <c r="G99" i="66"/>
  <c r="E99" i="66"/>
  <c r="A99" i="66"/>
  <c r="K98" i="66"/>
  <c r="J98" i="66"/>
  <c r="I98" i="66"/>
  <c r="H98" i="66"/>
  <c r="G98" i="66"/>
  <c r="E98" i="66"/>
  <c r="A98" i="66"/>
  <c r="K97" i="66"/>
  <c r="J97" i="66"/>
  <c r="I97" i="66"/>
  <c r="H97" i="66"/>
  <c r="G97" i="66"/>
  <c r="E97" i="66"/>
  <c r="A97" i="66"/>
  <c r="K96" i="66"/>
  <c r="J96" i="66"/>
  <c r="I96" i="66"/>
  <c r="H96" i="66"/>
  <c r="G96" i="66"/>
  <c r="E96" i="66"/>
  <c r="A96" i="66"/>
  <c r="K95" i="66"/>
  <c r="J95" i="66"/>
  <c r="I95" i="66"/>
  <c r="H95" i="66"/>
  <c r="G95" i="66"/>
  <c r="E95" i="66"/>
  <c r="A95" i="66"/>
  <c r="K94" i="66"/>
  <c r="J94" i="66"/>
  <c r="I94" i="66"/>
  <c r="H94" i="66"/>
  <c r="G94" i="66"/>
  <c r="E94" i="66"/>
  <c r="A94" i="66"/>
  <c r="K93" i="66"/>
  <c r="J93" i="66"/>
  <c r="I93" i="66"/>
  <c r="H93" i="66"/>
  <c r="G93" i="66"/>
  <c r="E93" i="66"/>
  <c r="A93" i="66"/>
  <c r="K92" i="66"/>
  <c r="J92" i="66"/>
  <c r="I92" i="66"/>
  <c r="H92" i="66"/>
  <c r="G92" i="66"/>
  <c r="E92" i="66"/>
  <c r="A92" i="66"/>
  <c r="K91" i="66"/>
  <c r="J91" i="66"/>
  <c r="I91" i="66"/>
  <c r="H91" i="66"/>
  <c r="G91" i="66"/>
  <c r="E91" i="66"/>
  <c r="A91" i="66"/>
  <c r="K90" i="66"/>
  <c r="J90" i="66"/>
  <c r="I90" i="66"/>
  <c r="H90" i="66"/>
  <c r="G90" i="66"/>
  <c r="E90" i="66"/>
  <c r="A90" i="66"/>
  <c r="K89" i="66"/>
  <c r="J89" i="66"/>
  <c r="I89" i="66"/>
  <c r="H89" i="66"/>
  <c r="G89" i="66"/>
  <c r="E89" i="66"/>
  <c r="A89" i="66"/>
  <c r="K88" i="66"/>
  <c r="J88" i="66"/>
  <c r="I88" i="66"/>
  <c r="H88" i="66"/>
  <c r="G88" i="66"/>
  <c r="E88" i="66"/>
  <c r="A88" i="66"/>
  <c r="K87" i="66"/>
  <c r="J87" i="66"/>
  <c r="I87" i="66"/>
  <c r="H87" i="66"/>
  <c r="G87" i="66"/>
  <c r="E87" i="66"/>
  <c r="A87" i="66"/>
  <c r="K86" i="66"/>
  <c r="J86" i="66"/>
  <c r="I86" i="66"/>
  <c r="H86" i="66"/>
  <c r="G86" i="66"/>
  <c r="E86" i="66"/>
  <c r="A86" i="66"/>
  <c r="K85" i="66"/>
  <c r="J85" i="66"/>
  <c r="I85" i="66"/>
  <c r="H85" i="66"/>
  <c r="G85" i="66"/>
  <c r="E85" i="66"/>
  <c r="A85" i="66"/>
  <c r="K84" i="66"/>
  <c r="J84" i="66"/>
  <c r="I84" i="66"/>
  <c r="H84" i="66"/>
  <c r="G84" i="66"/>
  <c r="E84" i="66"/>
  <c r="A84" i="66"/>
  <c r="K83" i="66"/>
  <c r="J83" i="66"/>
  <c r="I83" i="66"/>
  <c r="H83" i="66"/>
  <c r="G83" i="66"/>
  <c r="E83" i="66"/>
  <c r="A83" i="66"/>
  <c r="K82" i="66"/>
  <c r="J82" i="66"/>
  <c r="I82" i="66"/>
  <c r="H82" i="66"/>
  <c r="G82" i="66"/>
  <c r="E82" i="66"/>
  <c r="A82" i="66"/>
  <c r="K81" i="66"/>
  <c r="J81" i="66"/>
  <c r="I81" i="66"/>
  <c r="H81" i="66"/>
  <c r="G81" i="66"/>
  <c r="E81" i="66"/>
  <c r="A81" i="66"/>
  <c r="K80" i="66"/>
  <c r="J80" i="66"/>
  <c r="I80" i="66"/>
  <c r="H80" i="66"/>
  <c r="G80" i="66"/>
  <c r="E80" i="66"/>
  <c r="A80" i="66"/>
  <c r="K79" i="66"/>
  <c r="J79" i="66"/>
  <c r="I79" i="66"/>
  <c r="H79" i="66"/>
  <c r="G79" i="66"/>
  <c r="E79" i="66"/>
  <c r="A79" i="66"/>
  <c r="K78" i="66"/>
  <c r="J78" i="66"/>
  <c r="I78" i="66"/>
  <c r="H78" i="66"/>
  <c r="G78" i="66"/>
  <c r="E78" i="66"/>
  <c r="A78" i="66"/>
  <c r="K77" i="66"/>
  <c r="J77" i="66"/>
  <c r="I77" i="66"/>
  <c r="H77" i="66"/>
  <c r="G77" i="66"/>
  <c r="E77" i="66"/>
  <c r="A77" i="66"/>
  <c r="K76" i="66"/>
  <c r="J76" i="66"/>
  <c r="I76" i="66"/>
  <c r="H76" i="66"/>
  <c r="G76" i="66"/>
  <c r="E76" i="66"/>
  <c r="A76" i="66"/>
  <c r="K75" i="66"/>
  <c r="J75" i="66"/>
  <c r="I75" i="66"/>
  <c r="H75" i="66"/>
  <c r="G75" i="66"/>
  <c r="E75" i="66"/>
  <c r="A75" i="66"/>
  <c r="K74" i="66"/>
  <c r="J74" i="66"/>
  <c r="I74" i="66"/>
  <c r="H74" i="66"/>
  <c r="G74" i="66"/>
  <c r="E74" i="66"/>
  <c r="A74" i="66"/>
  <c r="K73" i="66"/>
  <c r="J73" i="66"/>
  <c r="I73" i="66"/>
  <c r="H73" i="66"/>
  <c r="G73" i="66"/>
  <c r="E73" i="66"/>
  <c r="A73" i="66"/>
  <c r="K72" i="66"/>
  <c r="J72" i="66"/>
  <c r="I72" i="66"/>
  <c r="H72" i="66"/>
  <c r="G72" i="66"/>
  <c r="E72" i="66"/>
  <c r="A72" i="66"/>
  <c r="K71" i="66"/>
  <c r="J71" i="66"/>
  <c r="I71" i="66"/>
  <c r="H71" i="66"/>
  <c r="G71" i="66"/>
  <c r="E71" i="66"/>
  <c r="A71" i="66"/>
  <c r="K70" i="66"/>
  <c r="J70" i="66"/>
  <c r="I70" i="66"/>
  <c r="H70" i="66"/>
  <c r="G70" i="66"/>
  <c r="E70" i="66"/>
  <c r="A70" i="66"/>
  <c r="K69" i="66"/>
  <c r="J69" i="66"/>
  <c r="I69" i="66"/>
  <c r="H69" i="66"/>
  <c r="G69" i="66"/>
  <c r="E69" i="66"/>
  <c r="A69" i="66"/>
  <c r="K68" i="66"/>
  <c r="J68" i="66"/>
  <c r="I68" i="66"/>
  <c r="H68" i="66"/>
  <c r="G68" i="66"/>
  <c r="E68" i="66"/>
  <c r="A68" i="66"/>
  <c r="K67" i="66"/>
  <c r="J67" i="66"/>
  <c r="I67" i="66"/>
  <c r="H67" i="66"/>
  <c r="G67" i="66"/>
  <c r="E67" i="66"/>
  <c r="A67" i="66"/>
  <c r="K66" i="66"/>
  <c r="J66" i="66"/>
  <c r="I66" i="66"/>
  <c r="H66" i="66"/>
  <c r="G66" i="66"/>
  <c r="E66" i="66"/>
  <c r="A66" i="66"/>
  <c r="K65" i="66"/>
  <c r="J65" i="66"/>
  <c r="I65" i="66"/>
  <c r="H65" i="66"/>
  <c r="G65" i="66"/>
  <c r="E65" i="66"/>
  <c r="A65" i="66"/>
  <c r="K64" i="66"/>
  <c r="J64" i="66"/>
  <c r="I64" i="66"/>
  <c r="H64" i="66"/>
  <c r="G64" i="66"/>
  <c r="E64" i="66"/>
  <c r="A64" i="66"/>
  <c r="K63" i="66"/>
  <c r="J63" i="66"/>
  <c r="I63" i="66"/>
  <c r="H63" i="66"/>
  <c r="G63" i="66"/>
  <c r="E63" i="66"/>
  <c r="A63" i="66"/>
  <c r="K62" i="66"/>
  <c r="J62" i="66"/>
  <c r="I62" i="66"/>
  <c r="H62" i="66"/>
  <c r="G62" i="66"/>
  <c r="E62" i="66"/>
  <c r="A62" i="66"/>
  <c r="K61" i="66"/>
  <c r="J61" i="66"/>
  <c r="I61" i="66"/>
  <c r="H61" i="66"/>
  <c r="G61" i="66"/>
  <c r="E61" i="66"/>
  <c r="A61" i="66"/>
  <c r="K60" i="66"/>
  <c r="J60" i="66"/>
  <c r="I60" i="66"/>
  <c r="H60" i="66"/>
  <c r="G60" i="66"/>
  <c r="E60" i="66"/>
  <c r="A60" i="66"/>
  <c r="K59" i="66"/>
  <c r="J59" i="66"/>
  <c r="I59" i="66"/>
  <c r="H59" i="66"/>
  <c r="G59" i="66"/>
  <c r="E59" i="66"/>
  <c r="A59" i="66"/>
  <c r="K58" i="66"/>
  <c r="J58" i="66"/>
  <c r="I58" i="66"/>
  <c r="H58" i="66"/>
  <c r="G58" i="66"/>
  <c r="E58" i="66"/>
  <c r="A58" i="66"/>
  <c r="K57" i="66"/>
  <c r="J57" i="66"/>
  <c r="I57" i="66"/>
  <c r="H57" i="66"/>
  <c r="G57" i="66"/>
  <c r="E57" i="66"/>
  <c r="A57" i="66"/>
  <c r="K56" i="66"/>
  <c r="J56" i="66"/>
  <c r="I56" i="66"/>
  <c r="H56" i="66"/>
  <c r="G56" i="66"/>
  <c r="E56" i="66"/>
  <c r="A56" i="66"/>
  <c r="K55" i="66"/>
  <c r="J55" i="66"/>
  <c r="I55" i="66"/>
  <c r="H55" i="66"/>
  <c r="G55" i="66"/>
  <c r="E55" i="66"/>
  <c r="A55" i="66"/>
  <c r="K54" i="66"/>
  <c r="J54" i="66"/>
  <c r="I54" i="66"/>
  <c r="H54" i="66"/>
  <c r="G54" i="66"/>
  <c r="E54" i="66"/>
  <c r="A54" i="66"/>
  <c r="K53" i="66"/>
  <c r="J53" i="66"/>
  <c r="I53" i="66"/>
  <c r="H53" i="66"/>
  <c r="G53" i="66"/>
  <c r="E53" i="66"/>
  <c r="A53" i="66"/>
  <c r="K52" i="66"/>
  <c r="J52" i="66"/>
  <c r="I52" i="66"/>
  <c r="H52" i="66"/>
  <c r="G52" i="66"/>
  <c r="E52" i="66"/>
  <c r="A52" i="66"/>
  <c r="K51" i="66"/>
  <c r="J51" i="66"/>
  <c r="I51" i="66"/>
  <c r="H51" i="66"/>
  <c r="G51" i="66"/>
  <c r="E51" i="66"/>
  <c r="A51" i="66"/>
  <c r="K50" i="66"/>
  <c r="J50" i="66"/>
  <c r="I50" i="66"/>
  <c r="H50" i="66"/>
  <c r="G50" i="66"/>
  <c r="E50" i="66"/>
  <c r="A50" i="66"/>
  <c r="K49" i="66"/>
  <c r="J49" i="66"/>
  <c r="I49" i="66"/>
  <c r="H49" i="66"/>
  <c r="G49" i="66"/>
  <c r="E49" i="66"/>
  <c r="A49" i="66"/>
  <c r="K48" i="66"/>
  <c r="J48" i="66"/>
  <c r="I48" i="66"/>
  <c r="H48" i="66"/>
  <c r="G48" i="66"/>
  <c r="E48" i="66"/>
  <c r="A48" i="66"/>
  <c r="K47" i="66"/>
  <c r="J47" i="66"/>
  <c r="I47" i="66"/>
  <c r="H47" i="66"/>
  <c r="G47" i="66"/>
  <c r="E47" i="66"/>
  <c r="A47" i="66"/>
  <c r="K46" i="66"/>
  <c r="J46" i="66"/>
  <c r="I46" i="66"/>
  <c r="H46" i="66"/>
  <c r="G46" i="66"/>
  <c r="E46" i="66"/>
  <c r="A46" i="66"/>
  <c r="K45" i="66"/>
  <c r="J45" i="66"/>
  <c r="I45" i="66"/>
  <c r="H45" i="66"/>
  <c r="G45" i="66"/>
  <c r="E45" i="66"/>
  <c r="A45" i="66"/>
  <c r="K44" i="66"/>
  <c r="J44" i="66"/>
  <c r="I44" i="66"/>
  <c r="H44" i="66"/>
  <c r="G44" i="66"/>
  <c r="E44" i="66"/>
  <c r="A44" i="66"/>
  <c r="K43" i="66"/>
  <c r="J43" i="66"/>
  <c r="I43" i="66"/>
  <c r="H43" i="66"/>
  <c r="G43" i="66"/>
  <c r="E43" i="66"/>
  <c r="A43" i="66"/>
  <c r="K42" i="66"/>
  <c r="J42" i="66"/>
  <c r="I42" i="66"/>
  <c r="H42" i="66"/>
  <c r="G42" i="66"/>
  <c r="E42" i="66"/>
  <c r="A42" i="66"/>
  <c r="K41" i="66"/>
  <c r="J41" i="66"/>
  <c r="I41" i="66"/>
  <c r="H41" i="66"/>
  <c r="G41" i="66"/>
  <c r="E41" i="66"/>
  <c r="A41" i="66"/>
  <c r="K40" i="66"/>
  <c r="J40" i="66"/>
  <c r="I40" i="66"/>
  <c r="H40" i="66"/>
  <c r="G40" i="66"/>
  <c r="E40" i="66"/>
  <c r="A40" i="66"/>
  <c r="K39" i="66"/>
  <c r="J39" i="66"/>
  <c r="I39" i="66"/>
  <c r="H39" i="66"/>
  <c r="G39" i="66"/>
  <c r="E39" i="66"/>
  <c r="A39" i="66"/>
  <c r="K38" i="66"/>
  <c r="J38" i="66"/>
  <c r="I38" i="66"/>
  <c r="H38" i="66"/>
  <c r="G38" i="66"/>
  <c r="E38" i="66"/>
  <c r="A38" i="66"/>
  <c r="K37" i="66"/>
  <c r="J37" i="66"/>
  <c r="I37" i="66"/>
  <c r="H37" i="66"/>
  <c r="G37" i="66"/>
  <c r="E37" i="66"/>
  <c r="A37" i="66"/>
  <c r="K36" i="66"/>
  <c r="J36" i="66"/>
  <c r="I36" i="66"/>
  <c r="H36" i="66"/>
  <c r="G36" i="66"/>
  <c r="E36" i="66"/>
  <c r="A36" i="66"/>
  <c r="K35" i="66"/>
  <c r="J35" i="66"/>
  <c r="I35" i="66"/>
  <c r="H35" i="66"/>
  <c r="G35" i="66"/>
  <c r="E35" i="66"/>
  <c r="A35" i="66"/>
  <c r="K34" i="66"/>
  <c r="J34" i="66"/>
  <c r="I34" i="66"/>
  <c r="H34" i="66"/>
  <c r="G34" i="66"/>
  <c r="E34" i="66"/>
  <c r="A34" i="66"/>
  <c r="K33" i="66"/>
  <c r="J33" i="66"/>
  <c r="I33" i="66"/>
  <c r="H33" i="66"/>
  <c r="G33" i="66"/>
  <c r="E33" i="66"/>
  <c r="A33" i="66"/>
  <c r="K32" i="66"/>
  <c r="J32" i="66"/>
  <c r="I32" i="66"/>
  <c r="H32" i="66"/>
  <c r="G32" i="66"/>
  <c r="E32" i="66"/>
  <c r="A32" i="66"/>
  <c r="K31" i="66"/>
  <c r="J31" i="66"/>
  <c r="I31" i="66"/>
  <c r="H31" i="66"/>
  <c r="G31" i="66"/>
  <c r="E31" i="66"/>
  <c r="A31" i="66"/>
  <c r="K30" i="66"/>
  <c r="J30" i="66"/>
  <c r="I30" i="66"/>
  <c r="H30" i="66"/>
  <c r="G30" i="66"/>
  <c r="E30" i="66"/>
  <c r="A30" i="66"/>
  <c r="K29" i="66"/>
  <c r="J29" i="66"/>
  <c r="I29" i="66"/>
  <c r="H29" i="66"/>
  <c r="G29" i="66"/>
  <c r="E29" i="66"/>
  <c r="A29" i="66"/>
  <c r="K28" i="66"/>
  <c r="J28" i="66"/>
  <c r="I28" i="66"/>
  <c r="H28" i="66"/>
  <c r="G28" i="66"/>
  <c r="E28" i="66"/>
  <c r="A28" i="66"/>
  <c r="K27" i="66"/>
  <c r="J27" i="66"/>
  <c r="I27" i="66"/>
  <c r="H27" i="66"/>
  <c r="G27" i="66"/>
  <c r="E27" i="66"/>
  <c r="A27" i="66"/>
  <c r="K26" i="66"/>
  <c r="J26" i="66"/>
  <c r="I26" i="66"/>
  <c r="H26" i="66"/>
  <c r="G26" i="66"/>
  <c r="E26" i="66"/>
  <c r="A26" i="66"/>
  <c r="K25" i="66"/>
  <c r="J25" i="66"/>
  <c r="I25" i="66"/>
  <c r="H25" i="66"/>
  <c r="G25" i="66"/>
  <c r="E25" i="66"/>
  <c r="K23" i="66"/>
  <c r="J23" i="66"/>
  <c r="I23" i="66"/>
  <c r="H23" i="66"/>
  <c r="G23" i="66"/>
  <c r="E23" i="66"/>
  <c r="K22" i="66"/>
  <c r="J22" i="66"/>
  <c r="I22" i="66"/>
  <c r="H22" i="66"/>
  <c r="G22" i="66"/>
  <c r="E22" i="66"/>
  <c r="A22" i="66"/>
  <c r="K21" i="66"/>
  <c r="J21" i="66"/>
  <c r="I21" i="66"/>
  <c r="H21" i="66"/>
  <c r="G21" i="66"/>
  <c r="E21" i="66"/>
  <c r="A21" i="66"/>
  <c r="K20" i="66"/>
  <c r="J20" i="66"/>
  <c r="I20" i="66"/>
  <c r="H20" i="66"/>
  <c r="G20" i="66"/>
  <c r="E20" i="66"/>
  <c r="A20" i="66"/>
  <c r="K19" i="66"/>
  <c r="J19" i="66"/>
  <c r="I19" i="66"/>
  <c r="H19" i="66"/>
  <c r="G19" i="66"/>
  <c r="E19" i="66"/>
  <c r="A19" i="66"/>
  <c r="K18" i="66"/>
  <c r="J18" i="66"/>
  <c r="I18" i="66"/>
  <c r="H18" i="66"/>
  <c r="G18" i="66"/>
  <c r="E18" i="66"/>
  <c r="A18" i="66"/>
  <c r="K17" i="66"/>
  <c r="J17" i="66"/>
  <c r="I17" i="66"/>
  <c r="H17" i="66"/>
  <c r="G17" i="66"/>
  <c r="E17" i="66"/>
  <c r="A17" i="66"/>
  <c r="K16" i="66"/>
  <c r="J16" i="66"/>
  <c r="I16" i="66"/>
  <c r="H16" i="66"/>
  <c r="G16" i="66"/>
  <c r="E16" i="66"/>
  <c r="A16" i="66"/>
  <c r="K15" i="66"/>
  <c r="J15" i="66"/>
  <c r="I15" i="66"/>
  <c r="H15" i="66"/>
  <c r="G15" i="66"/>
  <c r="E15" i="66"/>
  <c r="A15" i="66"/>
  <c r="K14" i="66"/>
  <c r="J14" i="66"/>
  <c r="I14" i="66"/>
  <c r="H14" i="66"/>
  <c r="G14" i="66"/>
  <c r="E14" i="66"/>
  <c r="A14" i="66"/>
  <c r="K13" i="66"/>
  <c r="J13" i="66"/>
  <c r="I13" i="66"/>
  <c r="H13" i="66"/>
  <c r="G13" i="66"/>
  <c r="E13" i="66"/>
  <c r="A13" i="66"/>
  <c r="K12" i="66"/>
  <c r="J12" i="66"/>
  <c r="I12" i="66"/>
  <c r="H12" i="66"/>
  <c r="G12" i="66"/>
  <c r="E12" i="66"/>
  <c r="A12" i="66"/>
  <c r="K11" i="66"/>
  <c r="J11" i="66"/>
  <c r="I11" i="66"/>
  <c r="H11" i="66"/>
  <c r="G11" i="66"/>
  <c r="E11" i="66"/>
  <c r="A11" i="66"/>
  <c r="K10" i="66"/>
  <c r="J10" i="66"/>
  <c r="I10" i="66"/>
  <c r="H10" i="66"/>
  <c r="G10" i="66"/>
  <c r="E10" i="66"/>
  <c r="A10" i="66"/>
  <c r="K9" i="66"/>
  <c r="J9" i="66"/>
  <c r="I9" i="66"/>
  <c r="H9" i="66"/>
  <c r="G9" i="66"/>
  <c r="E9" i="66"/>
  <c r="A9" i="66"/>
  <c r="K8" i="66"/>
  <c r="J8" i="66"/>
  <c r="I8" i="66"/>
  <c r="H8" i="66"/>
  <c r="G8" i="66"/>
  <c r="E8" i="66"/>
  <c r="A8" i="66"/>
  <c r="K7" i="66"/>
  <c r="J7" i="66"/>
  <c r="I7" i="66"/>
  <c r="H7" i="66"/>
  <c r="G7" i="66"/>
  <c r="E7" i="66"/>
  <c r="A7" i="66"/>
  <c r="K6" i="66"/>
  <c r="J6" i="66"/>
  <c r="I6" i="66"/>
  <c r="H6" i="66"/>
  <c r="G6" i="66"/>
  <c r="E6" i="66"/>
  <c r="A6" i="66"/>
  <c r="K5" i="66"/>
  <c r="J5" i="66"/>
  <c r="I5" i="66"/>
  <c r="H5" i="66"/>
  <c r="G5" i="66"/>
  <c r="E5" i="66"/>
  <c r="A5" i="66"/>
  <c r="A4" i="66"/>
  <c r="AW17" i="59"/>
  <c r="AX45" i="59"/>
  <c r="AX44" i="59"/>
  <c r="AX41" i="59"/>
  <c r="AX40" i="59"/>
  <c r="AX39" i="59"/>
  <c r="AX38" i="59"/>
  <c r="AX37" i="59"/>
  <c r="AQ91" i="59"/>
  <c r="AM91" i="59"/>
  <c r="AE91" i="59"/>
  <c r="V91" i="59"/>
  <c r="W91" i="59" s="1"/>
  <c r="O91" i="59"/>
  <c r="K91" i="59"/>
  <c r="G91" i="59"/>
  <c r="AP90" i="59"/>
  <c r="AP92" i="59" s="1"/>
  <c r="AL90" i="59"/>
  <c r="AL92" i="59" s="1"/>
  <c r="AI90" i="59"/>
  <c r="AI92" i="59" s="1"/>
  <c r="AH90" i="59"/>
  <c r="AH92" i="59" s="1"/>
  <c r="AD90" i="59"/>
  <c r="AD92" i="59" s="1"/>
  <c r="Z90" i="59"/>
  <c r="Z92" i="59" s="1"/>
  <c r="V90" i="59"/>
  <c r="S90" i="59"/>
  <c r="S92" i="59" s="1"/>
  <c r="R90" i="59"/>
  <c r="R92" i="59" s="1"/>
  <c r="N90" i="59"/>
  <c r="N92" i="59" s="1"/>
  <c r="J90" i="59"/>
  <c r="J92" i="59" s="1"/>
  <c r="F90" i="59"/>
  <c r="F92" i="59" s="1"/>
  <c r="AF28" i="59"/>
  <c r="AF30" i="59" s="1"/>
  <c r="AE28" i="59"/>
  <c r="AE30" i="59" s="1"/>
  <c r="AA28" i="59"/>
  <c r="AA30" i="59" s="1"/>
  <c r="W28" i="59"/>
  <c r="W30" i="59" s="1"/>
  <c r="S28" i="59"/>
  <c r="S30" i="59" s="1"/>
  <c r="O28" i="59"/>
  <c r="O30" i="59" s="1"/>
  <c r="K28" i="59"/>
  <c r="K30" i="59" s="1"/>
  <c r="G28" i="59"/>
  <c r="G30" i="59" s="1"/>
  <c r="AU89" i="59"/>
  <c r="AQ89" i="59"/>
  <c r="AM89" i="59"/>
  <c r="AE89" i="59"/>
  <c r="AA89" i="59"/>
  <c r="AA90" i="59" s="1"/>
  <c r="AA92" i="59" s="1"/>
  <c r="W89" i="59"/>
  <c r="O89" i="59"/>
  <c r="K89" i="59"/>
  <c r="G89" i="59"/>
  <c r="AT88" i="59"/>
  <c r="AT90" i="59" s="1"/>
  <c r="AT92" i="59" s="1"/>
  <c r="AQ88" i="59"/>
  <c r="AM88" i="59"/>
  <c r="AE88" i="59"/>
  <c r="W88" i="59"/>
  <c r="O88" i="59"/>
  <c r="K88" i="59"/>
  <c r="G88" i="59"/>
  <c r="AU87" i="59"/>
  <c r="AQ87" i="59"/>
  <c r="AM87" i="59"/>
  <c r="AE87" i="59"/>
  <c r="W87" i="59"/>
  <c r="O87" i="59"/>
  <c r="K87" i="59"/>
  <c r="G87" i="59"/>
  <c r="AU86" i="59"/>
  <c r="AU88" i="59" s="1"/>
  <c r="AQ86" i="59"/>
  <c r="AQ90" i="59" s="1"/>
  <c r="AM86" i="59"/>
  <c r="AM90" i="59" s="1"/>
  <c r="AE86" i="59"/>
  <c r="W86" i="59"/>
  <c r="O86" i="59"/>
  <c r="K86" i="59"/>
  <c r="G86" i="59"/>
  <c r="G90" i="59" s="1"/>
  <c r="AT85" i="59"/>
  <c r="AU83" i="59"/>
  <c r="AQ83" i="59"/>
  <c r="AM83" i="59"/>
  <c r="AL83" i="59"/>
  <c r="AI83" i="59"/>
  <c r="AH83" i="59"/>
  <c r="AE83" i="59"/>
  <c r="AD83" i="59"/>
  <c r="AA83" i="59"/>
  <c r="Z83" i="59"/>
  <c r="W83" i="59"/>
  <c r="V83" i="59"/>
  <c r="S83" i="59"/>
  <c r="R83" i="59"/>
  <c r="N83" i="59"/>
  <c r="K83" i="59"/>
  <c r="J83" i="59"/>
  <c r="G83" i="59"/>
  <c r="F83" i="59"/>
  <c r="C83" i="59"/>
  <c r="B83" i="59"/>
  <c r="AR21" i="59"/>
  <c r="AQ21" i="59"/>
  <c r="AM21" i="59"/>
  <c r="AJ21" i="59"/>
  <c r="AI21" i="59"/>
  <c r="AF21" i="59"/>
  <c r="AE21" i="59"/>
  <c r="AB21" i="59"/>
  <c r="AB26" i="59" s="1"/>
  <c r="AA21" i="59"/>
  <c r="X21" i="59"/>
  <c r="X29" i="59" s="1"/>
  <c r="W21" i="59"/>
  <c r="T21" i="59"/>
  <c r="T27" i="59" s="1"/>
  <c r="S21" i="59"/>
  <c r="P21" i="59"/>
  <c r="P27" i="59" s="1"/>
  <c r="O21" i="59"/>
  <c r="L21" i="59"/>
  <c r="K21" i="59"/>
  <c r="H21" i="59"/>
  <c r="H25" i="59" s="1"/>
  <c r="G21" i="59"/>
  <c r="D21" i="59"/>
  <c r="C21" i="59"/>
  <c r="AV81" i="59"/>
  <c r="AQ78" i="59"/>
  <c r="AS78" i="59" s="1"/>
  <c r="AP78" i="59"/>
  <c r="AM78" i="59"/>
  <c r="AL78" i="59"/>
  <c r="AI78" i="59"/>
  <c r="AH78" i="59"/>
  <c r="AE78" i="59"/>
  <c r="AD78" i="59"/>
  <c r="AA78" i="59"/>
  <c r="Z78" i="59"/>
  <c r="W78" i="59"/>
  <c r="V78" i="59"/>
  <c r="S78" i="59"/>
  <c r="R78" i="59"/>
  <c r="O78" i="59"/>
  <c r="N78" i="59"/>
  <c r="K78" i="59"/>
  <c r="J78" i="59"/>
  <c r="G78" i="59"/>
  <c r="F78" i="59"/>
  <c r="AU14" i="59"/>
  <c r="AS77" i="59"/>
  <c r="AR77" i="59"/>
  <c r="AO77" i="59"/>
  <c r="AN77" i="59"/>
  <c r="AK77" i="59"/>
  <c r="AJ77" i="59"/>
  <c r="AG77" i="59"/>
  <c r="AF77" i="59"/>
  <c r="AC77" i="59"/>
  <c r="AB77" i="59"/>
  <c r="Y77" i="59"/>
  <c r="X77" i="59"/>
  <c r="U77" i="59"/>
  <c r="T77" i="59"/>
  <c r="Q77" i="59"/>
  <c r="P77" i="59"/>
  <c r="M77" i="59"/>
  <c r="L77" i="59"/>
  <c r="I77" i="59"/>
  <c r="H77" i="59"/>
  <c r="E77" i="59"/>
  <c r="AS76" i="59"/>
  <c r="AR76" i="59"/>
  <c r="AR78" i="59" s="1"/>
  <c r="AO76" i="59"/>
  <c r="AN76" i="59"/>
  <c r="AN78" i="59" s="1"/>
  <c r="AK76" i="59"/>
  <c r="AJ76" i="59"/>
  <c r="AJ78" i="59" s="1"/>
  <c r="AG76" i="59"/>
  <c r="AF76" i="59"/>
  <c r="AC76" i="59"/>
  <c r="AB76" i="59"/>
  <c r="AB78" i="59" s="1"/>
  <c r="Y76" i="59"/>
  <c r="X76" i="59"/>
  <c r="X78" i="59" s="1"/>
  <c r="U76" i="59"/>
  <c r="T76" i="59"/>
  <c r="T78" i="59" s="1"/>
  <c r="Q76" i="59"/>
  <c r="P76" i="59"/>
  <c r="M76" i="59"/>
  <c r="L76" i="59"/>
  <c r="L78" i="59" s="1"/>
  <c r="I76" i="59"/>
  <c r="H76" i="59"/>
  <c r="H78" i="59" s="1"/>
  <c r="E76" i="59"/>
  <c r="AQ74" i="59"/>
  <c r="AQ80" i="59" s="1"/>
  <c r="AS80" i="59" s="1"/>
  <c r="AP74" i="59"/>
  <c r="AM74" i="59"/>
  <c r="AL74" i="59"/>
  <c r="AI74" i="59"/>
  <c r="AH74" i="59"/>
  <c r="AE74" i="59"/>
  <c r="AD74" i="59"/>
  <c r="AA74" i="59"/>
  <c r="Z74" i="59"/>
  <c r="W74" i="59"/>
  <c r="V74" i="59"/>
  <c r="S74" i="59"/>
  <c r="R74" i="59"/>
  <c r="O74" i="59"/>
  <c r="N74" i="59"/>
  <c r="K74" i="59"/>
  <c r="J74" i="59"/>
  <c r="G74" i="59"/>
  <c r="F74" i="59"/>
  <c r="AU10" i="59"/>
  <c r="AS73" i="59"/>
  <c r="AR73" i="59"/>
  <c r="AO73" i="59"/>
  <c r="AN73" i="59"/>
  <c r="AK73" i="59"/>
  <c r="AJ73" i="59"/>
  <c r="AG73" i="59"/>
  <c r="AF73" i="59"/>
  <c r="AC73" i="59"/>
  <c r="AB73" i="59"/>
  <c r="Y73" i="59"/>
  <c r="X73" i="59"/>
  <c r="U73" i="59"/>
  <c r="T73" i="59"/>
  <c r="Q73" i="59"/>
  <c r="P73" i="59"/>
  <c r="M73" i="59"/>
  <c r="L73" i="59"/>
  <c r="I73" i="59"/>
  <c r="H73" i="59"/>
  <c r="E73" i="59"/>
  <c r="AS72" i="59"/>
  <c r="AR72" i="59"/>
  <c r="AO72" i="59"/>
  <c r="AN72" i="59"/>
  <c r="AK72" i="59"/>
  <c r="AJ72" i="59"/>
  <c r="AG72" i="59"/>
  <c r="AF72" i="59"/>
  <c r="AC72" i="59"/>
  <c r="AB72" i="59"/>
  <c r="Y72" i="59"/>
  <c r="X72" i="59"/>
  <c r="U72" i="59"/>
  <c r="T72" i="59"/>
  <c r="Q72" i="59"/>
  <c r="P72" i="59"/>
  <c r="M72" i="59"/>
  <c r="L72" i="59"/>
  <c r="I72" i="59"/>
  <c r="H72" i="59"/>
  <c r="E72" i="59"/>
  <c r="AS71" i="59"/>
  <c r="AR71" i="59"/>
  <c r="AO71" i="59"/>
  <c r="AN71" i="59"/>
  <c r="AK71" i="59"/>
  <c r="AJ71" i="59"/>
  <c r="AG71" i="59"/>
  <c r="AF71" i="59"/>
  <c r="AC71" i="59"/>
  <c r="AB71" i="59"/>
  <c r="Y71" i="59"/>
  <c r="X71" i="59"/>
  <c r="U71" i="59"/>
  <c r="T71" i="59"/>
  <c r="Q71" i="59"/>
  <c r="P71" i="59"/>
  <c r="M71" i="59"/>
  <c r="L71" i="59"/>
  <c r="I71" i="59"/>
  <c r="H71" i="59"/>
  <c r="E71" i="59"/>
  <c r="AS70" i="59"/>
  <c r="AR70" i="59"/>
  <c r="AO70" i="59"/>
  <c r="AN70" i="59"/>
  <c r="AK70" i="59"/>
  <c r="AJ70" i="59"/>
  <c r="AG70" i="59"/>
  <c r="AF70" i="59"/>
  <c r="AC70" i="59"/>
  <c r="AB70" i="59"/>
  <c r="Y70" i="59"/>
  <c r="X70" i="59"/>
  <c r="U70" i="59"/>
  <c r="T70" i="59"/>
  <c r="Q70" i="59"/>
  <c r="P70" i="59"/>
  <c r="M70" i="59"/>
  <c r="L70" i="59"/>
  <c r="I70" i="59"/>
  <c r="H70" i="59"/>
  <c r="E70" i="59"/>
  <c r="AS69" i="59"/>
  <c r="AR69" i="59"/>
  <c r="AO69" i="59"/>
  <c r="AN69" i="59"/>
  <c r="AK69" i="59"/>
  <c r="AJ69" i="59"/>
  <c r="AG69" i="59"/>
  <c r="AF69" i="59"/>
  <c r="AC69" i="59"/>
  <c r="AB69" i="59"/>
  <c r="AB74" i="59" s="1"/>
  <c r="Y69" i="59"/>
  <c r="X69" i="59"/>
  <c r="U69" i="59"/>
  <c r="T69" i="59"/>
  <c r="Q69" i="59"/>
  <c r="P69" i="59"/>
  <c r="M69" i="59"/>
  <c r="L69" i="59"/>
  <c r="L74" i="59" s="1"/>
  <c r="I69" i="59"/>
  <c r="H69" i="59"/>
  <c r="E69" i="59"/>
  <c r="N3" i="59"/>
  <c r="J3" i="59"/>
  <c r="F3" i="59"/>
  <c r="V35" i="64"/>
  <c r="AD29" i="64"/>
  <c r="AB29" i="64"/>
  <c r="AA26" i="64"/>
  <c r="Y26" i="64"/>
  <c r="W26" i="64"/>
  <c r="U26" i="64"/>
  <c r="S26" i="64"/>
  <c r="Q26" i="64"/>
  <c r="O26" i="64"/>
  <c r="M26" i="64"/>
  <c r="K26" i="64"/>
  <c r="I26" i="64"/>
  <c r="G26" i="64"/>
  <c r="F17" i="63"/>
  <c r="F16" i="63"/>
  <c r="F25" i="63"/>
  <c r="D4" i="63"/>
  <c r="F18" i="63"/>
  <c r="D17" i="63"/>
  <c r="D16" i="63"/>
  <c r="D11" i="63"/>
  <c r="Z3" i="63"/>
  <c r="X3" i="63"/>
  <c r="V3" i="63"/>
  <c r="T3" i="63"/>
  <c r="R3" i="63"/>
  <c r="P3" i="63"/>
  <c r="N3" i="63"/>
  <c r="L3" i="63"/>
  <c r="J3" i="63"/>
  <c r="H3" i="63"/>
  <c r="F3" i="63"/>
  <c r="D3" i="63"/>
  <c r="P59" i="62"/>
  <c r="P58" i="62"/>
  <c r="P56" i="62"/>
  <c r="P54" i="62"/>
  <c r="P51" i="62"/>
  <c r="P49" i="62"/>
  <c r="P47" i="62"/>
  <c r="P44" i="62"/>
  <c r="P42" i="62"/>
  <c r="P40" i="62"/>
  <c r="P39" i="62"/>
  <c r="P38" i="62"/>
  <c r="P28" i="62"/>
  <c r="Q28" i="62"/>
  <c r="P29" i="62"/>
  <c r="Q29" i="62"/>
  <c r="P176" i="62"/>
  <c r="P175" i="62"/>
  <c r="G190" i="62" l="1"/>
  <c r="G191" i="62" s="1"/>
  <c r="G179" i="62"/>
  <c r="G180" i="62" s="1"/>
  <c r="G36" i="62"/>
  <c r="G168" i="62"/>
  <c r="G169" i="62" s="1"/>
  <c r="O80" i="59"/>
  <c r="AE80" i="59"/>
  <c r="AD80" i="59"/>
  <c r="AD85" i="59" s="1"/>
  <c r="AM80" i="59"/>
  <c r="AN80" i="59" s="1"/>
  <c r="AN79" i="59" s="1"/>
  <c r="M78" i="59"/>
  <c r="AC78" i="59"/>
  <c r="AD12" i="64"/>
  <c r="E190" i="62"/>
  <c r="E191" i="62" s="1"/>
  <c r="E168" i="62"/>
  <c r="G8" i="63"/>
  <c r="H8" i="63" s="1"/>
  <c r="F35" i="62"/>
  <c r="E137" i="62"/>
  <c r="E179" i="62"/>
  <c r="M116" i="66"/>
  <c r="J27" i="64" s="1"/>
  <c r="K27" i="64" s="1"/>
  <c r="E27" i="64"/>
  <c r="AB27" i="59"/>
  <c r="AB29" i="59"/>
  <c r="AV21" i="59"/>
  <c r="AV29" i="59" s="1"/>
  <c r="AB24" i="59"/>
  <c r="AB28" i="59" s="1"/>
  <c r="AB30" i="59" s="1"/>
  <c r="AB25" i="59"/>
  <c r="O116" i="66"/>
  <c r="S116" i="66"/>
  <c r="P116" i="66"/>
  <c r="Q116" i="66"/>
  <c r="T116" i="66"/>
  <c r="J34" i="64" s="1"/>
  <c r="R116" i="66"/>
  <c r="U116" i="66"/>
  <c r="J35" i="64" s="1"/>
  <c r="N116" i="66"/>
  <c r="H116" i="66"/>
  <c r="J116" i="66"/>
  <c r="E116" i="66"/>
  <c r="X27" i="59"/>
  <c r="P25" i="59"/>
  <c r="AC74" i="59"/>
  <c r="H26" i="59"/>
  <c r="S80" i="59"/>
  <c r="T80" i="59" s="1"/>
  <c r="T79" i="59" s="1"/>
  <c r="D29" i="59"/>
  <c r="AG74" i="59"/>
  <c r="X24" i="59"/>
  <c r="AL80" i="59"/>
  <c r="AL85" i="59" s="1"/>
  <c r="K80" i="59"/>
  <c r="L80" i="59" s="1"/>
  <c r="L75" i="59" s="1"/>
  <c r="AA80" i="59"/>
  <c r="AA75" i="59" s="1"/>
  <c r="D26" i="59"/>
  <c r="K23" i="59"/>
  <c r="D27" i="59"/>
  <c r="H29" i="59"/>
  <c r="V80" i="59"/>
  <c r="V85" i="59" s="1"/>
  <c r="D25" i="59"/>
  <c r="T74" i="59"/>
  <c r="AJ74" i="59"/>
  <c r="K90" i="59"/>
  <c r="K92" i="59" s="1"/>
  <c r="U74" i="59"/>
  <c r="W80" i="59"/>
  <c r="P78" i="59"/>
  <c r="AF78" i="59"/>
  <c r="O90" i="59"/>
  <c r="O92" i="59" s="1"/>
  <c r="Y74" i="59"/>
  <c r="AS74" i="59"/>
  <c r="W90" i="59"/>
  <c r="W92" i="59" s="1"/>
  <c r="P74" i="59"/>
  <c r="H74" i="59"/>
  <c r="X74" i="59"/>
  <c r="AN74" i="59"/>
  <c r="AI80" i="59"/>
  <c r="AG80" i="59" s="1"/>
  <c r="AE90" i="59"/>
  <c r="AE92" i="59" s="1"/>
  <c r="G92" i="59"/>
  <c r="Q74" i="59"/>
  <c r="AK74" i="59"/>
  <c r="AU90" i="59"/>
  <c r="AF74" i="59"/>
  <c r="AO74" i="59"/>
  <c r="AR74" i="59"/>
  <c r="G80" i="59"/>
  <c r="G75" i="59" s="1"/>
  <c r="O79" i="59"/>
  <c r="Q78" i="59"/>
  <c r="AE79" i="59"/>
  <c r="AG78" i="59"/>
  <c r="AF31" i="59"/>
  <c r="F80" i="59"/>
  <c r="F85" i="59" s="1"/>
  <c r="AF80" i="59"/>
  <c r="G23" i="59"/>
  <c r="O23" i="59"/>
  <c r="W23" i="59"/>
  <c r="AM23" i="59"/>
  <c r="AU16" i="59"/>
  <c r="AU23" i="59" s="1"/>
  <c r="I74" i="59"/>
  <c r="J80" i="59"/>
  <c r="J75" i="59" s="1"/>
  <c r="R80" i="59"/>
  <c r="Z80" i="59"/>
  <c r="Z75" i="59" s="1"/>
  <c r="AH80" i="59"/>
  <c r="AH75" i="59" s="1"/>
  <c r="AP80" i="59"/>
  <c r="AP75" i="59" s="1"/>
  <c r="U78" i="59"/>
  <c r="AK78" i="59"/>
  <c r="P80" i="59"/>
  <c r="L25" i="59"/>
  <c r="L27" i="59"/>
  <c r="L24" i="59"/>
  <c r="L29" i="59"/>
  <c r="L26" i="59"/>
  <c r="N80" i="59"/>
  <c r="N85" i="59" s="1"/>
  <c r="E78" i="59"/>
  <c r="I78" i="59"/>
  <c r="Y78" i="59"/>
  <c r="AM79" i="59"/>
  <c r="AO78" i="59"/>
  <c r="AM92" i="59"/>
  <c r="AA31" i="59"/>
  <c r="AA23" i="59"/>
  <c r="AI23" i="59"/>
  <c r="AQ23" i="59"/>
  <c r="E74" i="59"/>
  <c r="M74" i="59"/>
  <c r="AQ75" i="59"/>
  <c r="AS75" i="59" s="1"/>
  <c r="AR80" i="59"/>
  <c r="AQ92" i="59"/>
  <c r="K79" i="59"/>
  <c r="AQ79" i="59"/>
  <c r="AS79" i="59" s="1"/>
  <c r="AJ24" i="59"/>
  <c r="T25" i="59"/>
  <c r="C30" i="59"/>
  <c r="V92" i="59"/>
  <c r="X25" i="59"/>
  <c r="P26" i="59"/>
  <c r="P29" i="59"/>
  <c r="O75" i="59"/>
  <c r="AE75" i="59"/>
  <c r="D24" i="59"/>
  <c r="AJ25" i="59"/>
  <c r="T26" i="59"/>
  <c r="T29" i="59"/>
  <c r="H24" i="59"/>
  <c r="X26" i="59"/>
  <c r="H27" i="59"/>
  <c r="P24" i="59"/>
  <c r="T24" i="59"/>
  <c r="F11" i="63"/>
  <c r="F8" i="63"/>
  <c r="I28" i="64" l="1"/>
  <c r="J28" i="64"/>
  <c r="K28" i="64" s="1"/>
  <c r="I32" i="64"/>
  <c r="J32" i="64"/>
  <c r="K32" i="64" s="1"/>
  <c r="I31" i="64"/>
  <c r="J31" i="64"/>
  <c r="K31" i="64" s="1"/>
  <c r="I30" i="64"/>
  <c r="J30" i="64"/>
  <c r="K30" i="64" s="1"/>
  <c r="I33" i="64"/>
  <c r="J33" i="64"/>
  <c r="K33" i="64" s="1"/>
  <c r="V116" i="66"/>
  <c r="W116" i="66"/>
  <c r="AB116" i="66"/>
  <c r="X116" i="66"/>
  <c r="AA116" i="66"/>
  <c r="Y116" i="66"/>
  <c r="Z116" i="66"/>
  <c r="AO80" i="59"/>
  <c r="AD75" i="59"/>
  <c r="AM75" i="59"/>
  <c r="AO75" i="59" s="1"/>
  <c r="AD79" i="59"/>
  <c r="F36" i="62"/>
  <c r="F179" i="62"/>
  <c r="F190" i="62"/>
  <c r="F137" i="62"/>
  <c r="F168" i="62"/>
  <c r="E169" i="62"/>
  <c r="G27" i="64"/>
  <c r="I27" i="64"/>
  <c r="AQ116" i="66"/>
  <c r="AR116" i="66"/>
  <c r="AP116" i="66"/>
  <c r="AS116" i="66"/>
  <c r="AN116" i="66"/>
  <c r="AM116" i="66"/>
  <c r="AO116" i="66"/>
  <c r="E180" i="62"/>
  <c r="G32" i="64"/>
  <c r="G30" i="64"/>
  <c r="E32" i="64"/>
  <c r="G31" i="64"/>
  <c r="E31" i="64"/>
  <c r="E30" i="64"/>
  <c r="E28" i="64"/>
  <c r="E33" i="64"/>
  <c r="S31" i="59"/>
  <c r="Q80" i="59"/>
  <c r="AI79" i="59"/>
  <c r="AI75" i="59"/>
  <c r="AG75" i="59" s="1"/>
  <c r="S75" i="59"/>
  <c r="AJ80" i="59"/>
  <c r="AJ79" i="59" s="1"/>
  <c r="S79" i="59"/>
  <c r="Q79" i="59" s="1"/>
  <c r="AK80" i="59"/>
  <c r="AR75" i="59"/>
  <c r="C23" i="59"/>
  <c r="X28" i="59"/>
  <c r="X30" i="59" s="1"/>
  <c r="X31" i="59" s="1"/>
  <c r="O31" i="59"/>
  <c r="P79" i="59"/>
  <c r="M80" i="59"/>
  <c r="AB80" i="59"/>
  <c r="AB75" i="59" s="1"/>
  <c r="L79" i="59"/>
  <c r="K75" i="59"/>
  <c r="M75" i="59" s="1"/>
  <c r="G31" i="59"/>
  <c r="AC80" i="59"/>
  <c r="Y80" i="59"/>
  <c r="N75" i="59"/>
  <c r="T75" i="59"/>
  <c r="AL79" i="59"/>
  <c r="AE23" i="59"/>
  <c r="P28" i="59"/>
  <c r="P30" i="59" s="1"/>
  <c r="V79" i="59"/>
  <c r="AF75" i="59"/>
  <c r="D28" i="59"/>
  <c r="D30" i="59" s="1"/>
  <c r="AE31" i="59"/>
  <c r="W75" i="59"/>
  <c r="Y75" i="59" s="1"/>
  <c r="V75" i="59"/>
  <c r="AA79" i="59"/>
  <c r="AC79" i="59" s="1"/>
  <c r="AU15" i="59"/>
  <c r="AL75" i="59"/>
  <c r="AO79" i="59"/>
  <c r="G79" i="59"/>
  <c r="I79" i="59" s="1"/>
  <c r="M79" i="59"/>
  <c r="AF79" i="59"/>
  <c r="Q75" i="59"/>
  <c r="W79" i="59"/>
  <c r="F79" i="59"/>
  <c r="P75" i="59"/>
  <c r="X80" i="59"/>
  <c r="U80" i="59"/>
  <c r="AG79" i="59"/>
  <c r="R85" i="59"/>
  <c r="R79" i="59"/>
  <c r="T28" i="59"/>
  <c r="T30" i="59" s="1"/>
  <c r="I80" i="59"/>
  <c r="H80" i="59"/>
  <c r="E80" i="59"/>
  <c r="AJ75" i="59"/>
  <c r="AP85" i="59"/>
  <c r="AP79" i="59"/>
  <c r="J85" i="59"/>
  <c r="J79" i="59"/>
  <c r="N79" i="59"/>
  <c r="AN75" i="59"/>
  <c r="H28" i="59"/>
  <c r="H30" i="59" s="1"/>
  <c r="AK79" i="59"/>
  <c r="F75" i="59"/>
  <c r="K31" i="59"/>
  <c r="AH85" i="59"/>
  <c r="AH79" i="59"/>
  <c r="AC75" i="59"/>
  <c r="AU11" i="59"/>
  <c r="Z85" i="59"/>
  <c r="Z79" i="59"/>
  <c r="W31" i="59"/>
  <c r="E75" i="59"/>
  <c r="S23" i="59"/>
  <c r="L28" i="59"/>
  <c r="L30" i="59" s="1"/>
  <c r="AR79" i="59"/>
  <c r="R75" i="59"/>
  <c r="C31" i="59"/>
  <c r="AD28" i="64" l="1"/>
  <c r="AD31" i="64"/>
  <c r="AB33" i="64"/>
  <c r="AB31" i="64"/>
  <c r="F180" i="62"/>
  <c r="F169" i="62"/>
  <c r="F138" i="62"/>
  <c r="F191" i="62"/>
  <c r="AC116" i="66"/>
  <c r="AK75" i="59"/>
  <c r="AD27" i="64"/>
  <c r="AB27" i="64"/>
  <c r="AT116" i="66"/>
  <c r="G33" i="64"/>
  <c r="G28" i="64"/>
  <c r="AB32" i="64"/>
  <c r="AD33" i="64"/>
  <c r="AB30" i="64"/>
  <c r="AD32" i="64"/>
  <c r="AB28" i="64"/>
  <c r="AD30" i="64"/>
  <c r="AB79" i="59"/>
  <c r="T31" i="59"/>
  <c r="I75" i="59"/>
  <c r="Y79" i="59"/>
  <c r="U75" i="59"/>
  <c r="E79" i="59"/>
  <c r="U79" i="59"/>
  <c r="P31" i="59"/>
  <c r="L31" i="59"/>
  <c r="X75" i="59"/>
  <c r="X79" i="59"/>
  <c r="H31" i="59"/>
  <c r="AB31" i="59"/>
  <c r="H75" i="59"/>
  <c r="H79" i="59"/>
  <c r="D31" i="59" l="1"/>
  <c r="E36" i="62" l="1"/>
  <c r="C49" i="60"/>
  <c r="AN39" i="60"/>
  <c r="AK39" i="60"/>
  <c r="AJ39" i="60"/>
  <c r="AI39" i="60"/>
  <c r="AH39" i="60"/>
  <c r="AE39" i="60"/>
  <c r="AD39" i="60"/>
  <c r="AC39" i="60"/>
  <c r="AA39" i="60"/>
  <c r="W39" i="60"/>
  <c r="V39" i="60"/>
  <c r="U39" i="60"/>
  <c r="R39" i="60"/>
  <c r="Q39" i="60"/>
  <c r="P39" i="60"/>
  <c r="O39" i="60"/>
  <c r="N39" i="60"/>
  <c r="M39" i="60"/>
  <c r="L39" i="60"/>
  <c r="I39" i="60"/>
  <c r="G39" i="60"/>
  <c r="E39" i="60"/>
  <c r="AN38" i="60"/>
  <c r="AJ38" i="60"/>
  <c r="AI38" i="60"/>
  <c r="AH38" i="60"/>
  <c r="AE38" i="60"/>
  <c r="AD38" i="60"/>
  <c r="AB38" i="60"/>
  <c r="AA38" i="60"/>
  <c r="W38" i="60"/>
  <c r="V38" i="60"/>
  <c r="U38" i="60"/>
  <c r="R38" i="60"/>
  <c r="Q38" i="60"/>
  <c r="P38" i="60"/>
  <c r="O38" i="60"/>
  <c r="N38" i="60"/>
  <c r="M38" i="60"/>
  <c r="L38" i="60"/>
  <c r="G38" i="60"/>
  <c r="E38" i="60"/>
  <c r="AN37" i="60"/>
  <c r="AJ37" i="60"/>
  <c r="AI37" i="60"/>
  <c r="AH37" i="60"/>
  <c r="AE37" i="60"/>
  <c r="AD37" i="60"/>
  <c r="AA37" i="60"/>
  <c r="W37" i="60"/>
  <c r="V37" i="60"/>
  <c r="U37" i="60"/>
  <c r="R37" i="60"/>
  <c r="Q37" i="60"/>
  <c r="P37" i="60"/>
  <c r="O37" i="60"/>
  <c r="N37" i="60"/>
  <c r="L37" i="60"/>
  <c r="G37" i="60"/>
  <c r="E37" i="60"/>
  <c r="AN36" i="60"/>
  <c r="AJ36" i="60"/>
  <c r="AI36" i="60"/>
  <c r="AH36" i="60"/>
  <c r="AE36" i="60"/>
  <c r="AD36" i="60"/>
  <c r="AC36" i="60"/>
  <c r="AA36" i="60"/>
  <c r="W36" i="60"/>
  <c r="U36" i="60"/>
  <c r="R36" i="60"/>
  <c r="Q36" i="60"/>
  <c r="P36" i="60"/>
  <c r="O36" i="60"/>
  <c r="N36" i="60"/>
  <c r="M36" i="60"/>
  <c r="L36" i="60"/>
  <c r="I36" i="60"/>
  <c r="G36" i="60"/>
  <c r="E36" i="60"/>
  <c r="AN35" i="60"/>
  <c r="AL35" i="60"/>
  <c r="AJ35" i="60"/>
  <c r="AI35" i="60"/>
  <c r="AH35" i="60"/>
  <c r="AE35" i="60"/>
  <c r="AD35" i="60"/>
  <c r="AA35" i="60"/>
  <c r="W35" i="60"/>
  <c r="V35" i="60"/>
  <c r="U35" i="60"/>
  <c r="R35" i="60"/>
  <c r="Q35" i="60"/>
  <c r="P35" i="60"/>
  <c r="O35" i="60"/>
  <c r="N35" i="60"/>
  <c r="L35" i="60"/>
  <c r="G35" i="60"/>
  <c r="E35" i="60"/>
  <c r="X54" i="60"/>
  <c r="Q187" i="62"/>
  <c r="G100" i="61"/>
  <c r="A100" i="61"/>
  <c r="G99" i="61"/>
  <c r="A99" i="61"/>
  <c r="G98" i="61"/>
  <c r="A98" i="61"/>
  <c r="G97" i="61"/>
  <c r="A97" i="61"/>
  <c r="G96" i="61"/>
  <c r="A96" i="61"/>
  <c r="G95" i="61"/>
  <c r="A95" i="61"/>
  <c r="G94" i="61"/>
  <c r="A94" i="61"/>
  <c r="G93" i="61"/>
  <c r="A93" i="61"/>
  <c r="G92" i="61"/>
  <c r="A92" i="61"/>
  <c r="G91" i="61"/>
  <c r="A91" i="61"/>
  <c r="G90" i="61"/>
  <c r="A90" i="61"/>
  <c r="G89" i="61"/>
  <c r="A89" i="61"/>
  <c r="G88" i="61"/>
  <c r="A88" i="61"/>
  <c r="G87" i="61"/>
  <c r="A87" i="61"/>
  <c r="G86" i="61"/>
  <c r="A86" i="61"/>
  <c r="G85" i="61"/>
  <c r="A85" i="61"/>
  <c r="G84" i="61"/>
  <c r="A84" i="61"/>
  <c r="G83" i="61"/>
  <c r="A83" i="61"/>
  <c r="G82" i="61"/>
  <c r="A82" i="61"/>
  <c r="G81" i="61"/>
  <c r="A81" i="61"/>
  <c r="G80" i="61"/>
  <c r="A80" i="61"/>
  <c r="G79" i="61"/>
  <c r="A79" i="61"/>
  <c r="G78" i="61"/>
  <c r="A78" i="61"/>
  <c r="G77" i="61"/>
  <c r="A77" i="61"/>
  <c r="G76" i="61"/>
  <c r="A76" i="61"/>
  <c r="G75" i="61"/>
  <c r="A75" i="61"/>
  <c r="G74" i="61"/>
  <c r="A74" i="61"/>
  <c r="G73" i="61"/>
  <c r="A73" i="61"/>
  <c r="G72" i="61"/>
  <c r="A72" i="61"/>
  <c r="G71" i="61"/>
  <c r="A71" i="61"/>
  <c r="G70" i="61"/>
  <c r="A70" i="61"/>
  <c r="G69" i="61"/>
  <c r="A69" i="61"/>
  <c r="G68" i="61"/>
  <c r="A68" i="61"/>
  <c r="G67" i="61"/>
  <c r="A67" i="61"/>
  <c r="G66" i="61"/>
  <c r="A66" i="61"/>
  <c r="G65" i="61"/>
  <c r="A65" i="61"/>
  <c r="G64" i="61"/>
  <c r="A64" i="61"/>
  <c r="G63" i="61"/>
  <c r="A63" i="61"/>
  <c r="G62" i="61"/>
  <c r="A62" i="61"/>
  <c r="G61" i="61"/>
  <c r="A61" i="61"/>
  <c r="G60" i="61"/>
  <c r="A60" i="61"/>
  <c r="G59" i="61"/>
  <c r="A59" i="61"/>
  <c r="G58" i="61"/>
  <c r="A58" i="61"/>
  <c r="G57" i="61"/>
  <c r="A57" i="61"/>
  <c r="G56" i="61"/>
  <c r="A56" i="61"/>
  <c r="G55" i="61"/>
  <c r="A55" i="61"/>
  <c r="G54" i="61"/>
  <c r="A54" i="61"/>
  <c r="G53" i="61"/>
  <c r="A53" i="61"/>
  <c r="G52" i="61"/>
  <c r="A52" i="61"/>
  <c r="G51" i="61"/>
  <c r="A51" i="61"/>
  <c r="G50" i="61"/>
  <c r="A50" i="61"/>
  <c r="G49" i="61"/>
  <c r="A49" i="61"/>
  <c r="G48" i="61"/>
  <c r="A48" i="61"/>
  <c r="G47" i="61"/>
  <c r="A47" i="61"/>
  <c r="G46" i="61"/>
  <c r="A46" i="61"/>
  <c r="G45" i="61"/>
  <c r="A45" i="61"/>
  <c r="G44" i="61"/>
  <c r="A44" i="61"/>
  <c r="G43" i="61"/>
  <c r="A43" i="61"/>
  <c r="G42" i="61"/>
  <c r="A42" i="61"/>
  <c r="G41" i="61"/>
  <c r="A41" i="61"/>
  <c r="G40" i="61"/>
  <c r="A40" i="61"/>
  <c r="G39" i="61"/>
  <c r="A39" i="61"/>
  <c r="G38" i="61"/>
  <c r="A38" i="61"/>
  <c r="G37" i="61"/>
  <c r="A37" i="61"/>
  <c r="E61" i="60" l="1"/>
  <c r="E40" i="60" s="1"/>
  <c r="Q61" i="60"/>
  <c r="Q40" i="60" s="1"/>
  <c r="AK61" i="60"/>
  <c r="AK40" i="60" s="1"/>
  <c r="L61" i="60"/>
  <c r="L40" i="60" s="1"/>
  <c r="T61" i="60"/>
  <c r="T40" i="60" s="1"/>
  <c r="AE61" i="60"/>
  <c r="AE40" i="60" s="1"/>
  <c r="N61" i="60"/>
  <c r="N40" i="60" s="1"/>
  <c r="V61" i="60"/>
  <c r="V40" i="60" s="1"/>
  <c r="AH61" i="60"/>
  <c r="AH40" i="60" s="1"/>
  <c r="AA61" i="60"/>
  <c r="AA40" i="60" s="1"/>
  <c r="AD61" i="60"/>
  <c r="AD40" i="60" s="1"/>
  <c r="M61" i="60"/>
  <c r="M40" i="60" s="1"/>
  <c r="U61" i="60"/>
  <c r="U40" i="60" s="1"/>
  <c r="O61" i="60"/>
  <c r="O40" i="60" s="1"/>
  <c r="W61" i="60"/>
  <c r="W40" i="60" s="1"/>
  <c r="G61" i="60"/>
  <c r="G40" i="60" s="1"/>
  <c r="AB61" i="60"/>
  <c r="AB40" i="60" s="1"/>
  <c r="AL61" i="60"/>
  <c r="AL40" i="60" s="1"/>
  <c r="I61" i="60"/>
  <c r="I40" i="60" s="1"/>
  <c r="S61" i="60"/>
  <c r="S40" i="60" s="1"/>
  <c r="AC61" i="60"/>
  <c r="AC40" i="60" s="1"/>
  <c r="AN61" i="60"/>
  <c r="AN40" i="60" s="1"/>
  <c r="P61" i="60"/>
  <c r="P40" i="60" s="1"/>
  <c r="Y61" i="60"/>
  <c r="Y40" i="60" s="1"/>
  <c r="AJ61" i="60"/>
  <c r="AJ40" i="60" s="1"/>
  <c r="R61" i="60"/>
  <c r="R40" i="60" s="1"/>
  <c r="AI61" i="60"/>
  <c r="AI40" i="60" s="1"/>
  <c r="I100" i="61"/>
  <c r="K100" i="61" s="1"/>
  <c r="I70" i="61"/>
  <c r="K70" i="61" s="1"/>
  <c r="I56" i="61"/>
  <c r="K56" i="61" s="1"/>
  <c r="I80" i="61"/>
  <c r="K80" i="61" s="1"/>
  <c r="I88" i="61"/>
  <c r="K88" i="61" s="1"/>
  <c r="I96" i="61"/>
  <c r="K96" i="61" s="1"/>
  <c r="I63" i="61"/>
  <c r="K63" i="61" s="1"/>
  <c r="I82" i="61"/>
  <c r="K82" i="61" s="1"/>
  <c r="I53" i="61"/>
  <c r="K53" i="61" s="1"/>
  <c r="I95" i="61"/>
  <c r="K95" i="61" s="1"/>
  <c r="I43" i="61"/>
  <c r="K43" i="61" s="1"/>
  <c r="I55" i="61"/>
  <c r="K55" i="61" s="1"/>
  <c r="I40" i="61"/>
  <c r="K40" i="61" s="1"/>
  <c r="I48" i="61"/>
  <c r="K48" i="61" s="1"/>
  <c r="I61" i="61"/>
  <c r="K61" i="61" s="1"/>
  <c r="I69" i="61"/>
  <c r="K69" i="61" s="1"/>
  <c r="I77" i="61"/>
  <c r="K77" i="61" s="1"/>
  <c r="I93" i="61"/>
  <c r="K93" i="61" s="1"/>
  <c r="I46" i="61"/>
  <c r="K46" i="61" s="1"/>
  <c r="I45" i="61"/>
  <c r="K45" i="61" s="1"/>
  <c r="I54" i="61"/>
  <c r="K54" i="61" s="1"/>
  <c r="I71" i="61"/>
  <c r="K71" i="61" s="1"/>
  <c r="I79" i="61"/>
  <c r="K79" i="61" s="1"/>
  <c r="I87" i="61"/>
  <c r="K87" i="61" s="1"/>
  <c r="I98" i="61"/>
  <c r="K98" i="61" s="1"/>
  <c r="I97" i="61"/>
  <c r="K97" i="61" s="1"/>
  <c r="I42" i="61"/>
  <c r="K42" i="61" s="1"/>
  <c r="I68" i="61"/>
  <c r="K68" i="61" s="1"/>
  <c r="I92" i="61"/>
  <c r="K92" i="61" s="1"/>
  <c r="I37" i="61"/>
  <c r="K37" i="61" s="1"/>
  <c r="I44" i="61"/>
  <c r="K44" i="61" s="1"/>
  <c r="I52" i="61"/>
  <c r="K52" i="61" s="1"/>
  <c r="I65" i="61"/>
  <c r="K65" i="61" s="1"/>
  <c r="I81" i="61"/>
  <c r="K81" i="61" s="1"/>
  <c r="I51" i="61"/>
  <c r="K51" i="61" s="1"/>
  <c r="I85" i="61"/>
  <c r="K85" i="61" s="1"/>
  <c r="I49" i="61"/>
  <c r="K49" i="61" s="1"/>
  <c r="I39" i="61"/>
  <c r="K39" i="61" s="1"/>
  <c r="I57" i="61"/>
  <c r="K57" i="61" s="1"/>
  <c r="I38" i="61"/>
  <c r="K38" i="61" s="1"/>
  <c r="I60" i="61"/>
  <c r="K60" i="61" s="1"/>
  <c r="I62" i="61"/>
  <c r="K62" i="61" s="1"/>
  <c r="I74" i="61"/>
  <c r="K74" i="61" s="1"/>
  <c r="I75" i="61"/>
  <c r="K75" i="61" s="1"/>
  <c r="I90" i="61"/>
  <c r="K90" i="61" s="1"/>
  <c r="I91" i="61"/>
  <c r="K91" i="61" s="1"/>
  <c r="I58" i="61"/>
  <c r="K58" i="61" s="1"/>
  <c r="I59" i="61"/>
  <c r="K59" i="61" s="1"/>
  <c r="I72" i="61"/>
  <c r="K72" i="61" s="1"/>
  <c r="I73" i="61"/>
  <c r="K73" i="61" s="1"/>
  <c r="I84" i="61"/>
  <c r="K84" i="61" s="1"/>
  <c r="I86" i="61"/>
  <c r="K86" i="61" s="1"/>
  <c r="I89" i="61"/>
  <c r="K89" i="61" s="1"/>
  <c r="I83" i="61"/>
  <c r="K83" i="61" s="1"/>
  <c r="I99" i="61"/>
  <c r="K99" i="61" s="1"/>
  <c r="I66" i="61"/>
  <c r="K66" i="61" s="1"/>
  <c r="I67" i="61"/>
  <c r="K67" i="61" s="1"/>
  <c r="I41" i="61"/>
  <c r="K41" i="61" s="1"/>
  <c r="I76" i="61"/>
  <c r="K76" i="61" s="1"/>
  <c r="I78" i="61"/>
  <c r="K78" i="61" s="1"/>
  <c r="I94" i="61"/>
  <c r="K94" i="61" s="1"/>
  <c r="I47" i="61"/>
  <c r="K47" i="61" s="1"/>
  <c r="I50" i="61"/>
  <c r="K50" i="61" s="1"/>
  <c r="I64" i="61"/>
  <c r="K64" i="61" s="1"/>
  <c r="P155" i="27"/>
  <c r="N155" i="27"/>
  <c r="AM155" i="27" s="1"/>
  <c r="L155" i="27"/>
  <c r="A155" i="27"/>
  <c r="P154" i="27"/>
  <c r="N154" i="27"/>
  <c r="AM154" i="27" s="1"/>
  <c r="L154" i="27"/>
  <c r="A154" i="27"/>
  <c r="P153" i="27"/>
  <c r="N153" i="27"/>
  <c r="AM153" i="27" s="1"/>
  <c r="L153" i="27"/>
  <c r="A153" i="27"/>
  <c r="P152" i="27"/>
  <c r="N152" i="27"/>
  <c r="AM152" i="27" s="1"/>
  <c r="L152" i="27"/>
  <c r="A152" i="27"/>
  <c r="P151" i="27"/>
  <c r="N151" i="27"/>
  <c r="AM151" i="27" s="1"/>
  <c r="L151" i="27"/>
  <c r="A151" i="27"/>
  <c r="P150" i="27"/>
  <c r="N150" i="27"/>
  <c r="AM150" i="27" s="1"/>
  <c r="L150" i="27"/>
  <c r="A150" i="27"/>
  <c r="P149" i="27"/>
  <c r="N149" i="27"/>
  <c r="AM149" i="27" s="1"/>
  <c r="L149" i="27"/>
  <c r="A149" i="27"/>
  <c r="P148" i="27"/>
  <c r="N148" i="27"/>
  <c r="AM148" i="27" s="1"/>
  <c r="L148" i="27"/>
  <c r="A148" i="27"/>
  <c r="P147" i="27"/>
  <c r="N147" i="27"/>
  <c r="AM147" i="27" s="1"/>
  <c r="L147" i="27"/>
  <c r="A147" i="27"/>
  <c r="P146" i="27"/>
  <c r="N146" i="27"/>
  <c r="AM146" i="27" s="1"/>
  <c r="L146" i="27"/>
  <c r="A146" i="27"/>
  <c r="P145" i="27"/>
  <c r="N145" i="27"/>
  <c r="AM145" i="27" s="1"/>
  <c r="L145" i="27"/>
  <c r="A145" i="27"/>
  <c r="P144" i="27"/>
  <c r="N144" i="27"/>
  <c r="AM144" i="27" s="1"/>
  <c r="L144" i="27"/>
  <c r="A144" i="27"/>
  <c r="P143" i="27"/>
  <c r="N143" i="27"/>
  <c r="AM143" i="27" s="1"/>
  <c r="L143" i="27"/>
  <c r="A143" i="27"/>
  <c r="P142" i="27"/>
  <c r="N142" i="27"/>
  <c r="AM142" i="27" s="1"/>
  <c r="L142" i="27"/>
  <c r="A142" i="27"/>
  <c r="P141" i="27"/>
  <c r="N141" i="27"/>
  <c r="AM141" i="27" s="1"/>
  <c r="L141" i="27"/>
  <c r="A141" i="27"/>
  <c r="P140" i="27"/>
  <c r="N140" i="27"/>
  <c r="AM140" i="27" s="1"/>
  <c r="L140" i="27"/>
  <c r="A140" i="27"/>
  <c r="P139" i="27"/>
  <c r="N139" i="27"/>
  <c r="AM139" i="27" s="1"/>
  <c r="L139" i="27"/>
  <c r="A139" i="27"/>
  <c r="P138" i="27"/>
  <c r="N138" i="27"/>
  <c r="AM138" i="27" s="1"/>
  <c r="L138" i="27"/>
  <c r="A138" i="27"/>
  <c r="P137" i="27"/>
  <c r="N137" i="27"/>
  <c r="AM137" i="27" s="1"/>
  <c r="L137" i="27"/>
  <c r="A137" i="27"/>
  <c r="P136" i="27"/>
  <c r="N136" i="27"/>
  <c r="AM136" i="27" s="1"/>
  <c r="L136" i="27"/>
  <c r="A136" i="27"/>
  <c r="P135" i="27"/>
  <c r="N135" i="27"/>
  <c r="AM135" i="27" s="1"/>
  <c r="L135" i="27"/>
  <c r="A135" i="27"/>
  <c r="P134" i="27"/>
  <c r="N134" i="27"/>
  <c r="AM134" i="27" s="1"/>
  <c r="L134" i="27"/>
  <c r="A134" i="27"/>
  <c r="P133" i="27"/>
  <c r="N133" i="27"/>
  <c r="AM133" i="27" s="1"/>
  <c r="L133" i="27"/>
  <c r="A133" i="27"/>
  <c r="P132" i="27"/>
  <c r="N132" i="27"/>
  <c r="AM132" i="27" s="1"/>
  <c r="L132" i="27"/>
  <c r="A132" i="27"/>
  <c r="P131" i="27"/>
  <c r="N131" i="27"/>
  <c r="AM131" i="27" s="1"/>
  <c r="L131" i="27"/>
  <c r="A131" i="27"/>
  <c r="P130" i="27"/>
  <c r="N130" i="27"/>
  <c r="AM130" i="27" s="1"/>
  <c r="L130" i="27"/>
  <c r="A130" i="27"/>
  <c r="P129" i="27"/>
  <c r="N129" i="27"/>
  <c r="AM129" i="27" s="1"/>
  <c r="L129" i="27"/>
  <c r="A129" i="27"/>
  <c r="P128" i="27"/>
  <c r="N128" i="27"/>
  <c r="AM128" i="27" s="1"/>
  <c r="L128" i="27"/>
  <c r="A128" i="27"/>
  <c r="P127" i="27"/>
  <c r="N127" i="27"/>
  <c r="AM127" i="27" s="1"/>
  <c r="L127" i="27"/>
  <c r="A127" i="27"/>
  <c r="P126" i="27"/>
  <c r="N126" i="27"/>
  <c r="AM126" i="27" s="1"/>
  <c r="L126" i="27"/>
  <c r="A126" i="27"/>
  <c r="P125" i="27"/>
  <c r="N125" i="27"/>
  <c r="AM125" i="27" s="1"/>
  <c r="L125" i="27"/>
  <c r="A125" i="27"/>
  <c r="P124" i="27"/>
  <c r="N124" i="27"/>
  <c r="AM124" i="27" s="1"/>
  <c r="L124" i="27"/>
  <c r="A124" i="27"/>
  <c r="P123" i="27"/>
  <c r="N123" i="27"/>
  <c r="AM123" i="27" s="1"/>
  <c r="L123" i="27"/>
  <c r="A123" i="27"/>
  <c r="P122" i="27"/>
  <c r="N122" i="27"/>
  <c r="AM122" i="27" s="1"/>
  <c r="L122" i="27"/>
  <c r="A122" i="27"/>
  <c r="P121" i="27"/>
  <c r="N121" i="27"/>
  <c r="AM121" i="27" s="1"/>
  <c r="L121" i="27"/>
  <c r="A121" i="27"/>
  <c r="P120" i="27"/>
  <c r="N120" i="27"/>
  <c r="AM120" i="27" s="1"/>
  <c r="L120" i="27"/>
  <c r="A120" i="27"/>
  <c r="P119" i="27"/>
  <c r="N119" i="27"/>
  <c r="AM119" i="27" s="1"/>
  <c r="L119" i="27"/>
  <c r="A119" i="27"/>
  <c r="P118" i="27"/>
  <c r="N118" i="27"/>
  <c r="AM118" i="27" s="1"/>
  <c r="L118" i="27"/>
  <c r="A118" i="27"/>
  <c r="P117" i="27"/>
  <c r="N117" i="27"/>
  <c r="AM117" i="27" s="1"/>
  <c r="L117" i="27"/>
  <c r="A117" i="27"/>
  <c r="P116" i="27"/>
  <c r="N116" i="27"/>
  <c r="AM116" i="27" s="1"/>
  <c r="L116" i="27"/>
  <c r="A116" i="27"/>
  <c r="P115" i="27"/>
  <c r="N115" i="27"/>
  <c r="AM115" i="27" s="1"/>
  <c r="L115" i="27"/>
  <c r="A115" i="27"/>
  <c r="P114" i="27"/>
  <c r="N114" i="27"/>
  <c r="AM114" i="27" s="1"/>
  <c r="L114" i="27"/>
  <c r="A114" i="27"/>
  <c r="P113" i="27"/>
  <c r="N113" i="27"/>
  <c r="AM113" i="27" s="1"/>
  <c r="L113" i="27"/>
  <c r="A113" i="27"/>
  <c r="P112" i="27"/>
  <c r="N112" i="27"/>
  <c r="AM112" i="27" s="1"/>
  <c r="L112" i="27"/>
  <c r="A112" i="27"/>
  <c r="P111" i="27"/>
  <c r="N111" i="27"/>
  <c r="AM111" i="27" s="1"/>
  <c r="L111" i="27"/>
  <c r="A111" i="27"/>
  <c r="P200" i="27"/>
  <c r="N200" i="27"/>
  <c r="AM200" i="27" s="1"/>
  <c r="L200" i="27"/>
  <c r="A200" i="27"/>
  <c r="P199" i="27"/>
  <c r="N199" i="27"/>
  <c r="AM199" i="27" s="1"/>
  <c r="L199" i="27"/>
  <c r="A199" i="27"/>
  <c r="P198" i="27"/>
  <c r="N198" i="27"/>
  <c r="AM198" i="27" s="1"/>
  <c r="L198" i="27"/>
  <c r="A198" i="27"/>
  <c r="P197" i="27"/>
  <c r="N197" i="27"/>
  <c r="AM197" i="27" s="1"/>
  <c r="L197" i="27"/>
  <c r="A197" i="27"/>
  <c r="P196" i="27"/>
  <c r="N196" i="27"/>
  <c r="AM196" i="27" s="1"/>
  <c r="L196" i="27"/>
  <c r="A196" i="27"/>
  <c r="P195" i="27"/>
  <c r="N195" i="27"/>
  <c r="AM195" i="27" s="1"/>
  <c r="L195" i="27"/>
  <c r="A195" i="27"/>
  <c r="P194" i="27"/>
  <c r="N194" i="27"/>
  <c r="AM194" i="27" s="1"/>
  <c r="L194" i="27"/>
  <c r="A194" i="27"/>
  <c r="P193" i="27"/>
  <c r="N193" i="27"/>
  <c r="AM193" i="27" s="1"/>
  <c r="L193" i="27"/>
  <c r="A193" i="27"/>
  <c r="P192" i="27"/>
  <c r="N192" i="27"/>
  <c r="AM192" i="27" s="1"/>
  <c r="L192" i="27"/>
  <c r="A192" i="27"/>
  <c r="P191" i="27"/>
  <c r="N191" i="27"/>
  <c r="AM191" i="27" s="1"/>
  <c r="L191" i="27"/>
  <c r="A191" i="27"/>
  <c r="P190" i="27"/>
  <c r="N190" i="27"/>
  <c r="AM190" i="27" s="1"/>
  <c r="L190" i="27"/>
  <c r="A190" i="27"/>
  <c r="P189" i="27"/>
  <c r="N189" i="27"/>
  <c r="AM189" i="27" s="1"/>
  <c r="L189" i="27"/>
  <c r="A189" i="27"/>
  <c r="P188" i="27"/>
  <c r="N188" i="27"/>
  <c r="AM188" i="27" s="1"/>
  <c r="L188" i="27"/>
  <c r="A188" i="27"/>
  <c r="P187" i="27"/>
  <c r="N187" i="27"/>
  <c r="AM187" i="27" s="1"/>
  <c r="L187" i="27"/>
  <c r="A187" i="27"/>
  <c r="P186" i="27"/>
  <c r="N186" i="27"/>
  <c r="AM186" i="27" s="1"/>
  <c r="L186" i="27"/>
  <c r="A186" i="27"/>
  <c r="P185" i="27"/>
  <c r="N185" i="27"/>
  <c r="AM185" i="27" s="1"/>
  <c r="L185" i="27"/>
  <c r="A185" i="27"/>
  <c r="P184" i="27"/>
  <c r="N184" i="27"/>
  <c r="AM184" i="27" s="1"/>
  <c r="L184" i="27"/>
  <c r="A184" i="27"/>
  <c r="P183" i="27"/>
  <c r="N183" i="27"/>
  <c r="AM183" i="27" s="1"/>
  <c r="L183" i="27"/>
  <c r="A183" i="27"/>
  <c r="P182" i="27"/>
  <c r="N182" i="27"/>
  <c r="AM182" i="27" s="1"/>
  <c r="L182" i="27"/>
  <c r="A182" i="27"/>
  <c r="P181" i="27"/>
  <c r="N181" i="27"/>
  <c r="AM181" i="27" s="1"/>
  <c r="L181" i="27"/>
  <c r="A181" i="27"/>
  <c r="P180" i="27"/>
  <c r="N180" i="27"/>
  <c r="AM180" i="27" s="1"/>
  <c r="L180" i="27"/>
  <c r="A180" i="27"/>
  <c r="P179" i="27"/>
  <c r="N179" i="27"/>
  <c r="AM179" i="27" s="1"/>
  <c r="L179" i="27"/>
  <c r="A179" i="27"/>
  <c r="P178" i="27"/>
  <c r="N178" i="27"/>
  <c r="AM178" i="27" s="1"/>
  <c r="L178" i="27"/>
  <c r="A178" i="27"/>
  <c r="P177" i="27"/>
  <c r="N177" i="27"/>
  <c r="AM177" i="27" s="1"/>
  <c r="L177" i="27"/>
  <c r="A177" i="27"/>
  <c r="P176" i="27"/>
  <c r="N176" i="27"/>
  <c r="AM176" i="27" s="1"/>
  <c r="L176" i="27"/>
  <c r="A176" i="27"/>
  <c r="P175" i="27"/>
  <c r="N175" i="27"/>
  <c r="AM175" i="27" s="1"/>
  <c r="L175" i="27"/>
  <c r="A175" i="27"/>
  <c r="P174" i="27"/>
  <c r="N174" i="27"/>
  <c r="AM174" i="27" s="1"/>
  <c r="L174" i="27"/>
  <c r="A174" i="27"/>
  <c r="P173" i="27"/>
  <c r="N173" i="27"/>
  <c r="AM173" i="27" s="1"/>
  <c r="L173" i="27"/>
  <c r="A173" i="27"/>
  <c r="P172" i="27"/>
  <c r="N172" i="27"/>
  <c r="AM172" i="27" s="1"/>
  <c r="L172" i="27"/>
  <c r="A172" i="27"/>
  <c r="P171" i="27"/>
  <c r="N171" i="27"/>
  <c r="AM171" i="27" s="1"/>
  <c r="L171" i="27"/>
  <c r="A171" i="27"/>
  <c r="P170" i="27"/>
  <c r="N170" i="27"/>
  <c r="AM170" i="27" s="1"/>
  <c r="L170" i="27"/>
  <c r="A170" i="27"/>
  <c r="P169" i="27"/>
  <c r="N169" i="27"/>
  <c r="AM169" i="27" s="1"/>
  <c r="L169" i="27"/>
  <c r="A169" i="27"/>
  <c r="P168" i="27"/>
  <c r="N168" i="27"/>
  <c r="AM168" i="27" s="1"/>
  <c r="L168" i="27"/>
  <c r="A168" i="27"/>
  <c r="P167" i="27"/>
  <c r="N167" i="27"/>
  <c r="AM167" i="27" s="1"/>
  <c r="L167" i="27"/>
  <c r="A167" i="27"/>
  <c r="P166" i="27"/>
  <c r="N166" i="27"/>
  <c r="AM166" i="27" s="1"/>
  <c r="L166" i="27"/>
  <c r="A166" i="27"/>
  <c r="P165" i="27"/>
  <c r="N165" i="27"/>
  <c r="AM165" i="27" s="1"/>
  <c r="L165" i="27"/>
  <c r="A165" i="27"/>
  <c r="P164" i="27"/>
  <c r="N164" i="27"/>
  <c r="AM164" i="27" s="1"/>
  <c r="L164" i="27"/>
  <c r="A164" i="27"/>
  <c r="P163" i="27"/>
  <c r="N163" i="27"/>
  <c r="AM163" i="27" s="1"/>
  <c r="L163" i="27"/>
  <c r="A163" i="27"/>
  <c r="P162" i="27"/>
  <c r="N162" i="27"/>
  <c r="AM162" i="27" s="1"/>
  <c r="L162" i="27"/>
  <c r="A162" i="27"/>
  <c r="P161" i="27"/>
  <c r="N161" i="27"/>
  <c r="AM161" i="27" s="1"/>
  <c r="L161" i="27"/>
  <c r="A161" i="27"/>
  <c r="P160" i="27"/>
  <c r="N160" i="27"/>
  <c r="AM160" i="27" s="1"/>
  <c r="L160" i="27"/>
  <c r="A160" i="27"/>
  <c r="P159" i="27"/>
  <c r="N159" i="27"/>
  <c r="AM159" i="27" s="1"/>
  <c r="L159" i="27"/>
  <c r="A159" i="27"/>
  <c r="P158" i="27"/>
  <c r="N158" i="27"/>
  <c r="AM158" i="27" s="1"/>
  <c r="L158" i="27"/>
  <c r="A158" i="27"/>
  <c r="P157" i="27"/>
  <c r="N157" i="27"/>
  <c r="AM157" i="27" s="1"/>
  <c r="L157" i="27"/>
  <c r="A157" i="27"/>
  <c r="P156" i="27"/>
  <c r="N156" i="27"/>
  <c r="AM156" i="27" s="1"/>
  <c r="L156" i="27"/>
  <c r="A156" i="27"/>
  <c r="R168" i="27" l="1"/>
  <c r="S168" i="27" s="1"/>
  <c r="AG168" i="27" s="1"/>
  <c r="R127" i="27"/>
  <c r="S127" i="27" s="1"/>
  <c r="AG127" i="27" s="1"/>
  <c r="R133" i="27"/>
  <c r="S133" i="27" s="1"/>
  <c r="AG133" i="27" s="1"/>
  <c r="R151" i="27"/>
  <c r="S151" i="27" s="1"/>
  <c r="AG151" i="27" s="1"/>
  <c r="R118" i="27"/>
  <c r="S118" i="27" s="1"/>
  <c r="AG118" i="27" s="1"/>
  <c r="R182" i="27"/>
  <c r="S182" i="27" s="1"/>
  <c r="AG182" i="27" s="1"/>
  <c r="R136" i="27"/>
  <c r="S136" i="27" s="1"/>
  <c r="AG136" i="27" s="1"/>
  <c r="AN136" i="27" s="1"/>
  <c r="AT136" i="27" s="1"/>
  <c r="R131" i="27"/>
  <c r="S131" i="27" s="1"/>
  <c r="AG131" i="27" s="1"/>
  <c r="AN131" i="27" s="1"/>
  <c r="AT131" i="27" s="1"/>
  <c r="R142" i="27"/>
  <c r="S142" i="27" s="1"/>
  <c r="AG142" i="27" s="1"/>
  <c r="AN142" i="27" s="1"/>
  <c r="AT142" i="27" s="1"/>
  <c r="R198" i="27"/>
  <c r="S198" i="27" s="1"/>
  <c r="AG198" i="27" s="1"/>
  <c r="AN198" i="27" s="1"/>
  <c r="AT198" i="27" s="1"/>
  <c r="R132" i="27"/>
  <c r="S132" i="27" s="1"/>
  <c r="AG132" i="27" s="1"/>
  <c r="AN132" i="27" s="1"/>
  <c r="AT132" i="27" s="1"/>
  <c r="R120" i="27"/>
  <c r="S120" i="27" s="1"/>
  <c r="AG120" i="27" s="1"/>
  <c r="AN120" i="27" s="1"/>
  <c r="AT120" i="27" s="1"/>
  <c r="R150" i="27"/>
  <c r="S150" i="27" s="1"/>
  <c r="AG150" i="27" s="1"/>
  <c r="AN150" i="27" s="1"/>
  <c r="AT150" i="27" s="1"/>
  <c r="R181" i="27"/>
  <c r="S181" i="27" s="1"/>
  <c r="AG181" i="27" s="1"/>
  <c r="AN181" i="27" s="1"/>
  <c r="AT181" i="27" s="1"/>
  <c r="R197" i="27"/>
  <c r="S197" i="27" s="1"/>
  <c r="AG197" i="27" s="1"/>
  <c r="AN197" i="27" s="1"/>
  <c r="AT197" i="27" s="1"/>
  <c r="R126" i="27"/>
  <c r="S126" i="27" s="1"/>
  <c r="AG126" i="27" s="1"/>
  <c r="AN126" i="27" s="1"/>
  <c r="AT126" i="27" s="1"/>
  <c r="R162" i="27"/>
  <c r="S162" i="27" s="1"/>
  <c r="AG162" i="27" s="1"/>
  <c r="R171" i="27"/>
  <c r="S171" i="27" s="1"/>
  <c r="AG171" i="27" s="1"/>
  <c r="R188" i="27"/>
  <c r="S188" i="27" s="1"/>
  <c r="AG188" i="27" s="1"/>
  <c r="AN188" i="27" s="1"/>
  <c r="AT188" i="27" s="1"/>
  <c r="R115" i="27"/>
  <c r="S115" i="27" s="1"/>
  <c r="AG115" i="27" s="1"/>
  <c r="AN115" i="27" s="1"/>
  <c r="AT115" i="27" s="1"/>
  <c r="R148" i="27"/>
  <c r="S148" i="27" s="1"/>
  <c r="AG148" i="27" s="1"/>
  <c r="AN148" i="27" s="1"/>
  <c r="AT148" i="27" s="1"/>
  <c r="R170" i="27"/>
  <c r="S170" i="27" s="1"/>
  <c r="AG170" i="27" s="1"/>
  <c r="R121" i="27"/>
  <c r="S121" i="27" s="1"/>
  <c r="AG121" i="27" s="1"/>
  <c r="R163" i="27"/>
  <c r="S163" i="27" s="1"/>
  <c r="AG163" i="27" s="1"/>
  <c r="R189" i="27"/>
  <c r="S189" i="27" s="1"/>
  <c r="AG189" i="27" s="1"/>
  <c r="AN189" i="27" s="1"/>
  <c r="AT189" i="27" s="1"/>
  <c r="R149" i="27"/>
  <c r="S149" i="27" s="1"/>
  <c r="AG149" i="27" s="1"/>
  <c r="AN149" i="27" s="1"/>
  <c r="AT149" i="27" s="1"/>
  <c r="R186" i="27"/>
  <c r="S186" i="27" s="1"/>
  <c r="AG186" i="27" s="1"/>
  <c r="R144" i="27"/>
  <c r="S144" i="27" s="1"/>
  <c r="AG144" i="27" s="1"/>
  <c r="AN144" i="27" s="1"/>
  <c r="AT144" i="27" s="1"/>
  <c r="R158" i="27"/>
  <c r="S158" i="27" s="1"/>
  <c r="AG158" i="27" s="1"/>
  <c r="R165" i="27"/>
  <c r="S165" i="27" s="1"/>
  <c r="AG165" i="27" s="1"/>
  <c r="AN165" i="27" s="1"/>
  <c r="AT165" i="27" s="1"/>
  <c r="R167" i="27"/>
  <c r="S167" i="27" s="1"/>
  <c r="AG167" i="27" s="1"/>
  <c r="R174" i="27"/>
  <c r="S174" i="27" s="1"/>
  <c r="AG174" i="27" s="1"/>
  <c r="R178" i="27"/>
  <c r="S178" i="27" s="1"/>
  <c r="AG178" i="27" s="1"/>
  <c r="R190" i="27"/>
  <c r="S190" i="27" s="1"/>
  <c r="AG190" i="27" s="1"/>
  <c r="R116" i="27"/>
  <c r="S116" i="27" s="1"/>
  <c r="AG116" i="27" s="1"/>
  <c r="AN116" i="27" s="1"/>
  <c r="AT116" i="27" s="1"/>
  <c r="R123" i="27"/>
  <c r="S123" i="27" s="1"/>
  <c r="AG123" i="27" s="1"/>
  <c r="AN123" i="27" s="1"/>
  <c r="AT123" i="27" s="1"/>
  <c r="R125" i="27"/>
  <c r="S125" i="27" s="1"/>
  <c r="AG125" i="27" s="1"/>
  <c r="R128" i="27"/>
  <c r="S128" i="27" s="1"/>
  <c r="AG128" i="27" s="1"/>
  <c r="AN128" i="27" s="1"/>
  <c r="AT128" i="27" s="1"/>
  <c r="R145" i="27"/>
  <c r="S145" i="27" s="1"/>
  <c r="AG145" i="27" s="1"/>
  <c r="R194" i="27"/>
  <c r="S194" i="27" s="1"/>
  <c r="AG194" i="27" s="1"/>
  <c r="R187" i="27"/>
  <c r="S187" i="27" s="1"/>
  <c r="AG187" i="27" s="1"/>
  <c r="AN187" i="27" s="1"/>
  <c r="AT187" i="27" s="1"/>
  <c r="R140" i="27"/>
  <c r="S140" i="27" s="1"/>
  <c r="AG140" i="27" s="1"/>
  <c r="AN140" i="27" s="1"/>
  <c r="AT140" i="27" s="1"/>
  <c r="R152" i="27"/>
  <c r="S152" i="27" s="1"/>
  <c r="AG152" i="27" s="1"/>
  <c r="AN152" i="27" s="1"/>
  <c r="AT152" i="27" s="1"/>
  <c r="R196" i="27"/>
  <c r="S196" i="27" s="1"/>
  <c r="AG196" i="27" s="1"/>
  <c r="AN196" i="27" s="1"/>
  <c r="AT196" i="27" s="1"/>
  <c r="R113" i="27"/>
  <c r="S113" i="27" s="1"/>
  <c r="AG113" i="27" s="1"/>
  <c r="AN113" i="27" s="1"/>
  <c r="AT113" i="27" s="1"/>
  <c r="R117" i="27"/>
  <c r="S117" i="27" s="1"/>
  <c r="AG117" i="27" s="1"/>
  <c r="R137" i="27"/>
  <c r="S137" i="27" s="1"/>
  <c r="AG137" i="27" s="1"/>
  <c r="R179" i="27"/>
  <c r="S179" i="27" s="1"/>
  <c r="AG179" i="27" s="1"/>
  <c r="R139" i="27"/>
  <c r="S139" i="27" s="1"/>
  <c r="AG139" i="27" s="1"/>
  <c r="AN139" i="27" s="1"/>
  <c r="AT139" i="27" s="1"/>
  <c r="R141" i="27"/>
  <c r="S141" i="27" s="1"/>
  <c r="AG141" i="27" s="1"/>
  <c r="R157" i="27"/>
  <c r="S157" i="27" s="1"/>
  <c r="AG157" i="27" s="1"/>
  <c r="AN157" i="27" s="1"/>
  <c r="AT157" i="27" s="1"/>
  <c r="R166" i="27"/>
  <c r="S166" i="27" s="1"/>
  <c r="AG166" i="27" s="1"/>
  <c r="R173" i="27"/>
  <c r="S173" i="27" s="1"/>
  <c r="AG173" i="27" s="1"/>
  <c r="AN173" i="27" s="1"/>
  <c r="AT173" i="27" s="1"/>
  <c r="R195" i="27"/>
  <c r="S195" i="27" s="1"/>
  <c r="AG195" i="27" s="1"/>
  <c r="R112" i="27"/>
  <c r="S112" i="27" s="1"/>
  <c r="AG112" i="27" s="1"/>
  <c r="AN112" i="27" s="1"/>
  <c r="AT112" i="27" s="1"/>
  <c r="R124" i="27"/>
  <c r="S124" i="27" s="1"/>
  <c r="AG124" i="27" s="1"/>
  <c r="AN124" i="27" s="1"/>
  <c r="AT124" i="27" s="1"/>
  <c r="R129" i="27"/>
  <c r="S129" i="27" s="1"/>
  <c r="AG129" i="27" s="1"/>
  <c r="R134" i="27"/>
  <c r="S134" i="27" s="1"/>
  <c r="AG134" i="27" s="1"/>
  <c r="AN134" i="27" s="1"/>
  <c r="AT134" i="27" s="1"/>
  <c r="R153" i="27"/>
  <c r="S153" i="27" s="1"/>
  <c r="AG153" i="27" s="1"/>
  <c r="R183" i="27"/>
  <c r="S183" i="27" s="1"/>
  <c r="AG183" i="27" s="1"/>
  <c r="AN183" i="27" s="1"/>
  <c r="AT183" i="27" s="1"/>
  <c r="R191" i="27"/>
  <c r="S191" i="27" s="1"/>
  <c r="AG191" i="27" s="1"/>
  <c r="AN191" i="27" s="1"/>
  <c r="AT191" i="27" s="1"/>
  <c r="R164" i="27"/>
  <c r="S164" i="27" s="1"/>
  <c r="AG164" i="27" s="1"/>
  <c r="AN164" i="27" s="1"/>
  <c r="AT164" i="27" s="1"/>
  <c r="R172" i="27"/>
  <c r="S172" i="27" s="1"/>
  <c r="AG172" i="27" s="1"/>
  <c r="AN172" i="27" s="1"/>
  <c r="AT172" i="27" s="1"/>
  <c r="R180" i="27"/>
  <c r="S180" i="27" s="1"/>
  <c r="AG180" i="27" s="1"/>
  <c r="AN180" i="27" s="1"/>
  <c r="AT180" i="27" s="1"/>
  <c r="R114" i="27"/>
  <c r="S114" i="27" s="1"/>
  <c r="AG114" i="27" s="1"/>
  <c r="AN114" i="27" s="1"/>
  <c r="AT114" i="27" s="1"/>
  <c r="R122" i="27"/>
  <c r="S122" i="27" s="1"/>
  <c r="AG122" i="27" s="1"/>
  <c r="AN122" i="27" s="1"/>
  <c r="AT122" i="27" s="1"/>
  <c r="R130" i="27"/>
  <c r="S130" i="27" s="1"/>
  <c r="AG130" i="27" s="1"/>
  <c r="AN130" i="27" s="1"/>
  <c r="AT130" i="27" s="1"/>
  <c r="R138" i="27"/>
  <c r="S138" i="27" s="1"/>
  <c r="AG138" i="27" s="1"/>
  <c r="AN138" i="27" s="1"/>
  <c r="AT138" i="27" s="1"/>
  <c r="R146" i="27"/>
  <c r="S146" i="27" s="1"/>
  <c r="AG146" i="27" s="1"/>
  <c r="AN146" i="27" s="1"/>
  <c r="AT146" i="27" s="1"/>
  <c r="R154" i="27"/>
  <c r="S154" i="27" s="1"/>
  <c r="AG154" i="27" s="1"/>
  <c r="AN154" i="27" s="1"/>
  <c r="AT154" i="27" s="1"/>
  <c r="R159" i="27"/>
  <c r="S159" i="27" s="1"/>
  <c r="AG159" i="27" s="1"/>
  <c r="AN159" i="27" s="1"/>
  <c r="AT159" i="27" s="1"/>
  <c r="R199" i="27"/>
  <c r="S199" i="27" s="1"/>
  <c r="AG199" i="27" s="1"/>
  <c r="AN199" i="27" s="1"/>
  <c r="AT199" i="27" s="1"/>
  <c r="R156" i="27"/>
  <c r="S156" i="27" s="1"/>
  <c r="AG156" i="27" s="1"/>
  <c r="AN156" i="27" s="1"/>
  <c r="AT156" i="27" s="1"/>
  <c r="R161" i="27"/>
  <c r="S161" i="27" s="1"/>
  <c r="AG161" i="27" s="1"/>
  <c r="AN161" i="27" s="1"/>
  <c r="AT161" i="27" s="1"/>
  <c r="R169" i="27"/>
  <c r="S169" i="27" s="1"/>
  <c r="AG169" i="27" s="1"/>
  <c r="AN169" i="27" s="1"/>
  <c r="AT169" i="27" s="1"/>
  <c r="R177" i="27"/>
  <c r="S177" i="27" s="1"/>
  <c r="AG177" i="27" s="1"/>
  <c r="AN177" i="27" s="1"/>
  <c r="AT177" i="27" s="1"/>
  <c r="R185" i="27"/>
  <c r="S185" i="27" s="1"/>
  <c r="AG185" i="27" s="1"/>
  <c r="AN185" i="27" s="1"/>
  <c r="AT185" i="27" s="1"/>
  <c r="R193" i="27"/>
  <c r="S193" i="27" s="1"/>
  <c r="AG193" i="27" s="1"/>
  <c r="AN193" i="27" s="1"/>
  <c r="AT193" i="27" s="1"/>
  <c r="R111" i="27"/>
  <c r="S111" i="27" s="1"/>
  <c r="AG111" i="27" s="1"/>
  <c r="AN111" i="27" s="1"/>
  <c r="AT111" i="27" s="1"/>
  <c r="R119" i="27"/>
  <c r="S119" i="27" s="1"/>
  <c r="AG119" i="27" s="1"/>
  <c r="AN119" i="27" s="1"/>
  <c r="AT119" i="27" s="1"/>
  <c r="R135" i="27"/>
  <c r="S135" i="27" s="1"/>
  <c r="AG135" i="27" s="1"/>
  <c r="AN135" i="27" s="1"/>
  <c r="AT135" i="27" s="1"/>
  <c r="R143" i="27"/>
  <c r="S143" i="27" s="1"/>
  <c r="AG143" i="27" s="1"/>
  <c r="AN143" i="27" s="1"/>
  <c r="AT143" i="27" s="1"/>
  <c r="R175" i="27"/>
  <c r="S175" i="27" s="1"/>
  <c r="AG175" i="27" s="1"/>
  <c r="AN175" i="27" s="1"/>
  <c r="AT175" i="27" s="1"/>
  <c r="R160" i="27"/>
  <c r="S160" i="27" s="1"/>
  <c r="AG160" i="27" s="1"/>
  <c r="AN160" i="27" s="1"/>
  <c r="AT160" i="27" s="1"/>
  <c r="R176" i="27"/>
  <c r="S176" i="27" s="1"/>
  <c r="AG176" i="27" s="1"/>
  <c r="AN176" i="27" s="1"/>
  <c r="AT176" i="27" s="1"/>
  <c r="R184" i="27"/>
  <c r="S184" i="27" s="1"/>
  <c r="AG184" i="27" s="1"/>
  <c r="AN184" i="27" s="1"/>
  <c r="AT184" i="27" s="1"/>
  <c r="R192" i="27"/>
  <c r="S192" i="27" s="1"/>
  <c r="AG192" i="27" s="1"/>
  <c r="AN192" i="27" s="1"/>
  <c r="AT192" i="27" s="1"/>
  <c r="R200" i="27"/>
  <c r="S200" i="27" s="1"/>
  <c r="AG200" i="27" s="1"/>
  <c r="AN200" i="27" s="1"/>
  <c r="AT200" i="27" s="1"/>
  <c r="R147" i="27"/>
  <c r="S147" i="27" s="1"/>
  <c r="AG147" i="27" s="1"/>
  <c r="AN147" i="27" s="1"/>
  <c r="AT147" i="27" s="1"/>
  <c r="R155" i="27"/>
  <c r="S155" i="27" s="1"/>
  <c r="AG155" i="27" s="1"/>
  <c r="AN155" i="27" s="1"/>
  <c r="AT155" i="27" s="1"/>
  <c r="E112" i="61" l="1"/>
  <c r="E111" i="61"/>
  <c r="E131" i="61"/>
  <c r="E114" i="61"/>
  <c r="E191" i="61"/>
  <c r="E126" i="61"/>
  <c r="E113" i="61"/>
  <c r="E159" i="61"/>
  <c r="E187" i="61"/>
  <c r="E164" i="61"/>
  <c r="E175" i="61"/>
  <c r="E115" i="61"/>
  <c r="E150" i="61"/>
  <c r="E116" i="61"/>
  <c r="E160" i="61"/>
  <c r="E138" i="61"/>
  <c r="E123" i="61"/>
  <c r="E147" i="61"/>
  <c r="E119" i="61"/>
  <c r="E146" i="61"/>
  <c r="E157" i="61"/>
  <c r="E152" i="61"/>
  <c r="E135" i="61"/>
  <c r="E183" i="61"/>
  <c r="E155" i="61"/>
  <c r="E143" i="61"/>
  <c r="E122" i="61"/>
  <c r="E134" i="61"/>
  <c r="E149" i="61"/>
  <c r="E192" i="61"/>
  <c r="E139" i="61"/>
  <c r="E142" i="61"/>
  <c r="AN168" i="27"/>
  <c r="AT168" i="27" s="1"/>
  <c r="AN118" i="27"/>
  <c r="AT118" i="27" s="1"/>
  <c r="AN127" i="27"/>
  <c r="AT127" i="27" s="1"/>
  <c r="AN151" i="27"/>
  <c r="AT151" i="27" s="1"/>
  <c r="AN179" i="27"/>
  <c r="AT179" i="27" s="1"/>
  <c r="AN158" i="27"/>
  <c r="AT158" i="27" s="1"/>
  <c r="AN163" i="27"/>
  <c r="AT163" i="27" s="1"/>
  <c r="AN195" i="27"/>
  <c r="AT195" i="27" s="1"/>
  <c r="AN182" i="27"/>
  <c r="AT182" i="27" s="1"/>
  <c r="AN171" i="27"/>
  <c r="AT171" i="27" s="1"/>
  <c r="AN125" i="27"/>
  <c r="AT125" i="27" s="1"/>
  <c r="AN129" i="27"/>
  <c r="AT129" i="27" s="1"/>
  <c r="AN166" i="27"/>
  <c r="AT166" i="27" s="1"/>
  <c r="AN153" i="27"/>
  <c r="AT153" i="27" s="1"/>
  <c r="AN121" i="27"/>
  <c r="AT121" i="27" s="1"/>
  <c r="AN167" i="27"/>
  <c r="AT167" i="27" s="1"/>
  <c r="AN133" i="27"/>
  <c r="AT133" i="27" s="1"/>
  <c r="AN170" i="27"/>
  <c r="AT170" i="27" s="1"/>
  <c r="AN137" i="27"/>
  <c r="AT137" i="27" s="1"/>
  <c r="AN141" i="27"/>
  <c r="AT141" i="27" s="1"/>
  <c r="AN178" i="27"/>
  <c r="AT178" i="27" s="1"/>
  <c r="AN174" i="27"/>
  <c r="AT174" i="27" s="1"/>
  <c r="AN117" i="27"/>
  <c r="AT117" i="27" s="1"/>
  <c r="AN190" i="27"/>
  <c r="AT190" i="27" s="1"/>
  <c r="E190" i="61" s="1"/>
  <c r="AN186" i="27"/>
  <c r="AT186" i="27" s="1"/>
  <c r="AN145" i="27"/>
  <c r="AT145" i="27" s="1"/>
  <c r="AN194" i="27"/>
  <c r="AT194" i="27" s="1"/>
  <c r="AN162" i="27"/>
  <c r="AT162" i="27" s="1"/>
  <c r="E186" i="61" l="1"/>
  <c r="E182" i="61"/>
  <c r="E118" i="61"/>
  <c r="E179" i="61"/>
  <c r="E117" i="61"/>
  <c r="E174" i="61"/>
  <c r="E161" i="61"/>
  <c r="E177" i="61"/>
  <c r="E169" i="61"/>
  <c r="E148" i="61"/>
  <c r="E178" i="61"/>
  <c r="E132" i="61"/>
  <c r="E165" i="61"/>
  <c r="E171" i="61"/>
  <c r="E120" i="61"/>
  <c r="E170" i="61"/>
  <c r="E128" i="61"/>
  <c r="E156" i="61"/>
  <c r="E185" i="61"/>
  <c r="E194" i="61"/>
  <c r="E193" i="61"/>
  <c r="E140" i="61"/>
  <c r="E144" i="61"/>
  <c r="E154" i="61"/>
  <c r="E181" i="61"/>
  <c r="E124" i="61"/>
  <c r="E130" i="61"/>
  <c r="E136" i="61"/>
  <c r="E167" i="61"/>
  <c r="E137" i="61"/>
  <c r="E145" i="61"/>
  <c r="E176" i="61"/>
  <c r="E133" i="61"/>
  <c r="E189" i="61"/>
  <c r="E121" i="61"/>
  <c r="E163" i="61"/>
  <c r="E153" i="61"/>
  <c r="E158" i="61"/>
  <c r="E180" i="61"/>
  <c r="E168" i="61"/>
  <c r="E184" i="61"/>
  <c r="E172" i="61"/>
  <c r="E166" i="61"/>
  <c r="E173" i="61"/>
  <c r="E162" i="61"/>
  <c r="E141" i="61"/>
  <c r="E129" i="61"/>
  <c r="E151" i="61"/>
  <c r="E188" i="61"/>
  <c r="E125" i="61"/>
  <c r="E127" i="61"/>
  <c r="F79" i="66"/>
  <c r="L79" i="66" s="1"/>
  <c r="D51" i="59" l="1"/>
  <c r="C51" i="59"/>
  <c r="C44" i="59"/>
  <c r="C46" i="59" s="1"/>
  <c r="C40" i="59"/>
  <c r="C39" i="59"/>
  <c r="C38" i="59"/>
  <c r="C37" i="59"/>
  <c r="F34" i="59"/>
  <c r="P187" i="62"/>
  <c r="Q176" i="62"/>
  <c r="Q159" i="62"/>
  <c r="P159" i="62"/>
  <c r="Q158" i="62"/>
  <c r="P158" i="62"/>
  <c r="Q128" i="62"/>
  <c r="P128" i="62"/>
  <c r="Q127" i="62"/>
  <c r="P127" i="62"/>
  <c r="Q84" i="62"/>
  <c r="P84" i="62"/>
  <c r="Q82" i="62"/>
  <c r="P82" i="62"/>
  <c r="Q81" i="62"/>
  <c r="P81" i="62"/>
  <c r="Q80" i="62"/>
  <c r="P80" i="62"/>
  <c r="Q32" i="62"/>
  <c r="P32" i="62"/>
  <c r="Q20" i="62"/>
  <c r="P20" i="62"/>
  <c r="Z38" i="63"/>
  <c r="Z37" i="63"/>
  <c r="D18" i="63" l="1"/>
  <c r="C42" i="59"/>
  <c r="C48" i="59" s="1"/>
  <c r="C53" i="59" l="1"/>
  <c r="C47" i="59"/>
  <c r="C43" i="59"/>
  <c r="AN53" i="60" l="1"/>
  <c r="AL53" i="60"/>
  <c r="AK53" i="60"/>
  <c r="AI53" i="60"/>
  <c r="AH53" i="60"/>
  <c r="AE53" i="60"/>
  <c r="AD53" i="60"/>
  <c r="AC53" i="60"/>
  <c r="AA53" i="60"/>
  <c r="W53" i="60"/>
  <c r="V53" i="60"/>
  <c r="U53" i="60"/>
  <c r="R53" i="60"/>
  <c r="Q53" i="60"/>
  <c r="P53" i="60"/>
  <c r="O53" i="60"/>
  <c r="N53" i="60"/>
  <c r="M53" i="60"/>
  <c r="L53" i="60"/>
  <c r="I53" i="60"/>
  <c r="G53" i="60"/>
  <c r="E53" i="60"/>
  <c r="AN52" i="60"/>
  <c r="AJ52" i="60"/>
  <c r="AI52" i="60"/>
  <c r="AH52" i="60"/>
  <c r="AE52" i="60"/>
  <c r="AD52" i="60"/>
  <c r="AB52" i="60"/>
  <c r="AA52" i="60"/>
  <c r="W52" i="60"/>
  <c r="V52" i="60"/>
  <c r="U52" i="60"/>
  <c r="R52" i="60"/>
  <c r="Q52" i="60"/>
  <c r="P52" i="60"/>
  <c r="O52" i="60"/>
  <c r="N52" i="60"/>
  <c r="M52" i="60"/>
  <c r="L52" i="60"/>
  <c r="G52" i="60"/>
  <c r="E52" i="60"/>
  <c r="AN51" i="60"/>
  <c r="AJ51" i="60"/>
  <c r="AI51" i="60"/>
  <c r="AH51" i="60"/>
  <c r="AE51" i="60"/>
  <c r="AD51" i="60"/>
  <c r="AA51" i="60"/>
  <c r="W51" i="60"/>
  <c r="V51" i="60"/>
  <c r="U51" i="60"/>
  <c r="R51" i="60"/>
  <c r="Q51" i="60"/>
  <c r="P51" i="60"/>
  <c r="O51" i="60"/>
  <c r="N51" i="60"/>
  <c r="L51" i="60"/>
  <c r="G51" i="60"/>
  <c r="E51" i="60"/>
  <c r="AN50" i="60"/>
  <c r="AJ50" i="60"/>
  <c r="AI50" i="60"/>
  <c r="AH50" i="60"/>
  <c r="AE50" i="60"/>
  <c r="AD50" i="60"/>
  <c r="AC50" i="60"/>
  <c r="AA50" i="60"/>
  <c r="W50" i="60"/>
  <c r="U50" i="60"/>
  <c r="R50" i="60"/>
  <c r="Q50" i="60"/>
  <c r="P50" i="60"/>
  <c r="O50" i="60"/>
  <c r="N50" i="60"/>
  <c r="M50" i="60"/>
  <c r="L50" i="60"/>
  <c r="I50" i="60"/>
  <c r="G50" i="60"/>
  <c r="E50" i="60"/>
  <c r="AN49" i="60"/>
  <c r="AJ49" i="60"/>
  <c r="AI49" i="60"/>
  <c r="AH49" i="60"/>
  <c r="AE49" i="60"/>
  <c r="AD49" i="60"/>
  <c r="AC49" i="60"/>
  <c r="AA49" i="60"/>
  <c r="W49" i="60"/>
  <c r="V49" i="60"/>
  <c r="U49" i="60"/>
  <c r="R49" i="60"/>
  <c r="Q49" i="60"/>
  <c r="P49" i="60"/>
  <c r="O49" i="60"/>
  <c r="N49" i="60"/>
  <c r="M49" i="60"/>
  <c r="L49" i="60"/>
  <c r="I49" i="60"/>
  <c r="G49" i="60"/>
  <c r="E49" i="60"/>
  <c r="X68" i="60"/>
  <c r="C63" i="60"/>
  <c r="AL65" i="60" l="1"/>
  <c r="AL51" i="60"/>
  <c r="AL63" i="60"/>
  <c r="AL49" i="60"/>
  <c r="AL64" i="60"/>
  <c r="AL50" i="60"/>
  <c r="G75" i="60"/>
  <c r="G54" i="60" s="1"/>
  <c r="AL75" i="60"/>
  <c r="AL54" i="60" s="1"/>
  <c r="L75" i="60"/>
  <c r="L54" i="60" s="1"/>
  <c r="T75" i="60"/>
  <c r="T54" i="60" s="1"/>
  <c r="AE75" i="60"/>
  <c r="AE54" i="60" s="1"/>
  <c r="O75" i="60"/>
  <c r="O54" i="60" s="1"/>
  <c r="W75" i="60"/>
  <c r="W54" i="60" s="1"/>
  <c r="AD75" i="60"/>
  <c r="AD54" i="60" s="1"/>
  <c r="AB75" i="60"/>
  <c r="AB54" i="60" s="1"/>
  <c r="M75" i="60"/>
  <c r="M54" i="60" s="1"/>
  <c r="U75" i="60"/>
  <c r="U54" i="60" s="1"/>
  <c r="I75" i="60"/>
  <c r="I54" i="60" s="1"/>
  <c r="S75" i="60"/>
  <c r="S54" i="60" s="1"/>
  <c r="AC75" i="60"/>
  <c r="AC54" i="60" s="1"/>
  <c r="AN75" i="60"/>
  <c r="AN54" i="60" s="1"/>
  <c r="N75" i="60"/>
  <c r="N54" i="60" s="1"/>
  <c r="V75" i="60"/>
  <c r="V54" i="60" s="1"/>
  <c r="AH75" i="60"/>
  <c r="AH54" i="60" s="1"/>
  <c r="P75" i="60"/>
  <c r="P54" i="60" s="1"/>
  <c r="Y75" i="60"/>
  <c r="Y54" i="60" s="1"/>
  <c r="E75" i="60"/>
  <c r="E54" i="60" s="1"/>
  <c r="Q75" i="60"/>
  <c r="Q54" i="60" s="1"/>
  <c r="AK75" i="60"/>
  <c r="AK54" i="60" s="1"/>
  <c r="R75" i="60"/>
  <c r="R54" i="60" s="1"/>
  <c r="AA75" i="60"/>
  <c r="AA54" i="60" s="1"/>
  <c r="AI75" i="60"/>
  <c r="AI54" i="60" s="1"/>
  <c r="T25" i="63" l="1"/>
  <c r="X38" i="63"/>
  <c r="X37" i="63"/>
  <c r="Z39" i="63" l="1"/>
  <c r="AN67" i="60"/>
  <c r="AL67" i="60"/>
  <c r="AK67" i="60"/>
  <c r="AI67" i="60"/>
  <c r="AH67" i="60"/>
  <c r="AE67" i="60"/>
  <c r="AD67" i="60"/>
  <c r="AA67" i="60"/>
  <c r="W67" i="60"/>
  <c r="V67" i="60"/>
  <c r="U67" i="60"/>
  <c r="R67" i="60"/>
  <c r="Q67" i="60"/>
  <c r="P67" i="60"/>
  <c r="O67" i="60"/>
  <c r="N67" i="60"/>
  <c r="M67" i="60"/>
  <c r="L67" i="60"/>
  <c r="G67" i="60"/>
  <c r="E67" i="60"/>
  <c r="AN66" i="60"/>
  <c r="AK66" i="60"/>
  <c r="AJ66" i="60"/>
  <c r="AI66" i="60"/>
  <c r="AH66" i="60"/>
  <c r="AE66" i="60"/>
  <c r="AD66" i="60"/>
  <c r="AB66" i="60"/>
  <c r="AA66" i="60"/>
  <c r="W66" i="60"/>
  <c r="V66" i="60"/>
  <c r="U66" i="60"/>
  <c r="R66" i="60"/>
  <c r="Q66" i="60"/>
  <c r="P66" i="60"/>
  <c r="O66" i="60"/>
  <c r="N66" i="60"/>
  <c r="L66" i="60"/>
  <c r="G66" i="60"/>
  <c r="E66" i="60"/>
  <c r="AN65" i="60"/>
  <c r="AK65" i="60"/>
  <c r="AJ65" i="60"/>
  <c r="AI65" i="60"/>
  <c r="AH65" i="60"/>
  <c r="AE65" i="60"/>
  <c r="AD65" i="60"/>
  <c r="AA65" i="60"/>
  <c r="W65" i="60"/>
  <c r="V65" i="60"/>
  <c r="U65" i="60"/>
  <c r="R65" i="60"/>
  <c r="Q65" i="60"/>
  <c r="P65" i="60"/>
  <c r="O65" i="60"/>
  <c r="N65" i="60"/>
  <c r="L65" i="60"/>
  <c r="G65" i="60"/>
  <c r="E65" i="60"/>
  <c r="AN64" i="60"/>
  <c r="AJ64" i="60"/>
  <c r="AI64" i="60"/>
  <c r="AH64" i="60"/>
  <c r="AE64" i="60"/>
  <c r="AD64" i="60"/>
  <c r="AC64" i="60"/>
  <c r="AB64" i="60"/>
  <c r="AA64" i="60"/>
  <c r="W64" i="60"/>
  <c r="U64" i="60"/>
  <c r="R64" i="60"/>
  <c r="Q64" i="60"/>
  <c r="P64" i="60"/>
  <c r="O64" i="60"/>
  <c r="N64" i="60"/>
  <c r="M64" i="60"/>
  <c r="L64" i="60"/>
  <c r="I64" i="60"/>
  <c r="G64" i="60"/>
  <c r="E64" i="60"/>
  <c r="AN63" i="60"/>
  <c r="AK63" i="60"/>
  <c r="AJ63" i="60"/>
  <c r="AI63" i="60"/>
  <c r="AH63" i="60"/>
  <c r="AE63" i="60"/>
  <c r="AD63" i="60"/>
  <c r="AC63" i="60"/>
  <c r="AA63" i="60"/>
  <c r="W63" i="60"/>
  <c r="V63" i="60"/>
  <c r="U63" i="60"/>
  <c r="R63" i="60"/>
  <c r="Q63" i="60"/>
  <c r="P63" i="60"/>
  <c r="O63" i="60"/>
  <c r="N63" i="60"/>
  <c r="M63" i="60"/>
  <c r="L63" i="60"/>
  <c r="I63" i="60"/>
  <c r="G63" i="60"/>
  <c r="E63" i="60"/>
  <c r="X82" i="60"/>
  <c r="C77" i="60"/>
  <c r="H51" i="59"/>
  <c r="G51" i="59"/>
  <c r="G46" i="59"/>
  <c r="J34" i="59"/>
  <c r="AC80" i="60" l="1"/>
  <c r="AC66" i="60"/>
  <c r="AL78" i="60"/>
  <c r="M80" i="60"/>
  <c r="M66" i="60"/>
  <c r="I81" i="60"/>
  <c r="I67" i="60"/>
  <c r="AC81" i="60"/>
  <c r="AC67" i="60"/>
  <c r="AL79" i="60"/>
  <c r="AE89" i="60"/>
  <c r="AE68" i="60" s="1"/>
  <c r="M89" i="60"/>
  <c r="M68" i="60" s="1"/>
  <c r="U89" i="60"/>
  <c r="U68" i="60" s="1"/>
  <c r="N89" i="60"/>
  <c r="N68" i="60" s="1"/>
  <c r="V89" i="60"/>
  <c r="V68" i="60" s="1"/>
  <c r="G42" i="59"/>
  <c r="G48" i="59" s="1"/>
  <c r="G53" i="59" s="1"/>
  <c r="E89" i="60"/>
  <c r="E68" i="60" s="1"/>
  <c r="Y89" i="60"/>
  <c r="Y68" i="60" s="1"/>
  <c r="AL89" i="60"/>
  <c r="AL68" i="60" s="1"/>
  <c r="S89" i="60"/>
  <c r="S68" i="60" s="1"/>
  <c r="AD89" i="60"/>
  <c r="AD68" i="60" s="1"/>
  <c r="R89" i="60"/>
  <c r="R68" i="60" s="1"/>
  <c r="G89" i="60"/>
  <c r="G68" i="60" s="1"/>
  <c r="O89" i="60"/>
  <c r="O68" i="60" s="1"/>
  <c r="W89" i="60"/>
  <c r="W68" i="60" s="1"/>
  <c r="AN89" i="60"/>
  <c r="AN68" i="60" s="1"/>
  <c r="L89" i="60"/>
  <c r="L68" i="60" s="1"/>
  <c r="T89" i="60"/>
  <c r="T68" i="60" s="1"/>
  <c r="AA89" i="60"/>
  <c r="AA68" i="60" s="1"/>
  <c r="AI89" i="60"/>
  <c r="AI68" i="60" s="1"/>
  <c r="P89" i="60"/>
  <c r="P68" i="60" s="1"/>
  <c r="I89" i="60"/>
  <c r="I68" i="60" s="1"/>
  <c r="Q89" i="60"/>
  <c r="Q68" i="60" s="1"/>
  <c r="AH89" i="60"/>
  <c r="AH68" i="60" s="1"/>
  <c r="AB89" i="60"/>
  <c r="AB68" i="60" s="1"/>
  <c r="AJ89" i="60"/>
  <c r="AC89" i="60"/>
  <c r="AC68" i="60" s="1"/>
  <c r="AK89" i="60"/>
  <c r="AK68" i="60" s="1"/>
  <c r="G47" i="59" l="1"/>
  <c r="G43" i="59"/>
  <c r="N34" i="59" l="1"/>
  <c r="BJ1295" i="27" l="1"/>
  <c r="BJ1298" i="27"/>
  <c r="BJ1294" i="27"/>
  <c r="BI1303" i="27" s="1"/>
  <c r="BJ1293" i="27"/>
  <c r="BJ1297" i="27"/>
  <c r="BJ1296" i="27"/>
  <c r="BI1293" i="27"/>
  <c r="P209" i="27" l="1"/>
  <c r="N209" i="27"/>
  <c r="AM209" i="27" s="1"/>
  <c r="L209" i="27"/>
  <c r="A209" i="27"/>
  <c r="P208" i="27"/>
  <c r="N208" i="27"/>
  <c r="AM208" i="27" s="1"/>
  <c r="L208" i="27"/>
  <c r="A208" i="27"/>
  <c r="P207" i="27"/>
  <c r="N207" i="27"/>
  <c r="AM207" i="27" s="1"/>
  <c r="L207" i="27"/>
  <c r="A207" i="27"/>
  <c r="P206" i="27"/>
  <c r="N206" i="27"/>
  <c r="AM206" i="27" s="1"/>
  <c r="L206" i="27"/>
  <c r="A206" i="27"/>
  <c r="P205" i="27"/>
  <c r="N205" i="27"/>
  <c r="AM205" i="27" s="1"/>
  <c r="L205" i="27"/>
  <c r="A205" i="27"/>
  <c r="P204" i="27"/>
  <c r="N204" i="27"/>
  <c r="AM204" i="27" s="1"/>
  <c r="L204" i="27"/>
  <c r="A204" i="27"/>
  <c r="P203" i="27"/>
  <c r="N203" i="27"/>
  <c r="AM203" i="27" s="1"/>
  <c r="L203" i="27"/>
  <c r="A203" i="27"/>
  <c r="P202" i="27"/>
  <c r="N202" i="27"/>
  <c r="AM202" i="27" s="1"/>
  <c r="L202" i="27"/>
  <c r="A202" i="27"/>
  <c r="P201" i="27"/>
  <c r="N201" i="27"/>
  <c r="AM201" i="27" s="1"/>
  <c r="L201" i="27"/>
  <c r="A201" i="27"/>
  <c r="P218" i="27"/>
  <c r="N218" i="27"/>
  <c r="AM218" i="27" s="1"/>
  <c r="L218" i="27"/>
  <c r="A218" i="27"/>
  <c r="P217" i="27"/>
  <c r="N217" i="27"/>
  <c r="AM217" i="27" s="1"/>
  <c r="L217" i="27"/>
  <c r="A217" i="27"/>
  <c r="P216" i="27"/>
  <c r="N216" i="27"/>
  <c r="AM216" i="27" s="1"/>
  <c r="L216" i="27"/>
  <c r="A216" i="27"/>
  <c r="P215" i="27"/>
  <c r="N215" i="27"/>
  <c r="AM215" i="27" s="1"/>
  <c r="L215" i="27"/>
  <c r="A215" i="27"/>
  <c r="P214" i="27"/>
  <c r="N214" i="27"/>
  <c r="AM214" i="27" s="1"/>
  <c r="L214" i="27"/>
  <c r="A214" i="27"/>
  <c r="P213" i="27"/>
  <c r="N213" i="27"/>
  <c r="AM213" i="27" s="1"/>
  <c r="L213" i="27"/>
  <c r="A213" i="27"/>
  <c r="P212" i="27"/>
  <c r="N212" i="27"/>
  <c r="AM212" i="27" s="1"/>
  <c r="L212" i="27"/>
  <c r="A212" i="27"/>
  <c r="P211" i="27"/>
  <c r="N211" i="27"/>
  <c r="AM211" i="27" s="1"/>
  <c r="L211" i="27"/>
  <c r="A211" i="27"/>
  <c r="P210" i="27"/>
  <c r="N210" i="27"/>
  <c r="AM210" i="27" s="1"/>
  <c r="L210" i="27"/>
  <c r="A210" i="27"/>
  <c r="P227" i="27"/>
  <c r="N227" i="27"/>
  <c r="AM227" i="27" s="1"/>
  <c r="L227" i="27"/>
  <c r="A227" i="27"/>
  <c r="P226" i="27"/>
  <c r="N226" i="27"/>
  <c r="AM226" i="27" s="1"/>
  <c r="L226" i="27"/>
  <c r="A226" i="27"/>
  <c r="P225" i="27"/>
  <c r="N225" i="27"/>
  <c r="AM225" i="27" s="1"/>
  <c r="L225" i="27"/>
  <c r="A225" i="27"/>
  <c r="P224" i="27"/>
  <c r="N224" i="27"/>
  <c r="AM224" i="27" s="1"/>
  <c r="L224" i="27"/>
  <c r="A224" i="27"/>
  <c r="P223" i="27"/>
  <c r="N223" i="27"/>
  <c r="AM223" i="27" s="1"/>
  <c r="L223" i="27"/>
  <c r="A223" i="27"/>
  <c r="P222" i="27"/>
  <c r="N222" i="27"/>
  <c r="AM222" i="27" s="1"/>
  <c r="L222" i="27"/>
  <c r="A222" i="27"/>
  <c r="P221" i="27"/>
  <c r="N221" i="27"/>
  <c r="AM221" i="27" s="1"/>
  <c r="L221" i="27"/>
  <c r="A221" i="27"/>
  <c r="P220" i="27"/>
  <c r="N220" i="27"/>
  <c r="AM220" i="27" s="1"/>
  <c r="L220" i="27"/>
  <c r="A220" i="27"/>
  <c r="P219" i="27"/>
  <c r="N219" i="27"/>
  <c r="AM219" i="27" s="1"/>
  <c r="L219" i="27"/>
  <c r="A219" i="27"/>
  <c r="V38" i="63"/>
  <c r="R207" i="27" l="1"/>
  <c r="S207" i="27" s="1"/>
  <c r="AG207" i="27" s="1"/>
  <c r="R225" i="27"/>
  <c r="S225" i="27" s="1"/>
  <c r="AG225" i="27" s="1"/>
  <c r="R224" i="27"/>
  <c r="S224" i="27" s="1"/>
  <c r="AG224" i="27" s="1"/>
  <c r="R212" i="27"/>
  <c r="S212" i="27" s="1"/>
  <c r="AG212" i="27" s="1"/>
  <c r="BF1293" i="27"/>
  <c r="BK1294" i="27"/>
  <c r="BH1303" i="27" s="1"/>
  <c r="BK1295" i="27"/>
  <c r="BK1296" i="27"/>
  <c r="BK1297" i="27"/>
  <c r="BK1298" i="27"/>
  <c r="BK1293" i="27"/>
  <c r="BF1294" i="27"/>
  <c r="BG1294" i="27"/>
  <c r="BF1295" i="27"/>
  <c r="BG1295" i="27"/>
  <c r="BF1296" i="27"/>
  <c r="BG1296" i="27"/>
  <c r="BF1297" i="27"/>
  <c r="BH1305" i="27" s="1"/>
  <c r="BG1297" i="27"/>
  <c r="BI1305" i="27" s="1"/>
  <c r="BG1293" i="27"/>
  <c r="R216" i="27"/>
  <c r="S216" i="27" s="1"/>
  <c r="AG216" i="27" s="1"/>
  <c r="AN216" i="27" s="1"/>
  <c r="AT216" i="27" s="1"/>
  <c r="R223" i="27"/>
  <c r="S223" i="27" s="1"/>
  <c r="AG223" i="27" s="1"/>
  <c r="AN223" i="27" s="1"/>
  <c r="AT223" i="27" s="1"/>
  <c r="R203" i="27"/>
  <c r="S203" i="27" s="1"/>
  <c r="AG203" i="27" s="1"/>
  <c r="AN203" i="27" s="1"/>
  <c r="AT203" i="27" s="1"/>
  <c r="R219" i="27"/>
  <c r="S219" i="27" s="1"/>
  <c r="AG219" i="27" s="1"/>
  <c r="AN219" i="27" s="1"/>
  <c r="AT219" i="27" s="1"/>
  <c r="R206" i="27"/>
  <c r="S206" i="27" s="1"/>
  <c r="AG206" i="27" s="1"/>
  <c r="AN206" i="27" s="1"/>
  <c r="AT206" i="27" s="1"/>
  <c r="R217" i="27"/>
  <c r="S217" i="27" s="1"/>
  <c r="AG217" i="27" s="1"/>
  <c r="AN217" i="27" s="1"/>
  <c r="AT217" i="27" s="1"/>
  <c r="R227" i="27"/>
  <c r="S227" i="27" s="1"/>
  <c r="AG227" i="27" s="1"/>
  <c r="AN227" i="27" s="1"/>
  <c r="AT227" i="27" s="1"/>
  <c r="R222" i="27"/>
  <c r="S222" i="27" s="1"/>
  <c r="AG222" i="27" s="1"/>
  <c r="AN222" i="27" s="1"/>
  <c r="AT222" i="27" s="1"/>
  <c r="R213" i="27"/>
  <c r="S213" i="27" s="1"/>
  <c r="AG213" i="27" s="1"/>
  <c r="AN213" i="27" s="1"/>
  <c r="AT213" i="27" s="1"/>
  <c r="R202" i="27"/>
  <c r="S202" i="27" s="1"/>
  <c r="AG202" i="27" s="1"/>
  <c r="AN202" i="27" s="1"/>
  <c r="AT202" i="27" s="1"/>
  <c r="R204" i="27"/>
  <c r="S204" i="27" s="1"/>
  <c r="AG204" i="27" s="1"/>
  <c r="AN204" i="27" s="1"/>
  <c r="AT204" i="27" s="1"/>
  <c r="R226" i="27"/>
  <c r="S226" i="27" s="1"/>
  <c r="AG226" i="27" s="1"/>
  <c r="AN226" i="27" s="1"/>
  <c r="AT226" i="27" s="1"/>
  <c r="R220" i="27"/>
  <c r="S220" i="27" s="1"/>
  <c r="AG220" i="27" s="1"/>
  <c r="AN220" i="27" s="1"/>
  <c r="AT220" i="27" s="1"/>
  <c r="R210" i="27"/>
  <c r="S210" i="27" s="1"/>
  <c r="AG210" i="27" s="1"/>
  <c r="AN210" i="27" s="1"/>
  <c r="AT210" i="27" s="1"/>
  <c r="R218" i="27"/>
  <c r="S218" i="27" s="1"/>
  <c r="AG218" i="27" s="1"/>
  <c r="AN218" i="27" s="1"/>
  <c r="AT218" i="27" s="1"/>
  <c r="R208" i="27"/>
  <c r="S208" i="27" s="1"/>
  <c r="AG208" i="27" s="1"/>
  <c r="AN208" i="27" s="1"/>
  <c r="AT208" i="27" s="1"/>
  <c r="R215" i="27"/>
  <c r="S215" i="27" s="1"/>
  <c r="AG215" i="27" s="1"/>
  <c r="AN215" i="27" s="1"/>
  <c r="AT215" i="27" s="1"/>
  <c r="R205" i="27"/>
  <c r="S205" i="27" s="1"/>
  <c r="AG205" i="27" s="1"/>
  <c r="AN205" i="27" s="1"/>
  <c r="AT205" i="27" s="1"/>
  <c r="R214" i="27"/>
  <c r="S214" i="27" s="1"/>
  <c r="AG214" i="27" s="1"/>
  <c r="AN214" i="27" s="1"/>
  <c r="AT214" i="27" s="1"/>
  <c r="R221" i="27"/>
  <c r="S221" i="27" s="1"/>
  <c r="AG221" i="27" s="1"/>
  <c r="R211" i="27"/>
  <c r="S211" i="27" s="1"/>
  <c r="AG211" i="27" s="1"/>
  <c r="AN211" i="27" s="1"/>
  <c r="AT211" i="27" s="1"/>
  <c r="R201" i="27"/>
  <c r="S201" i="27" s="1"/>
  <c r="AG201" i="27" s="1"/>
  <c r="AN201" i="27" s="1"/>
  <c r="AT201" i="27" s="1"/>
  <c r="R209" i="27"/>
  <c r="S209" i="27" s="1"/>
  <c r="AG209" i="27" s="1"/>
  <c r="AN209" i="27" s="1"/>
  <c r="AT209" i="27" s="1"/>
  <c r="E5" i="23"/>
  <c r="I5" i="23"/>
  <c r="BF1298" i="27" l="1"/>
  <c r="E209" i="61"/>
  <c r="E210" i="61"/>
  <c r="E199" i="61"/>
  <c r="E196" i="61"/>
  <c r="E217" i="61"/>
  <c r="E202" i="61"/>
  <c r="E216" i="61"/>
  <c r="E195" i="61"/>
  <c r="E204" i="61"/>
  <c r="E213" i="61"/>
  <c r="E208" i="61"/>
  <c r="E198" i="61"/>
  <c r="E197" i="61"/>
  <c r="E203" i="61"/>
  <c r="E205" i="61"/>
  <c r="E214" i="61"/>
  <c r="E200" i="61"/>
  <c r="AD18" i="64"/>
  <c r="AB18" i="64"/>
  <c r="C14" i="63"/>
  <c r="F80" i="66"/>
  <c r="L80" i="66" s="1"/>
  <c r="BI1304" i="27"/>
  <c r="BI1306" i="27" s="1"/>
  <c r="BH1304" i="27"/>
  <c r="BG1298" i="27"/>
  <c r="E5" i="51"/>
  <c r="AN224" i="27"/>
  <c r="AT224" i="27" s="1"/>
  <c r="AN212" i="27"/>
  <c r="AT212" i="27" s="1"/>
  <c r="AN221" i="27"/>
  <c r="AT221" i="27" s="1"/>
  <c r="AN207" i="27"/>
  <c r="AT207" i="27" s="1"/>
  <c r="AN225" i="27"/>
  <c r="AT225" i="27" s="1"/>
  <c r="E212" i="61" l="1"/>
  <c r="E207" i="61"/>
  <c r="E221" i="61"/>
  <c r="E211" i="61"/>
  <c r="E220" i="61"/>
  <c r="E215" i="61"/>
  <c r="E206" i="61"/>
  <c r="E218" i="61"/>
  <c r="E219" i="61"/>
  <c r="E201" i="61"/>
  <c r="D35" i="62"/>
  <c r="AB21" i="64"/>
  <c r="AD21" i="64"/>
  <c r="C5" i="63"/>
  <c r="F14" i="63"/>
  <c r="D14" i="63"/>
  <c r="L51" i="59"/>
  <c r="K51" i="59"/>
  <c r="K46" i="59"/>
  <c r="Q92" i="62"/>
  <c r="Q90" i="62"/>
  <c r="P85" i="62"/>
  <c r="Q85" i="62"/>
  <c r="P83" i="62"/>
  <c r="Q83" i="62"/>
  <c r="F106" i="60"/>
  <c r="AN81" i="60"/>
  <c r="AL81" i="60"/>
  <c r="AK81" i="60"/>
  <c r="AJ81" i="60"/>
  <c r="AI81" i="60"/>
  <c r="AH81" i="60"/>
  <c r="AE81" i="60"/>
  <c r="AD81" i="60"/>
  <c r="AB81" i="60"/>
  <c r="AA81" i="60"/>
  <c r="W81" i="60"/>
  <c r="V81" i="60"/>
  <c r="U81" i="60"/>
  <c r="R81" i="60"/>
  <c r="Q81" i="60"/>
  <c r="P81" i="60"/>
  <c r="O81" i="60"/>
  <c r="N81" i="60"/>
  <c r="M81" i="60"/>
  <c r="L81" i="60"/>
  <c r="G81" i="60"/>
  <c r="E81" i="60"/>
  <c r="AN80" i="60"/>
  <c r="AK80" i="60"/>
  <c r="AJ80" i="60"/>
  <c r="AI80" i="60"/>
  <c r="AH80" i="60"/>
  <c r="AE80" i="60"/>
  <c r="AD80" i="60"/>
  <c r="AB80" i="60"/>
  <c r="AA80" i="60"/>
  <c r="W80" i="60"/>
  <c r="V80" i="60"/>
  <c r="U80" i="60"/>
  <c r="R80" i="60"/>
  <c r="Q80" i="60"/>
  <c r="P80" i="60"/>
  <c r="O80" i="60"/>
  <c r="N80" i="60"/>
  <c r="L80" i="60"/>
  <c r="G80" i="60"/>
  <c r="E80" i="60"/>
  <c r="AN79" i="60"/>
  <c r="AK79" i="60"/>
  <c r="AJ79" i="60"/>
  <c r="AI79" i="60"/>
  <c r="AH79" i="60"/>
  <c r="AE79" i="60"/>
  <c r="AD79" i="60"/>
  <c r="AA79" i="60"/>
  <c r="W79" i="60"/>
  <c r="U79" i="60"/>
  <c r="R79" i="60"/>
  <c r="Q79" i="60"/>
  <c r="P79" i="60"/>
  <c r="O79" i="60"/>
  <c r="N79" i="60"/>
  <c r="L79" i="60"/>
  <c r="G79" i="60"/>
  <c r="E79" i="60"/>
  <c r="AN78" i="60"/>
  <c r="AK78" i="60"/>
  <c r="AJ78" i="60"/>
  <c r="AI78" i="60"/>
  <c r="AH78" i="60"/>
  <c r="AE78" i="60"/>
  <c r="AD78" i="60"/>
  <c r="AC78" i="60"/>
  <c r="AA78" i="60"/>
  <c r="W78" i="60"/>
  <c r="V78" i="60"/>
  <c r="U78" i="60"/>
  <c r="R78" i="60"/>
  <c r="Q78" i="60"/>
  <c r="P78" i="60"/>
  <c r="O78" i="60"/>
  <c r="N78" i="60"/>
  <c r="M78" i="60"/>
  <c r="L78" i="60"/>
  <c r="I78" i="60"/>
  <c r="G78" i="60"/>
  <c r="E78" i="60"/>
  <c r="AN77" i="60"/>
  <c r="AK77" i="60"/>
  <c r="AJ77" i="60"/>
  <c r="AI77" i="60"/>
  <c r="AH77" i="60"/>
  <c r="AE77" i="60"/>
  <c r="AD77" i="60"/>
  <c r="AA77" i="60"/>
  <c r="W77" i="60"/>
  <c r="V77" i="60"/>
  <c r="U77" i="60"/>
  <c r="R77" i="60"/>
  <c r="Q77" i="60"/>
  <c r="P77" i="60"/>
  <c r="O77" i="60"/>
  <c r="N77" i="60"/>
  <c r="L77" i="60"/>
  <c r="G77" i="60"/>
  <c r="E77" i="60"/>
  <c r="X96" i="60"/>
  <c r="C91" i="60"/>
  <c r="Q35" i="62" l="1"/>
  <c r="Q36" i="62" s="1"/>
  <c r="P35" i="62"/>
  <c r="P36" i="62" s="1"/>
  <c r="D137" i="62"/>
  <c r="C20" i="63"/>
  <c r="C6" i="63"/>
  <c r="D5" i="63"/>
  <c r="D36" i="62"/>
  <c r="D190" i="62"/>
  <c r="D168" i="62"/>
  <c r="D179" i="62"/>
  <c r="AC91" i="60"/>
  <c r="AC77" i="60"/>
  <c r="M91" i="60"/>
  <c r="M77" i="60"/>
  <c r="AB91" i="60"/>
  <c r="AB77" i="60"/>
  <c r="AL91" i="60"/>
  <c r="V93" i="60"/>
  <c r="V79" i="60"/>
  <c r="AB92" i="60"/>
  <c r="AB78" i="60"/>
  <c r="I91" i="60"/>
  <c r="I77" i="60"/>
  <c r="AB93" i="60"/>
  <c r="AB79" i="60"/>
  <c r="AD82" i="60"/>
  <c r="AC82" i="60"/>
  <c r="AH82" i="60"/>
  <c r="W82" i="60"/>
  <c r="AI82" i="60"/>
  <c r="Y82" i="60"/>
  <c r="AJ82" i="60"/>
  <c r="O82" i="60"/>
  <c r="AA82" i="60"/>
  <c r="AL82" i="60"/>
  <c r="AN82" i="60"/>
  <c r="AK82" i="60"/>
  <c r="AE82" i="60"/>
  <c r="AB82" i="60"/>
  <c r="S82" i="60"/>
  <c r="M82" i="60"/>
  <c r="U82" i="60"/>
  <c r="N82" i="60"/>
  <c r="V82" i="60"/>
  <c r="L82" i="60"/>
  <c r="T82" i="60"/>
  <c r="I82" i="60"/>
  <c r="E82" i="60"/>
  <c r="G82" i="60"/>
  <c r="K42" i="59"/>
  <c r="K48" i="59" s="1"/>
  <c r="P82" i="60"/>
  <c r="Q82" i="60"/>
  <c r="R82" i="60"/>
  <c r="AB96" i="64"/>
  <c r="Q179" i="62" l="1"/>
  <c r="Q180" i="62" s="1"/>
  <c r="P179" i="62"/>
  <c r="P180" i="62" s="1"/>
  <c r="Q168" i="62"/>
  <c r="Q169" i="62" s="1"/>
  <c r="P168" i="62"/>
  <c r="P169" i="62" s="1"/>
  <c r="P190" i="62"/>
  <c r="P191" i="62" s="1"/>
  <c r="Q190" i="62"/>
  <c r="Q191" i="62" s="1"/>
  <c r="D180" i="62"/>
  <c r="D138" i="62"/>
  <c r="D169" i="62"/>
  <c r="D191" i="62"/>
  <c r="C21" i="63"/>
  <c r="K53" i="59"/>
  <c r="K47" i="59"/>
  <c r="K43" i="59"/>
  <c r="AC62" i="64"/>
  <c r="X32" i="63" l="1"/>
  <c r="Z32" i="63"/>
  <c r="AY5" i="27" l="1"/>
  <c r="P240" i="27" l="1"/>
  <c r="N240" i="27"/>
  <c r="AM240" i="27" s="1"/>
  <c r="L240" i="27"/>
  <c r="A240" i="27"/>
  <c r="P239" i="27"/>
  <c r="N239" i="27"/>
  <c r="AM239" i="27" s="1"/>
  <c r="L239" i="27"/>
  <c r="A239" i="27"/>
  <c r="P238" i="27"/>
  <c r="N238" i="27"/>
  <c r="AM238" i="27" s="1"/>
  <c r="L238" i="27"/>
  <c r="A238" i="27"/>
  <c r="P237" i="27"/>
  <c r="N237" i="27"/>
  <c r="AM237" i="27" s="1"/>
  <c r="L237" i="27"/>
  <c r="A237" i="27"/>
  <c r="P236" i="27"/>
  <c r="N236" i="27"/>
  <c r="AM236" i="27" s="1"/>
  <c r="L236" i="27"/>
  <c r="A236" i="27"/>
  <c r="P235" i="27"/>
  <c r="N235" i="27"/>
  <c r="AM235" i="27" s="1"/>
  <c r="L235" i="27"/>
  <c r="A235" i="27"/>
  <c r="P234" i="27"/>
  <c r="N234" i="27"/>
  <c r="AM234" i="27" s="1"/>
  <c r="L234" i="27"/>
  <c r="A234" i="27"/>
  <c r="P233" i="27"/>
  <c r="N233" i="27"/>
  <c r="AM233" i="27" s="1"/>
  <c r="L233" i="27"/>
  <c r="A233" i="27"/>
  <c r="P232" i="27"/>
  <c r="N232" i="27"/>
  <c r="AM232" i="27" s="1"/>
  <c r="L232" i="27"/>
  <c r="A232" i="27"/>
  <c r="P231" i="27"/>
  <c r="N231" i="27"/>
  <c r="AM231" i="27" s="1"/>
  <c r="L231" i="27"/>
  <c r="A231" i="27"/>
  <c r="P230" i="27"/>
  <c r="N230" i="27"/>
  <c r="AM230" i="27" s="1"/>
  <c r="L230" i="27"/>
  <c r="A230" i="27"/>
  <c r="P229" i="27"/>
  <c r="N229" i="27"/>
  <c r="AM229" i="27" s="1"/>
  <c r="L229" i="27"/>
  <c r="A229" i="27"/>
  <c r="P228" i="27"/>
  <c r="N228" i="27"/>
  <c r="AM228" i="27" s="1"/>
  <c r="L228" i="27"/>
  <c r="A228" i="27"/>
  <c r="U38" i="59"/>
  <c r="P51" i="59"/>
  <c r="O51" i="59"/>
  <c r="O46" i="59"/>
  <c r="T38" i="63"/>
  <c r="T37" i="63"/>
  <c r="T26" i="63"/>
  <c r="AN95" i="60"/>
  <c r="AL95" i="60"/>
  <c r="AK95" i="60"/>
  <c r="AJ95" i="60"/>
  <c r="AI95" i="60"/>
  <c r="AH95" i="60"/>
  <c r="AE95" i="60"/>
  <c r="AD95" i="60"/>
  <c r="AC95" i="60"/>
  <c r="AB95" i="60"/>
  <c r="AA95" i="60"/>
  <c r="W95" i="60"/>
  <c r="V95" i="60"/>
  <c r="U95" i="60"/>
  <c r="R95" i="60"/>
  <c r="Q95" i="60"/>
  <c r="P95" i="60"/>
  <c r="O95" i="60"/>
  <c r="N95" i="60"/>
  <c r="M95" i="60"/>
  <c r="L95" i="60"/>
  <c r="I95" i="60"/>
  <c r="G95" i="60"/>
  <c r="E95" i="60"/>
  <c r="AN94" i="60"/>
  <c r="AK94" i="60"/>
  <c r="AJ94" i="60"/>
  <c r="AI94" i="60"/>
  <c r="AH94" i="60"/>
  <c r="AE94" i="60"/>
  <c r="AD94" i="60"/>
  <c r="AB94" i="60"/>
  <c r="AA94" i="60"/>
  <c r="W94" i="60"/>
  <c r="V94" i="60"/>
  <c r="U94" i="60"/>
  <c r="R94" i="60"/>
  <c r="Q94" i="60"/>
  <c r="P94" i="60"/>
  <c r="O94" i="60"/>
  <c r="N94" i="60"/>
  <c r="M94" i="60"/>
  <c r="L94" i="60"/>
  <c r="G94" i="60"/>
  <c r="E94" i="60"/>
  <c r="AN93" i="60"/>
  <c r="AK93" i="60"/>
  <c r="AJ93" i="60"/>
  <c r="AI93" i="60"/>
  <c r="AH93" i="60"/>
  <c r="AE93" i="60"/>
  <c r="AD93" i="60"/>
  <c r="AA93" i="60"/>
  <c r="W93" i="60"/>
  <c r="U93" i="60"/>
  <c r="R93" i="60"/>
  <c r="Q93" i="60"/>
  <c r="P93" i="60"/>
  <c r="O93" i="60"/>
  <c r="N93" i="60"/>
  <c r="L93" i="60"/>
  <c r="G93" i="60"/>
  <c r="E93" i="60"/>
  <c r="AN92" i="60"/>
  <c r="AK92" i="60"/>
  <c r="AJ92" i="60"/>
  <c r="AI92" i="60"/>
  <c r="AH92" i="60"/>
  <c r="AE92" i="60"/>
  <c r="AD92" i="60"/>
  <c r="AC92" i="60"/>
  <c r="AA92" i="60"/>
  <c r="W92" i="60"/>
  <c r="V92" i="60"/>
  <c r="U92" i="60"/>
  <c r="R92" i="60"/>
  <c r="Q92" i="60"/>
  <c r="P92" i="60"/>
  <c r="O92" i="60"/>
  <c r="N92" i="60"/>
  <c r="M92" i="60"/>
  <c r="L92" i="60"/>
  <c r="I92" i="60"/>
  <c r="G92" i="60"/>
  <c r="E92" i="60"/>
  <c r="AN91" i="60"/>
  <c r="AK91" i="60"/>
  <c r="AJ91" i="60"/>
  <c r="AI91" i="60"/>
  <c r="AH91" i="60"/>
  <c r="AE91" i="60"/>
  <c r="AD91" i="60"/>
  <c r="AA91" i="60"/>
  <c r="W91" i="60"/>
  <c r="V91" i="60"/>
  <c r="U91" i="60"/>
  <c r="R91" i="60"/>
  <c r="Q91" i="60"/>
  <c r="P91" i="60"/>
  <c r="O91" i="60"/>
  <c r="N91" i="60"/>
  <c r="L91" i="60"/>
  <c r="G91" i="60"/>
  <c r="E91" i="60"/>
  <c r="X110" i="60"/>
  <c r="C105" i="60"/>
  <c r="R237" i="27" l="1"/>
  <c r="S237" i="27" s="1"/>
  <c r="AG237" i="27" s="1"/>
  <c r="R235" i="27"/>
  <c r="S235" i="27" s="1"/>
  <c r="AG235" i="27" s="1"/>
  <c r="R238" i="27"/>
  <c r="S238" i="27" s="1"/>
  <c r="AG238" i="27" s="1"/>
  <c r="R240" i="27"/>
  <c r="S240" i="27" s="1"/>
  <c r="AG240" i="27" s="1"/>
  <c r="R230" i="27"/>
  <c r="S230" i="27" s="1"/>
  <c r="AG230" i="27" s="1"/>
  <c r="R229" i="27"/>
  <c r="S229" i="27" s="1"/>
  <c r="AG229" i="27" s="1"/>
  <c r="AL108" i="60"/>
  <c r="AL106" i="60"/>
  <c r="AL92" i="60"/>
  <c r="R234" i="27"/>
  <c r="S234" i="27" s="1"/>
  <c r="AG234" i="27" s="1"/>
  <c r="R231" i="27"/>
  <c r="S231" i="27" s="1"/>
  <c r="AG231" i="27" s="1"/>
  <c r="AN231" i="27" s="1"/>
  <c r="AT231" i="27" s="1"/>
  <c r="R239" i="27"/>
  <c r="S239" i="27" s="1"/>
  <c r="AG239" i="27" s="1"/>
  <c r="AN239" i="27" s="1"/>
  <c r="AT239" i="27" s="1"/>
  <c r="R228" i="27"/>
  <c r="S228" i="27" s="1"/>
  <c r="AG228" i="27" s="1"/>
  <c r="AN228" i="27" s="1"/>
  <c r="AT228" i="27" s="1"/>
  <c r="R236" i="27"/>
  <c r="S236" i="27" s="1"/>
  <c r="AG236" i="27" s="1"/>
  <c r="AN236" i="27" s="1"/>
  <c r="AT236" i="27" s="1"/>
  <c r="R233" i="27"/>
  <c r="S233" i="27" s="1"/>
  <c r="AG233" i="27" s="1"/>
  <c r="AN233" i="27" s="1"/>
  <c r="AT233" i="27" s="1"/>
  <c r="R232" i="27"/>
  <c r="S232" i="27" s="1"/>
  <c r="AG232" i="27" s="1"/>
  <c r="AN232" i="27" s="1"/>
  <c r="AT232" i="27" s="1"/>
  <c r="AN117" i="60"/>
  <c r="AN96" i="60" s="1"/>
  <c r="E117" i="60"/>
  <c r="E96" i="60" s="1"/>
  <c r="M117" i="60"/>
  <c r="M96" i="60" s="1"/>
  <c r="U117" i="60"/>
  <c r="U96" i="60" s="1"/>
  <c r="AD117" i="60"/>
  <c r="AD96" i="60" s="1"/>
  <c r="Y117" i="60"/>
  <c r="Y96" i="60" s="1"/>
  <c r="AL117" i="60"/>
  <c r="AL96" i="60" s="1"/>
  <c r="P117" i="60"/>
  <c r="P96" i="60" s="1"/>
  <c r="N117" i="60"/>
  <c r="N96" i="60" s="1"/>
  <c r="V117" i="60"/>
  <c r="V96" i="60" s="1"/>
  <c r="AE117" i="60"/>
  <c r="AE96" i="60" s="1"/>
  <c r="I117" i="60"/>
  <c r="I96" i="60" s="1"/>
  <c r="Q117" i="60"/>
  <c r="Q96" i="60" s="1"/>
  <c r="AI117" i="60"/>
  <c r="AI96" i="60" s="1"/>
  <c r="AH117" i="60"/>
  <c r="AH96" i="60" s="1"/>
  <c r="G117" i="60"/>
  <c r="G96" i="60" s="1"/>
  <c r="S117" i="60"/>
  <c r="S96" i="60" s="1"/>
  <c r="AJ117" i="60"/>
  <c r="AJ96" i="60" s="1"/>
  <c r="AA117" i="60"/>
  <c r="AA96" i="60" s="1"/>
  <c r="O117" i="60"/>
  <c r="O96" i="60" s="1"/>
  <c r="AB117" i="60"/>
  <c r="AB96" i="60" s="1"/>
  <c r="L117" i="60"/>
  <c r="L96" i="60" s="1"/>
  <c r="T117" i="60"/>
  <c r="T96" i="60" s="1"/>
  <c r="AC117" i="60"/>
  <c r="AC96" i="60" s="1"/>
  <c r="AK117" i="60"/>
  <c r="AK96" i="60" s="1"/>
  <c r="O42" i="59"/>
  <c r="O48" i="59" s="1"/>
  <c r="W117" i="60"/>
  <c r="W96" i="60" s="1"/>
  <c r="R117" i="60"/>
  <c r="R96" i="60" s="1"/>
  <c r="E226" i="61" l="1"/>
  <c r="E227" i="61"/>
  <c r="E222" i="61"/>
  <c r="E225" i="61"/>
  <c r="F81" i="66"/>
  <c r="L81" i="66" s="1"/>
  <c r="AN229" i="27"/>
  <c r="AT229" i="27" s="1"/>
  <c r="AN237" i="27"/>
  <c r="AT237" i="27" s="1"/>
  <c r="AN240" i="27"/>
  <c r="AT240" i="27" s="1"/>
  <c r="AN235" i="27"/>
  <c r="AT235" i="27" s="1"/>
  <c r="AN234" i="27"/>
  <c r="AT234" i="27" s="1"/>
  <c r="AN230" i="27"/>
  <c r="AT230" i="27" s="1"/>
  <c r="AN238" i="27"/>
  <c r="AT238" i="27" s="1"/>
  <c r="O53" i="59"/>
  <c r="O47" i="59"/>
  <c r="O43" i="59"/>
  <c r="E230" i="61" l="1"/>
  <c r="E233" i="61"/>
  <c r="E229" i="61"/>
  <c r="E234" i="61"/>
  <c r="E231" i="61"/>
  <c r="E223" i="61"/>
  <c r="E228" i="61"/>
  <c r="E232" i="61"/>
  <c r="E224" i="61"/>
  <c r="G102" i="61"/>
  <c r="A102" i="61"/>
  <c r="I102" i="61" l="1"/>
  <c r="K102" i="61" s="1"/>
  <c r="V162" i="62" l="1"/>
  <c r="T162" i="62"/>
  <c r="W64" i="64" l="1"/>
  <c r="W65" i="64"/>
  <c r="W67" i="64"/>
  <c r="W68" i="64"/>
  <c r="W69" i="64"/>
  <c r="W70" i="64"/>
  <c r="AA69" i="64" l="1"/>
  <c r="AA65" i="64"/>
  <c r="AA70" i="64"/>
  <c r="AA67" i="64"/>
  <c r="AA64" i="64"/>
  <c r="AA68" i="64"/>
  <c r="Y68" i="64"/>
  <c r="Y70" i="64"/>
  <c r="Y69" i="64"/>
  <c r="Y65" i="64"/>
  <c r="Y67" i="64"/>
  <c r="AB64" i="64"/>
  <c r="Y64" i="64"/>
  <c r="E81" i="35" l="1"/>
  <c r="G81" i="35"/>
  <c r="H81" i="35"/>
  <c r="I81" i="35"/>
  <c r="J81" i="35"/>
  <c r="E82" i="35"/>
  <c r="G82" i="35"/>
  <c r="H82" i="35"/>
  <c r="I82" i="35"/>
  <c r="J82" i="35"/>
  <c r="E83" i="35"/>
  <c r="G83" i="35"/>
  <c r="H83" i="35"/>
  <c r="I83" i="35"/>
  <c r="J83" i="35"/>
  <c r="E84" i="35"/>
  <c r="G84" i="35"/>
  <c r="H84" i="35"/>
  <c r="I84" i="35"/>
  <c r="J84" i="35"/>
  <c r="E85" i="35"/>
  <c r="G85" i="35"/>
  <c r="H85" i="35"/>
  <c r="I85" i="35"/>
  <c r="J85" i="35"/>
  <c r="E86" i="35"/>
  <c r="G86" i="35"/>
  <c r="H86" i="35"/>
  <c r="I86" i="35"/>
  <c r="J86" i="35"/>
  <c r="E87" i="35"/>
  <c r="G87" i="35"/>
  <c r="H87" i="35"/>
  <c r="I87" i="35"/>
  <c r="J87" i="35"/>
  <c r="E88" i="35"/>
  <c r="G88" i="35"/>
  <c r="H88" i="35"/>
  <c r="I88" i="35"/>
  <c r="J88" i="35"/>
  <c r="E89" i="35"/>
  <c r="G89" i="35"/>
  <c r="H89" i="35"/>
  <c r="I89" i="35"/>
  <c r="J89" i="35"/>
  <c r="E90" i="35"/>
  <c r="G90" i="35"/>
  <c r="H90" i="35"/>
  <c r="I90" i="35"/>
  <c r="J90" i="35"/>
  <c r="E91" i="35"/>
  <c r="G91" i="35"/>
  <c r="H91" i="35"/>
  <c r="I91" i="35"/>
  <c r="J91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1" i="35"/>
  <c r="A82" i="35"/>
  <c r="A83" i="35"/>
  <c r="A84" i="35"/>
  <c r="A85" i="35"/>
  <c r="R38" i="63" l="1"/>
  <c r="R37" i="63"/>
  <c r="R35" i="63"/>
  <c r="T39" i="63" l="1"/>
  <c r="AN109" i="60" l="1"/>
  <c r="AL109" i="60"/>
  <c r="AK109" i="60"/>
  <c r="AJ109" i="60"/>
  <c r="AI109" i="60"/>
  <c r="AH109" i="60"/>
  <c r="AE109" i="60"/>
  <c r="AD109" i="60"/>
  <c r="AB109" i="60"/>
  <c r="AA109" i="60"/>
  <c r="W109" i="60"/>
  <c r="V109" i="60"/>
  <c r="U109" i="60"/>
  <c r="R109" i="60"/>
  <c r="Q109" i="60"/>
  <c r="P109" i="60"/>
  <c r="O109" i="60"/>
  <c r="N109" i="60"/>
  <c r="M109" i="60"/>
  <c r="L109" i="60"/>
  <c r="I109" i="60"/>
  <c r="G109" i="60"/>
  <c r="E109" i="60"/>
  <c r="AN108" i="60"/>
  <c r="AK108" i="60"/>
  <c r="AI108" i="60"/>
  <c r="AH108" i="60"/>
  <c r="AE108" i="60"/>
  <c r="AD108" i="60"/>
  <c r="AA108" i="60"/>
  <c r="W108" i="60"/>
  <c r="V108" i="60"/>
  <c r="U108" i="60"/>
  <c r="R108" i="60"/>
  <c r="Q108" i="60"/>
  <c r="P108" i="60"/>
  <c r="O108" i="60"/>
  <c r="N108" i="60"/>
  <c r="M108" i="60"/>
  <c r="L108" i="60"/>
  <c r="G108" i="60"/>
  <c r="E108" i="60"/>
  <c r="AN107" i="60"/>
  <c r="AJ107" i="60"/>
  <c r="AI107" i="60"/>
  <c r="AH107" i="60"/>
  <c r="AE107" i="60"/>
  <c r="AD107" i="60"/>
  <c r="AA107" i="60"/>
  <c r="W107" i="60"/>
  <c r="U107" i="60"/>
  <c r="R107" i="60"/>
  <c r="Q107" i="60"/>
  <c r="P107" i="60"/>
  <c r="O107" i="60"/>
  <c r="N107" i="60"/>
  <c r="L107" i="60"/>
  <c r="G107" i="60"/>
  <c r="E107" i="60"/>
  <c r="AN106" i="60"/>
  <c r="AJ106" i="60"/>
  <c r="AI106" i="60"/>
  <c r="AH106" i="60"/>
  <c r="AE106" i="60"/>
  <c r="AD106" i="60"/>
  <c r="AC106" i="60"/>
  <c r="AA106" i="60"/>
  <c r="W106" i="60"/>
  <c r="V106" i="60"/>
  <c r="U106" i="60"/>
  <c r="R106" i="60"/>
  <c r="Q106" i="60"/>
  <c r="P106" i="60"/>
  <c r="O106" i="60"/>
  <c r="N106" i="60"/>
  <c r="M106" i="60"/>
  <c r="L106" i="60"/>
  <c r="I106" i="60"/>
  <c r="G106" i="60"/>
  <c r="E106" i="60"/>
  <c r="AN105" i="60"/>
  <c r="AK105" i="60"/>
  <c r="AJ105" i="60"/>
  <c r="AI105" i="60"/>
  <c r="AE105" i="60"/>
  <c r="AD105" i="60"/>
  <c r="AA105" i="60"/>
  <c r="W105" i="60"/>
  <c r="U105" i="60"/>
  <c r="R105" i="60"/>
  <c r="Q105" i="60"/>
  <c r="P105" i="60"/>
  <c r="O105" i="60"/>
  <c r="N105" i="60"/>
  <c r="L105" i="60"/>
  <c r="G105" i="60"/>
  <c r="E105" i="60"/>
  <c r="X124" i="60"/>
  <c r="C119" i="60"/>
  <c r="Y37" i="59"/>
  <c r="T51" i="59"/>
  <c r="S51" i="59"/>
  <c r="S46" i="59"/>
  <c r="AK121" i="60" l="1"/>
  <c r="AK107" i="60"/>
  <c r="AB122" i="60"/>
  <c r="AB108" i="60"/>
  <c r="V119" i="60"/>
  <c r="V105" i="60"/>
  <c r="AK120" i="60"/>
  <c r="AK106" i="60"/>
  <c r="AC123" i="60"/>
  <c r="AC109" i="60"/>
  <c r="AB131" i="60"/>
  <c r="AB110" i="60" s="1"/>
  <c r="AE131" i="60"/>
  <c r="AE110" i="60" s="1"/>
  <c r="Q131" i="60"/>
  <c r="Q110" i="60" s="1"/>
  <c r="P131" i="60"/>
  <c r="P110" i="60" s="1"/>
  <c r="Y131" i="60"/>
  <c r="Y110" i="60" s="1"/>
  <c r="I131" i="60"/>
  <c r="I110" i="60" s="1"/>
  <c r="S131" i="60"/>
  <c r="S110" i="60" s="1"/>
  <c r="N131" i="60"/>
  <c r="N110" i="60" s="1"/>
  <c r="V131" i="60"/>
  <c r="V110" i="60" s="1"/>
  <c r="M131" i="60"/>
  <c r="M110" i="60" s="1"/>
  <c r="G131" i="60"/>
  <c r="G110" i="60" s="1"/>
  <c r="O131" i="60"/>
  <c r="O110" i="60" s="1"/>
  <c r="W131" i="60"/>
  <c r="W110" i="60" s="1"/>
  <c r="AN131" i="60"/>
  <c r="AN110" i="60" s="1"/>
  <c r="S42" i="59"/>
  <c r="S48" i="59" s="1"/>
  <c r="S53" i="59" s="1"/>
  <c r="R131" i="60"/>
  <c r="R110" i="60" s="1"/>
  <c r="AA131" i="60"/>
  <c r="AA110" i="60" s="1"/>
  <c r="AI131" i="60"/>
  <c r="AI110" i="60" s="1"/>
  <c r="L131" i="60"/>
  <c r="L110" i="60" s="1"/>
  <c r="T131" i="60"/>
  <c r="T110" i="60" s="1"/>
  <c r="AC131" i="60"/>
  <c r="AC110" i="60" s="1"/>
  <c r="AK131" i="60"/>
  <c r="AK110" i="60" s="1"/>
  <c r="E131" i="60"/>
  <c r="E110" i="60" s="1"/>
  <c r="U131" i="60"/>
  <c r="U110" i="60" s="1"/>
  <c r="AD131" i="60"/>
  <c r="AD110" i="60" s="1"/>
  <c r="AL131" i="60"/>
  <c r="AL110" i="60" s="1"/>
  <c r="D229" i="64"/>
  <c r="F229" i="64"/>
  <c r="H229" i="64"/>
  <c r="J229" i="64"/>
  <c r="L229" i="64"/>
  <c r="N229" i="64"/>
  <c r="P229" i="64"/>
  <c r="R229" i="64"/>
  <c r="T229" i="64"/>
  <c r="V229" i="64"/>
  <c r="X229" i="64"/>
  <c r="Z229" i="64"/>
  <c r="Z228" i="64"/>
  <c r="X228" i="64"/>
  <c r="V228" i="64"/>
  <c r="T228" i="64"/>
  <c r="R228" i="64"/>
  <c r="P228" i="64"/>
  <c r="N228" i="64"/>
  <c r="L228" i="64"/>
  <c r="J228" i="64"/>
  <c r="H228" i="64"/>
  <c r="F228" i="64"/>
  <c r="D228" i="64"/>
  <c r="AC228" i="64" l="1"/>
  <c r="AD228" i="64" s="1"/>
  <c r="AD231" i="64" s="1"/>
  <c r="AC229" i="64"/>
  <c r="AD229" i="64" s="1"/>
  <c r="S43" i="59"/>
  <c r="S47" i="59"/>
  <c r="AC231" i="64" l="1"/>
  <c r="E114" i="35"/>
  <c r="G114" i="35"/>
  <c r="H114" i="35"/>
  <c r="I114" i="35"/>
  <c r="J114" i="35"/>
  <c r="BA5" i="27"/>
  <c r="P249" i="27" l="1"/>
  <c r="N249" i="27"/>
  <c r="AM249" i="27" s="1"/>
  <c r="L249" i="27"/>
  <c r="A249" i="27"/>
  <c r="P248" i="27"/>
  <c r="N248" i="27"/>
  <c r="AM248" i="27" s="1"/>
  <c r="L248" i="27"/>
  <c r="A248" i="27"/>
  <c r="P247" i="27"/>
  <c r="N247" i="27"/>
  <c r="AM247" i="27" s="1"/>
  <c r="L247" i="27"/>
  <c r="A247" i="27"/>
  <c r="P246" i="27"/>
  <c r="N246" i="27"/>
  <c r="AM246" i="27" s="1"/>
  <c r="L246" i="27"/>
  <c r="A246" i="27"/>
  <c r="P245" i="27"/>
  <c r="N245" i="27"/>
  <c r="AM245" i="27" s="1"/>
  <c r="L245" i="27"/>
  <c r="A245" i="27"/>
  <c r="P244" i="27"/>
  <c r="N244" i="27"/>
  <c r="AM244" i="27" s="1"/>
  <c r="L244" i="27"/>
  <c r="A244" i="27"/>
  <c r="P243" i="27"/>
  <c r="N243" i="27"/>
  <c r="AM243" i="27" s="1"/>
  <c r="L243" i="27"/>
  <c r="A243" i="27"/>
  <c r="P242" i="27"/>
  <c r="N242" i="27"/>
  <c r="AM242" i="27" s="1"/>
  <c r="L242" i="27"/>
  <c r="A242" i="27"/>
  <c r="M9" i="54"/>
  <c r="M10" i="54"/>
  <c r="M8" i="54"/>
  <c r="R243" i="27" l="1"/>
  <c r="S243" i="27" s="1"/>
  <c r="AG243" i="27" s="1"/>
  <c r="R247" i="27"/>
  <c r="S247" i="27" s="1"/>
  <c r="AG247" i="27" s="1"/>
  <c r="R242" i="27"/>
  <c r="S242" i="27" s="1"/>
  <c r="AG242" i="27" s="1"/>
  <c r="AN242" i="27" s="1"/>
  <c r="AT242" i="27" s="1"/>
  <c r="R244" i="27"/>
  <c r="S244" i="27" s="1"/>
  <c r="AG244" i="27" s="1"/>
  <c r="AN244" i="27" s="1"/>
  <c r="AT244" i="27" s="1"/>
  <c r="R246" i="27"/>
  <c r="S246" i="27" s="1"/>
  <c r="AG246" i="27" s="1"/>
  <c r="AN246" i="27" s="1"/>
  <c r="AT246" i="27" s="1"/>
  <c r="R245" i="27"/>
  <c r="S245" i="27" s="1"/>
  <c r="AG245" i="27" s="1"/>
  <c r="AN245" i="27" s="1"/>
  <c r="AT245" i="27" s="1"/>
  <c r="R249" i="27"/>
  <c r="S249" i="27" s="1"/>
  <c r="AG249" i="27" s="1"/>
  <c r="AN249" i="27" s="1"/>
  <c r="AT249" i="27" s="1"/>
  <c r="R248" i="27"/>
  <c r="S248" i="27" s="1"/>
  <c r="AG248" i="27" s="1"/>
  <c r="AN248" i="27" s="1"/>
  <c r="AT248" i="27" s="1"/>
  <c r="E238" i="61" l="1"/>
  <c r="E239" i="61"/>
  <c r="E236" i="61"/>
  <c r="AN243" i="27"/>
  <c r="AT243" i="27" s="1"/>
  <c r="AN247" i="27"/>
  <c r="AT247" i="27" s="1"/>
  <c r="U70" i="64"/>
  <c r="U69" i="64"/>
  <c r="U68" i="64"/>
  <c r="U64" i="64"/>
  <c r="X51" i="59"/>
  <c r="W51" i="59"/>
  <c r="W46" i="59"/>
  <c r="Y41" i="59"/>
  <c r="P38" i="63"/>
  <c r="P37" i="63"/>
  <c r="P35" i="63"/>
  <c r="AN123" i="60"/>
  <c r="AL123" i="60"/>
  <c r="AK123" i="60"/>
  <c r="AJ123" i="60"/>
  <c r="AI123" i="60"/>
  <c r="AH123" i="60"/>
  <c r="AE123" i="60"/>
  <c r="AD123" i="60"/>
  <c r="AB123" i="60"/>
  <c r="AA123" i="60"/>
  <c r="W123" i="60"/>
  <c r="V123" i="60"/>
  <c r="U123" i="60"/>
  <c r="R123" i="60"/>
  <c r="Q123" i="60"/>
  <c r="P123" i="60"/>
  <c r="O123" i="60"/>
  <c r="N123" i="60"/>
  <c r="M123" i="60"/>
  <c r="L123" i="60"/>
  <c r="I123" i="60"/>
  <c r="G123" i="60"/>
  <c r="E123" i="60"/>
  <c r="AN122" i="60"/>
  <c r="AK122" i="60"/>
  <c r="AI122" i="60"/>
  <c r="AH122" i="60"/>
  <c r="AE122" i="60"/>
  <c r="AD122" i="60"/>
  <c r="AA122" i="60"/>
  <c r="W122" i="60"/>
  <c r="V122" i="60"/>
  <c r="U122" i="60"/>
  <c r="R122" i="60"/>
  <c r="Q122" i="60"/>
  <c r="P122" i="60"/>
  <c r="O122" i="60"/>
  <c r="N122" i="60"/>
  <c r="M122" i="60"/>
  <c r="L122" i="60"/>
  <c r="G122" i="60"/>
  <c r="E122" i="60"/>
  <c r="AN121" i="60"/>
  <c r="AJ121" i="60"/>
  <c r="AI121" i="60"/>
  <c r="AH121" i="60"/>
  <c r="AE121" i="60"/>
  <c r="AD121" i="60"/>
  <c r="AA121" i="60"/>
  <c r="W121" i="60"/>
  <c r="V121" i="60"/>
  <c r="U121" i="60"/>
  <c r="R121" i="60"/>
  <c r="Q121" i="60"/>
  <c r="P121" i="60"/>
  <c r="O121" i="60"/>
  <c r="N121" i="60"/>
  <c r="L121" i="60"/>
  <c r="G121" i="60"/>
  <c r="E121" i="60"/>
  <c r="AN120" i="60"/>
  <c r="AL120" i="60"/>
  <c r="AJ120" i="60"/>
  <c r="AI120" i="60"/>
  <c r="AH120" i="60"/>
  <c r="AE120" i="60"/>
  <c r="AD120" i="60"/>
  <c r="AC120" i="60"/>
  <c r="AA120" i="60"/>
  <c r="W120" i="60"/>
  <c r="V120" i="60"/>
  <c r="U120" i="60"/>
  <c r="R120" i="60"/>
  <c r="Q120" i="60"/>
  <c r="P120" i="60"/>
  <c r="O120" i="60"/>
  <c r="N120" i="60"/>
  <c r="M120" i="60"/>
  <c r="L120" i="60"/>
  <c r="I120" i="60"/>
  <c r="G120" i="60"/>
  <c r="E120" i="60"/>
  <c r="AN119" i="60"/>
  <c r="AL119" i="60"/>
  <c r="AK119" i="60"/>
  <c r="AJ119" i="60"/>
  <c r="AI119" i="60"/>
  <c r="AE119" i="60"/>
  <c r="AD119" i="60"/>
  <c r="AA119" i="60"/>
  <c r="W119" i="60"/>
  <c r="U119" i="60"/>
  <c r="R119" i="60"/>
  <c r="Q119" i="60"/>
  <c r="P119" i="60"/>
  <c r="O119" i="60"/>
  <c r="N119" i="60"/>
  <c r="L119" i="60"/>
  <c r="G119" i="60"/>
  <c r="E119" i="60"/>
  <c r="X138" i="60"/>
  <c r="C133" i="60"/>
  <c r="G101" i="61"/>
  <c r="A101" i="61"/>
  <c r="E243" i="61" l="1"/>
  <c r="E242" i="61"/>
  <c r="E237" i="61"/>
  <c r="R39" i="63"/>
  <c r="S65" i="64"/>
  <c r="U65" i="64"/>
  <c r="S67" i="64"/>
  <c r="U67" i="64"/>
  <c r="S64" i="64"/>
  <c r="AD64" i="64"/>
  <c r="S70" i="64"/>
  <c r="S68" i="64"/>
  <c r="S69" i="64"/>
  <c r="I101" i="61"/>
  <c r="K101" i="61" s="1"/>
  <c r="I145" i="60"/>
  <c r="I124" i="60" s="1"/>
  <c r="G145" i="60"/>
  <c r="G124" i="60" s="1"/>
  <c r="AD145" i="60"/>
  <c r="AD124" i="60" s="1"/>
  <c r="L145" i="60"/>
  <c r="L124" i="60" s="1"/>
  <c r="T145" i="60"/>
  <c r="T124" i="60" s="1"/>
  <c r="W42" i="59"/>
  <c r="W48" i="59" s="1"/>
  <c r="W53" i="59" s="1"/>
  <c r="AC145" i="60"/>
  <c r="AC124" i="60" s="1"/>
  <c r="M145" i="60"/>
  <c r="M124" i="60" s="1"/>
  <c r="U145" i="60"/>
  <c r="U124" i="60" s="1"/>
  <c r="O145" i="60"/>
  <c r="O124" i="60" s="1"/>
  <c r="W145" i="60"/>
  <c r="W124" i="60" s="1"/>
  <c r="E145" i="60"/>
  <c r="E124" i="60" s="1"/>
  <c r="R145" i="60"/>
  <c r="R124" i="60" s="1"/>
  <c r="S145" i="60"/>
  <c r="S124" i="60" s="1"/>
  <c r="AB145" i="60"/>
  <c r="AB124" i="60" s="1"/>
  <c r="AE145" i="60"/>
  <c r="AE124" i="60" s="1"/>
  <c r="AN145" i="60"/>
  <c r="AN124" i="60" s="1"/>
  <c r="V145" i="60"/>
  <c r="V124" i="60" s="1"/>
  <c r="P145" i="60"/>
  <c r="P124" i="60" s="1"/>
  <c r="N145" i="60"/>
  <c r="N124" i="60" s="1"/>
  <c r="Y145" i="60"/>
  <c r="Y124" i="60" s="1"/>
  <c r="AL145" i="60"/>
  <c r="AL124" i="60" s="1"/>
  <c r="AJ145" i="60"/>
  <c r="AK145" i="60"/>
  <c r="AK124" i="60" s="1"/>
  <c r="Y45" i="59"/>
  <c r="Q145" i="60"/>
  <c r="Q124" i="60" s="1"/>
  <c r="AA145" i="60"/>
  <c r="AA124" i="60" s="1"/>
  <c r="AI145" i="60"/>
  <c r="AI124" i="60" s="1"/>
  <c r="W43" i="59" l="1"/>
  <c r="W47" i="59"/>
  <c r="G693" i="61"/>
  <c r="A693" i="61"/>
  <c r="I693" i="61" l="1"/>
  <c r="K693" i="61" s="1"/>
  <c r="Z45" i="59" l="1"/>
  <c r="Z41" i="59"/>
  <c r="X152" i="60" l="1"/>
  <c r="E116" i="35"/>
  <c r="G116" i="35"/>
  <c r="H116" i="35"/>
  <c r="I116" i="35"/>
  <c r="J116" i="35"/>
  <c r="E117" i="35"/>
  <c r="G117" i="35"/>
  <c r="H117" i="35"/>
  <c r="I117" i="35"/>
  <c r="J117" i="35"/>
  <c r="E118" i="35"/>
  <c r="G118" i="35"/>
  <c r="H118" i="35"/>
  <c r="I118" i="35"/>
  <c r="J118" i="35"/>
  <c r="E115" i="35"/>
  <c r="G115" i="35"/>
  <c r="H115" i="35"/>
  <c r="I115" i="35"/>
  <c r="J115" i="35"/>
  <c r="E113" i="35"/>
  <c r="H113" i="35"/>
  <c r="I113" i="35"/>
  <c r="J113" i="35"/>
  <c r="AB51" i="59"/>
  <c r="AA51" i="59"/>
  <c r="AA46" i="59"/>
  <c r="AC41" i="59"/>
  <c r="N38" i="63"/>
  <c r="N37" i="63"/>
  <c r="N35" i="63"/>
  <c r="P39" i="63" l="1"/>
  <c r="AA42" i="59"/>
  <c r="AA48" i="59" s="1"/>
  <c r="AA53" i="59" s="1"/>
  <c r="AC45" i="59"/>
  <c r="O68" i="64" l="1"/>
  <c r="Q68" i="64"/>
  <c r="O65" i="64"/>
  <c r="Q65" i="64"/>
  <c r="O69" i="64"/>
  <c r="Q69" i="64"/>
  <c r="O70" i="64"/>
  <c r="Q70" i="64"/>
  <c r="O67" i="64"/>
  <c r="Q67" i="64"/>
  <c r="O64" i="64"/>
  <c r="Q64" i="64"/>
  <c r="AA47" i="59"/>
  <c r="AA43" i="59"/>
  <c r="AN137" i="60" l="1"/>
  <c r="AL137" i="60"/>
  <c r="AK137" i="60"/>
  <c r="AJ137" i="60"/>
  <c r="AI137" i="60"/>
  <c r="AH137" i="60"/>
  <c r="AE137" i="60"/>
  <c r="AD137" i="60"/>
  <c r="AC137" i="60"/>
  <c r="AB137" i="60"/>
  <c r="AA137" i="60"/>
  <c r="W137" i="60"/>
  <c r="V137" i="60"/>
  <c r="U137" i="60"/>
  <c r="R137" i="60"/>
  <c r="Q137" i="60"/>
  <c r="P137" i="60"/>
  <c r="O137" i="60"/>
  <c r="N137" i="60"/>
  <c r="M137" i="60"/>
  <c r="L137" i="60"/>
  <c r="I137" i="60"/>
  <c r="G137" i="60"/>
  <c r="E137" i="60"/>
  <c r="AN136" i="60"/>
  <c r="AK136" i="60"/>
  <c r="AJ136" i="60"/>
  <c r="AI136" i="60"/>
  <c r="AH136" i="60"/>
  <c r="AE136" i="60"/>
  <c r="AD136" i="60"/>
  <c r="AA136" i="60"/>
  <c r="W136" i="60"/>
  <c r="V136" i="60"/>
  <c r="U136" i="60"/>
  <c r="R136" i="60"/>
  <c r="Q136" i="60"/>
  <c r="P136" i="60"/>
  <c r="O136" i="60"/>
  <c r="N136" i="60"/>
  <c r="M136" i="60"/>
  <c r="L136" i="60"/>
  <c r="G136" i="60"/>
  <c r="E136" i="60"/>
  <c r="AN135" i="60"/>
  <c r="AJ135" i="60"/>
  <c r="AI135" i="60"/>
  <c r="AH135" i="60"/>
  <c r="AE135" i="60"/>
  <c r="AD135" i="60"/>
  <c r="AA135" i="60"/>
  <c r="W135" i="60"/>
  <c r="V135" i="60"/>
  <c r="U135" i="60"/>
  <c r="R135" i="60"/>
  <c r="Q135" i="60"/>
  <c r="P135" i="60"/>
  <c r="O135" i="60"/>
  <c r="N135" i="60"/>
  <c r="L135" i="60"/>
  <c r="G135" i="60"/>
  <c r="E135" i="60"/>
  <c r="AN134" i="60"/>
  <c r="AL134" i="60"/>
  <c r="AJ134" i="60"/>
  <c r="AI134" i="60"/>
  <c r="AH134" i="60"/>
  <c r="AE134" i="60"/>
  <c r="AD134" i="60"/>
  <c r="AC134" i="60"/>
  <c r="AA134" i="60"/>
  <c r="W134" i="60"/>
  <c r="V134" i="60"/>
  <c r="U134" i="60"/>
  <c r="R134" i="60"/>
  <c r="Q134" i="60"/>
  <c r="P134" i="60"/>
  <c r="O134" i="60"/>
  <c r="N134" i="60"/>
  <c r="M134" i="60"/>
  <c r="L134" i="60"/>
  <c r="I134" i="60"/>
  <c r="G134" i="60"/>
  <c r="E134" i="60"/>
  <c r="AN133" i="60"/>
  <c r="AL133" i="60"/>
  <c r="AK133" i="60"/>
  <c r="AJ133" i="60"/>
  <c r="AI133" i="60"/>
  <c r="AE133" i="60"/>
  <c r="AD133" i="60"/>
  <c r="AA133" i="60"/>
  <c r="W133" i="60"/>
  <c r="U133" i="60"/>
  <c r="R133" i="60"/>
  <c r="Q133" i="60"/>
  <c r="P133" i="60"/>
  <c r="O133" i="60"/>
  <c r="N133" i="60"/>
  <c r="L133" i="60"/>
  <c r="G133" i="60"/>
  <c r="E133" i="60"/>
  <c r="C147" i="60"/>
  <c r="E7" i="65"/>
  <c r="F6" i="65"/>
  <c r="R159" i="60" l="1"/>
  <c r="N159" i="60"/>
  <c r="V159" i="60"/>
  <c r="G159" i="60"/>
  <c r="S159" i="60"/>
  <c r="AC159" i="60"/>
  <c r="AN159" i="60"/>
  <c r="M159" i="60"/>
  <c r="U159" i="60"/>
  <c r="AH159" i="60"/>
  <c r="AE159" i="60"/>
  <c r="I159" i="60"/>
  <c r="O159" i="60"/>
  <c r="Y159" i="60"/>
  <c r="AJ159" i="60"/>
  <c r="P159" i="60"/>
  <c r="E159" i="60"/>
  <c r="Q159" i="60"/>
  <c r="AA159" i="60"/>
  <c r="AK159" i="60"/>
  <c r="AB159" i="60"/>
  <c r="AL159" i="60"/>
  <c r="L159" i="60"/>
  <c r="T159" i="60"/>
  <c r="AD159" i="60"/>
  <c r="W159" i="60"/>
  <c r="AI159" i="60"/>
  <c r="F5" i="65"/>
  <c r="F4" i="65"/>
  <c r="T138" i="60" l="1"/>
  <c r="AL138" i="60"/>
  <c r="L138" i="60"/>
  <c r="Y138" i="60"/>
  <c r="AB138" i="60"/>
  <c r="G138" i="60"/>
  <c r="M138" i="60"/>
  <c r="AN138" i="60"/>
  <c r="O138" i="60"/>
  <c r="AI138" i="60"/>
  <c r="P138" i="60"/>
  <c r="AJ138" i="60"/>
  <c r="AC138" i="60"/>
  <c r="S138" i="60"/>
  <c r="AK138" i="60"/>
  <c r="I138" i="60"/>
  <c r="AA138" i="60"/>
  <c r="AE138" i="60"/>
  <c r="V138" i="60"/>
  <c r="W138" i="60"/>
  <c r="Q138" i="60"/>
  <c r="N138" i="60"/>
  <c r="AD138" i="60"/>
  <c r="E138" i="60"/>
  <c r="U138" i="60"/>
  <c r="R138" i="60"/>
  <c r="G110" i="61"/>
  <c r="A110" i="61"/>
  <c r="G109" i="61"/>
  <c r="A109" i="61"/>
  <c r="G108" i="61"/>
  <c r="A108" i="61"/>
  <c r="G107" i="61"/>
  <c r="A107" i="61"/>
  <c r="I109" i="61" l="1"/>
  <c r="K109" i="61" s="1"/>
  <c r="I110" i="61"/>
  <c r="K110" i="61" s="1"/>
  <c r="I107" i="61"/>
  <c r="K107" i="61" s="1"/>
  <c r="I108" i="61"/>
  <c r="K108" i="61" s="1"/>
  <c r="AD41" i="59" l="1"/>
  <c r="AD45" i="59"/>
  <c r="A5" i="23" l="1"/>
  <c r="A590" i="27" l="1"/>
  <c r="L590" i="27"/>
  <c r="N590" i="27"/>
  <c r="AM590" i="27" s="1"/>
  <c r="P590" i="27"/>
  <c r="A303" i="27"/>
  <c r="L303" i="27"/>
  <c r="N303" i="27"/>
  <c r="AM303" i="27" s="1"/>
  <c r="P303" i="27"/>
  <c r="AP1292" i="27"/>
  <c r="AR1292" i="27"/>
  <c r="AS1292" i="27"/>
  <c r="AE51" i="59"/>
  <c r="AE46" i="59"/>
  <c r="AH45" i="59"/>
  <c r="AE42" i="59"/>
  <c r="AH41" i="59"/>
  <c r="R303" i="27" l="1"/>
  <c r="S303" i="27" s="1"/>
  <c r="AG303" i="27" s="1"/>
  <c r="R590" i="27"/>
  <c r="S590" i="27" s="1"/>
  <c r="AG590" i="27" s="1"/>
  <c r="AF51" i="59"/>
  <c r="AE48" i="59"/>
  <c r="AE43" i="59" s="1"/>
  <c r="AN303" i="27" l="1"/>
  <c r="AT303" i="27" s="1"/>
  <c r="AN590" i="27"/>
  <c r="AT590" i="27" s="1"/>
  <c r="AE47" i="59"/>
  <c r="AE53" i="59"/>
  <c r="I8" i="54" l="1"/>
  <c r="A74" i="35" l="1"/>
  <c r="A75" i="35"/>
  <c r="A76" i="35"/>
  <c r="A77" i="35"/>
  <c r="J75" i="35"/>
  <c r="I75" i="35"/>
  <c r="H75" i="35"/>
  <c r="G75" i="35"/>
  <c r="E75" i="35"/>
  <c r="J109" i="35"/>
  <c r="I109" i="35"/>
  <c r="H109" i="35"/>
  <c r="G109" i="35"/>
  <c r="E109" i="35"/>
  <c r="L38" i="63"/>
  <c r="L37" i="63"/>
  <c r="L35" i="63"/>
  <c r="N39" i="63" l="1"/>
  <c r="AN151" i="60"/>
  <c r="AK151" i="60"/>
  <c r="AJ151" i="60"/>
  <c r="AI151" i="60"/>
  <c r="AH151" i="60"/>
  <c r="AE151" i="60"/>
  <c r="AD151" i="60"/>
  <c r="AC151" i="60"/>
  <c r="AB151" i="60"/>
  <c r="AA151" i="60"/>
  <c r="W151" i="60"/>
  <c r="V151" i="60"/>
  <c r="U151" i="60"/>
  <c r="R151" i="60"/>
  <c r="Q151" i="60"/>
  <c r="P151" i="60"/>
  <c r="O151" i="60"/>
  <c r="N151" i="60"/>
  <c r="M151" i="60"/>
  <c r="L151" i="60"/>
  <c r="I151" i="60"/>
  <c r="G151" i="60"/>
  <c r="E151" i="60"/>
  <c r="AN150" i="60"/>
  <c r="AK150" i="60"/>
  <c r="AJ150" i="60"/>
  <c r="AI150" i="60"/>
  <c r="AH150" i="60"/>
  <c r="AE150" i="60"/>
  <c r="AD150" i="60"/>
  <c r="AA150" i="60"/>
  <c r="W150" i="60"/>
  <c r="V150" i="60"/>
  <c r="U150" i="60"/>
  <c r="R150" i="60"/>
  <c r="Q150" i="60"/>
  <c r="P150" i="60"/>
  <c r="O150" i="60"/>
  <c r="N150" i="60"/>
  <c r="M150" i="60"/>
  <c r="L150" i="60"/>
  <c r="G150" i="60"/>
  <c r="E150" i="60"/>
  <c r="AN149" i="60"/>
  <c r="AJ149" i="60"/>
  <c r="AI149" i="60"/>
  <c r="AH149" i="60"/>
  <c r="AE149" i="60"/>
  <c r="AD149" i="60"/>
  <c r="AA149" i="60"/>
  <c r="W149" i="60"/>
  <c r="V149" i="60"/>
  <c r="U149" i="60"/>
  <c r="R149" i="60"/>
  <c r="Q149" i="60"/>
  <c r="P149" i="60"/>
  <c r="O149" i="60"/>
  <c r="N149" i="60"/>
  <c r="L149" i="60"/>
  <c r="G149" i="60"/>
  <c r="E149" i="60"/>
  <c r="AN148" i="60"/>
  <c r="AJ148" i="60"/>
  <c r="AI148" i="60"/>
  <c r="AH148" i="60"/>
  <c r="AE148" i="60"/>
  <c r="AD148" i="60"/>
  <c r="AC148" i="60"/>
  <c r="AA148" i="60"/>
  <c r="W148" i="60"/>
  <c r="V148" i="60"/>
  <c r="U148" i="60"/>
  <c r="R148" i="60"/>
  <c r="Q148" i="60"/>
  <c r="P148" i="60"/>
  <c r="O148" i="60"/>
  <c r="N148" i="60"/>
  <c r="M148" i="60"/>
  <c r="L148" i="60"/>
  <c r="I148" i="60"/>
  <c r="G148" i="60"/>
  <c r="E148" i="60"/>
  <c r="AN147" i="60"/>
  <c r="AK147" i="60"/>
  <c r="AJ147" i="60"/>
  <c r="AI147" i="60"/>
  <c r="AH147" i="60"/>
  <c r="AE147" i="60"/>
  <c r="AD147" i="60"/>
  <c r="AA147" i="60"/>
  <c r="W147" i="60"/>
  <c r="V147" i="60"/>
  <c r="U147" i="60"/>
  <c r="R147" i="60"/>
  <c r="Q147" i="60"/>
  <c r="P147" i="60"/>
  <c r="O147" i="60"/>
  <c r="N147" i="60"/>
  <c r="L147" i="60"/>
  <c r="E147" i="60"/>
  <c r="C161" i="60"/>
  <c r="G161" i="60" l="1"/>
  <c r="G147" i="60"/>
  <c r="AL161" i="60"/>
  <c r="AL147" i="60"/>
  <c r="AL162" i="60"/>
  <c r="AL148" i="60"/>
  <c r="AL165" i="60"/>
  <c r="AL151" i="60"/>
  <c r="AD173" i="60"/>
  <c r="AD152" i="60" s="1"/>
  <c r="M173" i="60"/>
  <c r="M152" i="60" s="1"/>
  <c r="U173" i="60"/>
  <c r="U152" i="60" s="1"/>
  <c r="AE173" i="60"/>
  <c r="AE152" i="60" s="1"/>
  <c r="O173" i="60"/>
  <c r="O152" i="60" s="1"/>
  <c r="W173" i="60"/>
  <c r="W152" i="60" s="1"/>
  <c r="E173" i="60"/>
  <c r="E152" i="60" s="1"/>
  <c r="G173" i="60"/>
  <c r="G152" i="60" s="1"/>
  <c r="AN173" i="60"/>
  <c r="AN152" i="60" s="1"/>
  <c r="AH173" i="60"/>
  <c r="AH152" i="60" s="1"/>
  <c r="AK173" i="60"/>
  <c r="AK152" i="60" s="1"/>
  <c r="AC173" i="60"/>
  <c r="AC152" i="60" s="1"/>
  <c r="N173" i="60"/>
  <c r="N152" i="60" s="1"/>
  <c r="Q173" i="60"/>
  <c r="Q152" i="60" s="1"/>
  <c r="L173" i="60"/>
  <c r="L152" i="60" s="1"/>
  <c r="T173" i="60"/>
  <c r="T152" i="60" s="1"/>
  <c r="I173" i="60"/>
  <c r="I152" i="60" s="1"/>
  <c r="P173" i="60"/>
  <c r="P152" i="60" s="1"/>
  <c r="Y173" i="60"/>
  <c r="Y152" i="60" s="1"/>
  <c r="AA173" i="60"/>
  <c r="AA152" i="60" s="1"/>
  <c r="AI173" i="60"/>
  <c r="AI152" i="60" s="1"/>
  <c r="S173" i="60"/>
  <c r="S152" i="60" s="1"/>
  <c r="AB173" i="60"/>
  <c r="AB152" i="60" s="1"/>
  <c r="AJ173" i="60"/>
  <c r="AJ152" i="60" s="1"/>
  <c r="AL173" i="60"/>
  <c r="AL152" i="60" s="1"/>
  <c r="R173" i="60"/>
  <c r="R152" i="60" s="1"/>
  <c r="V173" i="60"/>
  <c r="V152" i="60" s="1"/>
  <c r="G105" i="61"/>
  <c r="A105" i="61"/>
  <c r="G104" i="61"/>
  <c r="A104" i="61"/>
  <c r="G103" i="61"/>
  <c r="A103" i="61"/>
  <c r="G36" i="61"/>
  <c r="A36" i="61"/>
  <c r="G7" i="61"/>
  <c r="A7" i="61"/>
  <c r="AL50" i="59"/>
  <c r="I104" i="61" l="1"/>
  <c r="K104" i="61" s="1"/>
  <c r="I105" i="61"/>
  <c r="K105" i="61" s="1"/>
  <c r="I36" i="61"/>
  <c r="K36" i="61" s="1"/>
  <c r="I7" i="61"/>
  <c r="K7" i="61" s="1"/>
  <c r="I103" i="61"/>
  <c r="K103" i="61" s="1"/>
  <c r="G183" i="61" l="1"/>
  <c r="A183" i="61"/>
  <c r="G182" i="61"/>
  <c r="A182" i="61"/>
  <c r="G181" i="61"/>
  <c r="A181" i="61"/>
  <c r="G180" i="61"/>
  <c r="A180" i="61"/>
  <c r="G179" i="61"/>
  <c r="A179" i="61"/>
  <c r="G178" i="61"/>
  <c r="A178" i="61"/>
  <c r="G177" i="61"/>
  <c r="A177" i="61"/>
  <c r="G176" i="61"/>
  <c r="A176" i="61"/>
  <c r="G175" i="61"/>
  <c r="A175" i="61"/>
  <c r="G174" i="61"/>
  <c r="A174" i="61"/>
  <c r="G173" i="61"/>
  <c r="A173" i="61"/>
  <c r="G172" i="61"/>
  <c r="A172" i="61"/>
  <c r="G171" i="61"/>
  <c r="A171" i="61"/>
  <c r="G170" i="61"/>
  <c r="A170" i="61"/>
  <c r="G169" i="61"/>
  <c r="A169" i="61"/>
  <c r="G168" i="61"/>
  <c r="A168" i="61"/>
  <c r="G167" i="61"/>
  <c r="A167" i="61"/>
  <c r="G166" i="61"/>
  <c r="A166" i="61"/>
  <c r="G165" i="61"/>
  <c r="A165" i="61"/>
  <c r="G164" i="61"/>
  <c r="A164" i="61"/>
  <c r="G163" i="61"/>
  <c r="A163" i="61"/>
  <c r="G162" i="61"/>
  <c r="A162" i="61"/>
  <c r="G161" i="61"/>
  <c r="A161" i="61"/>
  <c r="G160" i="61"/>
  <c r="A160" i="61"/>
  <c r="G159" i="61"/>
  <c r="A159" i="61"/>
  <c r="G158" i="61"/>
  <c r="A158" i="61"/>
  <c r="G157" i="61"/>
  <c r="A157" i="61"/>
  <c r="G156" i="61"/>
  <c r="A156" i="61"/>
  <c r="G155" i="61"/>
  <c r="A155" i="61"/>
  <c r="G154" i="61"/>
  <c r="A154" i="61"/>
  <c r="G153" i="61"/>
  <c r="A153" i="61"/>
  <c r="G152" i="61"/>
  <c r="A152" i="61"/>
  <c r="G151" i="61"/>
  <c r="A151" i="61"/>
  <c r="G150" i="61"/>
  <c r="A150" i="61"/>
  <c r="G149" i="61"/>
  <c r="A149" i="61"/>
  <c r="G148" i="61"/>
  <c r="A148" i="61"/>
  <c r="G147" i="61"/>
  <c r="A147" i="61"/>
  <c r="G146" i="61"/>
  <c r="A146" i="61"/>
  <c r="G145" i="61"/>
  <c r="A145" i="61"/>
  <c r="G144" i="61"/>
  <c r="A144" i="61"/>
  <c r="G143" i="61"/>
  <c r="A143" i="61"/>
  <c r="G142" i="61"/>
  <c r="A142" i="61"/>
  <c r="G141" i="61"/>
  <c r="A141" i="61"/>
  <c r="G140" i="61"/>
  <c r="A140" i="61"/>
  <c r="G139" i="61"/>
  <c r="A139" i="61"/>
  <c r="G138" i="61"/>
  <c r="A138" i="61"/>
  <c r="G137" i="61"/>
  <c r="A137" i="61"/>
  <c r="G136" i="61"/>
  <c r="A136" i="61"/>
  <c r="G135" i="61"/>
  <c r="A135" i="61"/>
  <c r="G134" i="61"/>
  <c r="A134" i="61"/>
  <c r="G133" i="61"/>
  <c r="A133" i="61"/>
  <c r="G132" i="61"/>
  <c r="A132" i="61"/>
  <c r="G131" i="61"/>
  <c r="A131" i="61"/>
  <c r="G130" i="61"/>
  <c r="A130" i="61"/>
  <c r="G129" i="61"/>
  <c r="A129" i="61"/>
  <c r="G128" i="61"/>
  <c r="A128" i="61"/>
  <c r="G127" i="61"/>
  <c r="A127" i="61"/>
  <c r="G126" i="61"/>
  <c r="A126" i="61"/>
  <c r="G125" i="61"/>
  <c r="A125" i="61"/>
  <c r="G124" i="61"/>
  <c r="A124" i="61"/>
  <c r="G123" i="61"/>
  <c r="A123" i="61"/>
  <c r="G122" i="61"/>
  <c r="A122" i="61"/>
  <c r="G121" i="61"/>
  <c r="A121" i="61"/>
  <c r="G120" i="61"/>
  <c r="A120" i="61"/>
  <c r="G119" i="61"/>
  <c r="A119" i="61"/>
  <c r="G118" i="61"/>
  <c r="A118" i="61"/>
  <c r="G117" i="61"/>
  <c r="A117" i="61"/>
  <c r="G116" i="61"/>
  <c r="A116" i="61"/>
  <c r="G115" i="61"/>
  <c r="A115" i="61"/>
  <c r="G114" i="61"/>
  <c r="A114" i="61"/>
  <c r="G113" i="61"/>
  <c r="A113" i="61"/>
  <c r="G112" i="61"/>
  <c r="A112" i="61"/>
  <c r="G255" i="61"/>
  <c r="A255" i="61"/>
  <c r="G254" i="61"/>
  <c r="A254" i="61"/>
  <c r="G253" i="61"/>
  <c r="A253" i="61"/>
  <c r="G252" i="61"/>
  <c r="A252" i="61"/>
  <c r="G251" i="61"/>
  <c r="A251" i="61"/>
  <c r="G250" i="61"/>
  <c r="A250" i="61"/>
  <c r="G249" i="61"/>
  <c r="A249" i="61"/>
  <c r="G248" i="61"/>
  <c r="A248" i="61"/>
  <c r="G247" i="61"/>
  <c r="A247" i="61"/>
  <c r="G246" i="61"/>
  <c r="A246" i="61"/>
  <c r="G245" i="61"/>
  <c r="A245" i="61"/>
  <c r="G244" i="61"/>
  <c r="A244" i="61"/>
  <c r="G243" i="61"/>
  <c r="A243" i="61"/>
  <c r="G242" i="61"/>
  <c r="A242" i="61"/>
  <c r="G241" i="61"/>
  <c r="A241" i="61"/>
  <c r="G240" i="61"/>
  <c r="A240" i="61"/>
  <c r="G239" i="61"/>
  <c r="A239" i="61"/>
  <c r="G238" i="61"/>
  <c r="A238" i="61"/>
  <c r="G237" i="61"/>
  <c r="A237" i="61"/>
  <c r="G236" i="61"/>
  <c r="A236" i="61"/>
  <c r="G235" i="61"/>
  <c r="A235" i="61"/>
  <c r="G234" i="61"/>
  <c r="A234" i="61"/>
  <c r="G233" i="61"/>
  <c r="A233" i="61"/>
  <c r="G232" i="61"/>
  <c r="A232" i="61"/>
  <c r="G231" i="61"/>
  <c r="A231" i="61"/>
  <c r="G230" i="61"/>
  <c r="A230" i="61"/>
  <c r="G229" i="61"/>
  <c r="A229" i="61"/>
  <c r="G228" i="61"/>
  <c r="A228" i="61"/>
  <c r="G227" i="61"/>
  <c r="A227" i="61"/>
  <c r="G226" i="61"/>
  <c r="A226" i="61"/>
  <c r="G225" i="61"/>
  <c r="A225" i="61"/>
  <c r="G224" i="61"/>
  <c r="A224" i="61"/>
  <c r="G223" i="61"/>
  <c r="A223" i="61"/>
  <c r="G222" i="61"/>
  <c r="A222" i="61"/>
  <c r="G221" i="61"/>
  <c r="A221" i="61"/>
  <c r="G220" i="61"/>
  <c r="A220" i="61"/>
  <c r="G219" i="61"/>
  <c r="A219" i="61"/>
  <c r="G218" i="61"/>
  <c r="A218" i="61"/>
  <c r="G217" i="61"/>
  <c r="A217" i="61"/>
  <c r="G216" i="61"/>
  <c r="A216" i="61"/>
  <c r="G215" i="61"/>
  <c r="A215" i="61"/>
  <c r="G214" i="61"/>
  <c r="A214" i="61"/>
  <c r="G213" i="61"/>
  <c r="A213" i="61"/>
  <c r="G212" i="61"/>
  <c r="A212" i="61"/>
  <c r="G211" i="61"/>
  <c r="A211" i="61"/>
  <c r="G210" i="61"/>
  <c r="A210" i="61"/>
  <c r="G209" i="61"/>
  <c r="A209" i="61"/>
  <c r="G208" i="61"/>
  <c r="A208" i="61"/>
  <c r="G207" i="61"/>
  <c r="A207" i="61"/>
  <c r="G206" i="61"/>
  <c r="A206" i="61"/>
  <c r="G205" i="61"/>
  <c r="A205" i="61"/>
  <c r="G204" i="61"/>
  <c r="A204" i="61"/>
  <c r="G203" i="61"/>
  <c r="A203" i="61"/>
  <c r="G202" i="61"/>
  <c r="A202" i="61"/>
  <c r="G201" i="61"/>
  <c r="A201" i="61"/>
  <c r="G200" i="61"/>
  <c r="A200" i="61"/>
  <c r="G199" i="61"/>
  <c r="A199" i="61"/>
  <c r="G198" i="61"/>
  <c r="A198" i="61"/>
  <c r="G197" i="61"/>
  <c r="A197" i="61"/>
  <c r="G196" i="61"/>
  <c r="A196" i="61"/>
  <c r="G195" i="61"/>
  <c r="A195" i="61"/>
  <c r="G194" i="61"/>
  <c r="A194" i="61"/>
  <c r="G193" i="61"/>
  <c r="A193" i="61"/>
  <c r="G192" i="61"/>
  <c r="A192" i="61"/>
  <c r="G191" i="61"/>
  <c r="A191" i="61"/>
  <c r="G190" i="61"/>
  <c r="A190" i="61"/>
  <c r="G189" i="61"/>
  <c r="A189" i="61"/>
  <c r="G188" i="61"/>
  <c r="A188" i="61"/>
  <c r="G187" i="61"/>
  <c r="A187" i="61"/>
  <c r="G186" i="61"/>
  <c r="A186" i="61"/>
  <c r="G185" i="61"/>
  <c r="A185" i="61"/>
  <c r="G184" i="61"/>
  <c r="A184" i="61"/>
  <c r="I195" i="61" l="1"/>
  <c r="K195" i="61" s="1"/>
  <c r="I203" i="61"/>
  <c r="K203" i="61" s="1"/>
  <c r="I211" i="61"/>
  <c r="K211" i="61" s="1"/>
  <c r="I219" i="61"/>
  <c r="K219" i="61" s="1"/>
  <c r="I227" i="61"/>
  <c r="K227" i="61" s="1"/>
  <c r="I235" i="61"/>
  <c r="K235" i="61" s="1"/>
  <c r="I179" i="61"/>
  <c r="K179" i="61" s="1"/>
  <c r="I243" i="61"/>
  <c r="K243" i="61" s="1"/>
  <c r="I251" i="61"/>
  <c r="K251" i="61" s="1"/>
  <c r="I115" i="61"/>
  <c r="K115" i="61" s="1"/>
  <c r="I123" i="61"/>
  <c r="K123" i="61" s="1"/>
  <c r="I131" i="61"/>
  <c r="K131" i="61" s="1"/>
  <c r="I139" i="61"/>
  <c r="K139" i="61" s="1"/>
  <c r="I147" i="61"/>
  <c r="K147" i="61" s="1"/>
  <c r="I155" i="61"/>
  <c r="K155" i="61" s="1"/>
  <c r="I163" i="61"/>
  <c r="K163" i="61" s="1"/>
  <c r="I171" i="61"/>
  <c r="K171" i="61" s="1"/>
  <c r="I187" i="61"/>
  <c r="K187" i="61" s="1"/>
  <c r="I181" i="61"/>
  <c r="K181" i="61" s="1"/>
  <c r="I185" i="61"/>
  <c r="K185" i="61" s="1"/>
  <c r="I193" i="61"/>
  <c r="K193" i="61" s="1"/>
  <c r="I180" i="61"/>
  <c r="K180" i="61" s="1"/>
  <c r="I201" i="61"/>
  <c r="K201" i="61" s="1"/>
  <c r="I209" i="61"/>
  <c r="K209" i="61" s="1"/>
  <c r="I217" i="61"/>
  <c r="K217" i="61" s="1"/>
  <c r="I225" i="61"/>
  <c r="K225" i="61" s="1"/>
  <c r="I233" i="61"/>
  <c r="K233" i="61" s="1"/>
  <c r="I241" i="61"/>
  <c r="K241" i="61" s="1"/>
  <c r="I249" i="61"/>
  <c r="K249" i="61" s="1"/>
  <c r="I113" i="61"/>
  <c r="K113" i="61" s="1"/>
  <c r="I121" i="61"/>
  <c r="K121" i="61" s="1"/>
  <c r="I129" i="61"/>
  <c r="K129" i="61" s="1"/>
  <c r="I137" i="61"/>
  <c r="K137" i="61" s="1"/>
  <c r="I145" i="61"/>
  <c r="K145" i="61" s="1"/>
  <c r="I153" i="61"/>
  <c r="K153" i="61" s="1"/>
  <c r="I161" i="61"/>
  <c r="K161" i="61" s="1"/>
  <c r="I191" i="61"/>
  <c r="K191" i="61" s="1"/>
  <c r="I199" i="61"/>
  <c r="K199" i="61" s="1"/>
  <c r="I207" i="61"/>
  <c r="K207" i="61" s="1"/>
  <c r="I215" i="61"/>
  <c r="K215" i="61" s="1"/>
  <c r="I223" i="61"/>
  <c r="K223" i="61" s="1"/>
  <c r="I231" i="61"/>
  <c r="K231" i="61" s="1"/>
  <c r="I239" i="61"/>
  <c r="K239" i="61" s="1"/>
  <c r="I247" i="61"/>
  <c r="K247" i="61" s="1"/>
  <c r="I255" i="61"/>
  <c r="K255" i="61" s="1"/>
  <c r="I119" i="61"/>
  <c r="K119" i="61" s="1"/>
  <c r="I127" i="61"/>
  <c r="K127" i="61" s="1"/>
  <c r="I135" i="61"/>
  <c r="K135" i="61" s="1"/>
  <c r="I143" i="61"/>
  <c r="K143" i="61" s="1"/>
  <c r="I151" i="61"/>
  <c r="K151" i="61" s="1"/>
  <c r="I159" i="61"/>
  <c r="K159" i="61" s="1"/>
  <c r="I167" i="61"/>
  <c r="K167" i="61" s="1"/>
  <c r="I183" i="61"/>
  <c r="K183" i="61" s="1"/>
  <c r="I175" i="61"/>
  <c r="K175" i="61" s="1"/>
  <c r="I184" i="61"/>
  <c r="K184" i="61" s="1"/>
  <c r="I192" i="61"/>
  <c r="K192" i="61" s="1"/>
  <c r="I200" i="61"/>
  <c r="K200" i="61" s="1"/>
  <c r="I208" i="61"/>
  <c r="K208" i="61" s="1"/>
  <c r="I216" i="61"/>
  <c r="K216" i="61" s="1"/>
  <c r="I224" i="61"/>
  <c r="K224" i="61" s="1"/>
  <c r="I232" i="61"/>
  <c r="K232" i="61" s="1"/>
  <c r="I240" i="61"/>
  <c r="K240" i="61" s="1"/>
  <c r="I248" i="61"/>
  <c r="K248" i="61" s="1"/>
  <c r="I112" i="61"/>
  <c r="K112" i="61" s="1"/>
  <c r="I120" i="61"/>
  <c r="K120" i="61" s="1"/>
  <c r="I128" i="61"/>
  <c r="K128" i="61" s="1"/>
  <c r="I136" i="61"/>
  <c r="K136" i="61" s="1"/>
  <c r="I144" i="61"/>
  <c r="K144" i="61" s="1"/>
  <c r="I152" i="61"/>
  <c r="K152" i="61" s="1"/>
  <c r="I160" i="61"/>
  <c r="K160" i="61" s="1"/>
  <c r="I168" i="61"/>
  <c r="K168" i="61" s="1"/>
  <c r="I176" i="61"/>
  <c r="K176" i="61" s="1"/>
  <c r="I114" i="61"/>
  <c r="K114" i="61" s="1"/>
  <c r="I122" i="61"/>
  <c r="K122" i="61" s="1"/>
  <c r="I130" i="61"/>
  <c r="K130" i="61" s="1"/>
  <c r="I138" i="61"/>
  <c r="K138" i="61" s="1"/>
  <c r="I146" i="61"/>
  <c r="K146" i="61" s="1"/>
  <c r="I154" i="61"/>
  <c r="K154" i="61" s="1"/>
  <c r="I162" i="61"/>
  <c r="K162" i="61" s="1"/>
  <c r="I170" i="61"/>
  <c r="K170" i="61" s="1"/>
  <c r="I178" i="61"/>
  <c r="K178" i="61" s="1"/>
  <c r="I188" i="61"/>
  <c r="K188" i="61" s="1"/>
  <c r="I140" i="61"/>
  <c r="K140" i="61" s="1"/>
  <c r="I148" i="61"/>
  <c r="K148" i="61" s="1"/>
  <c r="I156" i="61"/>
  <c r="K156" i="61" s="1"/>
  <c r="I164" i="61"/>
  <c r="K164" i="61" s="1"/>
  <c r="I172" i="61"/>
  <c r="K172" i="61" s="1"/>
  <c r="I169" i="61"/>
  <c r="K169" i="61" s="1"/>
  <c r="I177" i="61"/>
  <c r="K177" i="61" s="1"/>
  <c r="I189" i="61"/>
  <c r="K189" i="61" s="1"/>
  <c r="I197" i="61"/>
  <c r="K197" i="61" s="1"/>
  <c r="I205" i="61"/>
  <c r="K205" i="61" s="1"/>
  <c r="I213" i="61"/>
  <c r="K213" i="61" s="1"/>
  <c r="I221" i="61"/>
  <c r="K221" i="61" s="1"/>
  <c r="I229" i="61"/>
  <c r="K229" i="61" s="1"/>
  <c r="I237" i="61"/>
  <c r="K237" i="61" s="1"/>
  <c r="I245" i="61"/>
  <c r="K245" i="61" s="1"/>
  <c r="I253" i="61"/>
  <c r="K253" i="61" s="1"/>
  <c r="I117" i="61"/>
  <c r="K117" i="61" s="1"/>
  <c r="I125" i="61"/>
  <c r="K125" i="61" s="1"/>
  <c r="I133" i="61"/>
  <c r="K133" i="61" s="1"/>
  <c r="I141" i="61"/>
  <c r="K141" i="61" s="1"/>
  <c r="I149" i="61"/>
  <c r="K149" i="61" s="1"/>
  <c r="I157" i="61"/>
  <c r="K157" i="61" s="1"/>
  <c r="I165" i="61"/>
  <c r="K165" i="61" s="1"/>
  <c r="I173" i="61"/>
  <c r="K173" i="61" s="1"/>
  <c r="I186" i="61"/>
  <c r="K186" i="61" s="1"/>
  <c r="I194" i="61"/>
  <c r="K194" i="61" s="1"/>
  <c r="I202" i="61"/>
  <c r="K202" i="61" s="1"/>
  <c r="I210" i="61"/>
  <c r="K210" i="61" s="1"/>
  <c r="I218" i="61"/>
  <c r="K218" i="61" s="1"/>
  <c r="I226" i="61"/>
  <c r="K226" i="61" s="1"/>
  <c r="I234" i="61"/>
  <c r="K234" i="61" s="1"/>
  <c r="I242" i="61"/>
  <c r="K242" i="61" s="1"/>
  <c r="I250" i="61"/>
  <c r="K250" i="61" s="1"/>
  <c r="I196" i="61"/>
  <c r="K196" i="61" s="1"/>
  <c r="I204" i="61"/>
  <c r="K204" i="61" s="1"/>
  <c r="I212" i="61"/>
  <c r="K212" i="61" s="1"/>
  <c r="I220" i="61"/>
  <c r="K220" i="61" s="1"/>
  <c r="I228" i="61"/>
  <c r="K228" i="61" s="1"/>
  <c r="I236" i="61"/>
  <c r="K236" i="61" s="1"/>
  <c r="I244" i="61"/>
  <c r="K244" i="61" s="1"/>
  <c r="I252" i="61"/>
  <c r="K252" i="61" s="1"/>
  <c r="I116" i="61"/>
  <c r="K116" i="61" s="1"/>
  <c r="I124" i="61"/>
  <c r="K124" i="61" s="1"/>
  <c r="I132" i="61"/>
  <c r="K132" i="61" s="1"/>
  <c r="I190" i="61"/>
  <c r="K190" i="61" s="1"/>
  <c r="I198" i="61"/>
  <c r="K198" i="61" s="1"/>
  <c r="I206" i="61"/>
  <c r="K206" i="61" s="1"/>
  <c r="I214" i="61"/>
  <c r="K214" i="61" s="1"/>
  <c r="I222" i="61"/>
  <c r="K222" i="61" s="1"/>
  <c r="I230" i="61"/>
  <c r="K230" i="61" s="1"/>
  <c r="I238" i="61"/>
  <c r="K238" i="61" s="1"/>
  <c r="I246" i="61"/>
  <c r="K246" i="61" s="1"/>
  <c r="I254" i="61"/>
  <c r="K254" i="61" s="1"/>
  <c r="I118" i="61"/>
  <c r="K118" i="61" s="1"/>
  <c r="I126" i="61"/>
  <c r="K126" i="61" s="1"/>
  <c r="I134" i="61"/>
  <c r="K134" i="61" s="1"/>
  <c r="I142" i="61"/>
  <c r="K142" i="61" s="1"/>
  <c r="I150" i="61"/>
  <c r="K150" i="61" s="1"/>
  <c r="I158" i="61"/>
  <c r="K158" i="61" s="1"/>
  <c r="I166" i="61"/>
  <c r="K166" i="61" s="1"/>
  <c r="I174" i="61"/>
  <c r="K174" i="61" s="1"/>
  <c r="I182" i="61"/>
  <c r="K182" i="61" s="1"/>
  <c r="L39" i="63" l="1"/>
  <c r="M68" i="64"/>
  <c r="J38" i="63" l="1"/>
  <c r="J37" i="63"/>
  <c r="J35" i="63"/>
  <c r="J32" i="63"/>
  <c r="AJ51" i="59" l="1"/>
  <c r="AI51" i="59"/>
  <c r="AI46" i="59"/>
  <c r="AN165" i="60"/>
  <c r="AK165" i="60"/>
  <c r="AJ165" i="60"/>
  <c r="AI165" i="60"/>
  <c r="AH165" i="60"/>
  <c r="AE165" i="60"/>
  <c r="AD165" i="60"/>
  <c r="AA165" i="60"/>
  <c r="W165" i="60"/>
  <c r="V165" i="60"/>
  <c r="U165" i="60"/>
  <c r="R165" i="60"/>
  <c r="Q165" i="60"/>
  <c r="P165" i="60"/>
  <c r="O165" i="60"/>
  <c r="N165" i="60"/>
  <c r="M165" i="60"/>
  <c r="L165" i="60"/>
  <c r="I165" i="60"/>
  <c r="G165" i="60"/>
  <c r="E165" i="60"/>
  <c r="AN164" i="60"/>
  <c r="AJ164" i="60"/>
  <c r="AI164" i="60"/>
  <c r="AH164" i="60"/>
  <c r="AE164" i="60"/>
  <c r="AD164" i="60"/>
  <c r="AA164" i="60"/>
  <c r="W164" i="60"/>
  <c r="V164" i="60"/>
  <c r="U164" i="60"/>
  <c r="R164" i="60"/>
  <c r="Q164" i="60"/>
  <c r="P164" i="60"/>
  <c r="O164" i="60"/>
  <c r="N164" i="60"/>
  <c r="M164" i="60"/>
  <c r="L164" i="60"/>
  <c r="G164" i="60"/>
  <c r="E164" i="60"/>
  <c r="AN163" i="60"/>
  <c r="AJ163" i="60"/>
  <c r="AI163" i="60"/>
  <c r="AH163" i="60"/>
  <c r="AE163" i="60"/>
  <c r="AD163" i="60"/>
  <c r="AA163" i="60"/>
  <c r="W163" i="60"/>
  <c r="U163" i="60"/>
  <c r="R163" i="60"/>
  <c r="Q163" i="60"/>
  <c r="P163" i="60"/>
  <c r="O163" i="60"/>
  <c r="N163" i="60"/>
  <c r="L163" i="60"/>
  <c r="G163" i="60"/>
  <c r="E163" i="60"/>
  <c r="AN162" i="60"/>
  <c r="AJ162" i="60"/>
  <c r="AI162" i="60"/>
  <c r="AH162" i="60"/>
  <c r="AE162" i="60"/>
  <c r="AD162" i="60"/>
  <c r="AC162" i="60"/>
  <c r="AA162" i="60"/>
  <c r="W162" i="60"/>
  <c r="U162" i="60"/>
  <c r="R162" i="60"/>
  <c r="Q162" i="60"/>
  <c r="P162" i="60"/>
  <c r="O162" i="60"/>
  <c r="N162" i="60"/>
  <c r="M162" i="60"/>
  <c r="L162" i="60"/>
  <c r="I162" i="60"/>
  <c r="G162" i="60"/>
  <c r="E162" i="60"/>
  <c r="AN161" i="60"/>
  <c r="AI161" i="60"/>
  <c r="AH161" i="60"/>
  <c r="AE161" i="60"/>
  <c r="AD161" i="60"/>
  <c r="AA161" i="60"/>
  <c r="W161" i="60"/>
  <c r="U161" i="60"/>
  <c r="R161" i="60"/>
  <c r="Q161" i="60"/>
  <c r="P161" i="60"/>
  <c r="O161" i="60"/>
  <c r="N161" i="60"/>
  <c r="L161" i="60"/>
  <c r="E161" i="60"/>
  <c r="C175" i="60"/>
  <c r="AK176" i="60" l="1"/>
  <c r="AK162" i="60"/>
  <c r="V177" i="60"/>
  <c r="V163" i="60"/>
  <c r="AC179" i="60"/>
  <c r="AC165" i="60"/>
  <c r="V175" i="60"/>
  <c r="V161" i="60"/>
  <c r="AB179" i="60"/>
  <c r="AB165" i="60"/>
  <c r="AJ175" i="60"/>
  <c r="AJ161" i="60"/>
  <c r="AK175" i="60"/>
  <c r="AK161" i="60"/>
  <c r="V176" i="60"/>
  <c r="V162" i="60"/>
  <c r="AK177" i="60"/>
  <c r="AK163" i="60"/>
  <c r="AK178" i="60"/>
  <c r="AK164" i="60"/>
  <c r="AN187" i="60"/>
  <c r="AN166" i="60" s="1"/>
  <c r="AI187" i="60"/>
  <c r="AI166" i="60" s="1"/>
  <c r="O187" i="60"/>
  <c r="O166" i="60" s="1"/>
  <c r="W187" i="60"/>
  <c r="W166" i="60" s="1"/>
  <c r="G187" i="60"/>
  <c r="G166" i="60" s="1"/>
  <c r="AB187" i="60"/>
  <c r="AL187" i="60"/>
  <c r="I187" i="60"/>
  <c r="I166" i="60" s="1"/>
  <c r="S187" i="60"/>
  <c r="AC187" i="60"/>
  <c r="AC166" i="60" s="1"/>
  <c r="L187" i="60"/>
  <c r="L166" i="60" s="1"/>
  <c r="T187" i="60"/>
  <c r="AD187" i="60"/>
  <c r="AD166" i="60" s="1"/>
  <c r="M187" i="60"/>
  <c r="M166" i="60" s="1"/>
  <c r="U187" i="60"/>
  <c r="U166" i="60" s="1"/>
  <c r="AE187" i="60"/>
  <c r="AE166" i="60" s="1"/>
  <c r="N187" i="60"/>
  <c r="N166" i="60" s="1"/>
  <c r="V187" i="60"/>
  <c r="V166" i="60" s="1"/>
  <c r="AH187" i="60"/>
  <c r="AH166" i="60" s="1"/>
  <c r="Y187" i="60"/>
  <c r="AJ187" i="60"/>
  <c r="AJ166" i="60" s="1"/>
  <c r="AI42" i="59"/>
  <c r="AI48" i="59" s="1"/>
  <c r="E187" i="60"/>
  <c r="E166" i="60" s="1"/>
  <c r="Q187" i="60"/>
  <c r="Q166" i="60" s="1"/>
  <c r="AA187" i="60"/>
  <c r="AA166" i="60" s="1"/>
  <c r="AK187" i="60"/>
  <c r="AK166" i="60" s="1"/>
  <c r="P187" i="60"/>
  <c r="P166" i="60" s="1"/>
  <c r="R187" i="60"/>
  <c r="R166" i="60" s="1"/>
  <c r="K67" i="64" l="1"/>
  <c r="M67" i="64"/>
  <c r="AI53" i="59"/>
  <c r="AI47" i="59"/>
  <c r="AI43" i="59"/>
  <c r="E14" i="35" l="1"/>
  <c r="G14" i="35"/>
  <c r="H14" i="35"/>
  <c r="I14" i="35"/>
  <c r="J14" i="35"/>
  <c r="E15" i="35"/>
  <c r="G15" i="35"/>
  <c r="H15" i="35"/>
  <c r="I15" i="35"/>
  <c r="J15" i="35"/>
  <c r="E16" i="35"/>
  <c r="G16" i="35"/>
  <c r="H16" i="35"/>
  <c r="I16" i="35"/>
  <c r="J16" i="35"/>
  <c r="E17" i="35"/>
  <c r="G17" i="35"/>
  <c r="H17" i="35"/>
  <c r="I17" i="35"/>
  <c r="J17" i="35"/>
  <c r="E18" i="35"/>
  <c r="G18" i="35"/>
  <c r="H18" i="35"/>
  <c r="I18" i="35"/>
  <c r="J18" i="35"/>
  <c r="E19" i="35"/>
  <c r="G19" i="35"/>
  <c r="H19" i="35"/>
  <c r="I19" i="35"/>
  <c r="J19" i="35"/>
  <c r="E20" i="35"/>
  <c r="G20" i="35"/>
  <c r="H20" i="35"/>
  <c r="I20" i="35"/>
  <c r="J20" i="35"/>
  <c r="E21" i="35"/>
  <c r="G21" i="35"/>
  <c r="H21" i="35"/>
  <c r="I21" i="35"/>
  <c r="J21" i="35"/>
  <c r="E22" i="35"/>
  <c r="G22" i="35"/>
  <c r="H22" i="35"/>
  <c r="J22" i="35"/>
  <c r="E23" i="35"/>
  <c r="G23" i="35"/>
  <c r="H23" i="35"/>
  <c r="I23" i="35"/>
  <c r="J23" i="35"/>
  <c r="E24" i="35"/>
  <c r="G24" i="35"/>
  <c r="H24" i="35"/>
  <c r="I24" i="35"/>
  <c r="J24" i="35"/>
  <c r="E25" i="35"/>
  <c r="G25" i="35"/>
  <c r="H25" i="35"/>
  <c r="I25" i="35"/>
  <c r="J25" i="35"/>
  <c r="E26" i="35"/>
  <c r="G26" i="35"/>
  <c r="H26" i="35"/>
  <c r="I26" i="35"/>
  <c r="J26" i="35"/>
  <c r="E28" i="35"/>
  <c r="G28" i="35"/>
  <c r="H28" i="35"/>
  <c r="I28" i="35"/>
  <c r="J28" i="35"/>
  <c r="E29" i="35"/>
  <c r="G29" i="35"/>
  <c r="H29" i="35"/>
  <c r="I29" i="35"/>
  <c r="J29" i="35"/>
  <c r="E30" i="35"/>
  <c r="G30" i="35"/>
  <c r="H30" i="35"/>
  <c r="I30" i="35"/>
  <c r="J30" i="35"/>
  <c r="E31" i="35"/>
  <c r="G31" i="35"/>
  <c r="H31" i="35"/>
  <c r="I31" i="35"/>
  <c r="J31" i="35"/>
  <c r="E32" i="35"/>
  <c r="G32" i="35"/>
  <c r="H32" i="35"/>
  <c r="I32" i="35"/>
  <c r="J32" i="35"/>
  <c r="E33" i="35"/>
  <c r="G33" i="35"/>
  <c r="H33" i="35"/>
  <c r="I33" i="35"/>
  <c r="J33" i="35"/>
  <c r="E34" i="35"/>
  <c r="G34" i="35"/>
  <c r="H34" i="35"/>
  <c r="I34" i="35"/>
  <c r="J34" i="35"/>
  <c r="E35" i="35"/>
  <c r="G35" i="35"/>
  <c r="H35" i="35"/>
  <c r="I35" i="35"/>
  <c r="J35" i="35"/>
  <c r="E36" i="35"/>
  <c r="G36" i="35"/>
  <c r="H36" i="35"/>
  <c r="I36" i="35"/>
  <c r="J36" i="35"/>
  <c r="E37" i="35"/>
  <c r="G37" i="35"/>
  <c r="H37" i="35"/>
  <c r="I37" i="35"/>
  <c r="J37" i="35"/>
  <c r="E38" i="35"/>
  <c r="G38" i="35"/>
  <c r="H38" i="35"/>
  <c r="I38" i="35"/>
  <c r="J38" i="35"/>
  <c r="E39" i="35"/>
  <c r="G39" i="35"/>
  <c r="H39" i="35"/>
  <c r="I39" i="35"/>
  <c r="J39" i="35"/>
  <c r="E40" i="35"/>
  <c r="G40" i="35"/>
  <c r="H40" i="35"/>
  <c r="I40" i="35"/>
  <c r="J40" i="35"/>
  <c r="E41" i="35"/>
  <c r="G41" i="35"/>
  <c r="H41" i="35"/>
  <c r="I41" i="35"/>
  <c r="J41" i="35"/>
  <c r="E42" i="35"/>
  <c r="G42" i="35"/>
  <c r="H42" i="35"/>
  <c r="I42" i="35"/>
  <c r="J42" i="35"/>
  <c r="E43" i="35"/>
  <c r="G43" i="35"/>
  <c r="H43" i="35"/>
  <c r="I43" i="35"/>
  <c r="J43" i="35"/>
  <c r="E44" i="35"/>
  <c r="G44" i="35"/>
  <c r="H44" i="35"/>
  <c r="I44" i="35"/>
  <c r="J44" i="35"/>
  <c r="E45" i="35"/>
  <c r="G45" i="35"/>
  <c r="H45" i="35"/>
  <c r="I45" i="35"/>
  <c r="J45" i="35"/>
  <c r="E46" i="35"/>
  <c r="G46" i="35"/>
  <c r="H46" i="35"/>
  <c r="I46" i="35"/>
  <c r="J46" i="35"/>
  <c r="E47" i="35"/>
  <c r="G47" i="35"/>
  <c r="H47" i="35"/>
  <c r="I47" i="35"/>
  <c r="J47" i="35"/>
  <c r="E48" i="35"/>
  <c r="G48" i="35"/>
  <c r="H48" i="35"/>
  <c r="I48" i="35"/>
  <c r="J48" i="35"/>
  <c r="E49" i="35"/>
  <c r="G49" i="35"/>
  <c r="H49" i="35"/>
  <c r="I49" i="35"/>
  <c r="J49" i="35"/>
  <c r="E50" i="35"/>
  <c r="G50" i="35"/>
  <c r="H50" i="35"/>
  <c r="I50" i="35"/>
  <c r="J50" i="35"/>
  <c r="E51" i="35"/>
  <c r="G51" i="35"/>
  <c r="H51" i="35"/>
  <c r="I51" i="35"/>
  <c r="J51" i="35"/>
  <c r="E52" i="35"/>
  <c r="G52" i="35"/>
  <c r="H52" i="35"/>
  <c r="I52" i="35"/>
  <c r="J52" i="35"/>
  <c r="E53" i="35"/>
  <c r="G53" i="35"/>
  <c r="H53" i="35"/>
  <c r="I53" i="35"/>
  <c r="J53" i="35"/>
  <c r="E54" i="35"/>
  <c r="G54" i="35"/>
  <c r="H54" i="35"/>
  <c r="I54" i="35"/>
  <c r="J54" i="35"/>
  <c r="E55" i="35"/>
  <c r="G55" i="35"/>
  <c r="H55" i="35"/>
  <c r="I55" i="35"/>
  <c r="J55" i="35"/>
  <c r="E56" i="35"/>
  <c r="G56" i="35"/>
  <c r="H56" i="35"/>
  <c r="I56" i="35"/>
  <c r="J56" i="35"/>
  <c r="E57" i="35"/>
  <c r="G57" i="35"/>
  <c r="H57" i="35"/>
  <c r="I57" i="35"/>
  <c r="J57" i="35"/>
  <c r="E58" i="35"/>
  <c r="G58" i="35"/>
  <c r="H58" i="35"/>
  <c r="I58" i="35"/>
  <c r="J58" i="35"/>
  <c r="E59" i="35"/>
  <c r="G59" i="35"/>
  <c r="H59" i="35"/>
  <c r="I59" i="35"/>
  <c r="J59" i="35"/>
  <c r="E60" i="35"/>
  <c r="G60" i="35"/>
  <c r="H60" i="35"/>
  <c r="I60" i="35"/>
  <c r="J60" i="35"/>
  <c r="E61" i="35"/>
  <c r="G61" i="35"/>
  <c r="H61" i="35"/>
  <c r="I61" i="35"/>
  <c r="J61" i="35"/>
  <c r="E62" i="35"/>
  <c r="G62" i="35"/>
  <c r="H62" i="35"/>
  <c r="I62" i="35"/>
  <c r="J62" i="35"/>
  <c r="E63" i="35"/>
  <c r="G63" i="35"/>
  <c r="H63" i="35"/>
  <c r="I63" i="35"/>
  <c r="J63" i="35"/>
  <c r="E64" i="35"/>
  <c r="G64" i="35"/>
  <c r="H64" i="35"/>
  <c r="I64" i="35"/>
  <c r="J64" i="35"/>
  <c r="E65" i="35"/>
  <c r="G65" i="35"/>
  <c r="H65" i="35"/>
  <c r="I65" i="35"/>
  <c r="J65" i="35"/>
  <c r="E66" i="35"/>
  <c r="G66" i="35"/>
  <c r="H66" i="35"/>
  <c r="I66" i="35"/>
  <c r="J66" i="35"/>
  <c r="E67" i="35"/>
  <c r="G67" i="35"/>
  <c r="H67" i="35"/>
  <c r="I67" i="35"/>
  <c r="J67" i="35"/>
  <c r="E68" i="35"/>
  <c r="G68" i="35"/>
  <c r="H68" i="35"/>
  <c r="I68" i="35"/>
  <c r="J68" i="35"/>
  <c r="E69" i="35"/>
  <c r="G69" i="35"/>
  <c r="H69" i="35"/>
  <c r="I69" i="35"/>
  <c r="J69" i="35"/>
  <c r="E70" i="35"/>
  <c r="G70" i="35"/>
  <c r="H70" i="35"/>
  <c r="I70" i="35"/>
  <c r="J70" i="35"/>
  <c r="E71" i="35"/>
  <c r="G71" i="35"/>
  <c r="H71" i="35"/>
  <c r="I71" i="35"/>
  <c r="J71" i="35"/>
  <c r="E72" i="35"/>
  <c r="G72" i="35"/>
  <c r="H72" i="35"/>
  <c r="I72" i="35"/>
  <c r="J72" i="35"/>
  <c r="E73" i="35"/>
  <c r="G73" i="35"/>
  <c r="H73" i="35"/>
  <c r="I73" i="35"/>
  <c r="J73" i="35"/>
  <c r="E74" i="35"/>
  <c r="G74" i="35"/>
  <c r="H74" i="35"/>
  <c r="I74" i="35"/>
  <c r="J74" i="35"/>
  <c r="E76" i="35"/>
  <c r="G76" i="35"/>
  <c r="H76" i="35"/>
  <c r="I76" i="35"/>
  <c r="J76" i="35"/>
  <c r="E77" i="35"/>
  <c r="G77" i="35"/>
  <c r="H77" i="35"/>
  <c r="I77" i="35"/>
  <c r="J77" i="35"/>
  <c r="E78" i="35"/>
  <c r="G78" i="35"/>
  <c r="H78" i="35"/>
  <c r="I78" i="35"/>
  <c r="J78" i="35"/>
  <c r="E79" i="35"/>
  <c r="G79" i="35"/>
  <c r="H79" i="35"/>
  <c r="I79" i="35"/>
  <c r="J79" i="35"/>
  <c r="E80" i="35"/>
  <c r="G80" i="35"/>
  <c r="H80" i="35"/>
  <c r="I80" i="35"/>
  <c r="J80" i="35"/>
  <c r="E92" i="35"/>
  <c r="G92" i="35"/>
  <c r="H92" i="35"/>
  <c r="I92" i="35"/>
  <c r="J92" i="35"/>
  <c r="E93" i="35"/>
  <c r="G93" i="35"/>
  <c r="H93" i="35"/>
  <c r="I93" i="35"/>
  <c r="J93" i="35"/>
  <c r="E94" i="35"/>
  <c r="G94" i="35"/>
  <c r="H94" i="35"/>
  <c r="I94" i="35"/>
  <c r="J94" i="35"/>
  <c r="E95" i="35"/>
  <c r="G95" i="35"/>
  <c r="H95" i="35"/>
  <c r="J95" i="35"/>
  <c r="E96" i="35"/>
  <c r="G96" i="35"/>
  <c r="H96" i="35"/>
  <c r="I96" i="35"/>
  <c r="J96" i="35"/>
  <c r="E97" i="35"/>
  <c r="G97" i="35"/>
  <c r="H97" i="35"/>
  <c r="I97" i="35"/>
  <c r="J97" i="35"/>
  <c r="E98" i="35"/>
  <c r="G98" i="35"/>
  <c r="H98" i="35"/>
  <c r="I98" i="35"/>
  <c r="J98" i="35"/>
  <c r="E99" i="35"/>
  <c r="G99" i="35"/>
  <c r="H99" i="35"/>
  <c r="I99" i="35"/>
  <c r="J99" i="35"/>
  <c r="E100" i="35"/>
  <c r="G100" i="35"/>
  <c r="H100" i="35"/>
  <c r="I100" i="35"/>
  <c r="J100" i="35"/>
  <c r="E101" i="35"/>
  <c r="G101" i="35"/>
  <c r="H101" i="35"/>
  <c r="I101" i="35"/>
  <c r="J101" i="35"/>
  <c r="E102" i="35"/>
  <c r="G102" i="35"/>
  <c r="H102" i="35"/>
  <c r="I102" i="35"/>
  <c r="J102" i="35"/>
  <c r="E103" i="35"/>
  <c r="G103" i="35"/>
  <c r="H103" i="35"/>
  <c r="I103" i="35"/>
  <c r="J103" i="35"/>
  <c r="E104" i="35"/>
  <c r="G104" i="35"/>
  <c r="H104" i="35"/>
  <c r="I104" i="35"/>
  <c r="J104" i="35"/>
  <c r="E105" i="35"/>
  <c r="G105" i="35"/>
  <c r="H105" i="35"/>
  <c r="I105" i="35"/>
  <c r="J105" i="35"/>
  <c r="E106" i="35"/>
  <c r="G106" i="35"/>
  <c r="H106" i="35"/>
  <c r="I106" i="35"/>
  <c r="J106" i="35"/>
  <c r="E107" i="35"/>
  <c r="G107" i="35"/>
  <c r="H107" i="35"/>
  <c r="I107" i="35"/>
  <c r="J107" i="35"/>
  <c r="E108" i="35"/>
  <c r="G108" i="35"/>
  <c r="H108" i="35"/>
  <c r="I108" i="35"/>
  <c r="J108" i="35"/>
  <c r="E110" i="35"/>
  <c r="G110" i="35"/>
  <c r="H110" i="35"/>
  <c r="I110" i="35"/>
  <c r="J110" i="35"/>
  <c r="E111" i="35"/>
  <c r="G111" i="35"/>
  <c r="H111" i="35"/>
  <c r="I111" i="35"/>
  <c r="J111" i="35"/>
  <c r="E112" i="35"/>
  <c r="G112" i="35"/>
  <c r="H112" i="35"/>
  <c r="I112" i="35"/>
  <c r="J112" i="35"/>
  <c r="A32" i="35"/>
  <c r="A33" i="35"/>
  <c r="K68" i="64" l="1"/>
  <c r="K65" i="64"/>
  <c r="M65" i="64"/>
  <c r="K64" i="64"/>
  <c r="M64" i="64"/>
  <c r="K69" i="64"/>
  <c r="M69" i="64"/>
  <c r="K70" i="64"/>
  <c r="M70" i="64"/>
  <c r="G267" i="61"/>
  <c r="A267" i="61"/>
  <c r="G266" i="61"/>
  <c r="A266" i="61"/>
  <c r="G265" i="61"/>
  <c r="A265" i="61"/>
  <c r="G264" i="61"/>
  <c r="A264" i="61"/>
  <c r="G263" i="61"/>
  <c r="A263" i="61"/>
  <c r="G262" i="61"/>
  <c r="A262" i="61"/>
  <c r="G261" i="61"/>
  <c r="A261" i="61"/>
  <c r="G280" i="61"/>
  <c r="A280" i="61"/>
  <c r="G279" i="61"/>
  <c r="A279" i="61"/>
  <c r="G278" i="61"/>
  <c r="A278" i="61"/>
  <c r="G277" i="61"/>
  <c r="A277" i="61"/>
  <c r="G276" i="61"/>
  <c r="A276" i="61"/>
  <c r="G275" i="61"/>
  <c r="A275" i="61"/>
  <c r="G274" i="61"/>
  <c r="A274" i="61"/>
  <c r="G273" i="61"/>
  <c r="A273" i="61"/>
  <c r="G272" i="61"/>
  <c r="A272" i="61"/>
  <c r="G271" i="61"/>
  <c r="A271" i="61"/>
  <c r="G270" i="61"/>
  <c r="A270" i="61"/>
  <c r="G269" i="61"/>
  <c r="A269" i="61"/>
  <c r="G268" i="61"/>
  <c r="A268" i="61"/>
  <c r="G260" i="61"/>
  <c r="A260" i="61"/>
  <c r="G259" i="61"/>
  <c r="A259" i="61"/>
  <c r="G258" i="61"/>
  <c r="A258" i="61"/>
  <c r="G257" i="61"/>
  <c r="A257" i="61"/>
  <c r="G256" i="61"/>
  <c r="A256" i="61"/>
  <c r="I275" i="61" l="1"/>
  <c r="K275" i="61" s="1"/>
  <c r="I263" i="61"/>
  <c r="K263" i="61" s="1"/>
  <c r="I260" i="61"/>
  <c r="K260" i="61" s="1"/>
  <c r="I268" i="61"/>
  <c r="K268" i="61" s="1"/>
  <c r="I276" i="61"/>
  <c r="K276" i="61" s="1"/>
  <c r="I264" i="61"/>
  <c r="K264" i="61" s="1"/>
  <c r="I269" i="61"/>
  <c r="K269" i="61" s="1"/>
  <c r="I277" i="61"/>
  <c r="K277" i="61" s="1"/>
  <c r="I265" i="61"/>
  <c r="K265" i="61" s="1"/>
  <c r="I273" i="61"/>
  <c r="K273" i="61" s="1"/>
  <c r="I259" i="61"/>
  <c r="K259" i="61" s="1"/>
  <c r="I274" i="61"/>
  <c r="K274" i="61" s="1"/>
  <c r="I262" i="61"/>
  <c r="K262" i="61" s="1"/>
  <c r="I258" i="61"/>
  <c r="K258" i="61" s="1"/>
  <c r="I261" i="61"/>
  <c r="K261" i="61" s="1"/>
  <c r="I270" i="61"/>
  <c r="K270" i="61" s="1"/>
  <c r="I278" i="61"/>
  <c r="K278" i="61" s="1"/>
  <c r="I266" i="61"/>
  <c r="K266" i="61" s="1"/>
  <c r="I256" i="61"/>
  <c r="K256" i="61" s="1"/>
  <c r="I271" i="61"/>
  <c r="K271" i="61" s="1"/>
  <c r="I279" i="61"/>
  <c r="K279" i="61" s="1"/>
  <c r="I267" i="61"/>
  <c r="K267" i="61" s="1"/>
  <c r="I257" i="61"/>
  <c r="K257" i="61" s="1"/>
  <c r="I272" i="61"/>
  <c r="K272" i="61" s="1"/>
  <c r="I280" i="61"/>
  <c r="K280" i="61" s="1"/>
  <c r="H38" i="63"/>
  <c r="AN179" i="60"/>
  <c r="AK179" i="60"/>
  <c r="AJ179" i="60"/>
  <c r="AI179" i="60"/>
  <c r="AH179" i="60"/>
  <c r="AE179" i="60"/>
  <c r="AD179" i="60"/>
  <c r="AA179" i="60"/>
  <c r="W179" i="60"/>
  <c r="V179" i="60"/>
  <c r="U179" i="60"/>
  <c r="R179" i="60"/>
  <c r="Q179" i="60"/>
  <c r="P179" i="60"/>
  <c r="O179" i="60"/>
  <c r="N179" i="60"/>
  <c r="M179" i="60"/>
  <c r="L179" i="60"/>
  <c r="I179" i="60"/>
  <c r="G179" i="60"/>
  <c r="E179" i="60"/>
  <c r="AN178" i="60"/>
  <c r="AJ178" i="60"/>
  <c r="AI178" i="60"/>
  <c r="AH178" i="60"/>
  <c r="AE178" i="60"/>
  <c r="AD178" i="60"/>
  <c r="AB178" i="60"/>
  <c r="AA178" i="60"/>
  <c r="W178" i="60"/>
  <c r="V178" i="60"/>
  <c r="U178" i="60"/>
  <c r="R178" i="60"/>
  <c r="Q178" i="60"/>
  <c r="P178" i="60"/>
  <c r="O178" i="60"/>
  <c r="N178" i="60"/>
  <c r="M178" i="60"/>
  <c r="L178" i="60"/>
  <c r="G178" i="60"/>
  <c r="E178" i="60"/>
  <c r="AN177" i="60"/>
  <c r="AJ177" i="60"/>
  <c r="AI177" i="60"/>
  <c r="AH177" i="60"/>
  <c r="AE177" i="60"/>
  <c r="AD177" i="60"/>
  <c r="AA177" i="60"/>
  <c r="W177" i="60"/>
  <c r="U177" i="60"/>
  <c r="R177" i="60"/>
  <c r="Q177" i="60"/>
  <c r="P177" i="60"/>
  <c r="O177" i="60"/>
  <c r="N177" i="60"/>
  <c r="L177" i="60"/>
  <c r="G177" i="60"/>
  <c r="E177" i="60"/>
  <c r="AN176" i="60"/>
  <c r="AJ176" i="60"/>
  <c r="AI176" i="60"/>
  <c r="AH176" i="60"/>
  <c r="AE176" i="60"/>
  <c r="AD176" i="60"/>
  <c r="AA176" i="60"/>
  <c r="W176" i="60"/>
  <c r="U176" i="60"/>
  <c r="R176" i="60"/>
  <c r="Q176" i="60"/>
  <c r="P176" i="60"/>
  <c r="O176" i="60"/>
  <c r="N176" i="60"/>
  <c r="M176" i="60"/>
  <c r="L176" i="60"/>
  <c r="I176" i="60"/>
  <c r="G176" i="60"/>
  <c r="E176" i="60"/>
  <c r="AN175" i="60"/>
  <c r="AI175" i="60"/>
  <c r="AH175" i="60"/>
  <c r="AE175" i="60"/>
  <c r="AD175" i="60"/>
  <c r="AA175" i="60"/>
  <c r="W175" i="60"/>
  <c r="U175" i="60"/>
  <c r="R175" i="60"/>
  <c r="Q175" i="60"/>
  <c r="P175" i="60"/>
  <c r="O175" i="60"/>
  <c r="N175" i="60"/>
  <c r="L175" i="60"/>
  <c r="G175" i="60"/>
  <c r="E175" i="60"/>
  <c r="C189" i="60"/>
  <c r="AM51" i="59"/>
  <c r="AM46" i="59"/>
  <c r="AC190" i="60" l="1"/>
  <c r="AC176" i="60"/>
  <c r="AK201" i="60"/>
  <c r="AK180" i="60" s="1"/>
  <c r="P201" i="60"/>
  <c r="P180" i="60" s="1"/>
  <c r="Y201" i="60"/>
  <c r="AJ201" i="60"/>
  <c r="AJ180" i="60" s="1"/>
  <c r="AA201" i="60"/>
  <c r="AA180" i="60" s="1"/>
  <c r="Q201" i="60"/>
  <c r="Q180" i="60" s="1"/>
  <c r="E201" i="60"/>
  <c r="E180" i="60" s="1"/>
  <c r="AM42" i="59"/>
  <c r="AM48" i="59" s="1"/>
  <c r="AM53" i="59" s="1"/>
  <c r="AB201" i="60"/>
  <c r="AC201" i="60"/>
  <c r="AC180" i="60" s="1"/>
  <c r="G201" i="60"/>
  <c r="G180" i="60" s="1"/>
  <c r="AL201" i="60"/>
  <c r="S201" i="60"/>
  <c r="L201" i="60"/>
  <c r="L180" i="60" s="1"/>
  <c r="AD201" i="60"/>
  <c r="AD180" i="60" s="1"/>
  <c r="M201" i="60"/>
  <c r="M180" i="60" s="1"/>
  <c r="U201" i="60"/>
  <c r="U180" i="60" s="1"/>
  <c r="AE201" i="60"/>
  <c r="AE180" i="60" s="1"/>
  <c r="R201" i="60"/>
  <c r="R180" i="60" s="1"/>
  <c r="I201" i="60"/>
  <c r="I180" i="60" s="1"/>
  <c r="AN201" i="60"/>
  <c r="AN180" i="60" s="1"/>
  <c r="T201" i="60"/>
  <c r="N201" i="60"/>
  <c r="N180" i="60" s="1"/>
  <c r="V201" i="60"/>
  <c r="V180" i="60" s="1"/>
  <c r="AH201" i="60"/>
  <c r="AH180" i="60" s="1"/>
  <c r="O201" i="60"/>
  <c r="O180" i="60" s="1"/>
  <c r="W201" i="60"/>
  <c r="W180" i="60" s="1"/>
  <c r="AI201" i="60"/>
  <c r="AI180" i="60" s="1"/>
  <c r="AN51" i="59"/>
  <c r="AM43" i="59" l="1"/>
  <c r="AM47" i="59"/>
  <c r="G391" i="61"/>
  <c r="A391" i="61"/>
  <c r="G390" i="61"/>
  <c r="A390" i="61"/>
  <c r="G389" i="61"/>
  <c r="A389" i="61"/>
  <c r="G388" i="61"/>
  <c r="A388" i="61"/>
  <c r="G387" i="61"/>
  <c r="A387" i="61"/>
  <c r="G386" i="61"/>
  <c r="A386" i="61"/>
  <c r="G385" i="61"/>
  <c r="A385" i="61"/>
  <c r="G384" i="61"/>
  <c r="A384" i="61"/>
  <c r="G383" i="61"/>
  <c r="A383" i="61"/>
  <c r="G382" i="61"/>
  <c r="A382" i="61"/>
  <c r="G381" i="61"/>
  <c r="A381" i="61"/>
  <c r="G380" i="61"/>
  <c r="A380" i="61"/>
  <c r="G379" i="61"/>
  <c r="A379" i="61"/>
  <c r="G378" i="61"/>
  <c r="A378" i="61"/>
  <c r="G377" i="61"/>
  <c r="A377" i="61"/>
  <c r="G376" i="61"/>
  <c r="A376" i="61"/>
  <c r="G375" i="61"/>
  <c r="A375" i="61"/>
  <c r="G374" i="61"/>
  <c r="A374" i="61"/>
  <c r="G373" i="61"/>
  <c r="A373" i="61"/>
  <c r="G372" i="61"/>
  <c r="A372" i="61"/>
  <c r="G371" i="61"/>
  <c r="A371" i="61"/>
  <c r="G370" i="61"/>
  <c r="A370" i="61"/>
  <c r="G369" i="61"/>
  <c r="A369" i="61"/>
  <c r="G368" i="61"/>
  <c r="A368" i="61"/>
  <c r="G367" i="61"/>
  <c r="A367" i="61"/>
  <c r="G366" i="61"/>
  <c r="A366" i="61"/>
  <c r="G365" i="61"/>
  <c r="A365" i="61"/>
  <c r="G364" i="61"/>
  <c r="A364" i="61"/>
  <c r="G363" i="61"/>
  <c r="A363" i="61"/>
  <c r="G362" i="61"/>
  <c r="A362" i="61"/>
  <c r="G361" i="61"/>
  <c r="A361" i="61"/>
  <c r="G360" i="61"/>
  <c r="A360" i="61"/>
  <c r="G359" i="61"/>
  <c r="A359" i="61"/>
  <c r="G358" i="61"/>
  <c r="A358" i="61"/>
  <c r="G357" i="61"/>
  <c r="A357" i="61"/>
  <c r="G356" i="61"/>
  <c r="A356" i="61"/>
  <c r="G355" i="61"/>
  <c r="A355" i="61"/>
  <c r="G354" i="61"/>
  <c r="A354" i="61"/>
  <c r="G353" i="61"/>
  <c r="A353" i="61"/>
  <c r="G352" i="61"/>
  <c r="A352" i="61"/>
  <c r="G351" i="61"/>
  <c r="A351" i="61"/>
  <c r="G350" i="61"/>
  <c r="A350" i="61"/>
  <c r="G349" i="61"/>
  <c r="A349" i="61"/>
  <c r="G348" i="61"/>
  <c r="A348" i="61"/>
  <c r="G347" i="61"/>
  <c r="A347" i="61"/>
  <c r="G346" i="61"/>
  <c r="A346" i="61"/>
  <c r="G345" i="61"/>
  <c r="A345" i="61"/>
  <c r="G344" i="61"/>
  <c r="A344" i="61"/>
  <c r="G343" i="61"/>
  <c r="A343" i="61"/>
  <c r="G342" i="61"/>
  <c r="A342" i="61"/>
  <c r="G341" i="61"/>
  <c r="A341" i="61"/>
  <c r="G340" i="61"/>
  <c r="A340" i="61"/>
  <c r="G339" i="61"/>
  <c r="A339" i="61"/>
  <c r="G338" i="61"/>
  <c r="A338" i="61"/>
  <c r="G337" i="61"/>
  <c r="A337" i="61"/>
  <c r="G336" i="61"/>
  <c r="A336" i="61"/>
  <c r="G335" i="61"/>
  <c r="A335" i="61"/>
  <c r="G334" i="61"/>
  <c r="A334" i="61"/>
  <c r="G333" i="61"/>
  <c r="A333" i="61"/>
  <c r="G332" i="61"/>
  <c r="A332" i="61"/>
  <c r="G331" i="61"/>
  <c r="A331" i="61"/>
  <c r="G330" i="61"/>
  <c r="A330" i="61"/>
  <c r="G329" i="61"/>
  <c r="A329" i="61"/>
  <c r="G328" i="61"/>
  <c r="A328" i="61"/>
  <c r="G327" i="61"/>
  <c r="A327" i="61"/>
  <c r="G326" i="61"/>
  <c r="A326" i="61"/>
  <c r="G325" i="61"/>
  <c r="A325" i="61"/>
  <c r="G324" i="61"/>
  <c r="A324" i="61"/>
  <c r="G323" i="61"/>
  <c r="A323" i="61"/>
  <c r="G322" i="61"/>
  <c r="A322" i="61"/>
  <c r="G321" i="61"/>
  <c r="A321" i="61"/>
  <c r="G320" i="61"/>
  <c r="A320" i="61"/>
  <c r="G319" i="61"/>
  <c r="A319" i="61"/>
  <c r="G318" i="61"/>
  <c r="A318" i="61"/>
  <c r="G317" i="61"/>
  <c r="A317" i="61"/>
  <c r="G316" i="61"/>
  <c r="A316" i="61"/>
  <c r="G315" i="61"/>
  <c r="A315" i="61"/>
  <c r="G314" i="61"/>
  <c r="A314" i="61"/>
  <c r="G313" i="61"/>
  <c r="A313" i="61"/>
  <c r="G312" i="61"/>
  <c r="A312" i="61"/>
  <c r="G311" i="61"/>
  <c r="A311" i="61"/>
  <c r="G310" i="61"/>
  <c r="A310" i="61"/>
  <c r="G309" i="61"/>
  <c r="A309" i="61"/>
  <c r="G308" i="61"/>
  <c r="A308" i="61"/>
  <c r="G307" i="61"/>
  <c r="A307" i="61"/>
  <c r="G306" i="61"/>
  <c r="A306" i="61"/>
  <c r="G305" i="61"/>
  <c r="A305" i="61"/>
  <c r="G304" i="61"/>
  <c r="A304" i="61"/>
  <c r="G303" i="61"/>
  <c r="A303" i="61"/>
  <c r="G302" i="61"/>
  <c r="A302" i="61"/>
  <c r="G301" i="61"/>
  <c r="A301" i="61"/>
  <c r="G300" i="61"/>
  <c r="A300" i="61"/>
  <c r="G299" i="61"/>
  <c r="A299" i="61"/>
  <c r="G298" i="61"/>
  <c r="A298" i="61"/>
  <c r="G297" i="61"/>
  <c r="A297" i="61"/>
  <c r="G296" i="61"/>
  <c r="A296" i="61"/>
  <c r="G295" i="61"/>
  <c r="A295" i="61"/>
  <c r="G294" i="61"/>
  <c r="A294" i="61"/>
  <c r="G293" i="61"/>
  <c r="A293" i="61"/>
  <c r="G292" i="61"/>
  <c r="A292" i="61"/>
  <c r="G291" i="61"/>
  <c r="A291" i="61"/>
  <c r="G290" i="61"/>
  <c r="A290" i="61"/>
  <c r="G289" i="61"/>
  <c r="A289" i="61"/>
  <c r="G288" i="61"/>
  <c r="A288" i="61"/>
  <c r="G287" i="61"/>
  <c r="A287" i="61"/>
  <c r="G286" i="61"/>
  <c r="A286" i="61"/>
  <c r="G285" i="61"/>
  <c r="A285" i="61"/>
  <c r="G284" i="61"/>
  <c r="A284" i="61"/>
  <c r="G283" i="61"/>
  <c r="A283" i="61"/>
  <c r="G282" i="61"/>
  <c r="A282" i="61"/>
  <c r="G500" i="61"/>
  <c r="A500" i="61"/>
  <c r="G499" i="61"/>
  <c r="A499" i="61"/>
  <c r="G498" i="61"/>
  <c r="A498" i="61"/>
  <c r="G497" i="61"/>
  <c r="A497" i="61"/>
  <c r="G496" i="61"/>
  <c r="A496" i="61"/>
  <c r="G495" i="61"/>
  <c r="A495" i="61"/>
  <c r="G494" i="61"/>
  <c r="A494" i="61"/>
  <c r="G493" i="61"/>
  <c r="A493" i="61"/>
  <c r="G492" i="61"/>
  <c r="A492" i="61"/>
  <c r="G491" i="61"/>
  <c r="A491" i="61"/>
  <c r="G490" i="61"/>
  <c r="A490" i="61"/>
  <c r="G489" i="61"/>
  <c r="A489" i="61"/>
  <c r="G488" i="61"/>
  <c r="A488" i="61"/>
  <c r="G487" i="61"/>
  <c r="A487" i="61"/>
  <c r="G486" i="61"/>
  <c r="A486" i="61"/>
  <c r="G485" i="61"/>
  <c r="A485" i="61"/>
  <c r="G484" i="61"/>
  <c r="A484" i="61"/>
  <c r="G483" i="61"/>
  <c r="A483" i="61"/>
  <c r="G482" i="61"/>
  <c r="A482" i="61"/>
  <c r="G481" i="61"/>
  <c r="A481" i="61"/>
  <c r="G480" i="61"/>
  <c r="A480" i="61"/>
  <c r="G479" i="61"/>
  <c r="A479" i="61"/>
  <c r="G478" i="61"/>
  <c r="A478" i="61"/>
  <c r="G477" i="61"/>
  <c r="A477" i="61"/>
  <c r="G476" i="61"/>
  <c r="A476" i="61"/>
  <c r="G475" i="61"/>
  <c r="A475" i="61"/>
  <c r="G474" i="61"/>
  <c r="A474" i="61"/>
  <c r="G473" i="61"/>
  <c r="A473" i="61"/>
  <c r="G472" i="61"/>
  <c r="A472" i="61"/>
  <c r="G471" i="61"/>
  <c r="A471" i="61"/>
  <c r="G470" i="61"/>
  <c r="A470" i="61"/>
  <c r="G469" i="61"/>
  <c r="A469" i="61"/>
  <c r="G468" i="61"/>
  <c r="A468" i="61"/>
  <c r="G467" i="61"/>
  <c r="A467" i="61"/>
  <c r="G466" i="61"/>
  <c r="A466" i="61"/>
  <c r="G465" i="61"/>
  <c r="A465" i="61"/>
  <c r="G464" i="61"/>
  <c r="A464" i="61"/>
  <c r="G463" i="61"/>
  <c r="A463" i="61"/>
  <c r="G462" i="61"/>
  <c r="A462" i="61"/>
  <c r="G461" i="61"/>
  <c r="A461" i="61"/>
  <c r="G460" i="61"/>
  <c r="A460" i="61"/>
  <c r="G459" i="61"/>
  <c r="A459" i="61"/>
  <c r="G458" i="61"/>
  <c r="A458" i="61"/>
  <c r="G457" i="61"/>
  <c r="A457" i="61"/>
  <c r="G456" i="61"/>
  <c r="A456" i="61"/>
  <c r="G455" i="61"/>
  <c r="A455" i="61"/>
  <c r="G454" i="61"/>
  <c r="A454" i="61"/>
  <c r="G453" i="61"/>
  <c r="A453" i="61"/>
  <c r="G452" i="61"/>
  <c r="A452" i="61"/>
  <c r="G451" i="61"/>
  <c r="A451" i="61"/>
  <c r="G450" i="61"/>
  <c r="A450" i="61"/>
  <c r="G449" i="61"/>
  <c r="A449" i="61"/>
  <c r="G448" i="61"/>
  <c r="A448" i="61"/>
  <c r="G447" i="61"/>
  <c r="A447" i="61"/>
  <c r="G446" i="61"/>
  <c r="A446" i="61"/>
  <c r="G445" i="61"/>
  <c r="A445" i="61"/>
  <c r="G444" i="61"/>
  <c r="A444" i="61"/>
  <c r="G443" i="61"/>
  <c r="A443" i="61"/>
  <c r="G442" i="61"/>
  <c r="A442" i="61"/>
  <c r="G441" i="61"/>
  <c r="A441" i="61"/>
  <c r="G440" i="61"/>
  <c r="A440" i="61"/>
  <c r="G439" i="61"/>
  <c r="A439" i="61"/>
  <c r="G438" i="61"/>
  <c r="A438" i="61"/>
  <c r="G437" i="61"/>
  <c r="A437" i="61"/>
  <c r="G436" i="61"/>
  <c r="A436" i="61"/>
  <c r="G435" i="61"/>
  <c r="A435" i="61"/>
  <c r="G434" i="61"/>
  <c r="A434" i="61"/>
  <c r="G433" i="61"/>
  <c r="A433" i="61"/>
  <c r="G432" i="61"/>
  <c r="A432" i="61"/>
  <c r="G431" i="61"/>
  <c r="A431" i="61"/>
  <c r="G430" i="61"/>
  <c r="A430" i="61"/>
  <c r="G429" i="61"/>
  <c r="A429" i="61"/>
  <c r="G428" i="61"/>
  <c r="A428" i="61"/>
  <c r="G427" i="61"/>
  <c r="A427" i="61"/>
  <c r="G426" i="61"/>
  <c r="A426" i="61"/>
  <c r="G425" i="61"/>
  <c r="A425" i="61"/>
  <c r="G424" i="61"/>
  <c r="A424" i="61"/>
  <c r="G423" i="61"/>
  <c r="A423" i="61"/>
  <c r="G422" i="61"/>
  <c r="A422" i="61"/>
  <c r="G421" i="61"/>
  <c r="A421" i="61"/>
  <c r="G420" i="61"/>
  <c r="A420" i="61"/>
  <c r="G419" i="61"/>
  <c r="A419" i="61"/>
  <c r="G418" i="61"/>
  <c r="A418" i="61"/>
  <c r="G417" i="61"/>
  <c r="A417" i="61"/>
  <c r="G416" i="61"/>
  <c r="A416" i="61"/>
  <c r="G415" i="61"/>
  <c r="A415" i="61"/>
  <c r="G414" i="61"/>
  <c r="A414" i="61"/>
  <c r="G413" i="61"/>
  <c r="A413" i="61"/>
  <c r="G412" i="61"/>
  <c r="A412" i="61"/>
  <c r="G411" i="61"/>
  <c r="A411" i="61"/>
  <c r="G410" i="61"/>
  <c r="A410" i="61"/>
  <c r="G409" i="61"/>
  <c r="A409" i="61"/>
  <c r="G408" i="61"/>
  <c r="A408" i="61"/>
  <c r="G407" i="61"/>
  <c r="A407" i="61"/>
  <c r="G406" i="61"/>
  <c r="A406" i="61"/>
  <c r="G405" i="61"/>
  <c r="A405" i="61"/>
  <c r="G404" i="61"/>
  <c r="A404" i="61"/>
  <c r="G403" i="61"/>
  <c r="A403" i="61"/>
  <c r="G402" i="61"/>
  <c r="A402" i="61"/>
  <c r="G401" i="61"/>
  <c r="A401" i="61"/>
  <c r="G400" i="61"/>
  <c r="A400" i="61"/>
  <c r="G399" i="61"/>
  <c r="A399" i="61"/>
  <c r="G398" i="61"/>
  <c r="A398" i="61"/>
  <c r="G397" i="61"/>
  <c r="A397" i="61"/>
  <c r="G396" i="61"/>
  <c r="A396" i="61"/>
  <c r="G395" i="61"/>
  <c r="A395" i="61"/>
  <c r="G394" i="61"/>
  <c r="A394" i="61"/>
  <c r="G393" i="61"/>
  <c r="A393" i="61"/>
  <c r="G392" i="61"/>
  <c r="A392" i="61"/>
  <c r="I282" i="61" l="1"/>
  <c r="K282" i="61" s="1"/>
  <c r="I286" i="61"/>
  <c r="K286" i="61" s="1"/>
  <c r="I290" i="61"/>
  <c r="K290" i="61" s="1"/>
  <c r="I294" i="61"/>
  <c r="K294" i="61" s="1"/>
  <c r="I298" i="61"/>
  <c r="K298" i="61" s="1"/>
  <c r="I302" i="61"/>
  <c r="K302" i="61" s="1"/>
  <c r="I306" i="61"/>
  <c r="K306" i="61" s="1"/>
  <c r="I310" i="61"/>
  <c r="K310" i="61" s="1"/>
  <c r="I314" i="61"/>
  <c r="K314" i="61" s="1"/>
  <c r="I318" i="61"/>
  <c r="K318" i="61" s="1"/>
  <c r="I322" i="61"/>
  <c r="K322" i="61" s="1"/>
  <c r="I326" i="61"/>
  <c r="K326" i="61" s="1"/>
  <c r="I330" i="61"/>
  <c r="K330" i="61" s="1"/>
  <c r="I334" i="61"/>
  <c r="K334" i="61" s="1"/>
  <c r="I338" i="61"/>
  <c r="K338" i="61" s="1"/>
  <c r="I342" i="61"/>
  <c r="K342" i="61" s="1"/>
  <c r="I349" i="61"/>
  <c r="K349" i="61" s="1"/>
  <c r="I353" i="61"/>
  <c r="K353" i="61" s="1"/>
  <c r="I357" i="61"/>
  <c r="K357" i="61" s="1"/>
  <c r="I361" i="61"/>
  <c r="K361" i="61" s="1"/>
  <c r="I111" i="61"/>
  <c r="I320" i="61"/>
  <c r="K320" i="61" s="1"/>
  <c r="I324" i="61"/>
  <c r="K324" i="61" s="1"/>
  <c r="I365" i="61"/>
  <c r="K365" i="61" s="1"/>
  <c r="I369" i="61"/>
  <c r="K369" i="61" s="1"/>
  <c r="I373" i="61"/>
  <c r="K373" i="61" s="1"/>
  <c r="I377" i="61"/>
  <c r="K377" i="61" s="1"/>
  <c r="I381" i="61"/>
  <c r="K381" i="61" s="1"/>
  <c r="I385" i="61"/>
  <c r="K385" i="61" s="1"/>
  <c r="I389" i="61"/>
  <c r="K389" i="61" s="1"/>
  <c r="I393" i="61"/>
  <c r="K393" i="61" s="1"/>
  <c r="I397" i="61"/>
  <c r="K397" i="61" s="1"/>
  <c r="I401" i="61"/>
  <c r="K401" i="61" s="1"/>
  <c r="I405" i="61"/>
  <c r="K405" i="61" s="1"/>
  <c r="I409" i="61"/>
  <c r="K409" i="61" s="1"/>
  <c r="I413" i="61"/>
  <c r="K413" i="61" s="1"/>
  <c r="I417" i="61"/>
  <c r="K417" i="61" s="1"/>
  <c r="I421" i="61"/>
  <c r="K421" i="61" s="1"/>
  <c r="I425" i="61"/>
  <c r="K425" i="61" s="1"/>
  <c r="I429" i="61"/>
  <c r="K429" i="61" s="1"/>
  <c r="I433" i="61"/>
  <c r="K433" i="61" s="1"/>
  <c r="I436" i="61"/>
  <c r="K436" i="61" s="1"/>
  <c r="I440" i="61"/>
  <c r="K440" i="61" s="1"/>
  <c r="I444" i="61"/>
  <c r="K444" i="61" s="1"/>
  <c r="I448" i="61"/>
  <c r="K448" i="61" s="1"/>
  <c r="I452" i="61"/>
  <c r="K452" i="61" s="1"/>
  <c r="I456" i="61"/>
  <c r="K456" i="61" s="1"/>
  <c r="I460" i="61"/>
  <c r="K460" i="61" s="1"/>
  <c r="I464" i="61"/>
  <c r="K464" i="61" s="1"/>
  <c r="I468" i="61"/>
  <c r="K468" i="61" s="1"/>
  <c r="I472" i="61"/>
  <c r="K472" i="61" s="1"/>
  <c r="I476" i="61"/>
  <c r="K476" i="61" s="1"/>
  <c r="I480" i="61"/>
  <c r="K480" i="61" s="1"/>
  <c r="I484" i="61"/>
  <c r="K484" i="61" s="1"/>
  <c r="I488" i="61"/>
  <c r="K488" i="61" s="1"/>
  <c r="I492" i="61"/>
  <c r="K492" i="61" s="1"/>
  <c r="I496" i="61"/>
  <c r="K496" i="61" s="1"/>
  <c r="I500" i="61"/>
  <c r="K500" i="61" s="1"/>
  <c r="I504" i="61"/>
  <c r="I508" i="61"/>
  <c r="I512" i="61"/>
  <c r="I516" i="61"/>
  <c r="I520" i="61"/>
  <c r="I524" i="61"/>
  <c r="I528" i="61"/>
  <c r="I532" i="61"/>
  <c r="I536" i="61"/>
  <c r="I540" i="61"/>
  <c r="I544" i="61"/>
  <c r="I548" i="61"/>
  <c r="I552" i="61"/>
  <c r="I556" i="61"/>
  <c r="I560" i="61"/>
  <c r="I564" i="61"/>
  <c r="I568" i="61"/>
  <c r="I572" i="61"/>
  <c r="I576" i="61"/>
  <c r="I580" i="61"/>
  <c r="I584" i="61"/>
  <c r="I588" i="61"/>
  <c r="I592" i="61"/>
  <c r="I596" i="61"/>
  <c r="I600" i="61"/>
  <c r="I604" i="61"/>
  <c r="I608" i="61"/>
  <c r="I612" i="61"/>
  <c r="I616" i="61"/>
  <c r="I620" i="61"/>
  <c r="I624" i="61"/>
  <c r="I628" i="61"/>
  <c r="I632" i="61"/>
  <c r="I636" i="61"/>
  <c r="I640" i="61"/>
  <c r="I644" i="61"/>
  <c r="I648" i="61"/>
  <c r="I652" i="61"/>
  <c r="I656" i="61"/>
  <c r="I660" i="61"/>
  <c r="I664" i="61"/>
  <c r="I668" i="61"/>
  <c r="I672" i="61"/>
  <c r="I676" i="61"/>
  <c r="I680" i="61"/>
  <c r="I684" i="61"/>
  <c r="I688" i="61"/>
  <c r="I692" i="61"/>
  <c r="I697" i="61"/>
  <c r="I701" i="61"/>
  <c r="I284" i="61"/>
  <c r="K284" i="61" s="1"/>
  <c r="I288" i="61"/>
  <c r="K288" i="61" s="1"/>
  <c r="I292" i="61"/>
  <c r="K292" i="61" s="1"/>
  <c r="I296" i="61"/>
  <c r="K296" i="61" s="1"/>
  <c r="I300" i="61"/>
  <c r="K300" i="61" s="1"/>
  <c r="I304" i="61"/>
  <c r="K304" i="61" s="1"/>
  <c r="I308" i="61"/>
  <c r="K308" i="61" s="1"/>
  <c r="I312" i="61"/>
  <c r="K312" i="61" s="1"/>
  <c r="I316" i="61"/>
  <c r="K316" i="61" s="1"/>
  <c r="I705" i="61"/>
  <c r="I709" i="61"/>
  <c r="I713" i="61"/>
  <c r="I717" i="61"/>
  <c r="I721" i="61"/>
  <c r="I725" i="61"/>
  <c r="I729" i="61"/>
  <c r="I733" i="61"/>
  <c r="I737" i="61"/>
  <c r="I741" i="61"/>
  <c r="I745" i="61"/>
  <c r="I749" i="61"/>
  <c r="I753" i="61"/>
  <c r="I757" i="61"/>
  <c r="I761" i="61"/>
  <c r="I765" i="61"/>
  <c r="I769" i="61"/>
  <c r="I773" i="61"/>
  <c r="I777" i="61"/>
  <c r="I781" i="61"/>
  <c r="I785" i="61"/>
  <c r="I789" i="61"/>
  <c r="I793" i="61"/>
  <c r="I797" i="61"/>
  <c r="I801" i="61"/>
  <c r="I805" i="61"/>
  <c r="I809" i="61"/>
  <c r="I816" i="61"/>
  <c r="I820" i="61"/>
  <c r="I824" i="61"/>
  <c r="I828" i="61"/>
  <c r="I832" i="61"/>
  <c r="I836" i="61"/>
  <c r="I840" i="61"/>
  <c r="I844" i="61"/>
  <c r="I848" i="61"/>
  <c r="I852" i="61"/>
  <c r="I856" i="61"/>
  <c r="I860" i="61"/>
  <c r="I864" i="61"/>
  <c r="I868" i="61"/>
  <c r="I872" i="61"/>
  <c r="I876" i="61"/>
  <c r="I880" i="61"/>
  <c r="I884" i="61"/>
  <c r="I888" i="61"/>
  <c r="I892" i="61"/>
  <c r="I896" i="61"/>
  <c r="I900" i="61"/>
  <c r="I904" i="61"/>
  <c r="I908" i="61"/>
  <c r="I912" i="61"/>
  <c r="I916" i="61"/>
  <c r="I920" i="61"/>
  <c r="I924" i="61"/>
  <c r="I928" i="61"/>
  <c r="I932" i="61"/>
  <c r="I936" i="61"/>
  <c r="I940" i="61"/>
  <c r="I944" i="61"/>
  <c r="I948" i="61"/>
  <c r="I952" i="61"/>
  <c r="I956" i="61"/>
  <c r="I960" i="61"/>
  <c r="I964" i="61"/>
  <c r="I968" i="61"/>
  <c r="I972" i="61"/>
  <c r="I976" i="61"/>
  <c r="I980" i="61"/>
  <c r="I984" i="61"/>
  <c r="I988" i="61"/>
  <c r="I992" i="61"/>
  <c r="I996" i="61"/>
  <c r="I1000" i="61"/>
  <c r="I1004" i="61"/>
  <c r="I1008" i="61"/>
  <c r="I1012" i="61"/>
  <c r="I1016" i="61"/>
  <c r="I1020" i="61"/>
  <c r="I1024" i="61"/>
  <c r="I1028" i="61"/>
  <c r="I1032" i="61"/>
  <c r="I1036" i="61"/>
  <c r="I328" i="61"/>
  <c r="K328" i="61" s="1"/>
  <c r="I332" i="61"/>
  <c r="K332" i="61" s="1"/>
  <c r="I336" i="61"/>
  <c r="K336" i="61" s="1"/>
  <c r="I340" i="61"/>
  <c r="K340" i="61" s="1"/>
  <c r="I344" i="61"/>
  <c r="K344" i="61" s="1"/>
  <c r="I347" i="61"/>
  <c r="K347" i="61" s="1"/>
  <c r="I351" i="61"/>
  <c r="K351" i="61" s="1"/>
  <c r="I355" i="61"/>
  <c r="K355" i="61" s="1"/>
  <c r="I359" i="61"/>
  <c r="K359" i="61" s="1"/>
  <c r="I363" i="61"/>
  <c r="K363" i="61" s="1"/>
  <c r="I367" i="61"/>
  <c r="K367" i="61" s="1"/>
  <c r="I371" i="61"/>
  <c r="K371" i="61" s="1"/>
  <c r="I375" i="61"/>
  <c r="K375" i="61" s="1"/>
  <c r="I379" i="61"/>
  <c r="K379" i="61" s="1"/>
  <c r="I383" i="61"/>
  <c r="K383" i="61" s="1"/>
  <c r="I387" i="61"/>
  <c r="K387" i="61" s="1"/>
  <c r="I391" i="61"/>
  <c r="K391" i="61" s="1"/>
  <c r="I395" i="61"/>
  <c r="K395" i="61" s="1"/>
  <c r="I399" i="61"/>
  <c r="K399" i="61" s="1"/>
  <c r="I403" i="61"/>
  <c r="K403" i="61" s="1"/>
  <c r="I407" i="61"/>
  <c r="K407" i="61" s="1"/>
  <c r="I411" i="61"/>
  <c r="K411" i="61" s="1"/>
  <c r="I415" i="61"/>
  <c r="K415" i="61" s="1"/>
  <c r="I419" i="61"/>
  <c r="K419" i="61" s="1"/>
  <c r="I423" i="61"/>
  <c r="K423" i="61" s="1"/>
  <c r="I427" i="61"/>
  <c r="K427" i="61" s="1"/>
  <c r="I431" i="61"/>
  <c r="K431" i="61" s="1"/>
  <c r="I438" i="61"/>
  <c r="K438" i="61" s="1"/>
  <c r="I442" i="61"/>
  <c r="K442" i="61" s="1"/>
  <c r="I446" i="61"/>
  <c r="K446" i="61" s="1"/>
  <c r="I450" i="61"/>
  <c r="K450" i="61" s="1"/>
  <c r="I454" i="61"/>
  <c r="K454" i="61" s="1"/>
  <c r="I458" i="61"/>
  <c r="K458" i="61" s="1"/>
  <c r="I462" i="61"/>
  <c r="K462" i="61" s="1"/>
  <c r="I466" i="61"/>
  <c r="K466" i="61" s="1"/>
  <c r="I470" i="61"/>
  <c r="K470" i="61" s="1"/>
  <c r="I474" i="61"/>
  <c r="K474" i="61" s="1"/>
  <c r="I478" i="61"/>
  <c r="K478" i="61" s="1"/>
  <c r="I482" i="61"/>
  <c r="K482" i="61" s="1"/>
  <c r="I486" i="61"/>
  <c r="K486" i="61" s="1"/>
  <c r="I490" i="61"/>
  <c r="K490" i="61" s="1"/>
  <c r="I494" i="61"/>
  <c r="K494" i="61" s="1"/>
  <c r="I498" i="61"/>
  <c r="K498" i="61" s="1"/>
  <c r="I502" i="61"/>
  <c r="I506" i="61"/>
  <c r="I510" i="61"/>
  <c r="I514" i="61"/>
  <c r="I518" i="61"/>
  <c r="I522" i="61"/>
  <c r="I526" i="61"/>
  <c r="I530" i="61"/>
  <c r="I534" i="61"/>
  <c r="I538" i="61"/>
  <c r="I542" i="61"/>
  <c r="I546" i="61"/>
  <c r="I550" i="61"/>
  <c r="I554" i="61"/>
  <c r="I558" i="61"/>
  <c r="I562" i="61"/>
  <c r="I566" i="61"/>
  <c r="I570" i="61"/>
  <c r="I574" i="61"/>
  <c r="I578" i="61"/>
  <c r="I582" i="61"/>
  <c r="I586" i="61"/>
  <c r="I590" i="61"/>
  <c r="I594" i="61"/>
  <c r="I598" i="61"/>
  <c r="I602" i="61"/>
  <c r="I606" i="61"/>
  <c r="I610" i="61"/>
  <c r="I614" i="61"/>
  <c r="I618" i="61"/>
  <c r="I622" i="61"/>
  <c r="I626" i="61"/>
  <c r="I630" i="61"/>
  <c r="I634" i="61"/>
  <c r="I638" i="61"/>
  <c r="I642" i="61"/>
  <c r="I646" i="61"/>
  <c r="I650" i="61"/>
  <c r="I654" i="61"/>
  <c r="I658" i="61"/>
  <c r="I662" i="61"/>
  <c r="I666" i="61"/>
  <c r="I670" i="61"/>
  <c r="I674" i="61"/>
  <c r="I678" i="61"/>
  <c r="I682" i="61"/>
  <c r="I686" i="61"/>
  <c r="I690" i="61"/>
  <c r="I695" i="61"/>
  <c r="I699" i="61"/>
  <c r="I703" i="61"/>
  <c r="I707" i="61"/>
  <c r="I711" i="61"/>
  <c r="I715" i="61"/>
  <c r="I719" i="61"/>
  <c r="I723" i="61"/>
  <c r="I727" i="61"/>
  <c r="I731" i="61"/>
  <c r="I735" i="61"/>
  <c r="I739" i="61"/>
  <c r="I743" i="61"/>
  <c r="I747" i="61"/>
  <c r="I751" i="61"/>
  <c r="I755" i="61"/>
  <c r="I759" i="61"/>
  <c r="I763" i="61"/>
  <c r="I767" i="61"/>
  <c r="I771" i="61"/>
  <c r="I775" i="61"/>
  <c r="I779" i="61"/>
  <c r="I783" i="61"/>
  <c r="I787" i="61"/>
  <c r="I791" i="61"/>
  <c r="I795" i="61"/>
  <c r="I799" i="61"/>
  <c r="I803" i="61"/>
  <c r="I807" i="61"/>
  <c r="I811" i="61"/>
  <c r="I814" i="61"/>
  <c r="I818" i="61"/>
  <c r="I822" i="61"/>
  <c r="I826" i="61"/>
  <c r="I830" i="61"/>
  <c r="I834" i="61"/>
  <c r="I838" i="61"/>
  <c r="I842" i="61"/>
  <c r="I846" i="61"/>
  <c r="I850" i="61"/>
  <c r="I854" i="61"/>
  <c r="I858" i="61"/>
  <c r="I862" i="61"/>
  <c r="I866" i="61"/>
  <c r="I870" i="61"/>
  <c r="I874" i="61"/>
  <c r="I878" i="61"/>
  <c r="I882" i="61"/>
  <c r="I886" i="61"/>
  <c r="I890" i="61"/>
  <c r="I894" i="61"/>
  <c r="I898" i="61"/>
  <c r="I902" i="61"/>
  <c r="I906" i="61"/>
  <c r="I910" i="61"/>
  <c r="I914" i="61"/>
  <c r="I918" i="61"/>
  <c r="I922" i="61"/>
  <c r="I926" i="61"/>
  <c r="I930" i="61"/>
  <c r="I934" i="61"/>
  <c r="I938" i="61"/>
  <c r="I942" i="61"/>
  <c r="I946" i="61"/>
  <c r="I1040" i="61"/>
  <c r="I1044" i="61"/>
  <c r="I1048" i="61"/>
  <c r="I1052" i="61"/>
  <c r="I1056" i="61"/>
  <c r="I1060" i="61"/>
  <c r="I1064" i="61"/>
  <c r="I1068" i="61"/>
  <c r="I1072" i="61"/>
  <c r="I1076" i="61"/>
  <c r="I1080" i="61"/>
  <c r="I1084" i="61"/>
  <c r="I1088" i="61"/>
  <c r="I1092" i="61"/>
  <c r="I1096" i="61"/>
  <c r="I1100" i="61"/>
  <c r="I1104" i="61"/>
  <c r="I1108" i="61"/>
  <c r="I1112" i="61"/>
  <c r="I1116" i="61"/>
  <c r="I1120" i="61"/>
  <c r="I1124" i="61"/>
  <c r="I1128" i="61"/>
  <c r="I1132" i="61"/>
  <c r="I1136" i="61"/>
  <c r="I1140" i="61"/>
  <c r="I1144" i="61"/>
  <c r="I1151" i="61"/>
  <c r="I1155" i="61"/>
  <c r="I1159" i="61"/>
  <c r="I1163" i="61"/>
  <c r="I1167" i="61"/>
  <c r="I1171" i="61"/>
  <c r="I1175" i="61"/>
  <c r="I1179" i="61"/>
  <c r="I1183" i="61"/>
  <c r="I1187" i="61"/>
  <c r="I1189" i="61"/>
  <c r="I1193" i="61"/>
  <c r="I1228" i="61"/>
  <c r="I1232" i="61"/>
  <c r="I1236" i="61"/>
  <c r="I1240" i="61"/>
  <c r="I1244" i="61"/>
  <c r="I1248" i="61"/>
  <c r="I1252" i="61"/>
  <c r="I1260" i="61"/>
  <c r="I1270" i="61"/>
  <c r="I1274" i="61"/>
  <c r="I1278" i="61"/>
  <c r="I950" i="61"/>
  <c r="I954" i="61"/>
  <c r="I958" i="61"/>
  <c r="I962" i="61"/>
  <c r="I966" i="61"/>
  <c r="I970" i="61"/>
  <c r="I974" i="61"/>
  <c r="I978" i="61"/>
  <c r="I982" i="61"/>
  <c r="I986" i="61"/>
  <c r="I990" i="61"/>
  <c r="I994" i="61"/>
  <c r="I998" i="61"/>
  <c r="I1002" i="61"/>
  <c r="I1006" i="61"/>
  <c r="I1010" i="61"/>
  <c r="I1014" i="61"/>
  <c r="I1018" i="61"/>
  <c r="I1022" i="61"/>
  <c r="I1026" i="61"/>
  <c r="I1030" i="61"/>
  <c r="I1034" i="61"/>
  <c r="I1038" i="61"/>
  <c r="I1042" i="61"/>
  <c r="I1046" i="61"/>
  <c r="I1050" i="61"/>
  <c r="I1054" i="61"/>
  <c r="I1058" i="61"/>
  <c r="I1062" i="61"/>
  <c r="I1066" i="61"/>
  <c r="I1070" i="61"/>
  <c r="I1074" i="61"/>
  <c r="I1078" i="61"/>
  <c r="I1082" i="61"/>
  <c r="I1086" i="61"/>
  <c r="I1090" i="61"/>
  <c r="I1094" i="61"/>
  <c r="I1098" i="61"/>
  <c r="I1102" i="61"/>
  <c r="I1106" i="61"/>
  <c r="I1110" i="61"/>
  <c r="I1114" i="61"/>
  <c r="I1118" i="61"/>
  <c r="I1122" i="61"/>
  <c r="I1126" i="61"/>
  <c r="I1130" i="61"/>
  <c r="I1134" i="61"/>
  <c r="I1138" i="61"/>
  <c r="I1142" i="61"/>
  <c r="I1146" i="61"/>
  <c r="I1149" i="61"/>
  <c r="I1153" i="61"/>
  <c r="I1157" i="61"/>
  <c r="I1161" i="61"/>
  <c r="I1165" i="61"/>
  <c r="I1169" i="61"/>
  <c r="I1173" i="61"/>
  <c r="I1177" i="61"/>
  <c r="I1181" i="61"/>
  <c r="I1185" i="61"/>
  <c r="I1191" i="61"/>
  <c r="I1195" i="61"/>
  <c r="I1230" i="61"/>
  <c r="I1234" i="61"/>
  <c r="I1238" i="61"/>
  <c r="I1242" i="61"/>
  <c r="I1246" i="61"/>
  <c r="I1250" i="61"/>
  <c r="I1258" i="61"/>
  <c r="I1262" i="61"/>
  <c r="I1265" i="61"/>
  <c r="I1268" i="61"/>
  <c r="I1272" i="61"/>
  <c r="I1276" i="61"/>
  <c r="I1251" i="61"/>
  <c r="I1259" i="61"/>
  <c r="I1263" i="61"/>
  <c r="I1266" i="61"/>
  <c r="I1269" i="61"/>
  <c r="I1273" i="61"/>
  <c r="I1277" i="61"/>
  <c r="I106" i="61"/>
  <c r="I283" i="61"/>
  <c r="K283" i="61" s="1"/>
  <c r="I287" i="61"/>
  <c r="K287" i="61" s="1"/>
  <c r="I291" i="61"/>
  <c r="K291" i="61" s="1"/>
  <c r="I295" i="61"/>
  <c r="K295" i="61" s="1"/>
  <c r="I299" i="61"/>
  <c r="K299" i="61" s="1"/>
  <c r="I303" i="61"/>
  <c r="K303" i="61" s="1"/>
  <c r="I307" i="61"/>
  <c r="K307" i="61" s="1"/>
  <c r="I311" i="61"/>
  <c r="K311" i="61" s="1"/>
  <c r="I315" i="61"/>
  <c r="K315" i="61" s="1"/>
  <c r="I319" i="61"/>
  <c r="K319" i="61" s="1"/>
  <c r="I323" i="61"/>
  <c r="K323" i="61" s="1"/>
  <c r="I327" i="61"/>
  <c r="K327" i="61" s="1"/>
  <c r="I331" i="61"/>
  <c r="K331" i="61" s="1"/>
  <c r="I335" i="61"/>
  <c r="K335" i="61" s="1"/>
  <c r="I339" i="61"/>
  <c r="K339" i="61" s="1"/>
  <c r="I343" i="61"/>
  <c r="K343" i="61" s="1"/>
  <c r="I346" i="61"/>
  <c r="K346" i="61" s="1"/>
  <c r="I350" i="61"/>
  <c r="K350" i="61" s="1"/>
  <c r="I354" i="61"/>
  <c r="K354" i="61" s="1"/>
  <c r="I358" i="61"/>
  <c r="K358" i="61" s="1"/>
  <c r="I362" i="61"/>
  <c r="K362" i="61" s="1"/>
  <c r="I366" i="61"/>
  <c r="K366" i="61" s="1"/>
  <c r="I370" i="61"/>
  <c r="K370" i="61" s="1"/>
  <c r="I374" i="61"/>
  <c r="K374" i="61" s="1"/>
  <c r="I378" i="61"/>
  <c r="K378" i="61" s="1"/>
  <c r="I382" i="61"/>
  <c r="K382" i="61" s="1"/>
  <c r="I386" i="61"/>
  <c r="K386" i="61" s="1"/>
  <c r="I390" i="61"/>
  <c r="K390" i="61" s="1"/>
  <c r="I394" i="61"/>
  <c r="K394" i="61" s="1"/>
  <c r="I398" i="61"/>
  <c r="K398" i="61" s="1"/>
  <c r="I402" i="61"/>
  <c r="K402" i="61" s="1"/>
  <c r="I406" i="61"/>
  <c r="K406" i="61" s="1"/>
  <c r="I410" i="61"/>
  <c r="K410" i="61" s="1"/>
  <c r="I414" i="61"/>
  <c r="K414" i="61" s="1"/>
  <c r="I418" i="61"/>
  <c r="K418" i="61" s="1"/>
  <c r="I422" i="61"/>
  <c r="K422" i="61" s="1"/>
  <c r="I426" i="61"/>
  <c r="K426" i="61" s="1"/>
  <c r="I430" i="61"/>
  <c r="K430" i="61" s="1"/>
  <c r="I434" i="61"/>
  <c r="K434" i="61" s="1"/>
  <c r="I437" i="61"/>
  <c r="K437" i="61" s="1"/>
  <c r="I441" i="61"/>
  <c r="K441" i="61" s="1"/>
  <c r="I445" i="61"/>
  <c r="K445" i="61" s="1"/>
  <c r="I449" i="61"/>
  <c r="K449" i="61" s="1"/>
  <c r="I453" i="61"/>
  <c r="K453" i="61" s="1"/>
  <c r="I457" i="61"/>
  <c r="K457" i="61" s="1"/>
  <c r="I461" i="61"/>
  <c r="K461" i="61" s="1"/>
  <c r="I465" i="61"/>
  <c r="K465" i="61" s="1"/>
  <c r="I469" i="61"/>
  <c r="K469" i="61" s="1"/>
  <c r="I473" i="61"/>
  <c r="K473" i="61" s="1"/>
  <c r="I477" i="61"/>
  <c r="K477" i="61" s="1"/>
  <c r="I481" i="61"/>
  <c r="K481" i="61" s="1"/>
  <c r="I485" i="61"/>
  <c r="K485" i="61" s="1"/>
  <c r="I489" i="61"/>
  <c r="K489" i="61" s="1"/>
  <c r="I493" i="61"/>
  <c r="K493" i="61" s="1"/>
  <c r="I497" i="61"/>
  <c r="K497" i="61" s="1"/>
  <c r="I501" i="61"/>
  <c r="I505" i="61"/>
  <c r="I509" i="61"/>
  <c r="I513" i="61"/>
  <c r="I517" i="61"/>
  <c r="I521" i="61"/>
  <c r="I525" i="61"/>
  <c r="I529" i="61"/>
  <c r="I533" i="61"/>
  <c r="I537" i="61"/>
  <c r="I541" i="61"/>
  <c r="I545" i="61"/>
  <c r="I549" i="61"/>
  <c r="I553" i="61"/>
  <c r="I557" i="61"/>
  <c r="I561" i="61"/>
  <c r="I565" i="61"/>
  <c r="I569" i="61"/>
  <c r="I573" i="61"/>
  <c r="I577" i="61"/>
  <c r="I581" i="61"/>
  <c r="I585" i="61"/>
  <c r="I589" i="61"/>
  <c r="I593" i="61"/>
  <c r="I597" i="61"/>
  <c r="I601" i="61"/>
  <c r="I605" i="61"/>
  <c r="I609" i="61"/>
  <c r="I613" i="61"/>
  <c r="I617" i="61"/>
  <c r="I621" i="61"/>
  <c r="I625" i="61"/>
  <c r="I629" i="61"/>
  <c r="I633" i="61"/>
  <c r="I637" i="61"/>
  <c r="I641" i="61"/>
  <c r="I645" i="61"/>
  <c r="I649" i="61"/>
  <c r="I653" i="61"/>
  <c r="I657" i="61"/>
  <c r="I661" i="61"/>
  <c r="I665" i="61"/>
  <c r="I669" i="61"/>
  <c r="I673" i="61"/>
  <c r="I677" i="61"/>
  <c r="I681" i="61"/>
  <c r="I685" i="61"/>
  <c r="I689" i="61"/>
  <c r="I694" i="61"/>
  <c r="I698" i="61"/>
  <c r="I702" i="61"/>
  <c r="I706" i="61"/>
  <c r="I710" i="61"/>
  <c r="I714" i="61"/>
  <c r="I718" i="61"/>
  <c r="I722" i="61"/>
  <c r="I726" i="61"/>
  <c r="I730" i="61"/>
  <c r="I734" i="61"/>
  <c r="I738" i="61"/>
  <c r="I742" i="61"/>
  <c r="I746" i="61"/>
  <c r="I750" i="61"/>
  <c r="I754" i="61"/>
  <c r="I758" i="61"/>
  <c r="I762" i="61"/>
  <c r="I766" i="61"/>
  <c r="I770" i="61"/>
  <c r="I774" i="61"/>
  <c r="I778" i="61"/>
  <c r="I782" i="61"/>
  <c r="I786" i="61"/>
  <c r="I790" i="61"/>
  <c r="I794" i="61"/>
  <c r="I798" i="61"/>
  <c r="I802" i="61"/>
  <c r="I806" i="61"/>
  <c r="I810" i="61"/>
  <c r="I813" i="61"/>
  <c r="I817" i="61"/>
  <c r="I821" i="61"/>
  <c r="I825" i="61"/>
  <c r="I829" i="61"/>
  <c r="I833" i="61"/>
  <c r="I837" i="61"/>
  <c r="I841" i="61"/>
  <c r="I845" i="61"/>
  <c r="I849" i="61"/>
  <c r="I853" i="61"/>
  <c r="I857" i="61"/>
  <c r="I861" i="61"/>
  <c r="I865" i="61"/>
  <c r="I869" i="61"/>
  <c r="I873" i="61"/>
  <c r="I877" i="61"/>
  <c r="I881" i="61"/>
  <c r="I885" i="61"/>
  <c r="I889" i="61"/>
  <c r="I893" i="61"/>
  <c r="I897" i="61"/>
  <c r="I901" i="61"/>
  <c r="I905" i="61"/>
  <c r="I909" i="61"/>
  <c r="I913" i="61"/>
  <c r="I917" i="61"/>
  <c r="I921" i="61"/>
  <c r="I925" i="61"/>
  <c r="I929" i="61"/>
  <c r="I933" i="61"/>
  <c r="I937" i="61"/>
  <c r="I941" i="61"/>
  <c r="I945" i="61"/>
  <c r="I949" i="61"/>
  <c r="I953" i="61"/>
  <c r="I957" i="61"/>
  <c r="I961" i="61"/>
  <c r="I965" i="61"/>
  <c r="I969" i="61"/>
  <c r="I973" i="61"/>
  <c r="I977" i="61"/>
  <c r="I981" i="61"/>
  <c r="I985" i="61"/>
  <c r="I989" i="61"/>
  <c r="I993" i="61"/>
  <c r="I997" i="61"/>
  <c r="I1001" i="61"/>
  <c r="I1005" i="61"/>
  <c r="I1009" i="61"/>
  <c r="I1013" i="61"/>
  <c r="I1017" i="61"/>
  <c r="I1021" i="61"/>
  <c r="I1025" i="61"/>
  <c r="I1029" i="61"/>
  <c r="I1033" i="61"/>
  <c r="I1037" i="61"/>
  <c r="I1041" i="61"/>
  <c r="I1045" i="61"/>
  <c r="I1049" i="61"/>
  <c r="I1053" i="61"/>
  <c r="I1057" i="61"/>
  <c r="I1061" i="61"/>
  <c r="I1065" i="61"/>
  <c r="I1069" i="61"/>
  <c r="I1073" i="61"/>
  <c r="I1077" i="61"/>
  <c r="I1081" i="61"/>
  <c r="I1085" i="61"/>
  <c r="I1089" i="61"/>
  <c r="I1093" i="61"/>
  <c r="I1097" i="61"/>
  <c r="I1101" i="61"/>
  <c r="I1105" i="61"/>
  <c r="I1109" i="61"/>
  <c r="I1113" i="61"/>
  <c r="I1117" i="61"/>
  <c r="I1121" i="61"/>
  <c r="I1125" i="61"/>
  <c r="I1129" i="61"/>
  <c r="I1133" i="61"/>
  <c r="I1137" i="61"/>
  <c r="I1141" i="61"/>
  <c r="I1145" i="61"/>
  <c r="I1148" i="61"/>
  <c r="I1152" i="61"/>
  <c r="I1156" i="61"/>
  <c r="I1160" i="61"/>
  <c r="I1164" i="61"/>
  <c r="I1168" i="61"/>
  <c r="I1172" i="61"/>
  <c r="I1176" i="61"/>
  <c r="I1180" i="61"/>
  <c r="I1184" i="61"/>
  <c r="I1188" i="61"/>
  <c r="I1190" i="61"/>
  <c r="I1194" i="61"/>
  <c r="I1229" i="61"/>
  <c r="I1233" i="61"/>
  <c r="I1237" i="61"/>
  <c r="I1241" i="61"/>
  <c r="I1245" i="61"/>
  <c r="I1249" i="61"/>
  <c r="I1253" i="61"/>
  <c r="I1261" i="61"/>
  <c r="I1264" i="61"/>
  <c r="I1267" i="61"/>
  <c r="I1271" i="61"/>
  <c r="I1275" i="61"/>
  <c r="I281" i="61"/>
  <c r="I285" i="61"/>
  <c r="K285" i="61" s="1"/>
  <c r="I289" i="61"/>
  <c r="K289" i="61" s="1"/>
  <c r="I293" i="61"/>
  <c r="K293" i="61" s="1"/>
  <c r="I297" i="61"/>
  <c r="K297" i="61" s="1"/>
  <c r="I301" i="61"/>
  <c r="K301" i="61" s="1"/>
  <c r="I305" i="61"/>
  <c r="K305" i="61" s="1"/>
  <c r="I309" i="61"/>
  <c r="K309" i="61" s="1"/>
  <c r="I313" i="61"/>
  <c r="K313" i="61" s="1"/>
  <c r="I317" i="61"/>
  <c r="K317" i="61" s="1"/>
  <c r="I321" i="61"/>
  <c r="K321" i="61" s="1"/>
  <c r="I325" i="61"/>
  <c r="K325" i="61" s="1"/>
  <c r="I329" i="61"/>
  <c r="K329" i="61" s="1"/>
  <c r="I333" i="61"/>
  <c r="K333" i="61" s="1"/>
  <c r="I337" i="61"/>
  <c r="K337" i="61" s="1"/>
  <c r="I341" i="61"/>
  <c r="K341" i="61" s="1"/>
  <c r="I345" i="61"/>
  <c r="K345" i="61" s="1"/>
  <c r="I348" i="61"/>
  <c r="K348" i="61" s="1"/>
  <c r="I352" i="61"/>
  <c r="K352" i="61" s="1"/>
  <c r="I356" i="61"/>
  <c r="K356" i="61" s="1"/>
  <c r="I360" i="61"/>
  <c r="K360" i="61" s="1"/>
  <c r="I364" i="61"/>
  <c r="K364" i="61" s="1"/>
  <c r="I368" i="61"/>
  <c r="K368" i="61" s="1"/>
  <c r="I372" i="61"/>
  <c r="K372" i="61" s="1"/>
  <c r="I376" i="61"/>
  <c r="K376" i="61" s="1"/>
  <c r="I380" i="61"/>
  <c r="K380" i="61" s="1"/>
  <c r="I384" i="61"/>
  <c r="K384" i="61" s="1"/>
  <c r="I388" i="61"/>
  <c r="K388" i="61" s="1"/>
  <c r="I392" i="61"/>
  <c r="K392" i="61" s="1"/>
  <c r="I396" i="61"/>
  <c r="K396" i="61" s="1"/>
  <c r="I400" i="61"/>
  <c r="K400" i="61" s="1"/>
  <c r="I404" i="61"/>
  <c r="K404" i="61" s="1"/>
  <c r="I408" i="61"/>
  <c r="K408" i="61" s="1"/>
  <c r="I412" i="61"/>
  <c r="K412" i="61" s="1"/>
  <c r="I416" i="61"/>
  <c r="K416" i="61" s="1"/>
  <c r="I420" i="61"/>
  <c r="K420" i="61" s="1"/>
  <c r="I424" i="61"/>
  <c r="K424" i="61" s="1"/>
  <c r="I428" i="61"/>
  <c r="K428" i="61" s="1"/>
  <c r="I432" i="61"/>
  <c r="K432" i="61" s="1"/>
  <c r="I435" i="61"/>
  <c r="K435" i="61" s="1"/>
  <c r="I439" i="61"/>
  <c r="K439" i="61" s="1"/>
  <c r="I443" i="61"/>
  <c r="K443" i="61" s="1"/>
  <c r="I447" i="61"/>
  <c r="K447" i="61" s="1"/>
  <c r="I451" i="61"/>
  <c r="K451" i="61" s="1"/>
  <c r="I455" i="61"/>
  <c r="K455" i="61" s="1"/>
  <c r="I459" i="61"/>
  <c r="K459" i="61" s="1"/>
  <c r="I463" i="61"/>
  <c r="K463" i="61" s="1"/>
  <c r="I467" i="61"/>
  <c r="K467" i="61" s="1"/>
  <c r="I471" i="61"/>
  <c r="K471" i="61" s="1"/>
  <c r="I475" i="61"/>
  <c r="K475" i="61" s="1"/>
  <c r="I479" i="61"/>
  <c r="K479" i="61" s="1"/>
  <c r="I483" i="61"/>
  <c r="K483" i="61" s="1"/>
  <c r="I487" i="61"/>
  <c r="K487" i="61" s="1"/>
  <c r="I491" i="61"/>
  <c r="K491" i="61" s="1"/>
  <c r="I495" i="61"/>
  <c r="K495" i="61" s="1"/>
  <c r="I499" i="61"/>
  <c r="K499" i="61" s="1"/>
  <c r="I503" i="61"/>
  <c r="I507" i="61"/>
  <c r="I511" i="61"/>
  <c r="I515" i="61"/>
  <c r="I519" i="61"/>
  <c r="I523" i="61"/>
  <c r="I527" i="61"/>
  <c r="I531" i="61"/>
  <c r="I535" i="61"/>
  <c r="I539" i="61"/>
  <c r="I543" i="61"/>
  <c r="I547" i="61"/>
  <c r="I551" i="61"/>
  <c r="I555" i="61"/>
  <c r="I559" i="61"/>
  <c r="I563" i="61"/>
  <c r="I567" i="61"/>
  <c r="I571" i="61"/>
  <c r="I575" i="61"/>
  <c r="I579" i="61"/>
  <c r="I583" i="61"/>
  <c r="I587" i="61"/>
  <c r="I591" i="61"/>
  <c r="I595" i="61"/>
  <c r="I599" i="61"/>
  <c r="I603" i="61"/>
  <c r="I607" i="61"/>
  <c r="I611" i="61"/>
  <c r="I615" i="61"/>
  <c r="I619" i="61"/>
  <c r="I623" i="61"/>
  <c r="I627" i="61"/>
  <c r="I631" i="61"/>
  <c r="I635" i="61"/>
  <c r="I639" i="61"/>
  <c r="I643" i="61"/>
  <c r="I647" i="61"/>
  <c r="I651" i="61"/>
  <c r="I655" i="61"/>
  <c r="I659" i="61"/>
  <c r="I663" i="61"/>
  <c r="I667" i="61"/>
  <c r="I671" i="61"/>
  <c r="I675" i="61"/>
  <c r="I679" i="61"/>
  <c r="I683" i="61"/>
  <c r="I687" i="61"/>
  <c r="I691" i="61"/>
  <c r="I696" i="61"/>
  <c r="I700" i="61"/>
  <c r="I704" i="61"/>
  <c r="I708" i="61"/>
  <c r="I712" i="61"/>
  <c r="I716" i="61"/>
  <c r="I720" i="61"/>
  <c r="I724" i="61"/>
  <c r="I728" i="61"/>
  <c r="I732" i="61"/>
  <c r="I736" i="61"/>
  <c r="I740" i="61"/>
  <c r="I744" i="61"/>
  <c r="I748" i="61"/>
  <c r="I752" i="61"/>
  <c r="I756" i="61"/>
  <c r="I760" i="61"/>
  <c r="I764" i="61"/>
  <c r="I768" i="61"/>
  <c r="I772" i="61"/>
  <c r="I776" i="61"/>
  <c r="I780" i="61"/>
  <c r="I784" i="61"/>
  <c r="I788" i="61"/>
  <c r="I792" i="61"/>
  <c r="I796" i="61"/>
  <c r="I800" i="61"/>
  <c r="I804" i="61"/>
  <c r="I808" i="61"/>
  <c r="I812" i="61"/>
  <c r="I815" i="61"/>
  <c r="I819" i="61"/>
  <c r="I823" i="61"/>
  <c r="I827" i="61"/>
  <c r="I831" i="61"/>
  <c r="I835" i="61"/>
  <c r="I839" i="61"/>
  <c r="I843" i="61"/>
  <c r="I847" i="61"/>
  <c r="I851" i="61"/>
  <c r="I855" i="61"/>
  <c r="I859" i="61"/>
  <c r="I863" i="61"/>
  <c r="I867" i="61"/>
  <c r="I871" i="61"/>
  <c r="I875" i="61"/>
  <c r="I879" i="61"/>
  <c r="I883" i="61"/>
  <c r="I887" i="61"/>
  <c r="I891" i="61"/>
  <c r="I895" i="61"/>
  <c r="I899" i="61"/>
  <c r="I903" i="61"/>
  <c r="I907" i="61"/>
  <c r="I911" i="61"/>
  <c r="I915" i="61"/>
  <c r="I919" i="61"/>
  <c r="I923" i="61"/>
  <c r="I927" i="61"/>
  <c r="I931" i="61"/>
  <c r="I935" i="61"/>
  <c r="I939" i="61"/>
  <c r="I943" i="61"/>
  <c r="I947" i="61"/>
  <c r="I951" i="61"/>
  <c r="I955" i="61"/>
  <c r="I959" i="61"/>
  <c r="I963" i="61"/>
  <c r="I967" i="61"/>
  <c r="I971" i="61"/>
  <c r="I975" i="61"/>
  <c r="I979" i="61"/>
  <c r="I983" i="61"/>
  <c r="I987" i="61"/>
  <c r="I991" i="61"/>
  <c r="I995" i="61"/>
  <c r="I999" i="61"/>
  <c r="I1003" i="61"/>
  <c r="I1007" i="61"/>
  <c r="I1011" i="61"/>
  <c r="I1015" i="61"/>
  <c r="I1019" i="61"/>
  <c r="I1023" i="61"/>
  <c r="I1027" i="61"/>
  <c r="I1031" i="61"/>
  <c r="I1035" i="61"/>
  <c r="I1039" i="61"/>
  <c r="I1043" i="61"/>
  <c r="I1047" i="61"/>
  <c r="I1051" i="61"/>
  <c r="I1055" i="61"/>
  <c r="I1059" i="61"/>
  <c r="I1063" i="61"/>
  <c r="I1067" i="61"/>
  <c r="I1071" i="61"/>
  <c r="I1075" i="61"/>
  <c r="I1079" i="61"/>
  <c r="I1083" i="61"/>
  <c r="I1087" i="61"/>
  <c r="I1091" i="61"/>
  <c r="I1095" i="61"/>
  <c r="I1099" i="61"/>
  <c r="I1103" i="61"/>
  <c r="I1107" i="61"/>
  <c r="I1111" i="61"/>
  <c r="I1115" i="61"/>
  <c r="I1119" i="61"/>
  <c r="I1123" i="61"/>
  <c r="I1127" i="61"/>
  <c r="I1131" i="61"/>
  <c r="I1135" i="61"/>
  <c r="I1139" i="61"/>
  <c r="I1143" i="61"/>
  <c r="I1147" i="61"/>
  <c r="I1150" i="61"/>
  <c r="I1154" i="61"/>
  <c r="I1158" i="61"/>
  <c r="I1162" i="61"/>
  <c r="I1166" i="61"/>
  <c r="I1170" i="61"/>
  <c r="I1174" i="61"/>
  <c r="I1178" i="61"/>
  <c r="I1182" i="61"/>
  <c r="I1186" i="61"/>
  <c r="I1192" i="61"/>
  <c r="I1196" i="61"/>
  <c r="I1231" i="61"/>
  <c r="I1235" i="61"/>
  <c r="I1239" i="61"/>
  <c r="I1243" i="61"/>
  <c r="I1247" i="61"/>
  <c r="I6" i="61"/>
  <c r="E92" i="62" l="1"/>
  <c r="E90" i="62"/>
  <c r="E85" i="62"/>
  <c r="E83" i="62"/>
  <c r="A5" i="51" l="1"/>
  <c r="F38" i="63" l="1"/>
  <c r="F37" i="63"/>
  <c r="P277" i="27" l="1"/>
  <c r="N277" i="27"/>
  <c r="AM277" i="27" s="1"/>
  <c r="L277" i="27"/>
  <c r="A277" i="27"/>
  <c r="P276" i="27"/>
  <c r="N276" i="27"/>
  <c r="AM276" i="27" s="1"/>
  <c r="L276" i="27"/>
  <c r="A276" i="27"/>
  <c r="P275" i="27"/>
  <c r="N275" i="27"/>
  <c r="AM275" i="27" s="1"/>
  <c r="L275" i="27"/>
  <c r="A275" i="27"/>
  <c r="P274" i="27"/>
  <c r="N274" i="27"/>
  <c r="AM274" i="27" s="1"/>
  <c r="L274" i="27"/>
  <c r="A274" i="27"/>
  <c r="P273" i="27"/>
  <c r="N273" i="27"/>
  <c r="AM273" i="27" s="1"/>
  <c r="L273" i="27"/>
  <c r="A273" i="27"/>
  <c r="P272" i="27"/>
  <c r="N272" i="27"/>
  <c r="AM272" i="27" s="1"/>
  <c r="L272" i="27"/>
  <c r="A272" i="27"/>
  <c r="P271" i="27"/>
  <c r="N271" i="27"/>
  <c r="AM271" i="27" s="1"/>
  <c r="L271" i="27"/>
  <c r="A271" i="27"/>
  <c r="P270" i="27"/>
  <c r="N270" i="27"/>
  <c r="AM270" i="27" s="1"/>
  <c r="L270" i="27"/>
  <c r="A270" i="27"/>
  <c r="P269" i="27"/>
  <c r="N269" i="27"/>
  <c r="AM269" i="27" s="1"/>
  <c r="L269" i="27"/>
  <c r="A269" i="27"/>
  <c r="P268" i="27"/>
  <c r="N268" i="27"/>
  <c r="AM268" i="27" s="1"/>
  <c r="L268" i="27"/>
  <c r="A268" i="27"/>
  <c r="P267" i="27"/>
  <c r="N267" i="27"/>
  <c r="AM267" i="27" s="1"/>
  <c r="L267" i="27"/>
  <c r="A267" i="27"/>
  <c r="P266" i="27"/>
  <c r="N266" i="27"/>
  <c r="AM266" i="27" s="1"/>
  <c r="L266" i="27"/>
  <c r="A266" i="27"/>
  <c r="P265" i="27"/>
  <c r="N265" i="27"/>
  <c r="AM265" i="27" s="1"/>
  <c r="L265" i="27"/>
  <c r="A265" i="27"/>
  <c r="P264" i="27"/>
  <c r="N264" i="27"/>
  <c r="AM264" i="27" s="1"/>
  <c r="L264" i="27"/>
  <c r="A264" i="27"/>
  <c r="P263" i="27"/>
  <c r="N263" i="27"/>
  <c r="AM263" i="27" s="1"/>
  <c r="L263" i="27"/>
  <c r="A263" i="27"/>
  <c r="P262" i="27"/>
  <c r="N262" i="27"/>
  <c r="AM262" i="27" s="1"/>
  <c r="L262" i="27"/>
  <c r="A262" i="27"/>
  <c r="P261" i="27"/>
  <c r="N261" i="27"/>
  <c r="AM261" i="27" s="1"/>
  <c r="L261" i="27"/>
  <c r="A261" i="27"/>
  <c r="P260" i="27"/>
  <c r="N260" i="27"/>
  <c r="AM260" i="27" s="1"/>
  <c r="L260" i="27"/>
  <c r="A260" i="27"/>
  <c r="P259" i="27"/>
  <c r="N259" i="27"/>
  <c r="AM259" i="27" s="1"/>
  <c r="L259" i="27"/>
  <c r="A259" i="27"/>
  <c r="P258" i="27"/>
  <c r="N258" i="27"/>
  <c r="AM258" i="27" s="1"/>
  <c r="L258" i="27"/>
  <c r="A258" i="27"/>
  <c r="P257" i="27"/>
  <c r="N257" i="27"/>
  <c r="AM257" i="27" s="1"/>
  <c r="L257" i="27"/>
  <c r="A257" i="27"/>
  <c r="P256" i="27"/>
  <c r="N256" i="27"/>
  <c r="AM256" i="27" s="1"/>
  <c r="L256" i="27"/>
  <c r="A256" i="27"/>
  <c r="P255" i="27"/>
  <c r="N255" i="27"/>
  <c r="AM255" i="27" s="1"/>
  <c r="L255" i="27"/>
  <c r="A255" i="27"/>
  <c r="P254" i="27"/>
  <c r="N254" i="27"/>
  <c r="AM254" i="27" s="1"/>
  <c r="L254" i="27"/>
  <c r="A254" i="27"/>
  <c r="P253" i="27"/>
  <c r="N253" i="27"/>
  <c r="AM253" i="27" s="1"/>
  <c r="L253" i="27"/>
  <c r="A253" i="27"/>
  <c r="P252" i="27"/>
  <c r="N252" i="27"/>
  <c r="AM252" i="27" s="1"/>
  <c r="L252" i="27"/>
  <c r="A252" i="27"/>
  <c r="AQ51" i="59"/>
  <c r="AQ46" i="59"/>
  <c r="AQ42" i="59"/>
  <c r="AN193" i="60"/>
  <c r="AK193" i="60"/>
  <c r="AJ193" i="60"/>
  <c r="AI193" i="60"/>
  <c r="AH193" i="60"/>
  <c r="AE193" i="60"/>
  <c r="AD193" i="60"/>
  <c r="AA193" i="60"/>
  <c r="W193" i="60"/>
  <c r="V193" i="60"/>
  <c r="U193" i="60"/>
  <c r="R193" i="60"/>
  <c r="Q193" i="60"/>
  <c r="P193" i="60"/>
  <c r="O193" i="60"/>
  <c r="N193" i="60"/>
  <c r="M193" i="60"/>
  <c r="L193" i="60"/>
  <c r="I193" i="60"/>
  <c r="G193" i="60"/>
  <c r="E193" i="60"/>
  <c r="AN192" i="60"/>
  <c r="AJ192" i="60"/>
  <c r="AI192" i="60"/>
  <c r="AH192" i="60"/>
  <c r="AE192" i="60"/>
  <c r="AD192" i="60"/>
  <c r="AA192" i="60"/>
  <c r="W192" i="60"/>
  <c r="V192" i="60"/>
  <c r="U192" i="60"/>
  <c r="R192" i="60"/>
  <c r="Q192" i="60"/>
  <c r="P192" i="60"/>
  <c r="O192" i="60"/>
  <c r="N192" i="60"/>
  <c r="M192" i="60"/>
  <c r="L192" i="60"/>
  <c r="G192" i="60"/>
  <c r="E192" i="60"/>
  <c r="AN191" i="60"/>
  <c r="AJ191" i="60"/>
  <c r="AI191" i="60"/>
  <c r="AH191" i="60"/>
  <c r="AE191" i="60"/>
  <c r="AD191" i="60"/>
  <c r="AA191" i="60"/>
  <c r="W191" i="60"/>
  <c r="U191" i="60"/>
  <c r="R191" i="60"/>
  <c r="Q191" i="60"/>
  <c r="P191" i="60"/>
  <c r="O191" i="60"/>
  <c r="N191" i="60"/>
  <c r="L191" i="60"/>
  <c r="G191" i="60"/>
  <c r="E191" i="60"/>
  <c r="AN190" i="60"/>
  <c r="AJ190" i="60"/>
  <c r="AI190" i="60"/>
  <c r="AH190" i="60"/>
  <c r="AE190" i="60"/>
  <c r="AD190" i="60"/>
  <c r="AA190" i="60"/>
  <c r="W190" i="60"/>
  <c r="U190" i="60"/>
  <c r="R190" i="60"/>
  <c r="Q190" i="60"/>
  <c r="P190" i="60"/>
  <c r="O190" i="60"/>
  <c r="N190" i="60"/>
  <c r="M190" i="60"/>
  <c r="L190" i="60"/>
  <c r="I190" i="60"/>
  <c r="G190" i="60"/>
  <c r="E190" i="60"/>
  <c r="AN189" i="60"/>
  <c r="AI189" i="60"/>
  <c r="AH189" i="60"/>
  <c r="AE189" i="60"/>
  <c r="AD189" i="60"/>
  <c r="AA189" i="60"/>
  <c r="W189" i="60"/>
  <c r="U189" i="60"/>
  <c r="R189" i="60"/>
  <c r="Q189" i="60"/>
  <c r="P189" i="60"/>
  <c r="O189" i="60"/>
  <c r="N189" i="60"/>
  <c r="L189" i="60"/>
  <c r="G189" i="60"/>
  <c r="E189" i="60"/>
  <c r="C203" i="60"/>
  <c r="D38" i="63"/>
  <c r="D26" i="63"/>
  <c r="D25" i="63"/>
  <c r="O92" i="62"/>
  <c r="N92" i="62"/>
  <c r="M92" i="62"/>
  <c r="L92" i="62"/>
  <c r="K92" i="62"/>
  <c r="J92" i="62"/>
  <c r="I92" i="62"/>
  <c r="H92" i="62"/>
  <c r="G92" i="62"/>
  <c r="F92" i="62"/>
  <c r="D92" i="62"/>
  <c r="O90" i="62"/>
  <c r="N90" i="62"/>
  <c r="M90" i="62"/>
  <c r="L90" i="62"/>
  <c r="K90" i="62"/>
  <c r="J90" i="62"/>
  <c r="I90" i="62"/>
  <c r="H90" i="62"/>
  <c r="G90" i="62"/>
  <c r="F90" i="62"/>
  <c r="O85" i="62"/>
  <c r="N85" i="62"/>
  <c r="M85" i="62"/>
  <c r="L85" i="62"/>
  <c r="K85" i="62"/>
  <c r="J85" i="62"/>
  <c r="I85" i="62"/>
  <c r="H85" i="62"/>
  <c r="G85" i="62"/>
  <c r="F85" i="62"/>
  <c r="D85" i="62"/>
  <c r="O83" i="62"/>
  <c r="N83" i="62"/>
  <c r="M83" i="62"/>
  <c r="L83" i="62"/>
  <c r="K83" i="62"/>
  <c r="J83" i="62"/>
  <c r="I83" i="62"/>
  <c r="H83" i="62"/>
  <c r="G83" i="62"/>
  <c r="F83" i="62"/>
  <c r="D83" i="62"/>
  <c r="AL204" i="60" l="1"/>
  <c r="AB207" i="60"/>
  <c r="V203" i="60"/>
  <c r="AL203" i="60"/>
  <c r="AC203" i="60"/>
  <c r="AB206" i="60"/>
  <c r="AB192" i="60"/>
  <c r="R253" i="27"/>
  <c r="S253" i="27" s="1"/>
  <c r="AG253" i="27" s="1"/>
  <c r="R259" i="27"/>
  <c r="S259" i="27" s="1"/>
  <c r="AG259" i="27" s="1"/>
  <c r="R261" i="27"/>
  <c r="S261" i="27" s="1"/>
  <c r="AG261" i="27" s="1"/>
  <c r="R267" i="27"/>
  <c r="S267" i="27" s="1"/>
  <c r="AG267" i="27" s="1"/>
  <c r="R269" i="27"/>
  <c r="S269" i="27" s="1"/>
  <c r="AG269" i="27" s="1"/>
  <c r="R277" i="27"/>
  <c r="S277" i="27" s="1"/>
  <c r="AG277" i="27" s="1"/>
  <c r="AS45" i="59"/>
  <c r="R254" i="27"/>
  <c r="S254" i="27" s="1"/>
  <c r="AG254" i="27" s="1"/>
  <c r="AN254" i="27" s="1"/>
  <c r="AT254" i="27" s="1"/>
  <c r="R256" i="27"/>
  <c r="S256" i="27" s="1"/>
  <c r="AG256" i="27" s="1"/>
  <c r="AN256" i="27" s="1"/>
  <c r="AT256" i="27" s="1"/>
  <c r="R262" i="27"/>
  <c r="S262" i="27" s="1"/>
  <c r="AG262" i="27" s="1"/>
  <c r="AN262" i="27" s="1"/>
  <c r="AT262" i="27" s="1"/>
  <c r="L215" i="60"/>
  <c r="L194" i="60" s="1"/>
  <c r="T215" i="60"/>
  <c r="AD215" i="60"/>
  <c r="AD194" i="60" s="1"/>
  <c r="R257" i="27"/>
  <c r="S257" i="27" s="1"/>
  <c r="AG257" i="27" s="1"/>
  <c r="R264" i="27"/>
  <c r="S264" i="27" s="1"/>
  <c r="AG264" i="27" s="1"/>
  <c r="AN264" i="27" s="1"/>
  <c r="AT264" i="27" s="1"/>
  <c r="R270" i="27"/>
  <c r="S270" i="27" s="1"/>
  <c r="AG270" i="27" s="1"/>
  <c r="AN270" i="27" s="1"/>
  <c r="R258" i="27"/>
  <c r="S258" i="27" s="1"/>
  <c r="AG258" i="27" s="1"/>
  <c r="AN258" i="27" s="1"/>
  <c r="AT258" i="27" s="1"/>
  <c r="R265" i="27"/>
  <c r="S265" i="27" s="1"/>
  <c r="AG265" i="27" s="1"/>
  <c r="R272" i="27"/>
  <c r="S272" i="27" s="1"/>
  <c r="AG272" i="27" s="1"/>
  <c r="AN272" i="27" s="1"/>
  <c r="R266" i="27"/>
  <c r="S266" i="27" s="1"/>
  <c r="AG266" i="27" s="1"/>
  <c r="AN266" i="27" s="1"/>
  <c r="AT266" i="27" s="1"/>
  <c r="R273" i="27"/>
  <c r="S273" i="27" s="1"/>
  <c r="AG273" i="27" s="1"/>
  <c r="O215" i="60"/>
  <c r="O194" i="60" s="1"/>
  <c r="W215" i="60"/>
  <c r="W194" i="60" s="1"/>
  <c r="AI215" i="60"/>
  <c r="AI194" i="60" s="1"/>
  <c r="R274" i="27"/>
  <c r="S274" i="27" s="1"/>
  <c r="AG274" i="27" s="1"/>
  <c r="AN274" i="27" s="1"/>
  <c r="AT274" i="27" s="1"/>
  <c r="R275" i="27"/>
  <c r="S275" i="27" s="1"/>
  <c r="AG275" i="27" s="1"/>
  <c r="AN275" i="27" s="1"/>
  <c r="AT275" i="27" s="1"/>
  <c r="R255" i="27"/>
  <c r="S255" i="27" s="1"/>
  <c r="AG255" i="27" s="1"/>
  <c r="AN255" i="27" s="1"/>
  <c r="AT255" i="27" s="1"/>
  <c r="R263" i="27"/>
  <c r="S263" i="27" s="1"/>
  <c r="AG263" i="27" s="1"/>
  <c r="AN263" i="27" s="1"/>
  <c r="AT263" i="27" s="1"/>
  <c r="R271" i="27"/>
  <c r="S271" i="27" s="1"/>
  <c r="AG271" i="27" s="1"/>
  <c r="AN271" i="27" s="1"/>
  <c r="AT271" i="27" s="1"/>
  <c r="N215" i="60"/>
  <c r="N194" i="60" s="1"/>
  <c r="V215" i="60"/>
  <c r="V194" i="60" s="1"/>
  <c r="AH215" i="60"/>
  <c r="AH194" i="60" s="1"/>
  <c r="R252" i="27"/>
  <c r="S252" i="27" s="1"/>
  <c r="AG252" i="27" s="1"/>
  <c r="AN252" i="27" s="1"/>
  <c r="AT252" i="27" s="1"/>
  <c r="R260" i="27"/>
  <c r="S260" i="27" s="1"/>
  <c r="AG260" i="27" s="1"/>
  <c r="AN260" i="27" s="1"/>
  <c r="AT260" i="27" s="1"/>
  <c r="R268" i="27"/>
  <c r="S268" i="27" s="1"/>
  <c r="AG268" i="27" s="1"/>
  <c r="AN268" i="27" s="1"/>
  <c r="AT268" i="27" s="1"/>
  <c r="R276" i="27"/>
  <c r="S276" i="27" s="1"/>
  <c r="AG276" i="27" s="1"/>
  <c r="AN276" i="27" s="1"/>
  <c r="AT276" i="27" s="1"/>
  <c r="Q215" i="60"/>
  <c r="Q194" i="60" s="1"/>
  <c r="AK215" i="60"/>
  <c r="AK194" i="60" s="1"/>
  <c r="I215" i="60"/>
  <c r="I194" i="60" s="1"/>
  <c r="S215" i="60"/>
  <c r="AC215" i="60"/>
  <c r="AC194" i="60" s="1"/>
  <c r="AN215" i="60"/>
  <c r="AN194" i="60" s="1"/>
  <c r="M215" i="60"/>
  <c r="M194" i="60" s="1"/>
  <c r="U215" i="60"/>
  <c r="U194" i="60" s="1"/>
  <c r="AE215" i="60"/>
  <c r="AE194" i="60" s="1"/>
  <c r="Y215" i="60"/>
  <c r="AJ215" i="60"/>
  <c r="AJ194" i="60" s="1"/>
  <c r="G215" i="60"/>
  <c r="G194" i="60" s="1"/>
  <c r="R215" i="60"/>
  <c r="R194" i="60" s="1"/>
  <c r="AB215" i="60"/>
  <c r="AL215" i="60"/>
  <c r="AS41" i="59"/>
  <c r="AR51" i="59"/>
  <c r="AQ48" i="59"/>
  <c r="AQ53" i="59" s="1"/>
  <c r="P215" i="60"/>
  <c r="P194" i="60" s="1"/>
  <c r="AA215" i="60"/>
  <c r="AA194" i="60" s="1"/>
  <c r="E215" i="60"/>
  <c r="E194" i="60" s="1"/>
  <c r="AT272" i="27" l="1"/>
  <c r="AT270" i="27"/>
  <c r="E246" i="61"/>
  <c r="E263" i="61"/>
  <c r="E248" i="61"/>
  <c r="E254" i="61"/>
  <c r="F83" i="66"/>
  <c r="L83" i="66" s="1"/>
  <c r="AL194" i="60"/>
  <c r="AQ47" i="59"/>
  <c r="AN277" i="27"/>
  <c r="AT277" i="27" s="1"/>
  <c r="AN253" i="27"/>
  <c r="AT253" i="27" s="1"/>
  <c r="AN257" i="27"/>
  <c r="AT257" i="27" s="1"/>
  <c r="AN259" i="27"/>
  <c r="AT259" i="27" s="1"/>
  <c r="AN267" i="27"/>
  <c r="AT267" i="27" s="1"/>
  <c r="AN261" i="27"/>
  <c r="AT261" i="27" s="1"/>
  <c r="AN273" i="27"/>
  <c r="AT273" i="27" s="1"/>
  <c r="AN265" i="27"/>
  <c r="AT265" i="27" s="1"/>
  <c r="AN269" i="27"/>
  <c r="AT269" i="27" s="1"/>
  <c r="AQ43" i="59"/>
  <c r="E261" i="61" l="1"/>
  <c r="E259" i="61"/>
  <c r="E265" i="61"/>
  <c r="E267" i="61"/>
  <c r="E257" i="61"/>
  <c r="E269" i="61"/>
  <c r="E256" i="61"/>
  <c r="E264" i="61"/>
  <c r="E252" i="61"/>
  <c r="E268" i="61"/>
  <c r="E260" i="61"/>
  <c r="E253" i="61"/>
  <c r="E247" i="61"/>
  <c r="E262" i="61"/>
  <c r="E270" i="61"/>
  <c r="E258" i="61"/>
  <c r="E255" i="61"/>
  <c r="E266" i="61"/>
  <c r="D41" i="63"/>
  <c r="BD1292" i="27" l="1"/>
  <c r="BC1292" i="27"/>
  <c r="AL221" i="60" l="1"/>
  <c r="N11" i="54" l="1"/>
  <c r="AV51" i="59"/>
  <c r="AU51" i="59"/>
  <c r="AU46" i="59"/>
  <c r="A63" i="64"/>
  <c r="AU42" i="59" l="1"/>
  <c r="AU48" i="59" s="1"/>
  <c r="AU53" i="59" s="1"/>
  <c r="AA63" i="64"/>
  <c r="Y63" i="64"/>
  <c r="W63" i="64"/>
  <c r="U63" i="64"/>
  <c r="S63" i="64"/>
  <c r="Q63" i="64"/>
  <c r="O63" i="64"/>
  <c r="M63" i="64"/>
  <c r="K63" i="64"/>
  <c r="I63" i="64"/>
  <c r="G63" i="64"/>
  <c r="AA97" i="64"/>
  <c r="Y97" i="64"/>
  <c r="W97" i="64"/>
  <c r="U97" i="64"/>
  <c r="S97" i="64"/>
  <c r="Q97" i="64"/>
  <c r="O97" i="64"/>
  <c r="M97" i="64"/>
  <c r="K97" i="64"/>
  <c r="I97" i="64"/>
  <c r="G97" i="64"/>
  <c r="AU43" i="59" l="1"/>
  <c r="AU47" i="59"/>
  <c r="AA144" i="64" l="1"/>
  <c r="AA145" i="64" s="1"/>
  <c r="Y144" i="64"/>
  <c r="Y145" i="64" s="1"/>
  <c r="AA141" i="64"/>
  <c r="AA142" i="64" s="1"/>
  <c r="AA137" i="64"/>
  <c r="AA135" i="64"/>
  <c r="AA136" i="64" s="1"/>
  <c r="AA132" i="64"/>
  <c r="AA133" i="64" s="1"/>
  <c r="AC175" i="64"/>
  <c r="AC192" i="64"/>
  <c r="D24" i="63"/>
  <c r="Z24" i="63"/>
  <c r="X24" i="63"/>
  <c r="V24" i="63"/>
  <c r="T24" i="63"/>
  <c r="R24" i="63"/>
  <c r="P24" i="63"/>
  <c r="N24" i="63"/>
  <c r="L24" i="63"/>
  <c r="J24" i="63"/>
  <c r="H24" i="63"/>
  <c r="F24" i="63"/>
  <c r="Z45" i="63"/>
  <c r="X45" i="63"/>
  <c r="V45" i="63"/>
  <c r="T45" i="63"/>
  <c r="R45" i="63"/>
  <c r="P45" i="63"/>
  <c r="N45" i="63"/>
  <c r="L45" i="63"/>
  <c r="J45" i="63"/>
  <c r="H45" i="63"/>
  <c r="F45" i="63"/>
  <c r="D45" i="63"/>
  <c r="X105" i="63"/>
  <c r="V105" i="63"/>
  <c r="T105" i="63"/>
  <c r="R105" i="63"/>
  <c r="P105" i="63"/>
  <c r="N105" i="63"/>
  <c r="L105" i="63"/>
  <c r="G105" i="63"/>
  <c r="J105" i="63" s="1"/>
  <c r="E105" i="63"/>
  <c r="C105" i="63"/>
  <c r="Y104" i="63"/>
  <c r="Z104" i="63" s="1"/>
  <c r="X104" i="63"/>
  <c r="V104" i="63"/>
  <c r="T104" i="63"/>
  <c r="R104" i="63"/>
  <c r="P104" i="63"/>
  <c r="N104" i="63"/>
  <c r="L104" i="63"/>
  <c r="J104" i="63"/>
  <c r="H104" i="63"/>
  <c r="F104" i="63"/>
  <c r="Y103" i="63"/>
  <c r="Y105" i="63" s="1"/>
  <c r="Z105" i="63" s="1"/>
  <c r="X103" i="63"/>
  <c r="V103" i="63"/>
  <c r="T103" i="63"/>
  <c r="R103" i="63"/>
  <c r="P103" i="63"/>
  <c r="N103" i="63"/>
  <c r="L103" i="63"/>
  <c r="J103" i="63"/>
  <c r="H103" i="63"/>
  <c r="F103" i="63"/>
  <c r="Z102" i="63"/>
  <c r="X102" i="63"/>
  <c r="V102" i="63"/>
  <c r="T102" i="63"/>
  <c r="R102" i="63"/>
  <c r="P102" i="63"/>
  <c r="N102" i="63"/>
  <c r="L102" i="63"/>
  <c r="G102" i="63"/>
  <c r="E102" i="63"/>
  <c r="C102" i="63"/>
  <c r="Z101" i="63"/>
  <c r="X101" i="63"/>
  <c r="V101" i="63"/>
  <c r="T101" i="63"/>
  <c r="R101" i="63"/>
  <c r="P101" i="63"/>
  <c r="N101" i="63"/>
  <c r="L101" i="63"/>
  <c r="J101" i="63"/>
  <c r="H101" i="63"/>
  <c r="F101" i="63"/>
  <c r="Z100" i="63"/>
  <c r="X100" i="63"/>
  <c r="V100" i="63"/>
  <c r="T100" i="63"/>
  <c r="R100" i="63"/>
  <c r="P100" i="63"/>
  <c r="N100" i="63"/>
  <c r="L100" i="63"/>
  <c r="J100" i="63"/>
  <c r="H100" i="63"/>
  <c r="F100" i="63"/>
  <c r="Z99" i="63"/>
  <c r="X99" i="63"/>
  <c r="V99" i="63"/>
  <c r="T99" i="63"/>
  <c r="R99" i="63"/>
  <c r="P99" i="63"/>
  <c r="N99" i="63"/>
  <c r="L99" i="63"/>
  <c r="G99" i="63"/>
  <c r="J99" i="63" s="1"/>
  <c r="E99" i="63"/>
  <c r="C99" i="63"/>
  <c r="Z98" i="63"/>
  <c r="X98" i="63"/>
  <c r="V98" i="63"/>
  <c r="T98" i="63"/>
  <c r="R98" i="63"/>
  <c r="P98" i="63"/>
  <c r="N98" i="63"/>
  <c r="L98" i="63"/>
  <c r="J98" i="63"/>
  <c r="H98" i="63"/>
  <c r="F98" i="63"/>
  <c r="Z97" i="63"/>
  <c r="X97" i="63"/>
  <c r="V97" i="63"/>
  <c r="T97" i="63"/>
  <c r="R97" i="63"/>
  <c r="P97" i="63"/>
  <c r="N97" i="63"/>
  <c r="L97" i="63"/>
  <c r="J97" i="63"/>
  <c r="H97" i="63"/>
  <c r="F97" i="63"/>
  <c r="Z96" i="63"/>
  <c r="X96" i="63"/>
  <c r="V96" i="63"/>
  <c r="T96" i="63"/>
  <c r="R96" i="63"/>
  <c r="P96" i="63"/>
  <c r="N96" i="63"/>
  <c r="L96" i="63"/>
  <c r="G96" i="63"/>
  <c r="J96" i="63" s="1"/>
  <c r="E96" i="63"/>
  <c r="C96" i="63"/>
  <c r="Z95" i="63"/>
  <c r="X95" i="63"/>
  <c r="V95" i="63"/>
  <c r="T95" i="63"/>
  <c r="R95" i="63"/>
  <c r="P95" i="63"/>
  <c r="N95" i="63"/>
  <c r="L95" i="63"/>
  <c r="J95" i="63"/>
  <c r="H95" i="63"/>
  <c r="F95" i="63"/>
  <c r="Z94" i="63"/>
  <c r="X94" i="63"/>
  <c r="V94" i="63"/>
  <c r="T94" i="63"/>
  <c r="R94" i="63"/>
  <c r="P94" i="63"/>
  <c r="N94" i="63"/>
  <c r="L94" i="63"/>
  <c r="J94" i="63"/>
  <c r="H94" i="63"/>
  <c r="F94" i="63"/>
  <c r="Z93" i="63"/>
  <c r="X93" i="63"/>
  <c r="V93" i="63"/>
  <c r="T93" i="63"/>
  <c r="R93" i="63"/>
  <c r="P93" i="63"/>
  <c r="N93" i="63"/>
  <c r="L93" i="63"/>
  <c r="G93" i="63"/>
  <c r="J93" i="63" s="1"/>
  <c r="E93" i="63"/>
  <c r="C93" i="63"/>
  <c r="Z92" i="63"/>
  <c r="X92" i="63"/>
  <c r="V92" i="63"/>
  <c r="T92" i="63"/>
  <c r="R92" i="63"/>
  <c r="P92" i="63"/>
  <c r="N92" i="63"/>
  <c r="L92" i="63"/>
  <c r="J92" i="63"/>
  <c r="H92" i="63"/>
  <c r="F92" i="63"/>
  <c r="Z91" i="63"/>
  <c r="X91" i="63"/>
  <c r="V91" i="63"/>
  <c r="T91" i="63"/>
  <c r="R91" i="63"/>
  <c r="P91" i="63"/>
  <c r="N91" i="63"/>
  <c r="L91" i="63"/>
  <c r="J91" i="63"/>
  <c r="H91" i="63"/>
  <c r="F91" i="63"/>
  <c r="Z90" i="63"/>
  <c r="X90" i="63"/>
  <c r="V90" i="63"/>
  <c r="T90" i="63"/>
  <c r="R90" i="63"/>
  <c r="P90" i="63"/>
  <c r="N90" i="63"/>
  <c r="L90" i="63"/>
  <c r="G90" i="63"/>
  <c r="E90" i="63"/>
  <c r="C90" i="63"/>
  <c r="Z89" i="63"/>
  <c r="X89" i="63"/>
  <c r="V89" i="63"/>
  <c r="T89" i="63"/>
  <c r="R89" i="63"/>
  <c r="P89" i="63"/>
  <c r="N89" i="63"/>
  <c r="L89" i="63"/>
  <c r="J89" i="63"/>
  <c r="H89" i="63"/>
  <c r="F89" i="63"/>
  <c r="Z88" i="63"/>
  <c r="X88" i="63"/>
  <c r="V88" i="63"/>
  <c r="T88" i="63"/>
  <c r="R88" i="63"/>
  <c r="P88" i="63"/>
  <c r="N88" i="63"/>
  <c r="L88" i="63"/>
  <c r="J88" i="63"/>
  <c r="H88" i="63"/>
  <c r="F88" i="63"/>
  <c r="Z87" i="63"/>
  <c r="X87" i="63"/>
  <c r="V87" i="63"/>
  <c r="T87" i="63"/>
  <c r="R87" i="63"/>
  <c r="P87" i="63"/>
  <c r="N87" i="63"/>
  <c r="L87" i="63"/>
  <c r="J87" i="63"/>
  <c r="H87" i="63"/>
  <c r="F87" i="63"/>
  <c r="D87" i="63"/>
  <c r="Z108" i="63"/>
  <c r="X108" i="63"/>
  <c r="V108" i="63"/>
  <c r="T108" i="63"/>
  <c r="R108" i="63"/>
  <c r="P108" i="63"/>
  <c r="N108" i="63"/>
  <c r="L108" i="63"/>
  <c r="J108" i="63"/>
  <c r="H108" i="63"/>
  <c r="F108" i="63"/>
  <c r="D108" i="63"/>
  <c r="Z129" i="63"/>
  <c r="X129" i="63"/>
  <c r="V129" i="63"/>
  <c r="R129" i="63"/>
  <c r="P129" i="63"/>
  <c r="N129" i="63"/>
  <c r="L129" i="63"/>
  <c r="J129" i="63"/>
  <c r="H129" i="63"/>
  <c r="F129" i="63"/>
  <c r="Z150" i="63"/>
  <c r="X150" i="63"/>
  <c r="V150" i="63"/>
  <c r="R150" i="63"/>
  <c r="P150" i="63"/>
  <c r="N150" i="63"/>
  <c r="L150" i="63"/>
  <c r="J150" i="63"/>
  <c r="H150" i="63"/>
  <c r="F150" i="63"/>
  <c r="Z172" i="63"/>
  <c r="X172" i="63"/>
  <c r="V172" i="63"/>
  <c r="R172" i="63"/>
  <c r="P172" i="63"/>
  <c r="N172" i="63"/>
  <c r="L172" i="63"/>
  <c r="J172" i="63"/>
  <c r="H172" i="63"/>
  <c r="F172" i="63"/>
  <c r="AA138" i="64" l="1"/>
  <c r="AA139" i="64" s="1"/>
  <c r="F105" i="63"/>
  <c r="H96" i="63"/>
  <c r="F99" i="63"/>
  <c r="H102" i="63"/>
  <c r="F90" i="63"/>
  <c r="F93" i="63"/>
  <c r="F102" i="63"/>
  <c r="H90" i="63"/>
  <c r="H93" i="63"/>
  <c r="Z103" i="63"/>
  <c r="F96" i="63"/>
  <c r="J90" i="63"/>
  <c r="H99" i="63"/>
  <c r="J102" i="63"/>
  <c r="H105" i="63"/>
  <c r="D60" i="62" l="1"/>
  <c r="D64" i="62" s="1"/>
  <c r="E60" i="62"/>
  <c r="E64" i="62" s="1"/>
  <c r="F60" i="62"/>
  <c r="F64" i="62" s="1"/>
  <c r="G60" i="62"/>
  <c r="G64" i="62" s="1"/>
  <c r="H60" i="62"/>
  <c r="H64" i="62" s="1"/>
  <c r="I60" i="62"/>
  <c r="I62" i="62" s="1"/>
  <c r="J60" i="62"/>
  <c r="J64" i="62" s="1"/>
  <c r="K60" i="62"/>
  <c r="K64" i="62" s="1"/>
  <c r="L60" i="62"/>
  <c r="L64" i="62" s="1"/>
  <c r="M60" i="62"/>
  <c r="N60" i="62"/>
  <c r="N64" i="62" s="1"/>
  <c r="O60" i="62"/>
  <c r="O64" i="62" s="1"/>
  <c r="G53" i="62"/>
  <c r="G55" i="62" s="1"/>
  <c r="I53" i="62"/>
  <c r="I57" i="62" s="1"/>
  <c r="J53" i="62"/>
  <c r="J55" i="62" s="1"/>
  <c r="O185" i="62"/>
  <c r="N185" i="62"/>
  <c r="M185" i="62"/>
  <c r="L185" i="62"/>
  <c r="K185" i="62"/>
  <c r="J185" i="62"/>
  <c r="I185" i="62"/>
  <c r="H185" i="62"/>
  <c r="G185" i="62"/>
  <c r="E185" i="62"/>
  <c r="D185" i="62"/>
  <c r="O184" i="62"/>
  <c r="N184" i="62"/>
  <c r="M184" i="62"/>
  <c r="L184" i="62"/>
  <c r="K184" i="62"/>
  <c r="J184" i="62"/>
  <c r="I184" i="62"/>
  <c r="H184" i="62"/>
  <c r="G184" i="62"/>
  <c r="E184" i="62"/>
  <c r="D184" i="62"/>
  <c r="O183" i="62"/>
  <c r="N183" i="62"/>
  <c r="M183" i="62"/>
  <c r="L183" i="62"/>
  <c r="K183" i="62"/>
  <c r="J183" i="62"/>
  <c r="I183" i="62"/>
  <c r="H183" i="62"/>
  <c r="G183" i="62"/>
  <c r="E183" i="62"/>
  <c r="D183" i="62"/>
  <c r="O182" i="62"/>
  <c r="N182" i="62"/>
  <c r="M182" i="62"/>
  <c r="L182" i="62"/>
  <c r="K182" i="62"/>
  <c r="J182" i="62"/>
  <c r="I182" i="62"/>
  <c r="H182" i="62"/>
  <c r="G182" i="62"/>
  <c r="E182" i="62"/>
  <c r="D182" i="62"/>
  <c r="N181" i="62"/>
  <c r="L181" i="62"/>
  <c r="K181" i="62"/>
  <c r="J181" i="62"/>
  <c r="I181" i="62"/>
  <c r="H181" i="62"/>
  <c r="G181" i="62"/>
  <c r="D181" i="62"/>
  <c r="Q175" i="62"/>
  <c r="O174" i="62"/>
  <c r="N174" i="62"/>
  <c r="M174" i="62"/>
  <c r="L174" i="62"/>
  <c r="K174" i="62"/>
  <c r="J174" i="62"/>
  <c r="I174" i="62"/>
  <c r="H174" i="62"/>
  <c r="G174" i="62"/>
  <c r="F174" i="62"/>
  <c r="E174" i="62"/>
  <c r="D174" i="62"/>
  <c r="O173" i="62"/>
  <c r="N173" i="62"/>
  <c r="M173" i="62"/>
  <c r="L173" i="62"/>
  <c r="K173" i="62"/>
  <c r="J173" i="62"/>
  <c r="I173" i="62"/>
  <c r="H173" i="62"/>
  <c r="G173" i="62"/>
  <c r="F173" i="62"/>
  <c r="E173" i="62"/>
  <c r="D173" i="62"/>
  <c r="O172" i="62"/>
  <c r="N172" i="62"/>
  <c r="M172" i="62"/>
  <c r="L172" i="62"/>
  <c r="K172" i="62"/>
  <c r="J172" i="62"/>
  <c r="I172" i="62"/>
  <c r="H172" i="62"/>
  <c r="G172" i="62"/>
  <c r="F172" i="62"/>
  <c r="E172" i="62"/>
  <c r="D172" i="62"/>
  <c r="O171" i="62"/>
  <c r="N171" i="62"/>
  <c r="M171" i="62"/>
  <c r="L171" i="62"/>
  <c r="K171" i="62"/>
  <c r="J171" i="62"/>
  <c r="I171" i="62"/>
  <c r="H171" i="62"/>
  <c r="G171" i="62"/>
  <c r="F171" i="62"/>
  <c r="E171" i="62"/>
  <c r="D171" i="62"/>
  <c r="N170" i="62"/>
  <c r="L170" i="62"/>
  <c r="K170" i="62"/>
  <c r="J170" i="62"/>
  <c r="I170" i="62"/>
  <c r="H170" i="62"/>
  <c r="G170" i="62"/>
  <c r="F170" i="62"/>
  <c r="D170" i="62"/>
  <c r="Q156" i="62"/>
  <c r="P156" i="62"/>
  <c r="Q155" i="62"/>
  <c r="P155" i="62"/>
  <c r="O153" i="62"/>
  <c r="N153" i="62"/>
  <c r="M153" i="62"/>
  <c r="L153" i="62"/>
  <c r="K153" i="62"/>
  <c r="J153" i="62"/>
  <c r="I153" i="62"/>
  <c r="H153" i="62"/>
  <c r="G153" i="62"/>
  <c r="F153" i="62"/>
  <c r="E153" i="62"/>
  <c r="D153" i="62"/>
  <c r="Q152" i="62"/>
  <c r="P152" i="62"/>
  <c r="O150" i="62"/>
  <c r="N150" i="62"/>
  <c r="M150" i="62"/>
  <c r="L150" i="62"/>
  <c r="K150" i="62"/>
  <c r="J150" i="62"/>
  <c r="I150" i="62"/>
  <c r="H150" i="62"/>
  <c r="G150" i="62"/>
  <c r="F150" i="62"/>
  <c r="E150" i="62"/>
  <c r="D150" i="62"/>
  <c r="Q149" i="62"/>
  <c r="P149" i="62"/>
  <c r="O147" i="62"/>
  <c r="N147" i="62"/>
  <c r="M147" i="62"/>
  <c r="L147" i="62"/>
  <c r="K147" i="62"/>
  <c r="J147" i="62"/>
  <c r="I147" i="62"/>
  <c r="H147" i="62"/>
  <c r="G147" i="62"/>
  <c r="F147" i="62"/>
  <c r="E147" i="62"/>
  <c r="D147" i="62"/>
  <c r="Q146" i="62"/>
  <c r="O144" i="62"/>
  <c r="N144" i="62"/>
  <c r="M144" i="62"/>
  <c r="L144" i="62"/>
  <c r="K144" i="62"/>
  <c r="J144" i="62"/>
  <c r="I144" i="62"/>
  <c r="H144" i="62"/>
  <c r="G144" i="62"/>
  <c r="F144" i="62"/>
  <c r="E144" i="62"/>
  <c r="D144" i="62"/>
  <c r="Q143" i="62"/>
  <c r="Q141" i="62"/>
  <c r="Q140" i="62"/>
  <c r="Q125" i="62"/>
  <c r="P125" i="62"/>
  <c r="Q124" i="62"/>
  <c r="P124" i="62"/>
  <c r="O122" i="62"/>
  <c r="N122" i="62"/>
  <c r="M122" i="62"/>
  <c r="L122" i="62"/>
  <c r="K122" i="62"/>
  <c r="J122" i="62"/>
  <c r="I122" i="62"/>
  <c r="H122" i="62"/>
  <c r="G122" i="62"/>
  <c r="F122" i="62"/>
  <c r="E122" i="62"/>
  <c r="D122" i="62"/>
  <c r="Q121" i="62"/>
  <c r="P121" i="62"/>
  <c r="P119" i="62"/>
  <c r="Q118" i="62"/>
  <c r="P118" i="62"/>
  <c r="O116" i="62"/>
  <c r="N116" i="62"/>
  <c r="M116" i="62"/>
  <c r="L116" i="62"/>
  <c r="K116" i="62"/>
  <c r="J116" i="62"/>
  <c r="I116" i="62"/>
  <c r="H116" i="62"/>
  <c r="G116" i="62"/>
  <c r="F116" i="62"/>
  <c r="E116" i="62"/>
  <c r="D116" i="62"/>
  <c r="Q115" i="62"/>
  <c r="O113" i="62"/>
  <c r="N113" i="62"/>
  <c r="M113" i="62"/>
  <c r="L113" i="62"/>
  <c r="K113" i="62"/>
  <c r="J113" i="62"/>
  <c r="I113" i="62"/>
  <c r="H113" i="62"/>
  <c r="G113" i="62"/>
  <c r="F113" i="62"/>
  <c r="E113" i="62"/>
  <c r="D113" i="62"/>
  <c r="Q112" i="62"/>
  <c r="Q109" i="62"/>
  <c r="Q77" i="62"/>
  <c r="P77" i="62"/>
  <c r="Q75" i="62"/>
  <c r="P75" i="62"/>
  <c r="Q74" i="62"/>
  <c r="P74" i="62"/>
  <c r="Q73" i="62"/>
  <c r="P73" i="62"/>
  <c r="G71" i="62"/>
  <c r="F71" i="62"/>
  <c r="E71" i="62"/>
  <c r="D71" i="62"/>
  <c r="Q70" i="62"/>
  <c r="P70" i="62"/>
  <c r="G69" i="62"/>
  <c r="F69" i="62"/>
  <c r="E69" i="62"/>
  <c r="D69" i="62"/>
  <c r="Q68" i="62"/>
  <c r="P68" i="62"/>
  <c r="O67" i="62"/>
  <c r="O71" i="62" s="1"/>
  <c r="N67" i="62"/>
  <c r="N71" i="62" s="1"/>
  <c r="M67" i="62"/>
  <c r="M71" i="62" s="1"/>
  <c r="L67" i="62"/>
  <c r="L71" i="62" s="1"/>
  <c r="K67" i="62"/>
  <c r="K71" i="62" s="1"/>
  <c r="J67" i="62"/>
  <c r="J71" i="62" s="1"/>
  <c r="I67" i="62"/>
  <c r="I71" i="62" s="1"/>
  <c r="H67" i="62"/>
  <c r="Q66" i="62"/>
  <c r="P66" i="62"/>
  <c r="Q63" i="62"/>
  <c r="P63" i="62"/>
  <c r="Q61" i="62"/>
  <c r="P61" i="62"/>
  <c r="M64" i="62"/>
  <c r="Q59" i="62"/>
  <c r="Q56" i="62"/>
  <c r="Q54" i="62"/>
  <c r="O52" i="62"/>
  <c r="O53" i="62" s="1"/>
  <c r="N52" i="62"/>
  <c r="N53" i="62" s="1"/>
  <c r="M52" i="62"/>
  <c r="M53" i="62" s="1"/>
  <c r="L52" i="62"/>
  <c r="L53" i="62" s="1"/>
  <c r="K52" i="62"/>
  <c r="H52" i="62"/>
  <c r="H53" i="62" s="1"/>
  <c r="F52" i="62"/>
  <c r="F53" i="62" s="1"/>
  <c r="E52" i="62"/>
  <c r="E53" i="62" s="1"/>
  <c r="D52" i="62"/>
  <c r="Q49" i="62"/>
  <c r="Q47" i="62"/>
  <c r="O45" i="62"/>
  <c r="O46" i="62" s="1"/>
  <c r="N45" i="62"/>
  <c r="M45" i="62"/>
  <c r="M46" i="62" s="1"/>
  <c r="L45" i="62"/>
  <c r="K45" i="62"/>
  <c r="K46" i="62" s="1"/>
  <c r="K48" i="62" s="1"/>
  <c r="J45" i="62"/>
  <c r="I45" i="62"/>
  <c r="H45" i="62"/>
  <c r="H46" i="62" s="1"/>
  <c r="G45" i="62"/>
  <c r="G46" i="62" s="1"/>
  <c r="F45" i="62"/>
  <c r="F46" i="62" s="1"/>
  <c r="E45" i="62"/>
  <c r="D45" i="62"/>
  <c r="N43" i="62"/>
  <c r="L43" i="62"/>
  <c r="K43" i="62"/>
  <c r="J43" i="62"/>
  <c r="I43" i="62"/>
  <c r="H43" i="62"/>
  <c r="G43" i="62"/>
  <c r="F43" i="62"/>
  <c r="D43" i="62"/>
  <c r="Q42" i="62"/>
  <c r="N41" i="62"/>
  <c r="L41" i="62"/>
  <c r="K41" i="62"/>
  <c r="J41" i="62"/>
  <c r="I41" i="62"/>
  <c r="H41" i="62"/>
  <c r="G41" i="62"/>
  <c r="F41" i="62"/>
  <c r="D41" i="62"/>
  <c r="Q40" i="62"/>
  <c r="Q39" i="62"/>
  <c r="Q38" i="62"/>
  <c r="Q31" i="62"/>
  <c r="P31" i="62"/>
  <c r="Q30" i="62"/>
  <c r="P30" i="62"/>
  <c r="Q27" i="62"/>
  <c r="P27" i="62"/>
  <c r="Q26" i="62"/>
  <c r="P26" i="62"/>
  <c r="Q19" i="62"/>
  <c r="P19" i="62"/>
  <c r="Q18" i="62"/>
  <c r="P18" i="62"/>
  <c r="Q17" i="62"/>
  <c r="P17" i="62"/>
  <c r="Q16" i="62"/>
  <c r="P16" i="62"/>
  <c r="Q15" i="62"/>
  <c r="P15" i="62"/>
  <c r="Q14" i="62"/>
  <c r="P14" i="62"/>
  <c r="K4" i="62"/>
  <c r="O138" i="48"/>
  <c r="N138" i="48"/>
  <c r="M138" i="48"/>
  <c r="L138" i="48"/>
  <c r="K138" i="48"/>
  <c r="J138" i="48"/>
  <c r="I138" i="48"/>
  <c r="H138" i="48"/>
  <c r="G138" i="48"/>
  <c r="F138" i="48"/>
  <c r="E138" i="48"/>
  <c r="D138" i="48"/>
  <c r="Q137" i="48"/>
  <c r="P137" i="48"/>
  <c r="D95" i="48"/>
  <c r="D93" i="48"/>
  <c r="M96" i="48"/>
  <c r="L96" i="48"/>
  <c r="K96" i="48"/>
  <c r="J96" i="48"/>
  <c r="E96" i="48"/>
  <c r="D96" i="48"/>
  <c r="Q94" i="48"/>
  <c r="P94" i="48"/>
  <c r="Q92" i="48"/>
  <c r="P92" i="48"/>
  <c r="P91" i="48"/>
  <c r="O95" i="48"/>
  <c r="N95" i="48"/>
  <c r="M95" i="48"/>
  <c r="L93" i="48"/>
  <c r="K95" i="48"/>
  <c r="J95" i="48"/>
  <c r="I95" i="48"/>
  <c r="Q91" i="48"/>
  <c r="G95" i="48"/>
  <c r="F95" i="48"/>
  <c r="E95" i="48"/>
  <c r="O96" i="48"/>
  <c r="N96" i="48"/>
  <c r="I96" i="48"/>
  <c r="H96" i="48"/>
  <c r="G96" i="48"/>
  <c r="F96" i="48"/>
  <c r="E33" i="48"/>
  <c r="F33" i="48"/>
  <c r="G33" i="48"/>
  <c r="H33" i="48"/>
  <c r="I33" i="48"/>
  <c r="J33" i="48"/>
  <c r="K33" i="48"/>
  <c r="L33" i="48"/>
  <c r="M33" i="48"/>
  <c r="N33" i="48"/>
  <c r="O33" i="48"/>
  <c r="D33" i="48"/>
  <c r="E22" i="48"/>
  <c r="F22" i="48"/>
  <c r="G22" i="48"/>
  <c r="H22" i="48"/>
  <c r="I22" i="48"/>
  <c r="J22" i="48"/>
  <c r="K22" i="48"/>
  <c r="L22" i="48"/>
  <c r="M22" i="48"/>
  <c r="N22" i="48"/>
  <c r="O22" i="48"/>
  <c r="D22" i="48"/>
  <c r="AN207" i="60"/>
  <c r="AK207" i="60"/>
  <c r="AJ207" i="60"/>
  <c r="AI207" i="60"/>
  <c r="AH207" i="60"/>
  <c r="AE207" i="60"/>
  <c r="AD207" i="60"/>
  <c r="AA207" i="60"/>
  <c r="W207" i="60"/>
  <c r="U207" i="60"/>
  <c r="R207" i="60"/>
  <c r="Q207" i="60"/>
  <c r="P207" i="60"/>
  <c r="O207" i="60"/>
  <c r="N207" i="60"/>
  <c r="M207" i="60"/>
  <c r="L207" i="60"/>
  <c r="I207" i="60"/>
  <c r="G207" i="60"/>
  <c r="E207" i="60"/>
  <c r="AN206" i="60"/>
  <c r="AJ206" i="60"/>
  <c r="AI206" i="60"/>
  <c r="AH206" i="60"/>
  <c r="AE206" i="60"/>
  <c r="AD206" i="60"/>
  <c r="AA206" i="60"/>
  <c r="W206" i="60"/>
  <c r="U206" i="60"/>
  <c r="R206" i="60"/>
  <c r="Q206" i="60"/>
  <c r="P206" i="60"/>
  <c r="O206" i="60"/>
  <c r="N206" i="60"/>
  <c r="M206" i="60"/>
  <c r="L206" i="60"/>
  <c r="G206" i="60"/>
  <c r="E206" i="60"/>
  <c r="AN205" i="60"/>
  <c r="AJ205" i="60"/>
  <c r="AI205" i="60"/>
  <c r="AH205" i="60"/>
  <c r="AE205" i="60"/>
  <c r="AD205" i="60"/>
  <c r="AA205" i="60"/>
  <c r="W205" i="60"/>
  <c r="U205" i="60"/>
  <c r="R205" i="60"/>
  <c r="Q205" i="60"/>
  <c r="P205" i="60"/>
  <c r="O205" i="60"/>
  <c r="N205" i="60"/>
  <c r="L205" i="60"/>
  <c r="G205" i="60"/>
  <c r="E205" i="60"/>
  <c r="AN204" i="60"/>
  <c r="AK204" i="60"/>
  <c r="AJ204" i="60"/>
  <c r="AI204" i="60"/>
  <c r="AH204" i="60"/>
  <c r="AE204" i="60"/>
  <c r="AD204" i="60"/>
  <c r="AA204" i="60"/>
  <c r="W204" i="60"/>
  <c r="U204" i="60"/>
  <c r="R204" i="60"/>
  <c r="Q204" i="60"/>
  <c r="P204" i="60"/>
  <c r="O204" i="60"/>
  <c r="N204" i="60"/>
  <c r="M204" i="60"/>
  <c r="L204" i="60"/>
  <c r="I204" i="60"/>
  <c r="G204" i="60"/>
  <c r="E204" i="60"/>
  <c r="AN203" i="60"/>
  <c r="AJ203" i="60"/>
  <c r="AI203" i="60"/>
  <c r="AH203" i="60"/>
  <c r="AE203" i="60"/>
  <c r="AD203" i="60"/>
  <c r="W203" i="60"/>
  <c r="U203" i="60"/>
  <c r="R203" i="60"/>
  <c r="Q203" i="60"/>
  <c r="P203" i="60"/>
  <c r="O203" i="60"/>
  <c r="N203" i="60"/>
  <c r="L203" i="60"/>
  <c r="G203" i="60"/>
  <c r="E203" i="60"/>
  <c r="C217" i="60"/>
  <c r="D53" i="62" l="1"/>
  <c r="P52" i="62"/>
  <c r="P45" i="62"/>
  <c r="P172" i="62"/>
  <c r="P174" i="62"/>
  <c r="P183" i="62"/>
  <c r="P184" i="62"/>
  <c r="P171" i="62"/>
  <c r="P173" i="62"/>
  <c r="P181" i="62"/>
  <c r="P182" i="62"/>
  <c r="P185" i="62"/>
  <c r="V220" i="60"/>
  <c r="V206" i="60"/>
  <c r="AC220" i="60"/>
  <c r="AC206" i="60"/>
  <c r="V221" i="60"/>
  <c r="V207" i="60"/>
  <c r="AA217" i="60"/>
  <c r="AA203" i="60"/>
  <c r="V219" i="60"/>
  <c r="AC221" i="60"/>
  <c r="AC207" i="60"/>
  <c r="Q170" i="62"/>
  <c r="P170" i="62"/>
  <c r="Q171" i="62"/>
  <c r="Q229" i="60"/>
  <c r="Q208" i="60" s="1"/>
  <c r="AD229" i="60"/>
  <c r="AD208" i="60" s="1"/>
  <c r="O229" i="60"/>
  <c r="O208" i="60" s="1"/>
  <c r="AH229" i="60"/>
  <c r="AH208" i="60" s="1"/>
  <c r="AE229" i="60"/>
  <c r="AE208" i="60" s="1"/>
  <c r="S229" i="60"/>
  <c r="AB229" i="60"/>
  <c r="AL229" i="60"/>
  <c r="Y229" i="60"/>
  <c r="U229" i="60"/>
  <c r="U208" i="60" s="1"/>
  <c r="E229" i="60"/>
  <c r="E208" i="60" s="1"/>
  <c r="AA229" i="60"/>
  <c r="AA208" i="60" s="1"/>
  <c r="AK229" i="60"/>
  <c r="AK208" i="60" s="1"/>
  <c r="G229" i="60"/>
  <c r="G208" i="60" s="1"/>
  <c r="I229" i="60"/>
  <c r="I208" i="60" s="1"/>
  <c r="N229" i="60"/>
  <c r="N208" i="60" s="1"/>
  <c r="V229" i="60"/>
  <c r="V208" i="60" s="1"/>
  <c r="L229" i="60"/>
  <c r="L208" i="60" s="1"/>
  <c r="T229" i="60"/>
  <c r="AC229" i="60"/>
  <c r="AC208" i="60" s="1"/>
  <c r="P229" i="60"/>
  <c r="P208" i="60" s="1"/>
  <c r="AN229" i="60"/>
  <c r="AN208" i="60" s="1"/>
  <c r="AJ229" i="60"/>
  <c r="AJ208" i="60" s="1"/>
  <c r="K53" i="62"/>
  <c r="Q150" i="62"/>
  <c r="F55" i="62"/>
  <c r="Q78" i="62"/>
  <c r="Q153" i="62"/>
  <c r="H48" i="62"/>
  <c r="H50" i="62"/>
  <c r="Q185" i="62"/>
  <c r="Q147" i="62"/>
  <c r="Q110" i="62"/>
  <c r="Q116" i="62"/>
  <c r="P150" i="62"/>
  <c r="Q173" i="62"/>
  <c r="Q183" i="62"/>
  <c r="P78" i="62"/>
  <c r="Q113" i="62"/>
  <c r="K50" i="62"/>
  <c r="Q119" i="62"/>
  <c r="Q122" i="62"/>
  <c r="Q172" i="62"/>
  <c r="Q174" i="62"/>
  <c r="Q67" i="62"/>
  <c r="Q69" i="62" s="1"/>
  <c r="J57" i="62"/>
  <c r="G50" i="62"/>
  <c r="G48" i="62"/>
  <c r="H57" i="62"/>
  <c r="H55" i="62"/>
  <c r="M57" i="62"/>
  <c r="M55" i="62"/>
  <c r="Q45" i="62"/>
  <c r="D46" i="62"/>
  <c r="L46" i="62"/>
  <c r="O50" i="62"/>
  <c r="O48" i="62"/>
  <c r="M48" i="62"/>
  <c r="M50" i="62"/>
  <c r="E55" i="62"/>
  <c r="E57" i="62"/>
  <c r="F50" i="62"/>
  <c r="F48" i="62"/>
  <c r="P67" i="62"/>
  <c r="H71" i="62"/>
  <c r="N62" i="62"/>
  <c r="M69" i="62"/>
  <c r="E46" i="62"/>
  <c r="I55" i="62"/>
  <c r="G62" i="62"/>
  <c r="O62" i="62"/>
  <c r="N69" i="62"/>
  <c r="P76" i="62"/>
  <c r="Q60" i="62"/>
  <c r="H69" i="62"/>
  <c r="F62" i="62"/>
  <c r="N46" i="62"/>
  <c r="P60" i="62"/>
  <c r="H62" i="62"/>
  <c r="O69" i="62"/>
  <c r="Q76" i="62"/>
  <c r="P153" i="62"/>
  <c r="I64" i="62"/>
  <c r="I69" i="62"/>
  <c r="I46" i="62"/>
  <c r="Q52" i="62"/>
  <c r="G57" i="62"/>
  <c r="K62" i="62"/>
  <c r="J69" i="62"/>
  <c r="P122" i="62"/>
  <c r="J62" i="62"/>
  <c r="J46" i="62"/>
  <c r="D62" i="62"/>
  <c r="L62" i="62"/>
  <c r="K69" i="62"/>
  <c r="Q144" i="62"/>
  <c r="E62" i="62"/>
  <c r="M62" i="62"/>
  <c r="L69" i="62"/>
  <c r="P95" i="48"/>
  <c r="P138" i="48"/>
  <c r="Q138" i="48"/>
  <c r="Q93" i="48"/>
  <c r="Q95" i="48"/>
  <c r="P93" i="48"/>
  <c r="H95" i="48"/>
  <c r="I93" i="48"/>
  <c r="P90" i="48"/>
  <c r="J93" i="48"/>
  <c r="Q90" i="48"/>
  <c r="K93" i="48"/>
  <c r="E93" i="48"/>
  <c r="M93" i="48"/>
  <c r="L95" i="48"/>
  <c r="F93" i="48"/>
  <c r="N93" i="48"/>
  <c r="H93" i="48"/>
  <c r="G93" i="48"/>
  <c r="O93" i="48"/>
  <c r="R229" i="60"/>
  <c r="R208" i="60" s="1"/>
  <c r="AI229" i="60"/>
  <c r="AI208" i="60" s="1"/>
  <c r="M229" i="60"/>
  <c r="M208" i="60" s="1"/>
  <c r="W229" i="60"/>
  <c r="W208" i="60" s="1"/>
  <c r="P53" i="62" l="1"/>
  <c r="P57" i="62" s="1"/>
  <c r="P62" i="62"/>
  <c r="P64" i="62"/>
  <c r="P46" i="62"/>
  <c r="Q64" i="62"/>
  <c r="Q62" i="62"/>
  <c r="AL208" i="60"/>
  <c r="F57" i="62"/>
  <c r="Q71" i="62"/>
  <c r="O55" i="62"/>
  <c r="O57" i="62"/>
  <c r="P71" i="62"/>
  <c r="P69" i="62"/>
  <c r="E48" i="62"/>
  <c r="E50" i="62"/>
  <c r="L55" i="62"/>
  <c r="L57" i="62"/>
  <c r="D48" i="62"/>
  <c r="D50" i="62"/>
  <c r="Q46" i="62"/>
  <c r="N50" i="62"/>
  <c r="N48" i="62"/>
  <c r="N55" i="62"/>
  <c r="N57" i="62"/>
  <c r="K55" i="62"/>
  <c r="K57" i="62"/>
  <c r="D55" i="62"/>
  <c r="D57" i="62"/>
  <c r="Q53" i="62"/>
  <c r="J48" i="62"/>
  <c r="J50" i="62"/>
  <c r="L48" i="62"/>
  <c r="L50" i="62"/>
  <c r="I50" i="62"/>
  <c r="I48" i="62"/>
  <c r="P177" i="48"/>
  <c r="P125" i="48"/>
  <c r="P18" i="48"/>
  <c r="P55" i="62" l="1"/>
  <c r="Q57" i="62"/>
  <c r="Q55" i="62"/>
  <c r="P48" i="62"/>
  <c r="P50" i="62"/>
  <c r="Q50" i="62"/>
  <c r="Q48" i="62"/>
  <c r="Q189" i="48"/>
  <c r="P189" i="48"/>
  <c r="Q188" i="48"/>
  <c r="P188" i="48"/>
  <c r="Q178" i="48"/>
  <c r="P178" i="48"/>
  <c r="Q177" i="48"/>
  <c r="Q168" i="48"/>
  <c r="P168" i="48"/>
  <c r="Q165" i="48"/>
  <c r="P165" i="48"/>
  <c r="Q164" i="48"/>
  <c r="P164" i="48"/>
  <c r="Q161" i="48"/>
  <c r="P161" i="48"/>
  <c r="Q160" i="48"/>
  <c r="P160" i="48"/>
  <c r="Q133" i="48"/>
  <c r="P133" i="48"/>
  <c r="Q126" i="48"/>
  <c r="P126" i="48"/>
  <c r="Q125" i="48"/>
  <c r="Q102" i="48"/>
  <c r="P102" i="48"/>
  <c r="Q100" i="48"/>
  <c r="P100" i="48"/>
  <c r="Q86" i="48"/>
  <c r="P86" i="48"/>
  <c r="Q82" i="48"/>
  <c r="P82" i="48"/>
  <c r="Q84" i="48"/>
  <c r="P84" i="48"/>
  <c r="Q83" i="48"/>
  <c r="P83" i="48"/>
  <c r="Q30" i="48"/>
  <c r="P30" i="48"/>
  <c r="Q29" i="48"/>
  <c r="P29" i="48"/>
  <c r="Q19" i="48"/>
  <c r="P19" i="48"/>
  <c r="Q18" i="48"/>
  <c r="A70" i="35" l="1"/>
  <c r="A69" i="35"/>
  <c r="A68" i="35"/>
  <c r="A67" i="35"/>
  <c r="A66" i="35"/>
  <c r="A65" i="35"/>
  <c r="A64" i="35"/>
  <c r="A63" i="35"/>
  <c r="A62" i="35"/>
  <c r="A61" i="35"/>
  <c r="A60" i="35"/>
  <c r="A59" i="35"/>
  <c r="AN221" i="60" l="1"/>
  <c r="AJ221" i="60"/>
  <c r="AI221" i="60"/>
  <c r="AH221" i="60"/>
  <c r="AE221" i="60"/>
  <c r="AD221" i="60"/>
  <c r="AA221" i="60"/>
  <c r="W221" i="60"/>
  <c r="U221" i="60"/>
  <c r="R221" i="60"/>
  <c r="Q221" i="60"/>
  <c r="P221" i="60"/>
  <c r="O221" i="60"/>
  <c r="N221" i="60"/>
  <c r="M221" i="60"/>
  <c r="L221" i="60"/>
  <c r="I221" i="60"/>
  <c r="G221" i="60"/>
  <c r="E221" i="60"/>
  <c r="AN220" i="60"/>
  <c r="AJ220" i="60"/>
  <c r="AI220" i="60"/>
  <c r="AH220" i="60"/>
  <c r="AE220" i="60"/>
  <c r="AD220" i="60"/>
  <c r="W220" i="60"/>
  <c r="U220" i="60"/>
  <c r="R220" i="60"/>
  <c r="Q220" i="60"/>
  <c r="P220" i="60"/>
  <c r="O220" i="60"/>
  <c r="N220" i="60"/>
  <c r="M220" i="60"/>
  <c r="L220" i="60"/>
  <c r="G220" i="60"/>
  <c r="E220" i="60"/>
  <c r="AN219" i="60"/>
  <c r="AJ219" i="60"/>
  <c r="AI219" i="60"/>
  <c r="AH219" i="60"/>
  <c r="AE219" i="60"/>
  <c r="AD219" i="60"/>
  <c r="W219" i="60"/>
  <c r="U219" i="60"/>
  <c r="R219" i="60"/>
  <c r="Q219" i="60"/>
  <c r="P219" i="60"/>
  <c r="O219" i="60"/>
  <c r="N219" i="60"/>
  <c r="L219" i="60"/>
  <c r="G219" i="60"/>
  <c r="E219" i="60"/>
  <c r="AN218" i="60"/>
  <c r="AJ218" i="60"/>
  <c r="AI218" i="60"/>
  <c r="AH218" i="60"/>
  <c r="AE218" i="60"/>
  <c r="AD218" i="60"/>
  <c r="W218" i="60"/>
  <c r="U218" i="60"/>
  <c r="R218" i="60"/>
  <c r="Q218" i="60"/>
  <c r="P218" i="60"/>
  <c r="O218" i="60"/>
  <c r="N218" i="60"/>
  <c r="M218" i="60"/>
  <c r="L218" i="60"/>
  <c r="I218" i="60"/>
  <c r="G218" i="60"/>
  <c r="E218" i="60"/>
  <c r="AN217" i="60"/>
  <c r="AJ217" i="60"/>
  <c r="AI217" i="60"/>
  <c r="AH217" i="60"/>
  <c r="AE217" i="60"/>
  <c r="AD217" i="60"/>
  <c r="W217" i="60"/>
  <c r="U217" i="60"/>
  <c r="R217" i="60"/>
  <c r="Q217" i="60"/>
  <c r="P217" i="60"/>
  <c r="O217" i="60"/>
  <c r="N217" i="60"/>
  <c r="L217" i="60"/>
  <c r="G217" i="60"/>
  <c r="E217" i="60"/>
  <c r="C231" i="60"/>
  <c r="AL231" i="60" l="1"/>
  <c r="AA232" i="60"/>
  <c r="AA218" i="60"/>
  <c r="AK232" i="60"/>
  <c r="AK218" i="60"/>
  <c r="AA234" i="60"/>
  <c r="AA220" i="60"/>
  <c r="AK234" i="60"/>
  <c r="AK220" i="60"/>
  <c r="AL232" i="60"/>
  <c r="V231" i="60"/>
  <c r="AA231" i="60"/>
  <c r="V232" i="60"/>
  <c r="AA233" i="60"/>
  <c r="AA219" i="60"/>
  <c r="AK233" i="60"/>
  <c r="AK219" i="60"/>
  <c r="AK235" i="60"/>
  <c r="AK221" i="60"/>
  <c r="O243" i="60"/>
  <c r="O222" i="60" s="1"/>
  <c r="W243" i="60"/>
  <c r="W222" i="60" s="1"/>
  <c r="AE243" i="60"/>
  <c r="AE222" i="60" s="1"/>
  <c r="AH243" i="60"/>
  <c r="AH222" i="60" s="1"/>
  <c r="AI243" i="60"/>
  <c r="AI222" i="60" s="1"/>
  <c r="Y243" i="60"/>
  <c r="AJ243" i="60"/>
  <c r="AJ222" i="60" s="1"/>
  <c r="AB243" i="60"/>
  <c r="AC243" i="60"/>
  <c r="AC222" i="60" s="1"/>
  <c r="R243" i="60"/>
  <c r="R222" i="60" s="1"/>
  <c r="L243" i="60"/>
  <c r="L222" i="60" s="1"/>
  <c r="S243" i="60"/>
  <c r="T243" i="60"/>
  <c r="U243" i="60"/>
  <c r="U222" i="60" s="1"/>
  <c r="V243" i="60"/>
  <c r="V222" i="60" s="1"/>
  <c r="P243" i="60"/>
  <c r="P222" i="60" s="1"/>
  <c r="AN243" i="60"/>
  <c r="AN222" i="60" s="1"/>
  <c r="N243" i="60"/>
  <c r="N222" i="60" s="1"/>
  <c r="AL243" i="60"/>
  <c r="AL222" i="60" s="1"/>
  <c r="I243" i="60"/>
  <c r="I222" i="60" s="1"/>
  <c r="AD243" i="60"/>
  <c r="AD222" i="60" s="1"/>
  <c r="Q243" i="60"/>
  <c r="Q222" i="60" s="1"/>
  <c r="AA243" i="60"/>
  <c r="AA222" i="60" s="1"/>
  <c r="E243" i="60"/>
  <c r="E222" i="60" s="1"/>
  <c r="M243" i="60"/>
  <c r="M222" i="60" s="1"/>
  <c r="AK243" i="60"/>
  <c r="AK222" i="60" s="1"/>
  <c r="G243" i="60"/>
  <c r="G222" i="60" s="1"/>
  <c r="Q130" i="48" l="1"/>
  <c r="P130" i="48"/>
  <c r="Q129" i="48"/>
  <c r="T137" i="48" s="1"/>
  <c r="P129" i="48"/>
  <c r="AN235" i="60"/>
  <c r="AJ235" i="60"/>
  <c r="AI235" i="60"/>
  <c r="AH235" i="60"/>
  <c r="AE235" i="60"/>
  <c r="AD235" i="60"/>
  <c r="AC235" i="60"/>
  <c r="AA235" i="60"/>
  <c r="W235" i="60"/>
  <c r="U235" i="60"/>
  <c r="R235" i="60"/>
  <c r="Q235" i="60"/>
  <c r="P235" i="60"/>
  <c r="O235" i="60"/>
  <c r="L235" i="60"/>
  <c r="I235" i="60"/>
  <c r="G235" i="60"/>
  <c r="E235" i="60"/>
  <c r="AN234" i="60"/>
  <c r="AJ234" i="60"/>
  <c r="AI234" i="60"/>
  <c r="AH234" i="60"/>
  <c r="AE234" i="60"/>
  <c r="AD234" i="60"/>
  <c r="W234" i="60"/>
  <c r="U234" i="60"/>
  <c r="R234" i="60"/>
  <c r="Q234" i="60"/>
  <c r="P234" i="60"/>
  <c r="O234" i="60"/>
  <c r="M234" i="60"/>
  <c r="L234" i="60"/>
  <c r="G234" i="60"/>
  <c r="E234" i="60"/>
  <c r="AN233" i="60"/>
  <c r="AJ233" i="60"/>
  <c r="AI233" i="60"/>
  <c r="AH233" i="60"/>
  <c r="AE233" i="60"/>
  <c r="AD233" i="60"/>
  <c r="W233" i="60"/>
  <c r="U233" i="60"/>
  <c r="R233" i="60"/>
  <c r="Q233" i="60"/>
  <c r="P233" i="60"/>
  <c r="O233" i="60"/>
  <c r="L233" i="60"/>
  <c r="G233" i="60"/>
  <c r="E233" i="60"/>
  <c r="AN232" i="60"/>
  <c r="AJ232" i="60"/>
  <c r="AI232" i="60"/>
  <c r="AH232" i="60"/>
  <c r="AE232" i="60"/>
  <c r="AD232" i="60"/>
  <c r="W232" i="60"/>
  <c r="U232" i="60"/>
  <c r="R232" i="60"/>
  <c r="Q232" i="60"/>
  <c r="P232" i="60"/>
  <c r="O232" i="60"/>
  <c r="M232" i="60"/>
  <c r="L232" i="60"/>
  <c r="I232" i="60"/>
  <c r="G232" i="60"/>
  <c r="E232" i="60"/>
  <c r="AK231" i="60"/>
  <c r="AJ231" i="60"/>
  <c r="AI231" i="60"/>
  <c r="AH231" i="60"/>
  <c r="AE231" i="60"/>
  <c r="AD231" i="60"/>
  <c r="AC257" i="60"/>
  <c r="AC236" i="60" s="1"/>
  <c r="W231" i="60"/>
  <c r="U231" i="60"/>
  <c r="T257" i="60"/>
  <c r="R231" i="60"/>
  <c r="Q231" i="60"/>
  <c r="P231" i="60"/>
  <c r="O231" i="60"/>
  <c r="M231" i="60"/>
  <c r="E231" i="60"/>
  <c r="C245" i="60"/>
  <c r="G257" i="60" l="1"/>
  <c r="G236" i="60" s="1"/>
  <c r="G231" i="60"/>
  <c r="AC246" i="60"/>
  <c r="AA257" i="60"/>
  <c r="AA236" i="60" s="1"/>
  <c r="AK247" i="60"/>
  <c r="V248" i="60"/>
  <c r="V234" i="60"/>
  <c r="AK249" i="60"/>
  <c r="AL235" i="60"/>
  <c r="AL249" i="60"/>
  <c r="AL247" i="60"/>
  <c r="L257" i="60"/>
  <c r="L236" i="60" s="1"/>
  <c r="L231" i="60"/>
  <c r="AN257" i="60"/>
  <c r="AN236" i="60" s="1"/>
  <c r="AN231" i="60"/>
  <c r="AB247" i="60"/>
  <c r="V247" i="60"/>
  <c r="AK248" i="60"/>
  <c r="V249" i="60"/>
  <c r="AL248" i="60"/>
  <c r="AI257" i="60"/>
  <c r="AI236" i="60" s="1"/>
  <c r="Y257" i="60"/>
  <c r="AJ257" i="60"/>
  <c r="AJ236" i="60" s="1"/>
  <c r="X257" i="60"/>
  <c r="P257" i="60"/>
  <c r="P236" i="60" s="1"/>
  <c r="W257" i="60"/>
  <c r="W236" i="60" s="1"/>
  <c r="O257" i="60"/>
  <c r="O236" i="60" s="1"/>
  <c r="S257" i="60"/>
  <c r="AB257" i="60"/>
  <c r="AD257" i="60"/>
  <c r="AD236" i="60" s="1"/>
  <c r="I257" i="60"/>
  <c r="I236" i="60" s="1"/>
  <c r="AL257" i="60"/>
  <c r="AH257" i="60"/>
  <c r="AH236" i="60" s="1"/>
  <c r="Q257" i="60"/>
  <c r="Q236" i="60" s="1"/>
  <c r="R257" i="60"/>
  <c r="R236" i="60" s="1"/>
  <c r="N257" i="60"/>
  <c r="V257" i="60"/>
  <c r="V236" i="60" s="1"/>
  <c r="AE257" i="60"/>
  <c r="AE236" i="60" s="1"/>
  <c r="E257" i="60"/>
  <c r="E236" i="60" s="1"/>
  <c r="M257" i="60"/>
  <c r="M236" i="60" s="1"/>
  <c r="U257" i="60"/>
  <c r="U236" i="60" s="1"/>
  <c r="AK257" i="60"/>
  <c r="AK236" i="60" s="1"/>
  <c r="AN249" i="60" l="1"/>
  <c r="AJ249" i="60"/>
  <c r="AI249" i="60"/>
  <c r="AH249" i="60"/>
  <c r="AE249" i="60"/>
  <c r="AD249" i="60"/>
  <c r="AC249" i="60"/>
  <c r="AB249" i="60"/>
  <c r="AA249" i="60"/>
  <c r="X249" i="60"/>
  <c r="W249" i="60"/>
  <c r="U249" i="60"/>
  <c r="R249" i="60"/>
  <c r="Q249" i="60"/>
  <c r="P249" i="60"/>
  <c r="O249" i="60"/>
  <c r="N249" i="60"/>
  <c r="M249" i="60"/>
  <c r="L249" i="60"/>
  <c r="I249" i="60"/>
  <c r="G249" i="60"/>
  <c r="E249" i="60"/>
  <c r="AN248" i="60"/>
  <c r="AJ248" i="60"/>
  <c r="AI248" i="60"/>
  <c r="AH248" i="60"/>
  <c r="AE248" i="60"/>
  <c r="AD248" i="60"/>
  <c r="AC248" i="60"/>
  <c r="AB248" i="60"/>
  <c r="AA248" i="60"/>
  <c r="X248" i="60"/>
  <c r="W248" i="60"/>
  <c r="U248" i="60"/>
  <c r="R248" i="60"/>
  <c r="Q248" i="60"/>
  <c r="P248" i="60"/>
  <c r="O248" i="60"/>
  <c r="N248" i="60"/>
  <c r="M248" i="60"/>
  <c r="L248" i="60"/>
  <c r="G248" i="60"/>
  <c r="E248" i="60"/>
  <c r="AN247" i="60"/>
  <c r="AJ247" i="60"/>
  <c r="AI247" i="60"/>
  <c r="AH247" i="60"/>
  <c r="AE247" i="60"/>
  <c r="AD247" i="60"/>
  <c r="AA247" i="60"/>
  <c r="W247" i="60"/>
  <c r="U247" i="60"/>
  <c r="R247" i="60"/>
  <c r="Q247" i="60"/>
  <c r="P247" i="60"/>
  <c r="O247" i="60"/>
  <c r="N247" i="60"/>
  <c r="M247" i="60"/>
  <c r="L247" i="60"/>
  <c r="G247" i="60"/>
  <c r="E247" i="60"/>
  <c r="AN246" i="60"/>
  <c r="AJ246" i="60"/>
  <c r="AI246" i="60"/>
  <c r="AH246" i="60"/>
  <c r="AE246" i="60"/>
  <c r="AD246" i="60"/>
  <c r="AA246" i="60"/>
  <c r="X246" i="60"/>
  <c r="W246" i="60"/>
  <c r="U246" i="60"/>
  <c r="R246" i="60"/>
  <c r="Q246" i="60"/>
  <c r="P246" i="60"/>
  <c r="O246" i="60"/>
  <c r="N246" i="60"/>
  <c r="M246" i="60"/>
  <c r="L246" i="60"/>
  <c r="I246" i="60"/>
  <c r="G246" i="60"/>
  <c r="E246" i="60"/>
  <c r="AN245" i="60"/>
  <c r="AK245" i="60"/>
  <c r="AJ245" i="60"/>
  <c r="AI245" i="60"/>
  <c r="AH245" i="60"/>
  <c r="AE245" i="60"/>
  <c r="AD245" i="60"/>
  <c r="AA245" i="60"/>
  <c r="W245" i="60"/>
  <c r="U245" i="60"/>
  <c r="R245" i="60"/>
  <c r="Q245" i="60"/>
  <c r="P245" i="60"/>
  <c r="O245" i="60"/>
  <c r="N245" i="60"/>
  <c r="M245" i="60"/>
  <c r="L245" i="60"/>
  <c r="G245" i="60"/>
  <c r="E245" i="60"/>
  <c r="C259" i="60"/>
  <c r="AH271" i="60" l="1"/>
  <c r="AH250" i="60" s="1"/>
  <c r="AI271" i="60"/>
  <c r="AI250" i="60" s="1"/>
  <c r="AB271" i="60"/>
  <c r="Y271" i="60"/>
  <c r="AJ271" i="60"/>
  <c r="AJ250" i="60" s="1"/>
  <c r="AA271" i="60"/>
  <c r="AA250" i="60" s="1"/>
  <c r="Q271" i="60"/>
  <c r="Q250" i="60" s="1"/>
  <c r="R271" i="60"/>
  <c r="R250" i="60" s="1"/>
  <c r="S271" i="60"/>
  <c r="L271" i="60"/>
  <c r="L250" i="60" s="1"/>
  <c r="T271" i="60"/>
  <c r="I271" i="60"/>
  <c r="I250" i="60" s="1"/>
  <c r="AK271" i="60"/>
  <c r="AK250" i="60" s="1"/>
  <c r="M271" i="60"/>
  <c r="M250" i="60" s="1"/>
  <c r="N271" i="60"/>
  <c r="N250" i="60" s="1"/>
  <c r="AL271" i="60"/>
  <c r="AC271" i="60"/>
  <c r="AC250" i="60" s="1"/>
  <c r="V271" i="60"/>
  <c r="V250" i="60" s="1"/>
  <c r="W271" i="60"/>
  <c r="W250" i="60" s="1"/>
  <c r="U271" i="60"/>
  <c r="U250" i="60" s="1"/>
  <c r="G271" i="60"/>
  <c r="G250" i="60" s="1"/>
  <c r="O271" i="60"/>
  <c r="O250" i="60" s="1"/>
  <c r="AE271" i="60"/>
  <c r="AE250" i="60" s="1"/>
  <c r="P271" i="60"/>
  <c r="P250" i="60" s="1"/>
  <c r="X271" i="60"/>
  <c r="X250" i="60" s="1"/>
  <c r="AN271" i="60"/>
  <c r="AN250" i="60" s="1"/>
  <c r="E271" i="60"/>
  <c r="E250" i="60" s="1"/>
  <c r="AD271" i="60"/>
  <c r="AD250" i="60" s="1"/>
  <c r="G515" i="61" l="1"/>
  <c r="A515" i="61"/>
  <c r="G514" i="61"/>
  <c r="A514" i="61"/>
  <c r="G513" i="61"/>
  <c r="A513" i="61"/>
  <c r="G518" i="61"/>
  <c r="A518" i="61"/>
  <c r="G517" i="61"/>
  <c r="A517" i="61"/>
  <c r="G516" i="61"/>
  <c r="A516" i="61"/>
  <c r="A520" i="61"/>
  <c r="G520" i="61"/>
  <c r="A521" i="61"/>
  <c r="G521" i="61"/>
  <c r="K515" i="61" l="1"/>
  <c r="K520" i="61"/>
  <c r="K514" i="61"/>
  <c r="K513" i="61"/>
  <c r="K521" i="61"/>
  <c r="K516" i="61"/>
  <c r="K517" i="61"/>
  <c r="K518" i="61"/>
  <c r="P85" i="48" l="1"/>
  <c r="AN263" i="60"/>
  <c r="AJ263" i="60"/>
  <c r="AI263" i="60"/>
  <c r="AH263" i="60"/>
  <c r="AE263" i="60"/>
  <c r="AD263" i="60"/>
  <c r="AC263" i="60"/>
  <c r="AB263" i="60"/>
  <c r="AA263" i="60"/>
  <c r="X263" i="60"/>
  <c r="W263" i="60"/>
  <c r="U263" i="60"/>
  <c r="R263" i="60"/>
  <c r="Q263" i="60"/>
  <c r="P263" i="60"/>
  <c r="O263" i="60"/>
  <c r="N263" i="60"/>
  <c r="M263" i="60"/>
  <c r="L263" i="60"/>
  <c r="I263" i="60"/>
  <c r="G263" i="60"/>
  <c r="E263" i="60"/>
  <c r="AN262" i="60"/>
  <c r="AK262" i="60"/>
  <c r="AJ262" i="60"/>
  <c r="AI262" i="60"/>
  <c r="AH262" i="60"/>
  <c r="AE262" i="60"/>
  <c r="AD262" i="60"/>
  <c r="AC262" i="60"/>
  <c r="AB262" i="60"/>
  <c r="AA262" i="60"/>
  <c r="X262" i="60"/>
  <c r="W262" i="60"/>
  <c r="V262" i="60"/>
  <c r="U262" i="60"/>
  <c r="R262" i="60"/>
  <c r="Q262" i="60"/>
  <c r="P262" i="60"/>
  <c r="O262" i="60"/>
  <c r="N262" i="60"/>
  <c r="M262" i="60"/>
  <c r="L262" i="60"/>
  <c r="G262" i="60"/>
  <c r="E262" i="60"/>
  <c r="AN261" i="60"/>
  <c r="AJ261" i="60"/>
  <c r="AI261" i="60"/>
  <c r="AH261" i="60"/>
  <c r="AE261" i="60"/>
  <c r="AD261" i="60"/>
  <c r="AA261" i="60"/>
  <c r="W261" i="60"/>
  <c r="U261" i="60"/>
  <c r="R261" i="60"/>
  <c r="Q261" i="60"/>
  <c r="P261" i="60"/>
  <c r="O261" i="60"/>
  <c r="N261" i="60"/>
  <c r="M261" i="60"/>
  <c r="L261" i="60"/>
  <c r="G261" i="60"/>
  <c r="E261" i="60"/>
  <c r="AN260" i="60"/>
  <c r="AJ260" i="60"/>
  <c r="AI260" i="60"/>
  <c r="AH260" i="60"/>
  <c r="AE260" i="60"/>
  <c r="AD260" i="60"/>
  <c r="AC260" i="60"/>
  <c r="AA260" i="60"/>
  <c r="X260" i="60"/>
  <c r="W260" i="60"/>
  <c r="U260" i="60"/>
  <c r="R260" i="60"/>
  <c r="Q260" i="60"/>
  <c r="P260" i="60"/>
  <c r="O260" i="60"/>
  <c r="N260" i="60"/>
  <c r="M260" i="60"/>
  <c r="L260" i="60"/>
  <c r="I260" i="60"/>
  <c r="G260" i="60"/>
  <c r="E260" i="60"/>
  <c r="AN259" i="60"/>
  <c r="AK259" i="60"/>
  <c r="AJ259" i="60"/>
  <c r="AI259" i="60"/>
  <c r="AE259" i="60"/>
  <c r="AD259" i="60"/>
  <c r="AA259" i="60"/>
  <c r="U259" i="60"/>
  <c r="R259" i="60"/>
  <c r="Q259" i="60"/>
  <c r="P259" i="60"/>
  <c r="N259" i="60"/>
  <c r="M259" i="60"/>
  <c r="L259" i="60"/>
  <c r="G259" i="60"/>
  <c r="E259" i="60"/>
  <c r="C273" i="60"/>
  <c r="W285" i="60" l="1"/>
  <c r="W264" i="60" s="1"/>
  <c r="W259" i="60"/>
  <c r="W273" i="60"/>
  <c r="V274" i="60"/>
  <c r="V260" i="60"/>
  <c r="AK275" i="60"/>
  <c r="AH285" i="60"/>
  <c r="AH264" i="60" s="1"/>
  <c r="AH259" i="60"/>
  <c r="O285" i="60"/>
  <c r="O264" i="60" s="1"/>
  <c r="O259" i="60"/>
  <c r="AK274" i="60"/>
  <c r="AK260" i="60"/>
  <c r="L190" i="48"/>
  <c r="L179" i="48"/>
  <c r="L169" i="48"/>
  <c r="L134" i="48"/>
  <c r="L139" i="48" s="1"/>
  <c r="V285" i="60"/>
  <c r="V264" i="60" s="1"/>
  <c r="AI285" i="60"/>
  <c r="AI264" i="60" s="1"/>
  <c r="N285" i="60"/>
  <c r="N264" i="60" s="1"/>
  <c r="AK285" i="60"/>
  <c r="AK264" i="60" s="1"/>
  <c r="AA285" i="60"/>
  <c r="AA264" i="60" s="1"/>
  <c r="R285" i="60"/>
  <c r="R264" i="60" s="1"/>
  <c r="AJ285" i="60"/>
  <c r="AJ264" i="60" s="1"/>
  <c r="S285" i="60"/>
  <c r="AB285" i="60"/>
  <c r="AL285" i="60"/>
  <c r="L285" i="60"/>
  <c r="L264" i="60" s="1"/>
  <c r="T285" i="60"/>
  <c r="AC285" i="60"/>
  <c r="AC264" i="60" s="1"/>
  <c r="AE285" i="60"/>
  <c r="AE264" i="60" s="1"/>
  <c r="AD285" i="60"/>
  <c r="AD264" i="60" s="1"/>
  <c r="G285" i="60"/>
  <c r="G264" i="60" s="1"/>
  <c r="E285" i="60"/>
  <c r="E264" i="60" s="1"/>
  <c r="I285" i="60"/>
  <c r="I264" i="60" s="1"/>
  <c r="Q285" i="60"/>
  <c r="Q264" i="60" s="1"/>
  <c r="Y285" i="60"/>
  <c r="P285" i="60"/>
  <c r="P264" i="60" s="1"/>
  <c r="X285" i="60"/>
  <c r="X264" i="60" s="1"/>
  <c r="AN285" i="60"/>
  <c r="AN264" i="60" s="1"/>
  <c r="M285" i="60"/>
  <c r="M264" i="60" s="1"/>
  <c r="U285" i="60"/>
  <c r="U264" i="60" s="1"/>
  <c r="L170" i="48" l="1"/>
  <c r="L135" i="48"/>
  <c r="AC130" i="48" l="1"/>
  <c r="AC129" i="48"/>
  <c r="A1255" i="27" l="1"/>
  <c r="A1254" i="27"/>
  <c r="A1253" i="27"/>
  <c r="A1252" i="27"/>
  <c r="A1251" i="27"/>
  <c r="A1250" i="27"/>
  <c r="A1249" i="27"/>
  <c r="A1248" i="27"/>
  <c r="A1247" i="27"/>
  <c r="A1246" i="27"/>
  <c r="A1245" i="27"/>
  <c r="A1244" i="27"/>
  <c r="A1243" i="27"/>
  <c r="A1242" i="27"/>
  <c r="A1241" i="27"/>
  <c r="A1240" i="27"/>
  <c r="A1239" i="27"/>
  <c r="A1238" i="27"/>
  <c r="A1237" i="27"/>
  <c r="A1236" i="27"/>
  <c r="A1235" i="27"/>
  <c r="A1234" i="27"/>
  <c r="A1233" i="27"/>
  <c r="A1232" i="27"/>
  <c r="A1231" i="27"/>
  <c r="A1230" i="27"/>
  <c r="A1229" i="27"/>
  <c r="A1228" i="27"/>
  <c r="A1227" i="27"/>
  <c r="A1226" i="27"/>
  <c r="A1225" i="27"/>
  <c r="A1224" i="27"/>
  <c r="A1223" i="27"/>
  <c r="A1222" i="27"/>
  <c r="A1221" i="27"/>
  <c r="A1220" i="27"/>
  <c r="A1219" i="27"/>
  <c r="A1218" i="27"/>
  <c r="A1217" i="27"/>
  <c r="A1216" i="27"/>
  <c r="A1215" i="27"/>
  <c r="A1214" i="27"/>
  <c r="A1213" i="27"/>
  <c r="A1212" i="27"/>
  <c r="A1211" i="27"/>
  <c r="A1210" i="27"/>
  <c r="A1209" i="27"/>
  <c r="A1208" i="27"/>
  <c r="A1207" i="27"/>
  <c r="A1206" i="27"/>
  <c r="A1205" i="27"/>
  <c r="A1204" i="27"/>
  <c r="A1203" i="27"/>
  <c r="A1202" i="27"/>
  <c r="A1201" i="27"/>
  <c r="A1200" i="27"/>
  <c r="A1199" i="27"/>
  <c r="A1198" i="27"/>
  <c r="A1197" i="27"/>
  <c r="A1196" i="27"/>
  <c r="A1195" i="27"/>
  <c r="A1194" i="27"/>
  <c r="A1193" i="27"/>
  <c r="A1192" i="27"/>
  <c r="A1191" i="27"/>
  <c r="A1190" i="27"/>
  <c r="A1189" i="27"/>
  <c r="A1188" i="27"/>
  <c r="A1187" i="27"/>
  <c r="A1186" i="27"/>
  <c r="A1185" i="27"/>
  <c r="A1184" i="27"/>
  <c r="A1183" i="27"/>
  <c r="A1182" i="27"/>
  <c r="A1181" i="27"/>
  <c r="A1180" i="27"/>
  <c r="A1179" i="27"/>
  <c r="A1178" i="27"/>
  <c r="A1177" i="27"/>
  <c r="A1176" i="27"/>
  <c r="A1175" i="27"/>
  <c r="A1174" i="27"/>
  <c r="A1173" i="27"/>
  <c r="A1172" i="27"/>
  <c r="A1171" i="27"/>
  <c r="A1170" i="27"/>
  <c r="A1169" i="27"/>
  <c r="A1168" i="27"/>
  <c r="A1167" i="27"/>
  <c r="A1166" i="27"/>
  <c r="A1165" i="27"/>
  <c r="A1164" i="27"/>
  <c r="A1163" i="27"/>
  <c r="A1162" i="27"/>
  <c r="A1161" i="27"/>
  <c r="A1160" i="27"/>
  <c r="A1159" i="27"/>
  <c r="A1158" i="27"/>
  <c r="A1157" i="27"/>
  <c r="A1156" i="27"/>
  <c r="A1155" i="27"/>
  <c r="A1154" i="27"/>
  <c r="A1153" i="27"/>
  <c r="A1152" i="27"/>
  <c r="A1151" i="27"/>
  <c r="A1150" i="27"/>
  <c r="A1149" i="27"/>
  <c r="A1148" i="27"/>
  <c r="A1147" i="27"/>
  <c r="A1146" i="27"/>
  <c r="A1145" i="27"/>
  <c r="A1144" i="27"/>
  <c r="A1143" i="27"/>
  <c r="A1142" i="27"/>
  <c r="A1141" i="27"/>
  <c r="A1140" i="27"/>
  <c r="A1139" i="27"/>
  <c r="A1138" i="27"/>
  <c r="A1137" i="27"/>
  <c r="A1136" i="27"/>
  <c r="A1135" i="27"/>
  <c r="A1134" i="27"/>
  <c r="A1133" i="27"/>
  <c r="A1132" i="27"/>
  <c r="A1131" i="27"/>
  <c r="A1130" i="27"/>
  <c r="A1129" i="27"/>
  <c r="A1128" i="27"/>
  <c r="A1127" i="27"/>
  <c r="A1126" i="27"/>
  <c r="A1125" i="27"/>
  <c r="A1124" i="27"/>
  <c r="A1123" i="27"/>
  <c r="A1122" i="27"/>
  <c r="A1121" i="27"/>
  <c r="A1120" i="27"/>
  <c r="A1119" i="27"/>
  <c r="A1118" i="27"/>
  <c r="A1117" i="27"/>
  <c r="A1116" i="27"/>
  <c r="A1115" i="27"/>
  <c r="A1114" i="27"/>
  <c r="A1113" i="27"/>
  <c r="A1112" i="27"/>
  <c r="A1111" i="27"/>
  <c r="A1110" i="27"/>
  <c r="A1109" i="27"/>
  <c r="A1108" i="27"/>
  <c r="A1107" i="27"/>
  <c r="A1106" i="27"/>
  <c r="A1105" i="27"/>
  <c r="A1104" i="27"/>
  <c r="A1103" i="27"/>
  <c r="A1102" i="27"/>
  <c r="A1101" i="27"/>
  <c r="A1100" i="27"/>
  <c r="A1099" i="27"/>
  <c r="A1098" i="27"/>
  <c r="A1097" i="27"/>
  <c r="A1096" i="27"/>
  <c r="A1095" i="27"/>
  <c r="A1094" i="27"/>
  <c r="A1093" i="27"/>
  <c r="A1092" i="27"/>
  <c r="A1091" i="27"/>
  <c r="A1090" i="27"/>
  <c r="A1089" i="27"/>
  <c r="A1088" i="27"/>
  <c r="A1087" i="27"/>
  <c r="A1086" i="27"/>
  <c r="A1085" i="27"/>
  <c r="A1084" i="27"/>
  <c r="A1083" i="27"/>
  <c r="A1082" i="27"/>
  <c r="A1081" i="27"/>
  <c r="A1080" i="27"/>
  <c r="A1079" i="27"/>
  <c r="A1078" i="27"/>
  <c r="A1077" i="27"/>
  <c r="A1076" i="27"/>
  <c r="A1075" i="27"/>
  <c r="A1074" i="27"/>
  <c r="A1073" i="27"/>
  <c r="A1072" i="27"/>
  <c r="A1071" i="27"/>
  <c r="A1070" i="27"/>
  <c r="A1069" i="27"/>
  <c r="A1068" i="27"/>
  <c r="A1067" i="27"/>
  <c r="A1066" i="27"/>
  <c r="A1065" i="27"/>
  <c r="A1064" i="27"/>
  <c r="A1063" i="27"/>
  <c r="A1062" i="27"/>
  <c r="A1061" i="27"/>
  <c r="A1060" i="27"/>
  <c r="A1059" i="27"/>
  <c r="A1058" i="27"/>
  <c r="A1057" i="27"/>
  <c r="A1056" i="27"/>
  <c r="A1055" i="27"/>
  <c r="A1054" i="27"/>
  <c r="A1053" i="27"/>
  <c r="A1052" i="27"/>
  <c r="A1051" i="27"/>
  <c r="A1050" i="27"/>
  <c r="A1049" i="27"/>
  <c r="A1048" i="27"/>
  <c r="A1047" i="27"/>
  <c r="A1046" i="27"/>
  <c r="A1045" i="27"/>
  <c r="A1044" i="27"/>
  <c r="A1043" i="27"/>
  <c r="A1042" i="27"/>
  <c r="A1041" i="27"/>
  <c r="A1040" i="27"/>
  <c r="A1039" i="27"/>
  <c r="A1038" i="27"/>
  <c r="A1037" i="27"/>
  <c r="A1036" i="27"/>
  <c r="A1035" i="27"/>
  <c r="A1034" i="27"/>
  <c r="A1033" i="27"/>
  <c r="A1032" i="27"/>
  <c r="A1031" i="27"/>
  <c r="A1030" i="27"/>
  <c r="A1029" i="27"/>
  <c r="A1028" i="27"/>
  <c r="A1027" i="27"/>
  <c r="A1026" i="27"/>
  <c r="A1025" i="27"/>
  <c r="A1024" i="27"/>
  <c r="A1023" i="27"/>
  <c r="A1022" i="27"/>
  <c r="A1021" i="27"/>
  <c r="A1020" i="27"/>
  <c r="A1019" i="27"/>
  <c r="A1018" i="27"/>
  <c r="A1017" i="27"/>
  <c r="A1016" i="27"/>
  <c r="A1015" i="27"/>
  <c r="A1014" i="27"/>
  <c r="A1013" i="27"/>
  <c r="A1012" i="27"/>
  <c r="A1011" i="27"/>
  <c r="A1010" i="27"/>
  <c r="A1009" i="27"/>
  <c r="A1008" i="27"/>
  <c r="A1007" i="27"/>
  <c r="A1006" i="27"/>
  <c r="A1005" i="27"/>
  <c r="A1004" i="27"/>
  <c r="A1003" i="27"/>
  <c r="A1002" i="27"/>
  <c r="A1001" i="27"/>
  <c r="A1000" i="27"/>
  <c r="A999" i="27"/>
  <c r="A998" i="27"/>
  <c r="A997" i="27"/>
  <c r="A996" i="27"/>
  <c r="A995" i="27"/>
  <c r="A994" i="27"/>
  <c r="A993" i="27"/>
  <c r="A992" i="27"/>
  <c r="A991" i="27"/>
  <c r="A990" i="27"/>
  <c r="A989" i="27"/>
  <c r="A988" i="27"/>
  <c r="A987" i="27"/>
  <c r="A986" i="27"/>
  <c r="A985" i="27"/>
  <c r="A984" i="27"/>
  <c r="A983" i="27"/>
  <c r="A982" i="27"/>
  <c r="A981" i="27"/>
  <c r="A980" i="27"/>
  <c r="A979" i="27"/>
  <c r="A978" i="27"/>
  <c r="A977" i="27"/>
  <c r="A976" i="27"/>
  <c r="A975" i="27"/>
  <c r="A974" i="27"/>
  <c r="A973" i="27"/>
  <c r="A972" i="27"/>
  <c r="A971" i="27"/>
  <c r="A970" i="27"/>
  <c r="A969" i="27"/>
  <c r="A968" i="27"/>
  <c r="A967" i="27"/>
  <c r="A966" i="27"/>
  <c r="A965" i="27"/>
  <c r="A964" i="27"/>
  <c r="A963" i="27"/>
  <c r="A962" i="27"/>
  <c r="A961" i="27"/>
  <c r="A960" i="27"/>
  <c r="A959" i="27"/>
  <c r="A958" i="27"/>
  <c r="A957" i="27"/>
  <c r="A956" i="27"/>
  <c r="A955" i="27"/>
  <c r="A954" i="27"/>
  <c r="A953" i="27"/>
  <c r="A952" i="27"/>
  <c r="A951" i="27"/>
  <c r="A950" i="27"/>
  <c r="A949" i="27"/>
  <c r="A948" i="27"/>
  <c r="A947" i="27"/>
  <c r="A946" i="27"/>
  <c r="A945" i="27"/>
  <c r="A944" i="27"/>
  <c r="A943" i="27"/>
  <c r="A942" i="27"/>
  <c r="A941" i="27"/>
  <c r="A940" i="27"/>
  <c r="A939" i="27"/>
  <c r="A938" i="27"/>
  <c r="A937" i="27"/>
  <c r="A936" i="27"/>
  <c r="A935" i="27"/>
  <c r="A934" i="27"/>
  <c r="A933" i="27"/>
  <c r="A932" i="27"/>
  <c r="A931" i="27"/>
  <c r="A930" i="27"/>
  <c r="A929" i="27"/>
  <c r="A928" i="27"/>
  <c r="A927" i="27"/>
  <c r="A926" i="27"/>
  <c r="A925" i="27"/>
  <c r="A924" i="27"/>
  <c r="A923" i="27"/>
  <c r="A922" i="27"/>
  <c r="A921" i="27"/>
  <c r="A920" i="27"/>
  <c r="A919" i="27"/>
  <c r="A918" i="27"/>
  <c r="A917" i="27"/>
  <c r="A916" i="27"/>
  <c r="A915" i="27"/>
  <c r="A914" i="27"/>
  <c r="A913" i="27"/>
  <c r="A912" i="27"/>
  <c r="A911" i="27"/>
  <c r="A910" i="27"/>
  <c r="A909" i="27"/>
  <c r="A908" i="27"/>
  <c r="A907" i="27"/>
  <c r="A906" i="27"/>
  <c r="A905" i="27"/>
  <c r="A904" i="27"/>
  <c r="A903" i="27"/>
  <c r="A902" i="27"/>
  <c r="A901" i="27"/>
  <c r="A900" i="27"/>
  <c r="A899" i="27"/>
  <c r="A898" i="27"/>
  <c r="A897" i="27"/>
  <c r="A896" i="27"/>
  <c r="A895" i="27"/>
  <c r="A894" i="27"/>
  <c r="A893" i="27"/>
  <c r="A892" i="27"/>
  <c r="A891" i="27"/>
  <c r="A890" i="27"/>
  <c r="A889" i="27"/>
  <c r="A888" i="27"/>
  <c r="A887" i="27"/>
  <c r="A886" i="27"/>
  <c r="A885" i="27"/>
  <c r="A884" i="27"/>
  <c r="A883" i="27"/>
  <c r="A882" i="27"/>
  <c r="A881" i="27"/>
  <c r="A880" i="27"/>
  <c r="A879" i="27"/>
  <c r="A878" i="27"/>
  <c r="A877" i="27"/>
  <c r="A876" i="27"/>
  <c r="A875" i="27"/>
  <c r="A874" i="27"/>
  <c r="A873" i="27"/>
  <c r="A872" i="27"/>
  <c r="A871" i="27"/>
  <c r="A870" i="27"/>
  <c r="A869" i="27"/>
  <c r="A868" i="27"/>
  <c r="A867" i="27"/>
  <c r="A866" i="27"/>
  <c r="A865" i="27"/>
  <c r="A864" i="27"/>
  <c r="A863" i="27"/>
  <c r="A862" i="27"/>
  <c r="A861" i="27"/>
  <c r="A860" i="27"/>
  <c r="A859" i="27"/>
  <c r="A858" i="27"/>
  <c r="A857" i="27"/>
  <c r="A856" i="27"/>
  <c r="A855" i="27"/>
  <c r="A854" i="27"/>
  <c r="A853" i="27"/>
  <c r="A852" i="27"/>
  <c r="A851" i="27"/>
  <c r="A850" i="27"/>
  <c r="A849" i="27"/>
  <c r="A848" i="27"/>
  <c r="A847" i="27"/>
  <c r="A846" i="27"/>
  <c r="A845" i="27"/>
  <c r="A844" i="27"/>
  <c r="A843" i="27"/>
  <c r="A842" i="27"/>
  <c r="A841" i="27"/>
  <c r="A840" i="27"/>
  <c r="A839" i="27"/>
  <c r="A838" i="27"/>
  <c r="A837" i="27"/>
  <c r="A836" i="27"/>
  <c r="A835" i="27"/>
  <c r="A834" i="27"/>
  <c r="A833" i="27"/>
  <c r="A832" i="27"/>
  <c r="A831" i="27"/>
  <c r="A830" i="27"/>
  <c r="A829" i="27"/>
  <c r="A828" i="27"/>
  <c r="A827" i="27"/>
  <c r="A826" i="27"/>
  <c r="A825" i="27"/>
  <c r="A824" i="27"/>
  <c r="A823" i="27"/>
  <c r="A822" i="27"/>
  <c r="A821" i="27"/>
  <c r="A820" i="27"/>
  <c r="A819" i="27"/>
  <c r="A818" i="27"/>
  <c r="A817" i="27"/>
  <c r="A816" i="27"/>
  <c r="A815" i="27"/>
  <c r="A814" i="27"/>
  <c r="A813" i="27"/>
  <c r="A812" i="27"/>
  <c r="A811" i="27"/>
  <c r="A810" i="27"/>
  <c r="A809" i="27"/>
  <c r="A808" i="27"/>
  <c r="A807" i="27"/>
  <c r="A806" i="27"/>
  <c r="A805" i="27"/>
  <c r="A804" i="27"/>
  <c r="A803" i="27"/>
  <c r="A802" i="27"/>
  <c r="A801" i="27"/>
  <c r="A800" i="27"/>
  <c r="A799" i="27"/>
  <c r="A798" i="27"/>
  <c r="A797" i="27"/>
  <c r="A796" i="27"/>
  <c r="A795" i="27"/>
  <c r="A794" i="27"/>
  <c r="A793" i="27"/>
  <c r="A792" i="27"/>
  <c r="A791" i="27"/>
  <c r="A790" i="27"/>
  <c r="A789" i="27"/>
  <c r="A788" i="27"/>
  <c r="A787" i="27"/>
  <c r="A786" i="27"/>
  <c r="A785" i="27"/>
  <c r="A784" i="27"/>
  <c r="A783" i="27"/>
  <c r="A782" i="27"/>
  <c r="A781" i="27"/>
  <c r="A780" i="27"/>
  <c r="A779" i="27"/>
  <c r="A778" i="27"/>
  <c r="A777" i="27"/>
  <c r="A776" i="27"/>
  <c r="A775" i="27"/>
  <c r="A774" i="27"/>
  <c r="A773" i="27"/>
  <c r="A772" i="27"/>
  <c r="A771" i="27"/>
  <c r="A770" i="27"/>
  <c r="A769" i="27"/>
  <c r="A768" i="27"/>
  <c r="A767" i="27"/>
  <c r="A766" i="27"/>
  <c r="A765" i="27"/>
  <c r="A764" i="27"/>
  <c r="A763" i="27"/>
  <c r="A762" i="27"/>
  <c r="A761" i="27"/>
  <c r="A760" i="27"/>
  <c r="A759" i="27"/>
  <c r="A758" i="27"/>
  <c r="A757" i="27"/>
  <c r="A756" i="27"/>
  <c r="A755" i="27"/>
  <c r="A754" i="27"/>
  <c r="A753" i="27"/>
  <c r="A752" i="27"/>
  <c r="A751" i="27"/>
  <c r="A750" i="27"/>
  <c r="A749" i="27"/>
  <c r="A748" i="27"/>
  <c r="A747" i="27"/>
  <c r="A746" i="27"/>
  <c r="A745" i="27"/>
  <c r="A744" i="27"/>
  <c r="A743" i="27"/>
  <c r="A742" i="27"/>
  <c r="A741" i="27"/>
  <c r="A740" i="27"/>
  <c r="A739" i="27"/>
  <c r="A738" i="27"/>
  <c r="A737" i="27"/>
  <c r="A736" i="27"/>
  <c r="A735" i="27"/>
  <c r="A734" i="27"/>
  <c r="A733" i="27"/>
  <c r="A732" i="27"/>
  <c r="A731" i="27"/>
  <c r="A730" i="27"/>
  <c r="A729" i="27"/>
  <c r="A728" i="27"/>
  <c r="A727" i="27"/>
  <c r="A726" i="27"/>
  <c r="A725" i="27"/>
  <c r="A724" i="27"/>
  <c r="A723" i="27"/>
  <c r="A722" i="27"/>
  <c r="A721" i="27"/>
  <c r="A720" i="27"/>
  <c r="A719" i="27"/>
  <c r="A718" i="27"/>
  <c r="A717" i="27"/>
  <c r="A716" i="27"/>
  <c r="A715" i="27"/>
  <c r="A714" i="27"/>
  <c r="A713" i="27"/>
  <c r="A712" i="27"/>
  <c r="A711" i="27"/>
  <c r="A710" i="27"/>
  <c r="A709" i="27"/>
  <c r="A708" i="27"/>
  <c r="A707" i="27"/>
  <c r="A706" i="27"/>
  <c r="A705" i="27"/>
  <c r="A704" i="27"/>
  <c r="A703" i="27"/>
  <c r="A702" i="27"/>
  <c r="A701" i="27"/>
  <c r="A700" i="27"/>
  <c r="A699" i="27"/>
  <c r="A698" i="27"/>
  <c r="A697" i="27"/>
  <c r="A696" i="27"/>
  <c r="A695" i="27"/>
  <c r="A694" i="27"/>
  <c r="A693" i="27"/>
  <c r="A692" i="27"/>
  <c r="A691" i="27"/>
  <c r="A690" i="27"/>
  <c r="A689" i="27"/>
  <c r="A688" i="27"/>
  <c r="A687" i="27"/>
  <c r="A686" i="27"/>
  <c r="A685" i="27"/>
  <c r="A684" i="27"/>
  <c r="A683" i="27"/>
  <c r="A682" i="27"/>
  <c r="A681" i="27"/>
  <c r="A680" i="27"/>
  <c r="A679" i="27"/>
  <c r="A678" i="27"/>
  <c r="A677" i="27"/>
  <c r="A676" i="27"/>
  <c r="A675" i="27"/>
  <c r="A674" i="27"/>
  <c r="A673" i="27"/>
  <c r="A672" i="27"/>
  <c r="A671" i="27"/>
  <c r="A670" i="27"/>
  <c r="A669" i="27"/>
  <c r="A668" i="27"/>
  <c r="A667" i="27"/>
  <c r="A666" i="27"/>
  <c r="A665" i="27"/>
  <c r="A664" i="27"/>
  <c r="A663" i="27"/>
  <c r="A662" i="27"/>
  <c r="A661" i="27"/>
  <c r="A660" i="27"/>
  <c r="A659" i="27"/>
  <c r="A658" i="27"/>
  <c r="A657" i="27"/>
  <c r="A656" i="27"/>
  <c r="A655" i="27"/>
  <c r="A654" i="27"/>
  <c r="A653" i="27"/>
  <c r="A652" i="27"/>
  <c r="A651" i="27"/>
  <c r="A650" i="27"/>
  <c r="A649" i="27"/>
  <c r="A648" i="27"/>
  <c r="A647" i="27"/>
  <c r="A646" i="27"/>
  <c r="A645" i="27"/>
  <c r="A644" i="27"/>
  <c r="A643" i="27"/>
  <c r="A642" i="27"/>
  <c r="A641" i="27"/>
  <c r="A640" i="27"/>
  <c r="A639" i="27"/>
  <c r="A638" i="27"/>
  <c r="A637" i="27"/>
  <c r="A636" i="27"/>
  <c r="A635" i="27"/>
  <c r="A634" i="27"/>
  <c r="A633" i="27"/>
  <c r="A632" i="27"/>
  <c r="A631" i="27"/>
  <c r="A630" i="27"/>
  <c r="A629" i="27"/>
  <c r="A628" i="27"/>
  <c r="A627" i="27"/>
  <c r="A626" i="27"/>
  <c r="A625" i="27"/>
  <c r="A624" i="27"/>
  <c r="A623" i="27"/>
  <c r="A622" i="27"/>
  <c r="A621" i="27"/>
  <c r="A620" i="27"/>
  <c r="A619" i="27"/>
  <c r="A618" i="27"/>
  <c r="A617" i="27"/>
  <c r="A616" i="27"/>
  <c r="A615" i="27"/>
  <c r="A614" i="27"/>
  <c r="A613" i="27"/>
  <c r="A612" i="27"/>
  <c r="A611" i="27"/>
  <c r="A610" i="27"/>
  <c r="A609" i="27"/>
  <c r="A608" i="27"/>
  <c r="A607" i="27"/>
  <c r="A606" i="27"/>
  <c r="A605" i="27"/>
  <c r="A604" i="27"/>
  <c r="A603" i="27"/>
  <c r="A602" i="27"/>
  <c r="A601" i="27"/>
  <c r="A600" i="27"/>
  <c r="A599" i="27"/>
  <c r="A598" i="27"/>
  <c r="A597" i="27"/>
  <c r="A596" i="27"/>
  <c r="A595" i="27"/>
  <c r="A594" i="27"/>
  <c r="A593" i="27"/>
  <c r="A592" i="27"/>
  <c r="A591" i="27"/>
  <c r="A589" i="27"/>
  <c r="A588" i="27"/>
  <c r="A587" i="27"/>
  <c r="A586" i="27"/>
  <c r="A585" i="27"/>
  <c r="A584" i="27"/>
  <c r="A583" i="27"/>
  <c r="A582" i="27"/>
  <c r="A581" i="27"/>
  <c r="A580" i="27"/>
  <c r="A579" i="27"/>
  <c r="A578" i="27"/>
  <c r="A577" i="27"/>
  <c r="A576" i="27"/>
  <c r="A575" i="27"/>
  <c r="A574" i="27"/>
  <c r="A573" i="27"/>
  <c r="A572" i="27"/>
  <c r="A571" i="27"/>
  <c r="A570" i="27"/>
  <c r="A569" i="27"/>
  <c r="A568" i="27"/>
  <c r="A567" i="27"/>
  <c r="A566" i="27"/>
  <c r="A565" i="27"/>
  <c r="A564" i="27"/>
  <c r="A563" i="27"/>
  <c r="A562" i="27"/>
  <c r="A561" i="27"/>
  <c r="A560" i="27"/>
  <c r="A559" i="27"/>
  <c r="A558" i="27"/>
  <c r="A557" i="27"/>
  <c r="A556" i="27"/>
  <c r="A555" i="27"/>
  <c r="A554" i="27"/>
  <c r="A553" i="27"/>
  <c r="A552" i="27"/>
  <c r="A551" i="27"/>
  <c r="A550" i="27"/>
  <c r="A549" i="27"/>
  <c r="A548" i="27"/>
  <c r="A547" i="27"/>
  <c r="A546" i="27"/>
  <c r="A545" i="27"/>
  <c r="A544" i="27"/>
  <c r="A543" i="27"/>
  <c r="A542" i="27"/>
  <c r="A541" i="27"/>
  <c r="A540" i="27"/>
  <c r="A539" i="27"/>
  <c r="A538" i="27"/>
  <c r="A537" i="27"/>
  <c r="A536" i="27"/>
  <c r="A535" i="27"/>
  <c r="A534" i="27"/>
  <c r="A533" i="27"/>
  <c r="A532" i="27"/>
  <c r="A531" i="27"/>
  <c r="A530" i="27"/>
  <c r="A529" i="27"/>
  <c r="A528" i="27"/>
  <c r="A527" i="27"/>
  <c r="A526" i="27"/>
  <c r="A525" i="27"/>
  <c r="A524" i="27"/>
  <c r="A523" i="27"/>
  <c r="A522" i="27"/>
  <c r="A521" i="27"/>
  <c r="A520" i="27"/>
  <c r="A519" i="27"/>
  <c r="A518" i="27"/>
  <c r="A517" i="27"/>
  <c r="A516" i="27"/>
  <c r="A515" i="27"/>
  <c r="A514" i="27"/>
  <c r="A513" i="27"/>
  <c r="A512" i="27"/>
  <c r="A511" i="27"/>
  <c r="A510" i="27"/>
  <c r="A509" i="27"/>
  <c r="A508" i="27"/>
  <c r="A507" i="27"/>
  <c r="A506" i="27"/>
  <c r="A505" i="27"/>
  <c r="A504" i="27"/>
  <c r="A503" i="27"/>
  <c r="A502" i="27"/>
  <c r="A501" i="27"/>
  <c r="A500" i="27"/>
  <c r="A499" i="27"/>
  <c r="A498" i="27"/>
  <c r="A497" i="27"/>
  <c r="A496" i="27"/>
  <c r="A495" i="27"/>
  <c r="A494" i="27"/>
  <c r="A493" i="27"/>
  <c r="A492" i="27"/>
  <c r="A491" i="27"/>
  <c r="A490" i="27"/>
  <c r="A489" i="27"/>
  <c r="A488" i="27"/>
  <c r="A487" i="27"/>
  <c r="A486" i="27"/>
  <c r="A485" i="27"/>
  <c r="A484" i="27"/>
  <c r="A483" i="27"/>
  <c r="A482" i="27"/>
  <c r="A481" i="27"/>
  <c r="A480" i="27"/>
  <c r="A479" i="27"/>
  <c r="A478" i="27"/>
  <c r="A477" i="27"/>
  <c r="A476" i="27"/>
  <c r="A475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51" i="27"/>
  <c r="A250" i="27"/>
  <c r="AN277" i="60"/>
  <c r="AK277" i="60"/>
  <c r="AJ277" i="60"/>
  <c r="AI277" i="60"/>
  <c r="AH277" i="60"/>
  <c r="AE277" i="60"/>
  <c r="AD277" i="60"/>
  <c r="AC277" i="60"/>
  <c r="AB277" i="60"/>
  <c r="AA277" i="60"/>
  <c r="X277" i="60"/>
  <c r="W277" i="60"/>
  <c r="V277" i="60"/>
  <c r="U277" i="60"/>
  <c r="R277" i="60"/>
  <c r="Q277" i="60"/>
  <c r="P277" i="60"/>
  <c r="O277" i="60"/>
  <c r="N277" i="60"/>
  <c r="M277" i="60"/>
  <c r="L277" i="60"/>
  <c r="I277" i="60"/>
  <c r="G277" i="60"/>
  <c r="E277" i="60"/>
  <c r="AN276" i="60"/>
  <c r="AK276" i="60"/>
  <c r="AJ276" i="60"/>
  <c r="AI276" i="60"/>
  <c r="AH276" i="60"/>
  <c r="AE276" i="60"/>
  <c r="AD276" i="60"/>
  <c r="AC276" i="60"/>
  <c r="AB276" i="60"/>
  <c r="AA276" i="60"/>
  <c r="X276" i="60"/>
  <c r="W276" i="60"/>
  <c r="U276" i="60"/>
  <c r="R276" i="60"/>
  <c r="Q276" i="60"/>
  <c r="P276" i="60"/>
  <c r="O276" i="60"/>
  <c r="N276" i="60"/>
  <c r="M276" i="60"/>
  <c r="L276" i="60"/>
  <c r="G276" i="60"/>
  <c r="E276" i="60"/>
  <c r="AN275" i="60"/>
  <c r="AJ275" i="60"/>
  <c r="AI275" i="60"/>
  <c r="AH275" i="60"/>
  <c r="AE275" i="60"/>
  <c r="AD275" i="60"/>
  <c r="AA275" i="60"/>
  <c r="W275" i="60"/>
  <c r="U275" i="60"/>
  <c r="R275" i="60"/>
  <c r="Q275" i="60"/>
  <c r="P275" i="60"/>
  <c r="O275" i="60"/>
  <c r="N275" i="60"/>
  <c r="M275" i="60"/>
  <c r="L275" i="60"/>
  <c r="G275" i="60"/>
  <c r="E275" i="60"/>
  <c r="AN274" i="60"/>
  <c r="AJ274" i="60"/>
  <c r="AI274" i="60"/>
  <c r="AH274" i="60"/>
  <c r="AE274" i="60"/>
  <c r="AD274" i="60"/>
  <c r="AC274" i="60"/>
  <c r="AA274" i="60"/>
  <c r="X274" i="60"/>
  <c r="W274" i="60"/>
  <c r="U274" i="60"/>
  <c r="R274" i="60"/>
  <c r="Q274" i="60"/>
  <c r="P274" i="60"/>
  <c r="O274" i="60"/>
  <c r="N274" i="60"/>
  <c r="M274" i="60"/>
  <c r="L274" i="60"/>
  <c r="I274" i="60"/>
  <c r="G274" i="60"/>
  <c r="E274" i="60"/>
  <c r="AN273" i="60"/>
  <c r="AK273" i="60"/>
  <c r="AJ273" i="60"/>
  <c r="AI273" i="60"/>
  <c r="AH273" i="60"/>
  <c r="AE273" i="60"/>
  <c r="AD273" i="60"/>
  <c r="AC273" i="60"/>
  <c r="AA273" i="60"/>
  <c r="U273" i="60"/>
  <c r="R273" i="60"/>
  <c r="Q273" i="60"/>
  <c r="P273" i="60"/>
  <c r="O273" i="60"/>
  <c r="N273" i="60"/>
  <c r="M273" i="60"/>
  <c r="L273" i="60"/>
  <c r="G273" i="60"/>
  <c r="E273" i="60"/>
  <c r="C287" i="60"/>
  <c r="V290" i="60" l="1"/>
  <c r="V276" i="60"/>
  <c r="AB289" i="60"/>
  <c r="AL291" i="60"/>
  <c r="AL277" i="60"/>
  <c r="V289" i="60"/>
  <c r="AB288" i="60"/>
  <c r="T299" i="60"/>
  <c r="AN299" i="60"/>
  <c r="AN278" i="60" s="1"/>
  <c r="L299" i="60"/>
  <c r="L278" i="60" s="1"/>
  <c r="AJ299" i="60"/>
  <c r="AJ278" i="60" s="1"/>
  <c r="Y299" i="60"/>
  <c r="AA299" i="60"/>
  <c r="AA278" i="60" s="1"/>
  <c r="E299" i="60"/>
  <c r="E278" i="60" s="1"/>
  <c r="G299" i="60"/>
  <c r="G278" i="60" s="1"/>
  <c r="AB299" i="60"/>
  <c r="AH299" i="60"/>
  <c r="AH278" i="60" s="1"/>
  <c r="Q299" i="60"/>
  <c r="Q278" i="60" s="1"/>
  <c r="I299" i="60"/>
  <c r="I278" i="60" s="1"/>
  <c r="S299" i="60"/>
  <c r="AL299" i="60"/>
  <c r="AL278" i="60" s="1"/>
  <c r="N299" i="60"/>
  <c r="N278" i="60" s="1"/>
  <c r="M299" i="60"/>
  <c r="M278" i="60" s="1"/>
  <c r="O299" i="60"/>
  <c r="O278" i="60" s="1"/>
  <c r="W299" i="60"/>
  <c r="W278" i="60" s="1"/>
  <c r="P299" i="60"/>
  <c r="P278" i="60" s="1"/>
  <c r="X299" i="60"/>
  <c r="X278" i="60" s="1"/>
  <c r="AI299" i="60"/>
  <c r="AI278" i="60" s="1"/>
  <c r="U299" i="60"/>
  <c r="U278" i="60" s="1"/>
  <c r="AC299" i="60"/>
  <c r="AC278" i="60" s="1"/>
  <c r="AD299" i="60"/>
  <c r="AD278" i="60" s="1"/>
  <c r="R299" i="60"/>
  <c r="R278" i="60" s="1"/>
  <c r="V299" i="60"/>
  <c r="V278" i="60" s="1"/>
  <c r="AE299" i="60"/>
  <c r="AE278" i="60" s="1"/>
  <c r="AK299" i="60"/>
  <c r="AK278" i="60" s="1"/>
  <c r="A80" i="35" l="1"/>
  <c r="A79" i="35"/>
  <c r="A78" i="35"/>
  <c r="A73" i="35"/>
  <c r="A72" i="35"/>
  <c r="A71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1" i="35"/>
  <c r="A30" i="35"/>
  <c r="A29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241" i="27"/>
  <c r="A6" i="27"/>
  <c r="A106" i="61" l="1"/>
  <c r="A111" i="61"/>
  <c r="A281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9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6" i="61"/>
  <c r="G106" i="61"/>
  <c r="G111" i="61"/>
  <c r="G281" i="61"/>
  <c r="G501" i="61"/>
  <c r="G502" i="61"/>
  <c r="G503" i="61"/>
  <c r="G504" i="61"/>
  <c r="G505" i="61"/>
  <c r="G506" i="61"/>
  <c r="G507" i="61"/>
  <c r="G508" i="61"/>
  <c r="G509" i="61"/>
  <c r="G510" i="61"/>
  <c r="G511" i="61"/>
  <c r="G512" i="61"/>
  <c r="G519" i="61"/>
  <c r="G522" i="61"/>
  <c r="G523" i="61"/>
  <c r="G524" i="61"/>
  <c r="G525" i="61"/>
  <c r="G526" i="61"/>
  <c r="G527" i="61"/>
  <c r="G528" i="61"/>
  <c r="G529" i="61"/>
  <c r="G530" i="61"/>
  <c r="G531" i="61"/>
  <c r="G532" i="61"/>
  <c r="G533" i="61"/>
  <c r="G534" i="61"/>
  <c r="G535" i="61"/>
  <c r="G536" i="61"/>
  <c r="G537" i="61"/>
  <c r="G538" i="61"/>
  <c r="G539" i="61"/>
  <c r="G540" i="61"/>
  <c r="G541" i="61"/>
  <c r="G542" i="61"/>
  <c r="G543" i="61"/>
  <c r="G544" i="61"/>
  <c r="G545" i="61"/>
  <c r="G546" i="61"/>
  <c r="G547" i="61"/>
  <c r="G548" i="61"/>
  <c r="G549" i="61"/>
  <c r="G550" i="61"/>
  <c r="G551" i="61"/>
  <c r="G552" i="61"/>
  <c r="G553" i="61"/>
  <c r="G554" i="61"/>
  <c r="G555" i="61"/>
  <c r="G556" i="61"/>
  <c r="G557" i="61"/>
  <c r="G558" i="61"/>
  <c r="G559" i="61"/>
  <c r="G560" i="61"/>
  <c r="G561" i="61"/>
  <c r="G562" i="61"/>
  <c r="G563" i="61"/>
  <c r="G564" i="61"/>
  <c r="G565" i="61"/>
  <c r="G566" i="61"/>
  <c r="G567" i="61"/>
  <c r="G568" i="61"/>
  <c r="G569" i="61"/>
  <c r="G570" i="61"/>
  <c r="G571" i="61"/>
  <c r="G572" i="61"/>
  <c r="G573" i="61"/>
  <c r="G574" i="61"/>
  <c r="G575" i="61"/>
  <c r="G576" i="61"/>
  <c r="G577" i="61"/>
  <c r="G578" i="61"/>
  <c r="G579" i="61"/>
  <c r="G580" i="61"/>
  <c r="G581" i="61"/>
  <c r="G582" i="61"/>
  <c r="G583" i="61"/>
  <c r="G584" i="61"/>
  <c r="G585" i="61"/>
  <c r="G586" i="61"/>
  <c r="G587" i="61"/>
  <c r="G588" i="61"/>
  <c r="G589" i="61"/>
  <c r="G590" i="61"/>
  <c r="G591" i="61"/>
  <c r="G592" i="61"/>
  <c r="G593" i="61"/>
  <c r="G594" i="61"/>
  <c r="G595" i="61"/>
  <c r="G596" i="61"/>
  <c r="G597" i="61"/>
  <c r="G598" i="61"/>
  <c r="G599" i="61"/>
  <c r="G600" i="61"/>
  <c r="G601" i="61"/>
  <c r="G602" i="61"/>
  <c r="G603" i="61"/>
  <c r="G604" i="61"/>
  <c r="G605" i="61"/>
  <c r="G606" i="61"/>
  <c r="G607" i="61"/>
  <c r="G608" i="61"/>
  <c r="G609" i="61"/>
  <c r="G610" i="61"/>
  <c r="G611" i="61"/>
  <c r="G612" i="61"/>
  <c r="G613" i="61"/>
  <c r="G614" i="61"/>
  <c r="G615" i="61"/>
  <c r="G616" i="61"/>
  <c r="G617" i="61"/>
  <c r="G618" i="61"/>
  <c r="G619" i="61"/>
  <c r="G620" i="61"/>
  <c r="G621" i="61"/>
  <c r="G622" i="61"/>
  <c r="G623" i="61"/>
  <c r="G624" i="61"/>
  <c r="G625" i="61"/>
  <c r="G626" i="61"/>
  <c r="G627" i="61"/>
  <c r="G628" i="61"/>
  <c r="G629" i="61"/>
  <c r="G630" i="61"/>
  <c r="G631" i="61"/>
  <c r="G632" i="61"/>
  <c r="G633" i="61"/>
  <c r="G634" i="61"/>
  <c r="G635" i="61"/>
  <c r="G636" i="61"/>
  <c r="G637" i="61"/>
  <c r="G638" i="61"/>
  <c r="G639" i="61"/>
  <c r="G640" i="61"/>
  <c r="G641" i="61"/>
  <c r="G642" i="61"/>
  <c r="G643" i="61"/>
  <c r="G644" i="61"/>
  <c r="G645" i="61"/>
  <c r="G646" i="61"/>
  <c r="G647" i="61"/>
  <c r="G648" i="61"/>
  <c r="G649" i="61"/>
  <c r="G650" i="61"/>
  <c r="G651" i="61"/>
  <c r="G652" i="61"/>
  <c r="G653" i="61"/>
  <c r="G654" i="61"/>
  <c r="G655" i="61"/>
  <c r="G656" i="61"/>
  <c r="G657" i="61"/>
  <c r="G658" i="61"/>
  <c r="G659" i="61"/>
  <c r="G660" i="61"/>
  <c r="G661" i="61"/>
  <c r="G662" i="61"/>
  <c r="G663" i="61"/>
  <c r="G664" i="61"/>
  <c r="G665" i="61"/>
  <c r="G666" i="61"/>
  <c r="G667" i="61"/>
  <c r="G668" i="61"/>
  <c r="G669" i="61"/>
  <c r="G670" i="61"/>
  <c r="G671" i="61"/>
  <c r="G672" i="61"/>
  <c r="G673" i="61"/>
  <c r="G674" i="61"/>
  <c r="G675" i="61"/>
  <c r="G676" i="61"/>
  <c r="G677" i="61"/>
  <c r="G678" i="61"/>
  <c r="G679" i="61"/>
  <c r="G680" i="61"/>
  <c r="G681" i="61"/>
  <c r="G682" i="61"/>
  <c r="G683" i="61"/>
  <c r="G684" i="61"/>
  <c r="G685" i="61"/>
  <c r="G686" i="61"/>
  <c r="G687" i="61"/>
  <c r="G688" i="61"/>
  <c r="G689" i="61"/>
  <c r="G690" i="61"/>
  <c r="G691" i="61"/>
  <c r="G692" i="61"/>
  <c r="G694" i="61"/>
  <c r="G695" i="61"/>
  <c r="G696" i="61"/>
  <c r="G697" i="61"/>
  <c r="G698" i="61"/>
  <c r="G699" i="61"/>
  <c r="G700" i="61"/>
  <c r="G701" i="61"/>
  <c r="G702" i="61"/>
  <c r="G703" i="61"/>
  <c r="G704" i="61"/>
  <c r="G705" i="61"/>
  <c r="G706" i="61"/>
  <c r="G707" i="61"/>
  <c r="G708" i="61"/>
  <c r="G709" i="61"/>
  <c r="G710" i="61"/>
  <c r="G711" i="61"/>
  <c r="G712" i="61"/>
  <c r="G713" i="61"/>
  <c r="G714" i="61"/>
  <c r="G715" i="61"/>
  <c r="G716" i="61"/>
  <c r="G717" i="61"/>
  <c r="G718" i="61"/>
  <c r="G719" i="61"/>
  <c r="G720" i="61"/>
  <c r="G721" i="61"/>
  <c r="G722" i="61"/>
  <c r="G723" i="61"/>
  <c r="G724" i="61"/>
  <c r="G725" i="61"/>
  <c r="G726" i="61"/>
  <c r="G727" i="61"/>
  <c r="G728" i="61"/>
  <c r="G729" i="61"/>
  <c r="G730" i="61"/>
  <c r="G731" i="61"/>
  <c r="G732" i="61"/>
  <c r="G733" i="61"/>
  <c r="G734" i="61"/>
  <c r="G735" i="61"/>
  <c r="G736" i="61"/>
  <c r="G737" i="61"/>
  <c r="G738" i="61"/>
  <c r="G739" i="61"/>
  <c r="G740" i="61"/>
  <c r="G741" i="61"/>
  <c r="G742" i="61"/>
  <c r="G743" i="61"/>
  <c r="G744" i="61"/>
  <c r="G745" i="61"/>
  <c r="G746" i="61"/>
  <c r="G747" i="61"/>
  <c r="G748" i="61"/>
  <c r="G749" i="61"/>
  <c r="G750" i="61"/>
  <c r="G751" i="61"/>
  <c r="G752" i="61"/>
  <c r="G753" i="61"/>
  <c r="G754" i="61"/>
  <c r="G755" i="61"/>
  <c r="G756" i="61"/>
  <c r="G757" i="61"/>
  <c r="G758" i="61"/>
  <c r="G759" i="61"/>
  <c r="G760" i="61"/>
  <c r="G761" i="61"/>
  <c r="G762" i="61"/>
  <c r="G763" i="61"/>
  <c r="G764" i="61"/>
  <c r="G765" i="61"/>
  <c r="G766" i="61"/>
  <c r="G767" i="61"/>
  <c r="G768" i="61"/>
  <c r="G769" i="61"/>
  <c r="G770" i="61"/>
  <c r="G771" i="61"/>
  <c r="G772" i="61"/>
  <c r="G773" i="61"/>
  <c r="G774" i="61"/>
  <c r="G775" i="61"/>
  <c r="G776" i="61"/>
  <c r="G777" i="61"/>
  <c r="G778" i="61"/>
  <c r="G779" i="61"/>
  <c r="G780" i="61"/>
  <c r="G781" i="61"/>
  <c r="G782" i="61"/>
  <c r="G783" i="61"/>
  <c r="G784" i="61"/>
  <c r="G785" i="61"/>
  <c r="G786" i="61"/>
  <c r="G787" i="61"/>
  <c r="G788" i="61"/>
  <c r="G789" i="61"/>
  <c r="G790" i="61"/>
  <c r="G791" i="61"/>
  <c r="G792" i="61"/>
  <c r="G793" i="61"/>
  <c r="G794" i="61"/>
  <c r="G795" i="61"/>
  <c r="G796" i="61"/>
  <c r="G797" i="61"/>
  <c r="G798" i="61"/>
  <c r="G799" i="61"/>
  <c r="G800" i="61"/>
  <c r="G801" i="61"/>
  <c r="G802" i="61"/>
  <c r="G803" i="61"/>
  <c r="G804" i="61"/>
  <c r="G805" i="61"/>
  <c r="G806" i="61"/>
  <c r="G807" i="61"/>
  <c r="G808" i="61"/>
  <c r="G809" i="61"/>
  <c r="G810" i="61"/>
  <c r="G811" i="61"/>
  <c r="G812" i="61"/>
  <c r="G813" i="61"/>
  <c r="G814" i="61"/>
  <c r="G815" i="61"/>
  <c r="G816" i="61"/>
  <c r="G817" i="61"/>
  <c r="G818" i="61"/>
  <c r="G819" i="61"/>
  <c r="G820" i="61"/>
  <c r="G821" i="61"/>
  <c r="G822" i="61"/>
  <c r="G823" i="61"/>
  <c r="G824" i="61"/>
  <c r="G825" i="61"/>
  <c r="G826" i="61"/>
  <c r="G827" i="61"/>
  <c r="G828" i="61"/>
  <c r="G829" i="61"/>
  <c r="G830" i="61"/>
  <c r="G831" i="61"/>
  <c r="G832" i="61"/>
  <c r="G833" i="61"/>
  <c r="G834" i="61"/>
  <c r="G835" i="61"/>
  <c r="G836" i="61"/>
  <c r="G837" i="61"/>
  <c r="G838" i="61"/>
  <c r="G839" i="61"/>
  <c r="G840" i="61"/>
  <c r="G841" i="61"/>
  <c r="G842" i="61"/>
  <c r="G843" i="61"/>
  <c r="G844" i="61"/>
  <c r="G845" i="61"/>
  <c r="G846" i="61"/>
  <c r="G847" i="61"/>
  <c r="G848" i="61"/>
  <c r="G849" i="61"/>
  <c r="G850" i="61"/>
  <c r="G851" i="61"/>
  <c r="G852" i="61"/>
  <c r="G853" i="61"/>
  <c r="G854" i="61"/>
  <c r="G855" i="61"/>
  <c r="G856" i="61"/>
  <c r="G857" i="61"/>
  <c r="G858" i="61"/>
  <c r="G859" i="61"/>
  <c r="G860" i="61"/>
  <c r="G861" i="61"/>
  <c r="G862" i="61"/>
  <c r="G863" i="61"/>
  <c r="G864" i="61"/>
  <c r="G865" i="61"/>
  <c r="G866" i="61"/>
  <c r="G867" i="61"/>
  <c r="G868" i="61"/>
  <c r="G869" i="61"/>
  <c r="G870" i="61"/>
  <c r="G871" i="61"/>
  <c r="G872" i="61"/>
  <c r="G873" i="61"/>
  <c r="G874" i="61"/>
  <c r="G875" i="61"/>
  <c r="G876" i="61"/>
  <c r="G877" i="61"/>
  <c r="G878" i="61"/>
  <c r="G879" i="61"/>
  <c r="G880" i="61"/>
  <c r="G881" i="61"/>
  <c r="G882" i="61"/>
  <c r="G883" i="61"/>
  <c r="G884" i="61"/>
  <c r="G885" i="61"/>
  <c r="G886" i="61"/>
  <c r="G887" i="61"/>
  <c r="G888" i="61"/>
  <c r="G889" i="61"/>
  <c r="G890" i="61"/>
  <c r="G891" i="61"/>
  <c r="G892" i="61"/>
  <c r="G893" i="61"/>
  <c r="G894" i="61"/>
  <c r="G895" i="61"/>
  <c r="G896" i="61"/>
  <c r="G897" i="61"/>
  <c r="G898" i="61"/>
  <c r="G899" i="61"/>
  <c r="G900" i="61"/>
  <c r="G901" i="61"/>
  <c r="G902" i="61"/>
  <c r="G903" i="61"/>
  <c r="G904" i="61"/>
  <c r="G905" i="61"/>
  <c r="G906" i="61"/>
  <c r="G907" i="61"/>
  <c r="G908" i="61"/>
  <c r="G909" i="61"/>
  <c r="G910" i="61"/>
  <c r="G911" i="61"/>
  <c r="G912" i="61"/>
  <c r="G913" i="61"/>
  <c r="G914" i="61"/>
  <c r="G915" i="61"/>
  <c r="G916" i="61"/>
  <c r="G917" i="61"/>
  <c r="G918" i="61"/>
  <c r="G919" i="61"/>
  <c r="G920" i="61"/>
  <c r="G921" i="61"/>
  <c r="G922" i="61"/>
  <c r="G923" i="61"/>
  <c r="G924" i="61"/>
  <c r="G925" i="61"/>
  <c r="G926" i="61"/>
  <c r="G927" i="61"/>
  <c r="G928" i="61"/>
  <c r="G929" i="61"/>
  <c r="G930" i="61"/>
  <c r="G931" i="61"/>
  <c r="G932" i="61"/>
  <c r="G933" i="61"/>
  <c r="G934" i="61"/>
  <c r="G935" i="61"/>
  <c r="G936" i="61"/>
  <c r="G937" i="61"/>
  <c r="G938" i="61"/>
  <c r="G939" i="61"/>
  <c r="G940" i="61"/>
  <c r="G941" i="61"/>
  <c r="G942" i="61"/>
  <c r="G943" i="61"/>
  <c r="G944" i="61"/>
  <c r="G945" i="61"/>
  <c r="G946" i="61"/>
  <c r="G947" i="61"/>
  <c r="G948" i="61"/>
  <c r="G949" i="61"/>
  <c r="G950" i="61"/>
  <c r="G951" i="61"/>
  <c r="G952" i="61"/>
  <c r="G953" i="61"/>
  <c r="G954" i="61"/>
  <c r="G955" i="61"/>
  <c r="G956" i="61"/>
  <c r="G957" i="61"/>
  <c r="G958" i="61"/>
  <c r="G959" i="61"/>
  <c r="G960" i="61"/>
  <c r="G961" i="61"/>
  <c r="G962" i="61"/>
  <c r="G963" i="61"/>
  <c r="G964" i="61"/>
  <c r="G965" i="61"/>
  <c r="G966" i="61"/>
  <c r="G967" i="61"/>
  <c r="G968" i="61"/>
  <c r="G969" i="61"/>
  <c r="G970" i="61"/>
  <c r="G971" i="61"/>
  <c r="G972" i="61"/>
  <c r="G973" i="61"/>
  <c r="G974" i="61"/>
  <c r="G975" i="61"/>
  <c r="G976" i="61"/>
  <c r="G977" i="61"/>
  <c r="G978" i="61"/>
  <c r="G979" i="61"/>
  <c r="G980" i="61"/>
  <c r="G981" i="61"/>
  <c r="G982" i="61"/>
  <c r="G983" i="61"/>
  <c r="G984" i="61"/>
  <c r="G985" i="61"/>
  <c r="G986" i="61"/>
  <c r="G987" i="61"/>
  <c r="G988" i="61"/>
  <c r="G989" i="61"/>
  <c r="G990" i="61"/>
  <c r="G991" i="61"/>
  <c r="G992" i="61"/>
  <c r="G993" i="61"/>
  <c r="G994" i="61"/>
  <c r="G995" i="61"/>
  <c r="G996" i="61"/>
  <c r="G997" i="61"/>
  <c r="G998" i="61"/>
  <c r="G999" i="61"/>
  <c r="G1000" i="61"/>
  <c r="G1001" i="61"/>
  <c r="G1002" i="61"/>
  <c r="G1003" i="61"/>
  <c r="G1004" i="61"/>
  <c r="G1005" i="61"/>
  <c r="G1006" i="61"/>
  <c r="G1007" i="61"/>
  <c r="G1008" i="61"/>
  <c r="G1009" i="61"/>
  <c r="G1010" i="61"/>
  <c r="G1011" i="61"/>
  <c r="G1012" i="61"/>
  <c r="G1013" i="61"/>
  <c r="G1014" i="61"/>
  <c r="G1015" i="61"/>
  <c r="G1016" i="61"/>
  <c r="G1017" i="61"/>
  <c r="G1018" i="61"/>
  <c r="G1019" i="61"/>
  <c r="G1020" i="61"/>
  <c r="G1021" i="61"/>
  <c r="G1022" i="61"/>
  <c r="G1023" i="61"/>
  <c r="G1024" i="61"/>
  <c r="G1025" i="61"/>
  <c r="G1026" i="61"/>
  <c r="G1027" i="61"/>
  <c r="G1028" i="61"/>
  <c r="G1029" i="61"/>
  <c r="G1030" i="61"/>
  <c r="G1031" i="61"/>
  <c r="G1032" i="61"/>
  <c r="G1033" i="61"/>
  <c r="G1034" i="61"/>
  <c r="G1035" i="61"/>
  <c r="G1036" i="61"/>
  <c r="G1037" i="61"/>
  <c r="G1038" i="61"/>
  <c r="G1039" i="61"/>
  <c r="G1040" i="61"/>
  <c r="G1041" i="61"/>
  <c r="G1042" i="61"/>
  <c r="G1043" i="61"/>
  <c r="G1044" i="61"/>
  <c r="G1045" i="61"/>
  <c r="G1046" i="61"/>
  <c r="G1047" i="61"/>
  <c r="G1048" i="61"/>
  <c r="G1049" i="61"/>
  <c r="G1050" i="61"/>
  <c r="G1051" i="61"/>
  <c r="G1052" i="61"/>
  <c r="G1053" i="61"/>
  <c r="G1054" i="61"/>
  <c r="G1055" i="61"/>
  <c r="G1056" i="61"/>
  <c r="G1057" i="61"/>
  <c r="G1058" i="61"/>
  <c r="G1059" i="61"/>
  <c r="G1060" i="61"/>
  <c r="G1061" i="61"/>
  <c r="G1062" i="61"/>
  <c r="G1063" i="61"/>
  <c r="G1064" i="61"/>
  <c r="G1065" i="61"/>
  <c r="G1066" i="61"/>
  <c r="G1067" i="61"/>
  <c r="G1068" i="61"/>
  <c r="G1069" i="61"/>
  <c r="G1070" i="61"/>
  <c r="G1071" i="61"/>
  <c r="G1072" i="61"/>
  <c r="G1073" i="61"/>
  <c r="G1074" i="61"/>
  <c r="G1075" i="61"/>
  <c r="G1076" i="61"/>
  <c r="G1077" i="61"/>
  <c r="G1078" i="61"/>
  <c r="G1079" i="61"/>
  <c r="G1080" i="61"/>
  <c r="G1081" i="61"/>
  <c r="G1082" i="61"/>
  <c r="G1083" i="61"/>
  <c r="G1084" i="61"/>
  <c r="G1085" i="61"/>
  <c r="G1086" i="61"/>
  <c r="G1087" i="61"/>
  <c r="G1088" i="61"/>
  <c r="G1089" i="61"/>
  <c r="G1090" i="61"/>
  <c r="G1091" i="61"/>
  <c r="G1092" i="61"/>
  <c r="G1093" i="61"/>
  <c r="G1094" i="61"/>
  <c r="G1095" i="61"/>
  <c r="G1096" i="61"/>
  <c r="G1097" i="61"/>
  <c r="G1098" i="61"/>
  <c r="G1099" i="61"/>
  <c r="G1100" i="61"/>
  <c r="G1101" i="61"/>
  <c r="G1102" i="61"/>
  <c r="G1103" i="61"/>
  <c r="G1104" i="61"/>
  <c r="G1105" i="61"/>
  <c r="G1106" i="61"/>
  <c r="G1107" i="61"/>
  <c r="G1108" i="61"/>
  <c r="G1109" i="61"/>
  <c r="G1110" i="61"/>
  <c r="G1111" i="61"/>
  <c r="G1112" i="61"/>
  <c r="G1113" i="61"/>
  <c r="G1114" i="61"/>
  <c r="G1115" i="61"/>
  <c r="G1116" i="61"/>
  <c r="G1117" i="61"/>
  <c r="G1118" i="61"/>
  <c r="G1119" i="61"/>
  <c r="G1120" i="61"/>
  <c r="G1121" i="61"/>
  <c r="G1122" i="61"/>
  <c r="G1123" i="61"/>
  <c r="G1124" i="61"/>
  <c r="G1125" i="61"/>
  <c r="G1126" i="61"/>
  <c r="G1127" i="61"/>
  <c r="G1128" i="61"/>
  <c r="G1129" i="61"/>
  <c r="G1130" i="61"/>
  <c r="G1131" i="61"/>
  <c r="G1132" i="61"/>
  <c r="G1133" i="61"/>
  <c r="G1134" i="61"/>
  <c r="G1135" i="61"/>
  <c r="G1136" i="61"/>
  <c r="G1137" i="61"/>
  <c r="G1138" i="61"/>
  <c r="G1139" i="61"/>
  <c r="G1140" i="61"/>
  <c r="G1141" i="61"/>
  <c r="G1142" i="61"/>
  <c r="G1143" i="61"/>
  <c r="G1144" i="61"/>
  <c r="G1145" i="61"/>
  <c r="G1146" i="61"/>
  <c r="G1147" i="61"/>
  <c r="G1148" i="61"/>
  <c r="G1149" i="61"/>
  <c r="G1150" i="61"/>
  <c r="G1151" i="61"/>
  <c r="G1152" i="61"/>
  <c r="G1153" i="61"/>
  <c r="G1154" i="61"/>
  <c r="G1155" i="61"/>
  <c r="G1156" i="61"/>
  <c r="G1157" i="61"/>
  <c r="G1158" i="61"/>
  <c r="G1159" i="61"/>
  <c r="G1160" i="61"/>
  <c r="G1161" i="61"/>
  <c r="G1162" i="61"/>
  <c r="G1163" i="61"/>
  <c r="G1164" i="61"/>
  <c r="G1165" i="61"/>
  <c r="G1166" i="61"/>
  <c r="G1167" i="61"/>
  <c r="G1168" i="61"/>
  <c r="G1169" i="61"/>
  <c r="G1170" i="61"/>
  <c r="G1171" i="61"/>
  <c r="G1172" i="61"/>
  <c r="G1173" i="61"/>
  <c r="G1174" i="61"/>
  <c r="G1175" i="61"/>
  <c r="G1176" i="61"/>
  <c r="G1177" i="61"/>
  <c r="G1178" i="61"/>
  <c r="G1179" i="61"/>
  <c r="G1180" i="61"/>
  <c r="G1181" i="61"/>
  <c r="G1182" i="61"/>
  <c r="G1183" i="61"/>
  <c r="G1184" i="61"/>
  <c r="G1185" i="61"/>
  <c r="G1186" i="61"/>
  <c r="G1187" i="61"/>
  <c r="G1188" i="61"/>
  <c r="G1189" i="61"/>
  <c r="G1190" i="61"/>
  <c r="G1191" i="61"/>
  <c r="G1192" i="61"/>
  <c r="G1193" i="61"/>
  <c r="G1194" i="61"/>
  <c r="G1195" i="61"/>
  <c r="G1196" i="61"/>
  <c r="G1228" i="61"/>
  <c r="G1229" i="61"/>
  <c r="G1230" i="61"/>
  <c r="G1231" i="61"/>
  <c r="G1232" i="61"/>
  <c r="G1233" i="61"/>
  <c r="G1234" i="61"/>
  <c r="G1235" i="61"/>
  <c r="G1236" i="61"/>
  <c r="G1237" i="61"/>
  <c r="G1238" i="61"/>
  <c r="G1239" i="61"/>
  <c r="G1240" i="61"/>
  <c r="G1241" i="61"/>
  <c r="G1242" i="61"/>
  <c r="G1243" i="61"/>
  <c r="G1244" i="61"/>
  <c r="G1245" i="61"/>
  <c r="G1246" i="61"/>
  <c r="G1247" i="61"/>
  <c r="G1248" i="61"/>
  <c r="G1249" i="61"/>
  <c r="G1250" i="61"/>
  <c r="G1251" i="61"/>
  <c r="G1252" i="61"/>
  <c r="G1253" i="61"/>
  <c r="G1258" i="61"/>
  <c r="G1259" i="61"/>
  <c r="G1260" i="61"/>
  <c r="G1261" i="61"/>
  <c r="G1262" i="61"/>
  <c r="G1263" i="61"/>
  <c r="G1264" i="61"/>
  <c r="G1265" i="61"/>
  <c r="G1266" i="61"/>
  <c r="G1267" i="61"/>
  <c r="G1268" i="61"/>
  <c r="G1269" i="61"/>
  <c r="G1270" i="61"/>
  <c r="G1271" i="61"/>
  <c r="G1272" i="61"/>
  <c r="G1273" i="61"/>
  <c r="G1274" i="61"/>
  <c r="G1275" i="61"/>
  <c r="G1276" i="61"/>
  <c r="G1277" i="61"/>
  <c r="G1278" i="61"/>
  <c r="G6" i="61"/>
  <c r="C4" i="61"/>
  <c r="AN291" i="60"/>
  <c r="AK291" i="60"/>
  <c r="AJ291" i="60"/>
  <c r="AI291" i="60"/>
  <c r="AH291" i="60"/>
  <c r="AE291" i="60"/>
  <c r="AD291" i="60"/>
  <c r="AC291" i="60"/>
  <c r="AB291" i="60"/>
  <c r="AA291" i="60"/>
  <c r="X291" i="60"/>
  <c r="W291" i="60"/>
  <c r="V291" i="60"/>
  <c r="U291" i="60"/>
  <c r="R291" i="60"/>
  <c r="Q291" i="60"/>
  <c r="P291" i="60"/>
  <c r="O291" i="60"/>
  <c r="N291" i="60"/>
  <c r="M291" i="60"/>
  <c r="L291" i="60"/>
  <c r="I291" i="60"/>
  <c r="G291" i="60"/>
  <c r="E291" i="60"/>
  <c r="AN290" i="60"/>
  <c r="AK290" i="60"/>
  <c r="AJ290" i="60"/>
  <c r="AI290" i="60"/>
  <c r="AH290" i="60"/>
  <c r="AE290" i="60"/>
  <c r="AD290" i="60"/>
  <c r="X290" i="60"/>
  <c r="W290" i="60"/>
  <c r="U290" i="60"/>
  <c r="R290" i="60"/>
  <c r="Q290" i="60"/>
  <c r="P290" i="60"/>
  <c r="O290" i="60"/>
  <c r="N290" i="60"/>
  <c r="M290" i="60"/>
  <c r="L290" i="60"/>
  <c r="G290" i="60"/>
  <c r="E290" i="60"/>
  <c r="AN289" i="60"/>
  <c r="AK289" i="60"/>
  <c r="AJ289" i="60"/>
  <c r="AI289" i="60"/>
  <c r="AH289" i="60"/>
  <c r="AE289" i="60"/>
  <c r="AD289" i="60"/>
  <c r="W289" i="60"/>
  <c r="U289" i="60"/>
  <c r="R289" i="60"/>
  <c r="Q289" i="60"/>
  <c r="P289" i="60"/>
  <c r="O289" i="60"/>
  <c r="N289" i="60"/>
  <c r="M289" i="60"/>
  <c r="L289" i="60"/>
  <c r="G289" i="60"/>
  <c r="E289" i="60"/>
  <c r="AN288" i="60"/>
  <c r="AJ288" i="60"/>
  <c r="AI288" i="60"/>
  <c r="AH288" i="60"/>
  <c r="AE288" i="60"/>
  <c r="AD288" i="60"/>
  <c r="AC288" i="60"/>
  <c r="AA288" i="60"/>
  <c r="X288" i="60"/>
  <c r="W288" i="60"/>
  <c r="U288" i="60"/>
  <c r="R288" i="60"/>
  <c r="Q288" i="60"/>
  <c r="O288" i="60"/>
  <c r="N288" i="60"/>
  <c r="M288" i="60"/>
  <c r="L288" i="60"/>
  <c r="I288" i="60"/>
  <c r="G288" i="60"/>
  <c r="E288" i="60"/>
  <c r="AN287" i="60"/>
  <c r="AJ287" i="60"/>
  <c r="AI287" i="60"/>
  <c r="AH287" i="60"/>
  <c r="AE287" i="60"/>
  <c r="AD287" i="60"/>
  <c r="W287" i="60"/>
  <c r="V287" i="60"/>
  <c r="U287" i="60"/>
  <c r="R287" i="60"/>
  <c r="Q287" i="60"/>
  <c r="P287" i="60"/>
  <c r="O287" i="60"/>
  <c r="N287" i="60"/>
  <c r="M287" i="60"/>
  <c r="L287" i="60"/>
  <c r="G287" i="60"/>
  <c r="E287" i="60"/>
  <c r="C301" i="60"/>
  <c r="AC301" i="60" l="1"/>
  <c r="AC287" i="60"/>
  <c r="P302" i="60"/>
  <c r="P288" i="60"/>
  <c r="AK302" i="60"/>
  <c r="AA304" i="60"/>
  <c r="AA290" i="60"/>
  <c r="AB304" i="60"/>
  <c r="AB290" i="60"/>
  <c r="X303" i="60"/>
  <c r="X289" i="60"/>
  <c r="AC304" i="60"/>
  <c r="AC290" i="60"/>
  <c r="AA303" i="60"/>
  <c r="AA289" i="60"/>
  <c r="AA301" i="60"/>
  <c r="AA287" i="60"/>
  <c r="AK301" i="60"/>
  <c r="AK287" i="60"/>
  <c r="V302" i="60"/>
  <c r="AB301" i="60"/>
  <c r="K1013" i="61"/>
  <c r="K1011" i="61"/>
  <c r="K1277" i="61"/>
  <c r="K1269" i="61"/>
  <c r="K1263" i="61"/>
  <c r="K1259" i="61"/>
  <c r="K1247" i="61"/>
  <c r="K1239" i="61"/>
  <c r="K1233" i="61"/>
  <c r="K1194" i="61"/>
  <c r="K1188" i="61"/>
  <c r="K1180" i="61"/>
  <c r="K1174" i="61"/>
  <c r="K1164" i="61"/>
  <c r="K1156" i="61"/>
  <c r="K1148" i="61"/>
  <c r="K1141" i="61"/>
  <c r="K1133" i="61"/>
  <c r="K1125" i="61"/>
  <c r="K1119" i="61"/>
  <c r="K1113" i="61"/>
  <c r="K1105" i="61"/>
  <c r="K1097" i="61"/>
  <c r="K1091" i="61"/>
  <c r="K1083" i="61"/>
  <c r="K1077" i="61"/>
  <c r="K1069" i="61"/>
  <c r="K1061" i="61"/>
  <c r="K1053" i="61"/>
  <c r="K1045" i="61"/>
  <c r="K1039" i="61"/>
  <c r="K1033" i="61"/>
  <c r="K1025" i="61"/>
  <c r="K1019" i="61"/>
  <c r="K1275" i="61"/>
  <c r="K1266" i="61"/>
  <c r="K1253" i="61"/>
  <c r="K1243" i="61"/>
  <c r="K1235" i="61"/>
  <c r="K1196" i="61"/>
  <c r="K1182" i="61"/>
  <c r="K1172" i="61"/>
  <c r="K1166" i="61"/>
  <c r="K1158" i="61"/>
  <c r="K1150" i="61"/>
  <c r="K1143" i="61"/>
  <c r="K1135" i="61"/>
  <c r="K1127" i="61"/>
  <c r="K1117" i="61"/>
  <c r="K1109" i="61"/>
  <c r="K1101" i="61"/>
  <c r="K1093" i="61"/>
  <c r="K1085" i="61"/>
  <c r="K1075" i="61"/>
  <c r="K1067" i="61"/>
  <c r="K1057" i="61"/>
  <c r="K1049" i="61"/>
  <c r="K1041" i="61"/>
  <c r="K1029" i="61"/>
  <c r="K1021" i="61"/>
  <c r="K1273" i="61"/>
  <c r="K1264" i="61"/>
  <c r="K1251" i="61"/>
  <c r="K1245" i="61"/>
  <c r="K1237" i="61"/>
  <c r="K1229" i="61"/>
  <c r="K1190" i="61"/>
  <c r="K1184" i="61"/>
  <c r="K1178" i="61"/>
  <c r="K1170" i="61"/>
  <c r="K1162" i="61"/>
  <c r="K1154" i="61"/>
  <c r="K1147" i="61"/>
  <c r="K1139" i="61"/>
  <c r="K1131" i="61"/>
  <c r="K1123" i="61"/>
  <c r="K1115" i="61"/>
  <c r="K1107" i="61"/>
  <c r="K1099" i="61"/>
  <c r="K1087" i="61"/>
  <c r="K1079" i="61"/>
  <c r="K1071" i="61"/>
  <c r="K1063" i="61"/>
  <c r="K1055" i="61"/>
  <c r="K1047" i="61"/>
  <c r="K1037" i="61"/>
  <c r="K1031" i="61"/>
  <c r="K1023" i="61"/>
  <c r="K1017" i="61"/>
  <c r="K1271" i="61"/>
  <c r="K1267" i="61"/>
  <c r="K1261" i="61"/>
  <c r="K1249" i="61"/>
  <c r="K1241" i="61"/>
  <c r="K1231" i="61"/>
  <c r="K1192" i="61"/>
  <c r="K1186" i="61"/>
  <c r="K1176" i="61"/>
  <c r="K1168" i="61"/>
  <c r="K1160" i="61"/>
  <c r="K1152" i="61"/>
  <c r="K1145" i="61"/>
  <c r="K1137" i="61"/>
  <c r="K1129" i="61"/>
  <c r="K1121" i="61"/>
  <c r="K1111" i="61"/>
  <c r="K1103" i="61"/>
  <c r="K1095" i="61"/>
  <c r="K1089" i="61"/>
  <c r="K1081" i="61"/>
  <c r="K1073" i="61"/>
  <c r="K1065" i="61"/>
  <c r="K1059" i="61"/>
  <c r="K1051" i="61"/>
  <c r="K1043" i="61"/>
  <c r="K1035" i="61"/>
  <c r="K1027" i="61"/>
  <c r="K1015" i="61"/>
  <c r="K1009" i="61"/>
  <c r="K1007" i="61"/>
  <c r="K1005" i="61"/>
  <c r="K1003" i="61"/>
  <c r="K1001" i="61"/>
  <c r="K999" i="61"/>
  <c r="K997" i="61"/>
  <c r="K995" i="61"/>
  <c r="K993" i="61"/>
  <c r="K991" i="61"/>
  <c r="K989" i="61"/>
  <c r="K987" i="61"/>
  <c r="K985" i="61"/>
  <c r="K983" i="61"/>
  <c r="K981" i="61"/>
  <c r="K979" i="61"/>
  <c r="K977" i="61"/>
  <c r="K975" i="61"/>
  <c r="K973" i="61"/>
  <c r="K971" i="61"/>
  <c r="K969" i="61"/>
  <c r="K967" i="61"/>
  <c r="K965" i="61"/>
  <c r="K963" i="61"/>
  <c r="K961" i="61"/>
  <c r="K959" i="61"/>
  <c r="K957" i="61"/>
  <c r="K955" i="61"/>
  <c r="K953" i="61"/>
  <c r="K951" i="61"/>
  <c r="K949" i="61"/>
  <c r="K947" i="61"/>
  <c r="K945" i="61"/>
  <c r="K943" i="61"/>
  <c r="K941" i="61"/>
  <c r="K939" i="61"/>
  <c r="K937" i="61"/>
  <c r="K935" i="61"/>
  <c r="K933" i="61"/>
  <c r="K931" i="61"/>
  <c r="K929" i="61"/>
  <c r="K927" i="61"/>
  <c r="K925" i="61"/>
  <c r="K923" i="61"/>
  <c r="K921" i="61"/>
  <c r="K919" i="61"/>
  <c r="K917" i="61"/>
  <c r="K915" i="61"/>
  <c r="K913" i="61"/>
  <c r="K911" i="61"/>
  <c r="K909" i="61"/>
  <c r="K907" i="61"/>
  <c r="K905" i="61"/>
  <c r="K903" i="61"/>
  <c r="K901" i="61"/>
  <c r="K899" i="61"/>
  <c r="K897" i="61"/>
  <c r="K895" i="61"/>
  <c r="K893" i="61"/>
  <c r="K891" i="61"/>
  <c r="K889" i="61"/>
  <c r="K887" i="61"/>
  <c r="K885" i="61"/>
  <c r="K883" i="61"/>
  <c r="K881" i="61"/>
  <c r="K879" i="61"/>
  <c r="K877" i="61"/>
  <c r="K875" i="61"/>
  <c r="K873" i="61"/>
  <c r="K871" i="61"/>
  <c r="K869" i="61"/>
  <c r="K530" i="61"/>
  <c r="K528" i="61"/>
  <c r="K526" i="61"/>
  <c r="K524" i="61"/>
  <c r="K522" i="61"/>
  <c r="K512" i="61"/>
  <c r="K510" i="61"/>
  <c r="K508" i="61"/>
  <c r="K506" i="61"/>
  <c r="K504" i="61"/>
  <c r="K502" i="61"/>
  <c r="K281" i="61"/>
  <c r="K106" i="61"/>
  <c r="K867" i="61"/>
  <c r="K865" i="61"/>
  <c r="K863" i="61"/>
  <c r="K861" i="61"/>
  <c r="K859" i="61"/>
  <c r="K857" i="61"/>
  <c r="K855" i="61"/>
  <c r="K853" i="61"/>
  <c r="K851" i="61"/>
  <c r="K849" i="61"/>
  <c r="K847" i="61"/>
  <c r="K845" i="61"/>
  <c r="K843" i="61"/>
  <c r="K841" i="61"/>
  <c r="K839" i="61"/>
  <c r="K837" i="61"/>
  <c r="K835" i="61"/>
  <c r="K833" i="61"/>
  <c r="K831" i="61"/>
  <c r="K829" i="61"/>
  <c r="K827" i="61"/>
  <c r="K825" i="61"/>
  <c r="K823" i="61"/>
  <c r="K821" i="61"/>
  <c r="K819" i="61"/>
  <c r="K817" i="61"/>
  <c r="K815" i="61"/>
  <c r="K813" i="61"/>
  <c r="K812" i="61"/>
  <c r="K810" i="61"/>
  <c r="K808" i="61"/>
  <c r="K806" i="61"/>
  <c r="K804" i="61"/>
  <c r="K802" i="61"/>
  <c r="K801" i="61"/>
  <c r="K799" i="61"/>
  <c r="K797" i="61"/>
  <c r="K795" i="61"/>
  <c r="K793" i="61"/>
  <c r="K791" i="61"/>
  <c r="K789" i="61"/>
  <c r="K787" i="61"/>
  <c r="K785" i="61"/>
  <c r="K783" i="61"/>
  <c r="K781" i="61"/>
  <c r="K779" i="61"/>
  <c r="K777" i="61"/>
  <c r="K775" i="61"/>
  <c r="K773" i="61"/>
  <c r="K771" i="61"/>
  <c r="K769" i="61"/>
  <c r="K767" i="61"/>
  <c r="K765" i="61"/>
  <c r="K763" i="61"/>
  <c r="K761" i="61"/>
  <c r="K759" i="61"/>
  <c r="K757" i="61"/>
  <c r="K755" i="61"/>
  <c r="K753" i="61"/>
  <c r="K751" i="61"/>
  <c r="K749" i="61"/>
  <c r="K747" i="61"/>
  <c r="K745" i="61"/>
  <c r="K743" i="61"/>
  <c r="K741" i="61"/>
  <c r="K739" i="61"/>
  <c r="K737" i="61"/>
  <c r="K735" i="61"/>
  <c r="K733" i="61"/>
  <c r="K731" i="61"/>
  <c r="K729" i="61"/>
  <c r="K727" i="61"/>
  <c r="K725" i="61"/>
  <c r="K723" i="61"/>
  <c r="K721" i="61"/>
  <c r="K719" i="61"/>
  <c r="K717" i="61"/>
  <c r="K715" i="61"/>
  <c r="K713" i="61"/>
  <c r="K711" i="61"/>
  <c r="K709" i="61"/>
  <c r="K707" i="61"/>
  <c r="K705" i="61"/>
  <c r="K703" i="61"/>
  <c r="K701" i="61"/>
  <c r="K699" i="61"/>
  <c r="K697" i="61"/>
  <c r="K695" i="61"/>
  <c r="K692" i="61"/>
  <c r="K690" i="61"/>
  <c r="K688" i="61"/>
  <c r="K686" i="61"/>
  <c r="K684" i="61"/>
  <c r="K682" i="61"/>
  <c r="K680" i="61"/>
  <c r="K678" i="61"/>
  <c r="K676" i="61"/>
  <c r="K674" i="61"/>
  <c r="K672" i="61"/>
  <c r="K670" i="61"/>
  <c r="K668" i="61"/>
  <c r="K666" i="61"/>
  <c r="K664" i="61"/>
  <c r="K662" i="61"/>
  <c r="K660" i="61"/>
  <c r="K658" i="61"/>
  <c r="K656" i="61"/>
  <c r="K654" i="61"/>
  <c r="K652" i="61"/>
  <c r="K650" i="61"/>
  <c r="K648" i="61"/>
  <c r="K646" i="61"/>
  <c r="K644" i="61"/>
  <c r="K642" i="61"/>
  <c r="K640" i="61"/>
  <c r="K638" i="61"/>
  <c r="K636" i="61"/>
  <c r="K634" i="61"/>
  <c r="K632" i="61"/>
  <c r="K630" i="61"/>
  <c r="K628" i="61"/>
  <c r="K626" i="61"/>
  <c r="K624" i="61"/>
  <c r="K622" i="61"/>
  <c r="K620" i="61"/>
  <c r="K618" i="61"/>
  <c r="K616" i="61"/>
  <c r="K614" i="61"/>
  <c r="K612" i="61"/>
  <c r="K610" i="61"/>
  <c r="K608" i="61"/>
  <c r="K606" i="61"/>
  <c r="K604" i="61"/>
  <c r="K602" i="61"/>
  <c r="K600" i="61"/>
  <c r="K598" i="61"/>
  <c r="K596" i="61"/>
  <c r="K594" i="61"/>
  <c r="K592" i="61"/>
  <c r="K590" i="61"/>
  <c r="K588" i="61"/>
  <c r="K586" i="61"/>
  <c r="K584" i="61"/>
  <c r="K582" i="61"/>
  <c r="K580" i="61"/>
  <c r="K578" i="61"/>
  <c r="K576" i="61"/>
  <c r="K574" i="61"/>
  <c r="K572" i="61"/>
  <c r="K570" i="61"/>
  <c r="K568" i="61"/>
  <c r="K566" i="61"/>
  <c r="K564" i="61"/>
  <c r="K562" i="61"/>
  <c r="K560" i="61"/>
  <c r="K558" i="61"/>
  <c r="K556" i="61"/>
  <c r="K554" i="61"/>
  <c r="K552" i="61"/>
  <c r="K550" i="61"/>
  <c r="K548" i="61"/>
  <c r="K546" i="61"/>
  <c r="K544" i="61"/>
  <c r="K542" i="61"/>
  <c r="K540" i="61"/>
  <c r="K538" i="61"/>
  <c r="K536" i="61"/>
  <c r="K534" i="61"/>
  <c r="K532" i="61"/>
  <c r="K996" i="61"/>
  <c r="K994" i="61"/>
  <c r="K992" i="61"/>
  <c r="K990" i="61"/>
  <c r="K988" i="61"/>
  <c r="K986" i="61"/>
  <c r="K984" i="61"/>
  <c r="K982" i="61"/>
  <c r="K980" i="61"/>
  <c r="K978" i="61"/>
  <c r="K976" i="61"/>
  <c r="K974" i="61"/>
  <c r="K972" i="61"/>
  <c r="K970" i="61"/>
  <c r="K968" i="61"/>
  <c r="K966" i="61"/>
  <c r="K964" i="61"/>
  <c r="K962" i="61"/>
  <c r="K960" i="61"/>
  <c r="K958" i="61"/>
  <c r="K956" i="61"/>
  <c r="K954" i="61"/>
  <c r="K952" i="61"/>
  <c r="K950" i="61"/>
  <c r="K948" i="61"/>
  <c r="K946" i="61"/>
  <c r="K944" i="61"/>
  <c r="K942" i="61"/>
  <c r="K940" i="61"/>
  <c r="K938" i="61"/>
  <c r="K936" i="61"/>
  <c r="K934" i="61"/>
  <c r="K932" i="61"/>
  <c r="K930" i="61"/>
  <c r="K928" i="61"/>
  <c r="K926" i="61"/>
  <c r="K924" i="61"/>
  <c r="K922" i="61"/>
  <c r="K920" i="61"/>
  <c r="K918" i="61"/>
  <c r="K916" i="61"/>
  <c r="K914" i="61"/>
  <c r="K912" i="61"/>
  <c r="K910" i="61"/>
  <c r="K908" i="61"/>
  <c r="K906" i="61"/>
  <c r="K904" i="61"/>
  <c r="K902" i="61"/>
  <c r="K900" i="61"/>
  <c r="K898" i="61"/>
  <c r="K896" i="61"/>
  <c r="K894" i="61"/>
  <c r="K892" i="61"/>
  <c r="K890" i="61"/>
  <c r="K888" i="61"/>
  <c r="K886" i="61"/>
  <c r="K884" i="61"/>
  <c r="K882" i="61"/>
  <c r="K880" i="61"/>
  <c r="K878" i="61"/>
  <c r="K876" i="61"/>
  <c r="K874" i="61"/>
  <c r="K872" i="61"/>
  <c r="K870" i="61"/>
  <c r="K868" i="61"/>
  <c r="K866" i="61"/>
  <c r="K864" i="61"/>
  <c r="K862" i="61"/>
  <c r="K860" i="61"/>
  <c r="K858" i="61"/>
  <c r="K856" i="61"/>
  <c r="K854" i="61"/>
  <c r="K852" i="61"/>
  <c r="K850" i="61"/>
  <c r="K848" i="61"/>
  <c r="K846" i="61"/>
  <c r="K844" i="61"/>
  <c r="K842" i="61"/>
  <c r="K840" i="61"/>
  <c r="K838" i="61"/>
  <c r="K836" i="61"/>
  <c r="K834" i="61"/>
  <c r="K832" i="61"/>
  <c r="K830" i="61"/>
  <c r="K828" i="61"/>
  <c r="K826" i="61"/>
  <c r="K824" i="61"/>
  <c r="K822" i="61"/>
  <c r="K820" i="61"/>
  <c r="K818" i="61"/>
  <c r="K816" i="61"/>
  <c r="K814" i="61"/>
  <c r="K811" i="61"/>
  <c r="K809" i="61"/>
  <c r="K807" i="61"/>
  <c r="K805" i="61"/>
  <c r="K803" i="61"/>
  <c r="K800" i="61"/>
  <c r="K798" i="61"/>
  <c r="K796" i="61"/>
  <c r="K794" i="61"/>
  <c r="K792" i="61"/>
  <c r="K790" i="61"/>
  <c r="K788" i="61"/>
  <c r="K786" i="61"/>
  <c r="K784" i="61"/>
  <c r="K782" i="61"/>
  <c r="K780" i="61"/>
  <c r="K778" i="61"/>
  <c r="K776" i="61"/>
  <c r="K774" i="61"/>
  <c r="K772" i="61"/>
  <c r="K770" i="61"/>
  <c r="K768" i="61"/>
  <c r="K766" i="61"/>
  <c r="K764" i="61"/>
  <c r="K762" i="61"/>
  <c r="K760" i="61"/>
  <c r="K758" i="61"/>
  <c r="K756" i="61"/>
  <c r="K754" i="61"/>
  <c r="K752" i="61"/>
  <c r="K750" i="61"/>
  <c r="K748" i="61"/>
  <c r="K746" i="61"/>
  <c r="K744" i="61"/>
  <c r="K742" i="61"/>
  <c r="K740" i="61"/>
  <c r="K738" i="61"/>
  <c r="K736" i="61"/>
  <c r="K734" i="61"/>
  <c r="K732" i="61"/>
  <c r="K730" i="61"/>
  <c r="K728" i="61"/>
  <c r="K726" i="61"/>
  <c r="K724" i="61"/>
  <c r="K722" i="61"/>
  <c r="K720" i="61"/>
  <c r="K718" i="61"/>
  <c r="K716" i="61"/>
  <c r="K714" i="61"/>
  <c r="K712" i="61"/>
  <c r="K710" i="61"/>
  <c r="K708" i="61"/>
  <c r="K706" i="61"/>
  <c r="K704" i="61"/>
  <c r="K702" i="61"/>
  <c r="K700" i="61"/>
  <c r="K698" i="61"/>
  <c r="K696" i="61"/>
  <c r="K694" i="61"/>
  <c r="K691" i="61"/>
  <c r="K689" i="61"/>
  <c r="K687" i="61"/>
  <c r="K685" i="61"/>
  <c r="K683" i="61"/>
  <c r="K681" i="61"/>
  <c r="K679" i="61"/>
  <c r="K677" i="61"/>
  <c r="K675" i="61"/>
  <c r="K1276" i="61"/>
  <c r="K1272" i="61"/>
  <c r="K1268" i="61"/>
  <c r="K1265" i="61"/>
  <c r="K1262" i="61"/>
  <c r="K1258" i="61"/>
  <c r="K1250" i="61"/>
  <c r="K1246" i="61"/>
  <c r="K1242" i="61"/>
  <c r="K1238" i="61"/>
  <c r="K1234" i="61"/>
  <c r="K1230" i="61"/>
  <c r="K1195" i="61"/>
  <c r="K1191" i="61"/>
  <c r="K1189" i="61"/>
  <c r="K1187" i="61"/>
  <c r="K1183" i="61"/>
  <c r="K1179" i="61"/>
  <c r="K1175" i="61"/>
  <c r="K1171" i="61"/>
  <c r="K1167" i="61"/>
  <c r="K1163" i="61"/>
  <c r="K1159" i="61"/>
  <c r="K1155" i="61"/>
  <c r="K1151" i="61"/>
  <c r="K1144" i="61"/>
  <c r="K1140" i="61"/>
  <c r="K1138" i="61"/>
  <c r="K1134" i="61"/>
  <c r="K1130" i="61"/>
  <c r="K1126" i="61"/>
  <c r="K1122" i="61"/>
  <c r="K1118" i="61"/>
  <c r="K1114" i="61"/>
  <c r="K1110" i="61"/>
  <c r="K1106" i="61"/>
  <c r="K1102" i="61"/>
  <c r="K1100" i="61"/>
  <c r="K1096" i="61"/>
  <c r="K1092" i="61"/>
  <c r="K1088" i="61"/>
  <c r="K1084" i="61"/>
  <c r="K1080" i="61"/>
  <c r="K1076" i="61"/>
  <c r="K1072" i="61"/>
  <c r="K1068" i="61"/>
  <c r="K1064" i="61"/>
  <c r="K1060" i="61"/>
  <c r="K1056" i="61"/>
  <c r="K1052" i="61"/>
  <c r="K1048" i="61"/>
  <c r="K1044" i="61"/>
  <c r="K1042" i="61"/>
  <c r="K1038" i="61"/>
  <c r="K1034" i="61"/>
  <c r="K1030" i="61"/>
  <c r="K1028" i="61"/>
  <c r="K1024" i="61"/>
  <c r="K1020" i="61"/>
  <c r="K1016" i="61"/>
  <c r="K1010" i="61"/>
  <c r="K1006" i="61"/>
  <c r="K1002" i="61"/>
  <c r="K998" i="61"/>
  <c r="K1278" i="61"/>
  <c r="K1270" i="61"/>
  <c r="K1260" i="61"/>
  <c r="K1252" i="61"/>
  <c r="K1248" i="61"/>
  <c r="K1244" i="61"/>
  <c r="K1240" i="61"/>
  <c r="K1236" i="61"/>
  <c r="K1232" i="61"/>
  <c r="K1228" i="61"/>
  <c r="K1193" i="61"/>
  <c r="K1185" i="61"/>
  <c r="K1181" i="61"/>
  <c r="K1177" i="61"/>
  <c r="K1173" i="61"/>
  <c r="K1169" i="61"/>
  <c r="K1165" i="61"/>
  <c r="K1161" i="61"/>
  <c r="K1157" i="61"/>
  <c r="K1153" i="61"/>
  <c r="K1149" i="61"/>
  <c r="K1146" i="61"/>
  <c r="K1142" i="61"/>
  <c r="K1136" i="61"/>
  <c r="K1132" i="61"/>
  <c r="K1128" i="61"/>
  <c r="K1124" i="61"/>
  <c r="K1120" i="61"/>
  <c r="K1116" i="61"/>
  <c r="K1112" i="61"/>
  <c r="K1108" i="61"/>
  <c r="K1104" i="61"/>
  <c r="K1098" i="61"/>
  <c r="K1094" i="61"/>
  <c r="K1090" i="61"/>
  <c r="K1086" i="61"/>
  <c r="K1082" i="61"/>
  <c r="K1078" i="61"/>
  <c r="K1074" i="61"/>
  <c r="K1070" i="61"/>
  <c r="K1066" i="61"/>
  <c r="K1062" i="61"/>
  <c r="K1058" i="61"/>
  <c r="K1054" i="61"/>
  <c r="K1050" i="61"/>
  <c r="K1046" i="61"/>
  <c r="K1040" i="61"/>
  <c r="K1036" i="61"/>
  <c r="K1032" i="61"/>
  <c r="K1026" i="61"/>
  <c r="K1022" i="61"/>
  <c r="K1018" i="61"/>
  <c r="K1014" i="61"/>
  <c r="K1012" i="61"/>
  <c r="K1008" i="61"/>
  <c r="K1004" i="61"/>
  <c r="K1000" i="61"/>
  <c r="K673" i="61"/>
  <c r="K671" i="61"/>
  <c r="K669" i="61"/>
  <c r="K667" i="61"/>
  <c r="K665" i="61"/>
  <c r="K663" i="61"/>
  <c r="K661" i="61"/>
  <c r="K659" i="61"/>
  <c r="K657" i="61"/>
  <c r="K655" i="61"/>
  <c r="K653" i="61"/>
  <c r="K651" i="61"/>
  <c r="K649" i="61"/>
  <c r="K647" i="61"/>
  <c r="K645" i="61"/>
  <c r="K643" i="61"/>
  <c r="K641" i="61"/>
  <c r="K639" i="61"/>
  <c r="K637" i="61"/>
  <c r="K635" i="61"/>
  <c r="K633" i="61"/>
  <c r="K631" i="61"/>
  <c r="K629" i="61"/>
  <c r="K627" i="61"/>
  <c r="K625" i="61"/>
  <c r="K623" i="61"/>
  <c r="K621" i="61"/>
  <c r="K619" i="61"/>
  <c r="K617" i="61"/>
  <c r="K615" i="61"/>
  <c r="K613" i="61"/>
  <c r="K611" i="61"/>
  <c r="K609" i="61"/>
  <c r="K607" i="61"/>
  <c r="K605" i="61"/>
  <c r="K603" i="61"/>
  <c r="K601" i="61"/>
  <c r="K599" i="61"/>
  <c r="K597" i="61"/>
  <c r="K595" i="61"/>
  <c r="K593" i="61"/>
  <c r="K591" i="61"/>
  <c r="K589" i="61"/>
  <c r="K587" i="61"/>
  <c r="K585" i="61"/>
  <c r="K583" i="61"/>
  <c r="K581" i="61"/>
  <c r="K579" i="61"/>
  <c r="K577" i="61"/>
  <c r="K575" i="61"/>
  <c r="K573" i="61"/>
  <c r="K571" i="61"/>
  <c r="K569" i="61"/>
  <c r="K567" i="61"/>
  <c r="K565" i="61"/>
  <c r="K563" i="61"/>
  <c r="K561" i="61"/>
  <c r="K559" i="61"/>
  <c r="K557" i="61"/>
  <c r="K555" i="61"/>
  <c r="K553" i="61"/>
  <c r="K551" i="61"/>
  <c r="K549" i="61"/>
  <c r="K547" i="61"/>
  <c r="K545" i="61"/>
  <c r="K543" i="61"/>
  <c r="K541" i="61"/>
  <c r="K539" i="61"/>
  <c r="K537" i="61"/>
  <c r="K535" i="61"/>
  <c r="K533" i="61"/>
  <c r="K531" i="61"/>
  <c r="K529" i="61"/>
  <c r="K527" i="61"/>
  <c r="K525" i="61"/>
  <c r="K523" i="61"/>
  <c r="K519" i="61"/>
  <c r="K511" i="61"/>
  <c r="K509" i="61"/>
  <c r="K507" i="61"/>
  <c r="K505" i="61"/>
  <c r="K503" i="61"/>
  <c r="K501" i="61"/>
  <c r="K111" i="61"/>
  <c r="AE313" i="60"/>
  <c r="AE292" i="60" s="1"/>
  <c r="V313" i="60"/>
  <c r="V292" i="60" s="1"/>
  <c r="AI313" i="60"/>
  <c r="AI292" i="60" s="1"/>
  <c r="W313" i="60"/>
  <c r="W292" i="60" s="1"/>
  <c r="P313" i="60"/>
  <c r="P292" i="60" s="1"/>
  <c r="X313" i="60"/>
  <c r="X292" i="60" s="1"/>
  <c r="Y313" i="60"/>
  <c r="G313" i="60"/>
  <c r="G292" i="60" s="1"/>
  <c r="AA313" i="60"/>
  <c r="AA292" i="60" s="1"/>
  <c r="V301" i="60"/>
  <c r="AK313" i="60"/>
  <c r="AK292" i="60" s="1"/>
  <c r="I313" i="60"/>
  <c r="I292" i="60" s="1"/>
  <c r="S313" i="60"/>
  <c r="AB313" i="60"/>
  <c r="AL313" i="60"/>
  <c r="AL292" i="60" s="1"/>
  <c r="AH313" i="60"/>
  <c r="AH292" i="60" s="1"/>
  <c r="Q313" i="60"/>
  <c r="Q292" i="60" s="1"/>
  <c r="T313" i="60"/>
  <c r="AC313" i="60"/>
  <c r="AC292" i="60" s="1"/>
  <c r="AN313" i="60"/>
  <c r="AN292" i="60" s="1"/>
  <c r="X301" i="60"/>
  <c r="R313" i="60"/>
  <c r="R292" i="60" s="1"/>
  <c r="L313" i="60"/>
  <c r="L292" i="60" s="1"/>
  <c r="AJ313" i="60"/>
  <c r="AJ292" i="60" s="1"/>
  <c r="E313" i="60"/>
  <c r="E292" i="60" s="1"/>
  <c r="M313" i="60"/>
  <c r="M292" i="60" s="1"/>
  <c r="U313" i="60"/>
  <c r="U292" i="60" s="1"/>
  <c r="N313" i="60"/>
  <c r="N292" i="60" s="1"/>
  <c r="AD313" i="60"/>
  <c r="AD292" i="60" s="1"/>
  <c r="O313" i="60"/>
  <c r="O292" i="60" s="1"/>
  <c r="AN305" i="60" l="1"/>
  <c r="AK305" i="60"/>
  <c r="AJ305" i="60"/>
  <c r="AI305" i="60"/>
  <c r="AH305" i="60"/>
  <c r="AE305" i="60"/>
  <c r="AD305" i="60"/>
  <c r="AC305" i="60"/>
  <c r="AB305" i="60"/>
  <c r="AA305" i="60"/>
  <c r="X305" i="60"/>
  <c r="W305" i="60"/>
  <c r="V305" i="60"/>
  <c r="U305" i="60"/>
  <c r="R305" i="60"/>
  <c r="Q305" i="60"/>
  <c r="P305" i="60"/>
  <c r="O305" i="60"/>
  <c r="N305" i="60"/>
  <c r="M305" i="60"/>
  <c r="L305" i="60"/>
  <c r="I305" i="60"/>
  <c r="G305" i="60"/>
  <c r="E305" i="60"/>
  <c r="AN304" i="60"/>
  <c r="AK304" i="60"/>
  <c r="AJ304" i="60"/>
  <c r="AI304" i="60"/>
  <c r="AH304" i="60"/>
  <c r="AE304" i="60"/>
  <c r="AD304" i="60"/>
  <c r="W304" i="60"/>
  <c r="V304" i="60"/>
  <c r="U304" i="60"/>
  <c r="R304" i="60"/>
  <c r="Q304" i="60"/>
  <c r="P304" i="60"/>
  <c r="O304" i="60"/>
  <c r="N304" i="60"/>
  <c r="M304" i="60"/>
  <c r="L304" i="60"/>
  <c r="G304" i="60"/>
  <c r="E304" i="60"/>
  <c r="AN303" i="60"/>
  <c r="AK303" i="60"/>
  <c r="AJ303" i="60"/>
  <c r="AI303" i="60"/>
  <c r="AH303" i="60"/>
  <c r="AE303" i="60"/>
  <c r="AD303" i="60"/>
  <c r="W303" i="60"/>
  <c r="U303" i="60"/>
  <c r="R303" i="60"/>
  <c r="Q303" i="60"/>
  <c r="P303" i="60"/>
  <c r="O303" i="60"/>
  <c r="N303" i="60"/>
  <c r="M303" i="60"/>
  <c r="L303" i="60"/>
  <c r="G303" i="60"/>
  <c r="E303" i="60"/>
  <c r="AN302" i="60"/>
  <c r="AJ302" i="60"/>
  <c r="AI302" i="60"/>
  <c r="AH302" i="60"/>
  <c r="AE302" i="60"/>
  <c r="AD302" i="60"/>
  <c r="AA302" i="60"/>
  <c r="X302" i="60"/>
  <c r="W302" i="60"/>
  <c r="U302" i="60"/>
  <c r="R302" i="60"/>
  <c r="Q302" i="60"/>
  <c r="O302" i="60"/>
  <c r="N302" i="60"/>
  <c r="M302" i="60"/>
  <c r="L302" i="60"/>
  <c r="I302" i="60"/>
  <c r="G302" i="60"/>
  <c r="E302" i="60"/>
  <c r="AN301" i="60"/>
  <c r="AJ301" i="60"/>
  <c r="AI301" i="60"/>
  <c r="AH301" i="60"/>
  <c r="AE301" i="60"/>
  <c r="AD301" i="60"/>
  <c r="W301" i="60"/>
  <c r="U301" i="60"/>
  <c r="R301" i="60"/>
  <c r="Q301" i="60"/>
  <c r="P301" i="60"/>
  <c r="O301" i="60"/>
  <c r="N301" i="60"/>
  <c r="M301" i="60"/>
  <c r="L301" i="60"/>
  <c r="G301" i="60"/>
  <c r="E301" i="60"/>
  <c r="C315" i="60"/>
  <c r="AB316" i="60" l="1"/>
  <c r="AB318" i="60"/>
  <c r="AC316" i="60"/>
  <c r="AC302" i="60"/>
  <c r="X318" i="60"/>
  <c r="X304" i="60"/>
  <c r="S327" i="60"/>
  <c r="L327" i="60"/>
  <c r="L306" i="60" s="1"/>
  <c r="M327" i="60"/>
  <c r="M306" i="60" s="1"/>
  <c r="AC327" i="60"/>
  <c r="AC306" i="60" s="1"/>
  <c r="AK327" i="60"/>
  <c r="AK306" i="60" s="1"/>
  <c r="I327" i="60"/>
  <c r="I306" i="60" s="1"/>
  <c r="Y327" i="60"/>
  <c r="V327" i="60"/>
  <c r="V306" i="60" s="1"/>
  <c r="AD327" i="60"/>
  <c r="AD306" i="60" s="1"/>
  <c r="AA327" i="60"/>
  <c r="AA306" i="60" s="1"/>
  <c r="AI327" i="60"/>
  <c r="AI306" i="60" s="1"/>
  <c r="O327" i="60"/>
  <c r="O306" i="60" s="1"/>
  <c r="AE327" i="60"/>
  <c r="AE306" i="60" s="1"/>
  <c r="P327" i="60"/>
  <c r="P306" i="60" s="1"/>
  <c r="X327" i="60"/>
  <c r="X306" i="60" s="1"/>
  <c r="AN327" i="60"/>
  <c r="AN306" i="60" s="1"/>
  <c r="T327" i="60"/>
  <c r="AB327" i="60"/>
  <c r="AJ327" i="60"/>
  <c r="AJ306" i="60" s="1"/>
  <c r="R327" i="60"/>
  <c r="R306" i="60" s="1"/>
  <c r="E327" i="60"/>
  <c r="E306" i="60" s="1"/>
  <c r="U327" i="60"/>
  <c r="U306" i="60" s="1"/>
  <c r="N327" i="60"/>
  <c r="N306" i="60" s="1"/>
  <c r="AL327" i="60"/>
  <c r="Q327" i="60"/>
  <c r="Q306" i="60" s="1"/>
  <c r="G327" i="60"/>
  <c r="G306" i="60" s="1"/>
  <c r="W327" i="60"/>
  <c r="W306" i="60" s="1"/>
  <c r="AH327" i="60"/>
  <c r="AH306" i="60" s="1"/>
  <c r="Q78" i="48" l="1"/>
  <c r="P78" i="48"/>
  <c r="Q76" i="48"/>
  <c r="P76" i="48"/>
  <c r="Q75" i="48"/>
  <c r="P75" i="48"/>
  <c r="Q74" i="48"/>
  <c r="Q96" i="48" s="1"/>
  <c r="P74" i="48"/>
  <c r="P96" i="48" s="1"/>
  <c r="AN319" i="60"/>
  <c r="AL319" i="60"/>
  <c r="AK319" i="60"/>
  <c r="AI319" i="60"/>
  <c r="AH319" i="60"/>
  <c r="AE319" i="60"/>
  <c r="AD319" i="60"/>
  <c r="AC319" i="60"/>
  <c r="AB319" i="60"/>
  <c r="AA319" i="60"/>
  <c r="X319" i="60"/>
  <c r="W319" i="60"/>
  <c r="V319" i="60"/>
  <c r="U319" i="60"/>
  <c r="P319" i="60"/>
  <c r="O319" i="60"/>
  <c r="N319" i="60"/>
  <c r="M319" i="60"/>
  <c r="L319" i="60"/>
  <c r="I319" i="60"/>
  <c r="G319" i="60"/>
  <c r="E319" i="60"/>
  <c r="AN318" i="60"/>
  <c r="AK318" i="60"/>
  <c r="AI318" i="60"/>
  <c r="AH318" i="60"/>
  <c r="AE318" i="60"/>
  <c r="AD318" i="60"/>
  <c r="AA318" i="60"/>
  <c r="W318" i="60"/>
  <c r="V318" i="60"/>
  <c r="U318" i="60"/>
  <c r="P318" i="60"/>
  <c r="O318" i="60"/>
  <c r="N318" i="60"/>
  <c r="M318" i="60"/>
  <c r="L318" i="60"/>
  <c r="G318" i="60"/>
  <c r="E318" i="60"/>
  <c r="AN317" i="60"/>
  <c r="AK317" i="60"/>
  <c r="AI317" i="60"/>
  <c r="AH317" i="60"/>
  <c r="AE317" i="60"/>
  <c r="AD317" i="60"/>
  <c r="AA317" i="60"/>
  <c r="W317" i="60"/>
  <c r="U317" i="60"/>
  <c r="P317" i="60"/>
  <c r="O317" i="60"/>
  <c r="N317" i="60"/>
  <c r="M317" i="60"/>
  <c r="L317" i="60"/>
  <c r="G317" i="60"/>
  <c r="E317" i="60"/>
  <c r="AN316" i="60"/>
  <c r="AI316" i="60"/>
  <c r="AH316" i="60"/>
  <c r="AE316" i="60"/>
  <c r="AD316" i="60"/>
  <c r="AA316" i="60"/>
  <c r="X316" i="60"/>
  <c r="W316" i="60"/>
  <c r="V316" i="60"/>
  <c r="U316" i="60"/>
  <c r="O316" i="60"/>
  <c r="N316" i="60"/>
  <c r="M316" i="60"/>
  <c r="L316" i="60"/>
  <c r="I316" i="60"/>
  <c r="G316" i="60"/>
  <c r="E316" i="60"/>
  <c r="AN315" i="60"/>
  <c r="AI315" i="60"/>
  <c r="AH315" i="60"/>
  <c r="AE315" i="60"/>
  <c r="AD315" i="60"/>
  <c r="AA315" i="60"/>
  <c r="W315" i="60"/>
  <c r="U315" i="60"/>
  <c r="P315" i="60"/>
  <c r="O315" i="60"/>
  <c r="N315" i="60"/>
  <c r="M315" i="60"/>
  <c r="L315" i="60"/>
  <c r="G315" i="60"/>
  <c r="E315" i="60"/>
  <c r="C329" i="60"/>
  <c r="AL331" i="60" l="1"/>
  <c r="AL317" i="60"/>
  <c r="AC330" i="60"/>
  <c r="AL332" i="60"/>
  <c r="AL318" i="60"/>
  <c r="AB332" i="60"/>
  <c r="Y341" i="60"/>
  <c r="AN341" i="60"/>
  <c r="AN320" i="60" s="1"/>
  <c r="N341" i="60"/>
  <c r="N320" i="60" s="1"/>
  <c r="V341" i="60"/>
  <c r="V320" i="60" s="1"/>
  <c r="AE341" i="60"/>
  <c r="AE320" i="60" s="1"/>
  <c r="AH341" i="60"/>
  <c r="AH320" i="60" s="1"/>
  <c r="X341" i="60"/>
  <c r="X320" i="60" s="1"/>
  <c r="AI341" i="60"/>
  <c r="AI320" i="60" s="1"/>
  <c r="W341" i="60"/>
  <c r="W320" i="60" s="1"/>
  <c r="S341" i="60"/>
  <c r="O341" i="60"/>
  <c r="O320" i="60" s="1"/>
  <c r="P341" i="60"/>
  <c r="P320" i="60" s="1"/>
  <c r="AB341" i="60"/>
  <c r="I341" i="60"/>
  <c r="I320" i="60" s="1"/>
  <c r="AC341" i="60"/>
  <c r="AC320" i="60" s="1"/>
  <c r="T341" i="60"/>
  <c r="G341" i="60"/>
  <c r="G320" i="60" s="1"/>
  <c r="AA341" i="60"/>
  <c r="AA320" i="60" s="1"/>
  <c r="AK341" i="60"/>
  <c r="AK320" i="60" s="1"/>
  <c r="M341" i="60"/>
  <c r="M320" i="60" s="1"/>
  <c r="U341" i="60"/>
  <c r="U320" i="60" s="1"/>
  <c r="AL341" i="60"/>
  <c r="AL320" i="60" s="1"/>
  <c r="L341" i="60"/>
  <c r="L320" i="60" s="1"/>
  <c r="E341" i="60"/>
  <c r="E320" i="60" s="1"/>
  <c r="AD341" i="60"/>
  <c r="AD320" i="60" s="1"/>
  <c r="AN333" i="60" l="1"/>
  <c r="AL333" i="60"/>
  <c r="AA333" i="60"/>
  <c r="X333" i="60"/>
  <c r="W333" i="60"/>
  <c r="V333" i="60"/>
  <c r="E333" i="60"/>
  <c r="AN332" i="60"/>
  <c r="AA332" i="60"/>
  <c r="X332" i="60"/>
  <c r="W332" i="60"/>
  <c r="V332" i="60"/>
  <c r="E332" i="60"/>
  <c r="AN331" i="60"/>
  <c r="AA331" i="60"/>
  <c r="W331" i="60"/>
  <c r="V331" i="60"/>
  <c r="E331" i="60"/>
  <c r="AN330" i="60"/>
  <c r="AI330" i="60"/>
  <c r="AH330" i="60"/>
  <c r="AE330" i="60"/>
  <c r="AD330" i="60"/>
  <c r="AA330" i="60"/>
  <c r="X330" i="60"/>
  <c r="W330" i="60"/>
  <c r="V330" i="60"/>
  <c r="E330" i="60"/>
  <c r="AN329" i="60"/>
  <c r="AL329" i="60"/>
  <c r="AI329" i="60"/>
  <c r="AH329" i="60"/>
  <c r="AE329" i="60"/>
  <c r="AD329" i="60"/>
  <c r="AA329" i="60"/>
  <c r="W329" i="60"/>
  <c r="U329" i="60"/>
  <c r="P329" i="60"/>
  <c r="O329" i="60"/>
  <c r="N329" i="60"/>
  <c r="M329" i="60"/>
  <c r="L329" i="60"/>
  <c r="G329" i="60"/>
  <c r="E329" i="60"/>
  <c r="C343" i="60"/>
  <c r="P344" i="60" l="1"/>
  <c r="L345" i="60"/>
  <c r="L331" i="60"/>
  <c r="P346" i="60"/>
  <c r="P332" i="60"/>
  <c r="AI346" i="60"/>
  <c r="AI332" i="60"/>
  <c r="L347" i="60"/>
  <c r="L333" i="60"/>
  <c r="AC347" i="60"/>
  <c r="AC333" i="60"/>
  <c r="M345" i="60"/>
  <c r="M331" i="60"/>
  <c r="U347" i="60"/>
  <c r="U333" i="60"/>
  <c r="G344" i="60"/>
  <c r="G330" i="60"/>
  <c r="R344" i="60"/>
  <c r="N345" i="60"/>
  <c r="N331" i="60"/>
  <c r="AE345" i="60"/>
  <c r="AE331" i="60"/>
  <c r="G346" i="60"/>
  <c r="G332" i="60"/>
  <c r="R346" i="60"/>
  <c r="AK346" i="60"/>
  <c r="AK332" i="60"/>
  <c r="N347" i="60"/>
  <c r="N333" i="60"/>
  <c r="AE347" i="60"/>
  <c r="AE333" i="60"/>
  <c r="Q344" i="60"/>
  <c r="U345" i="60"/>
  <c r="U331" i="60"/>
  <c r="AD345" i="60"/>
  <c r="AD331" i="60"/>
  <c r="Q346" i="60"/>
  <c r="AJ346" i="60"/>
  <c r="M347" i="60"/>
  <c r="M333" i="60"/>
  <c r="AD347" i="60"/>
  <c r="AD333" i="60"/>
  <c r="I344" i="60"/>
  <c r="I330" i="60"/>
  <c r="AL344" i="60"/>
  <c r="AL330" i="60"/>
  <c r="O345" i="60"/>
  <c r="O331" i="60"/>
  <c r="AH345" i="60"/>
  <c r="AH331" i="60"/>
  <c r="O347" i="60"/>
  <c r="O333" i="60"/>
  <c r="AH347" i="60"/>
  <c r="AH333" i="60"/>
  <c r="L344" i="60"/>
  <c r="L330" i="60"/>
  <c r="P345" i="60"/>
  <c r="P331" i="60"/>
  <c r="AI345" i="60"/>
  <c r="AI331" i="60"/>
  <c r="L346" i="60"/>
  <c r="L332" i="60"/>
  <c r="AC346" i="60"/>
  <c r="P347" i="60"/>
  <c r="P333" i="60"/>
  <c r="AI347" i="60"/>
  <c r="AI333" i="60"/>
  <c r="M344" i="60"/>
  <c r="M330" i="60"/>
  <c r="U344" i="60"/>
  <c r="U330" i="60"/>
  <c r="Q345" i="60"/>
  <c r="AJ345" i="60"/>
  <c r="M346" i="60"/>
  <c r="M332" i="60"/>
  <c r="U346" i="60"/>
  <c r="U332" i="60"/>
  <c r="AD346" i="60"/>
  <c r="AD332" i="60"/>
  <c r="Q347" i="60"/>
  <c r="AJ347" i="60"/>
  <c r="N344" i="60"/>
  <c r="N330" i="60"/>
  <c r="G345" i="60"/>
  <c r="G331" i="60"/>
  <c r="R345" i="60"/>
  <c r="AK345" i="60"/>
  <c r="AK331" i="60"/>
  <c r="N346" i="60"/>
  <c r="N332" i="60"/>
  <c r="AE346" i="60"/>
  <c r="AE332" i="60"/>
  <c r="G347" i="60"/>
  <c r="G333" i="60"/>
  <c r="R347" i="60"/>
  <c r="AK347" i="60"/>
  <c r="AK333" i="60"/>
  <c r="O344" i="60"/>
  <c r="O330" i="60"/>
  <c r="O346" i="60"/>
  <c r="O332" i="60"/>
  <c r="AH346" i="60"/>
  <c r="AH332" i="60"/>
  <c r="I347" i="60"/>
  <c r="I333" i="60"/>
  <c r="AB347" i="60"/>
  <c r="AB333" i="60"/>
  <c r="AJ355" i="60"/>
  <c r="AB355" i="60"/>
  <c r="AN355" i="60"/>
  <c r="AN334" i="60" s="1"/>
  <c r="AH355" i="60"/>
  <c r="AH334" i="60" s="1"/>
  <c r="AC355" i="60"/>
  <c r="AC334" i="60" s="1"/>
  <c r="S355" i="60"/>
  <c r="P355" i="60"/>
  <c r="P334" i="60" s="1"/>
  <c r="X355" i="60"/>
  <c r="X334" i="60" s="1"/>
  <c r="AI355" i="60"/>
  <c r="AI334" i="60" s="1"/>
  <c r="AD355" i="60"/>
  <c r="AD334" i="60" s="1"/>
  <c r="AL355" i="60"/>
  <c r="AL334" i="60" s="1"/>
  <c r="AK355" i="60"/>
  <c r="AK334" i="60" s="1"/>
  <c r="AA355" i="60"/>
  <c r="AA334" i="60" s="1"/>
  <c r="T355" i="60"/>
  <c r="R355" i="60"/>
  <c r="N355" i="60"/>
  <c r="N334" i="60" s="1"/>
  <c r="V355" i="60"/>
  <c r="V334" i="60" s="1"/>
  <c r="AL343" i="60"/>
  <c r="G355" i="60"/>
  <c r="G334" i="60" s="1"/>
  <c r="O355" i="60"/>
  <c r="O334" i="60" s="1"/>
  <c r="W355" i="60"/>
  <c r="W334" i="60" s="1"/>
  <c r="AE355" i="60"/>
  <c r="AE334" i="60" s="1"/>
  <c r="I355" i="60"/>
  <c r="I334" i="60" s="1"/>
  <c r="Q355" i="60"/>
  <c r="Y355" i="60"/>
  <c r="V343" i="60"/>
  <c r="L355" i="60"/>
  <c r="L334" i="60" s="1"/>
  <c r="E355" i="60"/>
  <c r="E334" i="60" s="1"/>
  <c r="M355" i="60"/>
  <c r="M334" i="60" s="1"/>
  <c r="U355" i="60"/>
  <c r="U334" i="60" s="1"/>
  <c r="AN347" i="60" l="1"/>
  <c r="AA347" i="60"/>
  <c r="X347" i="60"/>
  <c r="W347" i="60"/>
  <c r="V347" i="60"/>
  <c r="E347" i="60"/>
  <c r="AN346" i="60"/>
  <c r="W346" i="60"/>
  <c r="V346" i="60"/>
  <c r="E346" i="60"/>
  <c r="AN345" i="60"/>
  <c r="W345" i="60"/>
  <c r="V345" i="60"/>
  <c r="E345" i="60"/>
  <c r="AN344" i="60"/>
  <c r="AJ344" i="60"/>
  <c r="AI344" i="60"/>
  <c r="AH344" i="60"/>
  <c r="AE344" i="60"/>
  <c r="AD344" i="60"/>
  <c r="AA344" i="60"/>
  <c r="X344" i="60"/>
  <c r="W344" i="60"/>
  <c r="E344" i="60"/>
  <c r="AN343" i="60"/>
  <c r="AJ343" i="60"/>
  <c r="AI343" i="60"/>
  <c r="AE343" i="60"/>
  <c r="AD343" i="60"/>
  <c r="W343" i="60"/>
  <c r="U343" i="60"/>
  <c r="R343" i="60"/>
  <c r="Q343" i="60"/>
  <c r="P343" i="60"/>
  <c r="O343" i="60"/>
  <c r="N343" i="60"/>
  <c r="M343" i="60"/>
  <c r="L343" i="60"/>
  <c r="G343" i="60"/>
  <c r="E343" i="60"/>
  <c r="C357" i="60"/>
  <c r="X357" i="60" l="1"/>
  <c r="AC357" i="60"/>
  <c r="AK360" i="60"/>
  <c r="AK358" i="60"/>
  <c r="AA360" i="60"/>
  <c r="AA346" i="60"/>
  <c r="AL360" i="60"/>
  <c r="AC358" i="60"/>
  <c r="AC344" i="60"/>
  <c r="AK357" i="60"/>
  <c r="V358" i="60"/>
  <c r="V344" i="60"/>
  <c r="AA359" i="60"/>
  <c r="AA345" i="60"/>
  <c r="AK359" i="60"/>
  <c r="AL361" i="60"/>
  <c r="AL347" i="60"/>
  <c r="AA357" i="60"/>
  <c r="AA343" i="60"/>
  <c r="AC361" i="60"/>
  <c r="I357" i="60"/>
  <c r="X360" i="60"/>
  <c r="X346" i="60"/>
  <c r="AD369" i="60"/>
  <c r="AD348" i="60" s="1"/>
  <c r="AC369" i="60"/>
  <c r="AC348" i="60" s="1"/>
  <c r="AN369" i="60"/>
  <c r="AN348" i="60" s="1"/>
  <c r="R369" i="60"/>
  <c r="R348" i="60" s="1"/>
  <c r="AA369" i="60"/>
  <c r="AA348" i="60" s="1"/>
  <c r="AK369" i="60"/>
  <c r="AK348" i="60" s="1"/>
  <c r="L369" i="60"/>
  <c r="L348" i="60" s="1"/>
  <c r="T369" i="60"/>
  <c r="G369" i="60"/>
  <c r="G348" i="60" s="1"/>
  <c r="P369" i="60"/>
  <c r="P348" i="60" s="1"/>
  <c r="X369" i="60"/>
  <c r="X348" i="60" s="1"/>
  <c r="AI369" i="60"/>
  <c r="AI348" i="60" s="1"/>
  <c r="O369" i="60"/>
  <c r="O348" i="60" s="1"/>
  <c r="W369" i="60"/>
  <c r="W348" i="60" s="1"/>
  <c r="N369" i="60"/>
  <c r="N348" i="60" s="1"/>
  <c r="V369" i="60"/>
  <c r="V348" i="60" s="1"/>
  <c r="AE369" i="60"/>
  <c r="AE348" i="60" s="1"/>
  <c r="E369" i="60"/>
  <c r="E348" i="60" s="1"/>
  <c r="Q369" i="60"/>
  <c r="Q348" i="60" s="1"/>
  <c r="Y369" i="60"/>
  <c r="AJ369" i="60"/>
  <c r="AJ348" i="60" s="1"/>
  <c r="I369" i="60"/>
  <c r="I348" i="60" s="1"/>
  <c r="AB369" i="60"/>
  <c r="AL369" i="60"/>
  <c r="AL348" i="60" s="1"/>
  <c r="S369" i="60"/>
  <c r="M369" i="60"/>
  <c r="M348" i="60" s="1"/>
  <c r="U369" i="60"/>
  <c r="U348" i="60" s="1"/>
  <c r="E25" i="56" l="1"/>
  <c r="P87" i="48"/>
  <c r="P79" i="48"/>
  <c r="Q77" i="48"/>
  <c r="P77" i="48"/>
  <c r="E12" i="35" l="1"/>
  <c r="E13" i="35"/>
  <c r="E11" i="35"/>
  <c r="E10" i="35"/>
  <c r="E9" i="35"/>
  <c r="E8" i="35"/>
  <c r="E119" i="35" l="1"/>
  <c r="I5" i="63" s="1"/>
  <c r="H26" i="63"/>
  <c r="F26" i="63"/>
  <c r="AN361" i="60"/>
  <c r="AK361" i="60"/>
  <c r="AJ361" i="60"/>
  <c r="AI361" i="60"/>
  <c r="AH361" i="60"/>
  <c r="AE361" i="60"/>
  <c r="AD361" i="60"/>
  <c r="AA361" i="60"/>
  <c r="X361" i="60"/>
  <c r="W361" i="60"/>
  <c r="V361" i="60"/>
  <c r="U361" i="60"/>
  <c r="R361" i="60"/>
  <c r="Q361" i="60"/>
  <c r="P361" i="60"/>
  <c r="O361" i="60"/>
  <c r="N361" i="60"/>
  <c r="M361" i="60"/>
  <c r="L361" i="60"/>
  <c r="I361" i="60"/>
  <c r="G361" i="60"/>
  <c r="E361" i="60"/>
  <c r="AN360" i="60"/>
  <c r="AJ360" i="60"/>
  <c r="AI360" i="60"/>
  <c r="AE360" i="60"/>
  <c r="AD360" i="60"/>
  <c r="W360" i="60"/>
  <c r="V360" i="60"/>
  <c r="U360" i="60"/>
  <c r="R360" i="60"/>
  <c r="Q360" i="60"/>
  <c r="P360" i="60"/>
  <c r="O360" i="60"/>
  <c r="N360" i="60"/>
  <c r="M360" i="60"/>
  <c r="L360" i="60"/>
  <c r="G360" i="60"/>
  <c r="E360" i="60"/>
  <c r="AN359" i="60"/>
  <c r="AJ359" i="60"/>
  <c r="AI359" i="60"/>
  <c r="AH359" i="60"/>
  <c r="AE359" i="60"/>
  <c r="AD359" i="60"/>
  <c r="W359" i="60"/>
  <c r="V359" i="60"/>
  <c r="U359" i="60"/>
  <c r="R359" i="60"/>
  <c r="Q359" i="60"/>
  <c r="P359" i="60"/>
  <c r="O359" i="60"/>
  <c r="N359" i="60"/>
  <c r="M359" i="60"/>
  <c r="L359" i="60"/>
  <c r="G359" i="60"/>
  <c r="E359" i="60"/>
  <c r="AN358" i="60"/>
  <c r="AI358" i="60"/>
  <c r="AH358" i="60"/>
  <c r="AE358" i="60"/>
  <c r="AD358" i="60"/>
  <c r="AA358" i="60"/>
  <c r="X358" i="60"/>
  <c r="W358" i="60"/>
  <c r="U358" i="60"/>
  <c r="R358" i="60"/>
  <c r="Q358" i="60"/>
  <c r="P358" i="60"/>
  <c r="O358" i="60"/>
  <c r="N358" i="60"/>
  <c r="M358" i="60"/>
  <c r="L358" i="60"/>
  <c r="I358" i="60"/>
  <c r="E358" i="60"/>
  <c r="AN357" i="60"/>
  <c r="AJ357" i="60"/>
  <c r="AI357" i="60"/>
  <c r="AE357" i="60"/>
  <c r="AD357" i="60"/>
  <c r="W357" i="60"/>
  <c r="U357" i="60"/>
  <c r="R357" i="60"/>
  <c r="Q357" i="60"/>
  <c r="P357" i="60"/>
  <c r="O357" i="60"/>
  <c r="N357" i="60"/>
  <c r="M357" i="60"/>
  <c r="L357" i="60"/>
  <c r="G357" i="60"/>
  <c r="E357" i="60"/>
  <c r="C371" i="60"/>
  <c r="I20" i="63" l="1"/>
  <c r="J5" i="63"/>
  <c r="G20" i="63"/>
  <c r="H5" i="63"/>
  <c r="E20" i="63"/>
  <c r="F5" i="63"/>
  <c r="Z26" i="63"/>
  <c r="X26" i="63"/>
  <c r="V26" i="63"/>
  <c r="V41" i="63"/>
  <c r="R26" i="63"/>
  <c r="N26" i="63"/>
  <c r="L26" i="63"/>
  <c r="J41" i="63"/>
  <c r="J26" i="63"/>
  <c r="F41" i="63"/>
  <c r="H41" i="63"/>
  <c r="AJ372" i="60"/>
  <c r="AJ358" i="60"/>
  <c r="V371" i="60"/>
  <c r="AB374" i="60"/>
  <c r="P383" i="60"/>
  <c r="P362" i="60" s="1"/>
  <c r="X383" i="60"/>
  <c r="X362" i="60" s="1"/>
  <c r="AK383" i="60"/>
  <c r="AK362" i="60" s="1"/>
  <c r="AI383" i="60"/>
  <c r="AI362" i="60" s="1"/>
  <c r="AA383" i="60"/>
  <c r="AA362" i="60" s="1"/>
  <c r="O383" i="60"/>
  <c r="O362" i="60" s="1"/>
  <c r="Y383" i="60"/>
  <c r="AJ383" i="60"/>
  <c r="AJ362" i="60" s="1"/>
  <c r="L383" i="60"/>
  <c r="L362" i="60" s="1"/>
  <c r="T383" i="60"/>
  <c r="AC383" i="60"/>
  <c r="AC362" i="60" s="1"/>
  <c r="AN383" i="60"/>
  <c r="AN362" i="60" s="1"/>
  <c r="I383" i="60"/>
  <c r="I362" i="60" s="1"/>
  <c r="AL383" i="60"/>
  <c r="AL362" i="60" s="1"/>
  <c r="S383" i="60"/>
  <c r="AB383" i="60"/>
  <c r="AH383" i="60"/>
  <c r="V383" i="60"/>
  <c r="V362" i="60" s="1"/>
  <c r="AE383" i="60"/>
  <c r="AE362" i="60" s="1"/>
  <c r="R383" i="60"/>
  <c r="R362" i="60" s="1"/>
  <c r="Q383" i="60"/>
  <c r="Q362" i="60" s="1"/>
  <c r="E383" i="60"/>
  <c r="E362" i="60" s="1"/>
  <c r="M383" i="60"/>
  <c r="M362" i="60" s="1"/>
  <c r="U383" i="60"/>
  <c r="U362" i="60" s="1"/>
  <c r="N383" i="60"/>
  <c r="N362" i="60" s="1"/>
  <c r="AD383" i="60"/>
  <c r="AD362" i="60" s="1"/>
  <c r="G383" i="60"/>
  <c r="G362" i="60" s="1"/>
  <c r="W383" i="60"/>
  <c r="W362" i="60" s="1"/>
  <c r="D87" i="48"/>
  <c r="D85" i="48"/>
  <c r="J20" i="63" l="1"/>
  <c r="H20" i="63"/>
  <c r="F20" i="63"/>
  <c r="X41" i="63"/>
  <c r="Z41" i="63"/>
  <c r="D20" i="63"/>
  <c r="T41" i="63"/>
  <c r="P41" i="63"/>
  <c r="P26" i="63"/>
  <c r="L41" i="63"/>
  <c r="N41" i="63"/>
  <c r="R41" i="63" l="1"/>
  <c r="L181" i="48" l="1"/>
  <c r="L192" i="48"/>
  <c r="F11" i="54" l="1"/>
  <c r="AN375" i="60" l="1"/>
  <c r="AJ375" i="60"/>
  <c r="AI375" i="60"/>
  <c r="AH375" i="60"/>
  <c r="AE375" i="60"/>
  <c r="AD375" i="60"/>
  <c r="X375" i="60"/>
  <c r="W375" i="60"/>
  <c r="V375" i="60"/>
  <c r="U375" i="60"/>
  <c r="R375" i="60"/>
  <c r="Q375" i="60"/>
  <c r="P375" i="60"/>
  <c r="O375" i="60"/>
  <c r="N375" i="60"/>
  <c r="M375" i="60"/>
  <c r="L375" i="60"/>
  <c r="I375" i="60"/>
  <c r="G375" i="60"/>
  <c r="E375" i="60"/>
  <c r="AN374" i="60"/>
  <c r="AJ374" i="60"/>
  <c r="AI374" i="60"/>
  <c r="AH374" i="60"/>
  <c r="AE374" i="60"/>
  <c r="AD374" i="60"/>
  <c r="AA374" i="60"/>
  <c r="W374" i="60"/>
  <c r="V374" i="60"/>
  <c r="U374" i="60"/>
  <c r="R374" i="60"/>
  <c r="Q374" i="60"/>
  <c r="P374" i="60"/>
  <c r="O374" i="60"/>
  <c r="N374" i="60"/>
  <c r="M374" i="60"/>
  <c r="L374" i="60"/>
  <c r="G374" i="60"/>
  <c r="E374" i="60"/>
  <c r="AN373" i="60"/>
  <c r="AJ373" i="60"/>
  <c r="AI373" i="60"/>
  <c r="AH373" i="60"/>
  <c r="AE373" i="60"/>
  <c r="AD373" i="60"/>
  <c r="W373" i="60"/>
  <c r="U373" i="60"/>
  <c r="R373" i="60"/>
  <c r="Q373" i="60"/>
  <c r="P373" i="60"/>
  <c r="O373" i="60"/>
  <c r="N373" i="60"/>
  <c r="M373" i="60"/>
  <c r="L373" i="60"/>
  <c r="G373" i="60"/>
  <c r="E373" i="60"/>
  <c r="AN372" i="60"/>
  <c r="AI372" i="60"/>
  <c r="AH372" i="60"/>
  <c r="AE372" i="60"/>
  <c r="AD372" i="60"/>
  <c r="X372" i="60"/>
  <c r="W372" i="60"/>
  <c r="U372" i="60"/>
  <c r="R372" i="60"/>
  <c r="Q372" i="60"/>
  <c r="P372" i="60"/>
  <c r="O372" i="60"/>
  <c r="N372" i="60"/>
  <c r="M372" i="60"/>
  <c r="L372" i="60"/>
  <c r="I372" i="60"/>
  <c r="G372" i="60"/>
  <c r="E372" i="60"/>
  <c r="AN371" i="60"/>
  <c r="AI371" i="60"/>
  <c r="AH371" i="60"/>
  <c r="AE371" i="60"/>
  <c r="AD371" i="60"/>
  <c r="W371" i="60"/>
  <c r="U371" i="60"/>
  <c r="R371" i="60"/>
  <c r="Q371" i="60"/>
  <c r="P371" i="60"/>
  <c r="O371" i="60"/>
  <c r="N371" i="60"/>
  <c r="M371" i="60"/>
  <c r="L371" i="60"/>
  <c r="G371" i="60"/>
  <c r="E371" i="60"/>
  <c r="C385" i="60"/>
  <c r="X388" i="60" l="1"/>
  <c r="AA386" i="60"/>
  <c r="AA372" i="60"/>
  <c r="V387" i="60"/>
  <c r="V373" i="60"/>
  <c r="AJ397" i="60"/>
  <c r="AJ376" i="60" s="1"/>
  <c r="AJ371" i="60"/>
  <c r="AA385" i="60"/>
  <c r="AA387" i="60"/>
  <c r="AA389" i="60"/>
  <c r="AA375" i="60"/>
  <c r="AK389" i="60"/>
  <c r="AK375" i="60"/>
  <c r="D190" i="48"/>
  <c r="G397" i="60"/>
  <c r="G376" i="60" s="1"/>
  <c r="AA397" i="60"/>
  <c r="AA376" i="60" s="1"/>
  <c r="AB397" i="60"/>
  <c r="AB376" i="60" s="1"/>
  <c r="I397" i="60"/>
  <c r="I376" i="60" s="1"/>
  <c r="AK397" i="60"/>
  <c r="AK376" i="60" s="1"/>
  <c r="O397" i="60"/>
  <c r="O376" i="60" s="1"/>
  <c r="W397" i="60"/>
  <c r="W376" i="60" s="1"/>
  <c r="AH397" i="60"/>
  <c r="AH376" i="60" s="1"/>
  <c r="R397" i="60"/>
  <c r="R376" i="60" s="1"/>
  <c r="S397" i="60"/>
  <c r="T397" i="60"/>
  <c r="AC397" i="60"/>
  <c r="AN397" i="60"/>
  <c r="AN376" i="60" s="1"/>
  <c r="E397" i="60"/>
  <c r="E376" i="60" s="1"/>
  <c r="AL397" i="60"/>
  <c r="AL376" i="60" s="1"/>
  <c r="M397" i="60"/>
  <c r="M376" i="60" s="1"/>
  <c r="AD397" i="60"/>
  <c r="AD376" i="60" s="1"/>
  <c r="V397" i="60"/>
  <c r="V376" i="60" s="1"/>
  <c r="AE397" i="60"/>
  <c r="AE376" i="60" s="1"/>
  <c r="N397" i="60"/>
  <c r="N376" i="60" s="1"/>
  <c r="P397" i="60"/>
  <c r="P376" i="60" s="1"/>
  <c r="X397" i="60"/>
  <c r="X376" i="60" s="1"/>
  <c r="AI397" i="60"/>
  <c r="AI376" i="60" s="1"/>
  <c r="Q87" i="48"/>
  <c r="Q85" i="48"/>
  <c r="Q397" i="60"/>
  <c r="Q376" i="60" s="1"/>
  <c r="Y397" i="60"/>
  <c r="L397" i="60"/>
  <c r="L376" i="60" s="1"/>
  <c r="U397" i="60"/>
  <c r="U376" i="60" s="1"/>
  <c r="D179" i="48" l="1"/>
  <c r="D181" i="48" s="1"/>
  <c r="E190" i="48"/>
  <c r="E192" i="48" s="1"/>
  <c r="E179" i="48"/>
  <c r="E181" i="48" s="1"/>
  <c r="E169" i="48"/>
  <c r="E170" i="48" s="1"/>
  <c r="E134" i="48"/>
  <c r="D134" i="48"/>
  <c r="D139" i="48" s="1"/>
  <c r="D169" i="48"/>
  <c r="D170" i="48" s="1"/>
  <c r="D135" i="48" l="1"/>
  <c r="E135" i="48"/>
  <c r="E139" i="48"/>
  <c r="D192" i="48"/>
  <c r="H1292" i="27" l="1"/>
  <c r="C399" i="60"/>
  <c r="C413" i="60"/>
  <c r="AN385" i="60"/>
  <c r="AJ385" i="60"/>
  <c r="AI385" i="60"/>
  <c r="AH385" i="60"/>
  <c r="AE385" i="60"/>
  <c r="AD385" i="60"/>
  <c r="W385" i="60"/>
  <c r="U385" i="60"/>
  <c r="S385" i="60"/>
  <c r="R385" i="60"/>
  <c r="Q385" i="60"/>
  <c r="P385" i="60"/>
  <c r="O385" i="60"/>
  <c r="N385" i="60"/>
  <c r="M385" i="60"/>
  <c r="G385" i="60"/>
  <c r="E385" i="60"/>
  <c r="L399" i="60" l="1"/>
  <c r="L385" i="60"/>
  <c r="T399" i="60"/>
  <c r="T385" i="60"/>
  <c r="P400" i="60"/>
  <c r="P386" i="60"/>
  <c r="X400" i="60"/>
  <c r="X386" i="60"/>
  <c r="AI400" i="60"/>
  <c r="AI386" i="60"/>
  <c r="L401" i="60"/>
  <c r="L387" i="60"/>
  <c r="T401" i="60"/>
  <c r="T387" i="60"/>
  <c r="AN401" i="60"/>
  <c r="AN387" i="60"/>
  <c r="P402" i="60"/>
  <c r="P388" i="60"/>
  <c r="X402" i="60"/>
  <c r="AI402" i="60"/>
  <c r="AI388" i="60"/>
  <c r="L403" i="60"/>
  <c r="L389" i="60"/>
  <c r="T403" i="60"/>
  <c r="T389" i="60"/>
  <c r="AN403" i="60"/>
  <c r="AN389" i="60"/>
  <c r="E400" i="60"/>
  <c r="E386" i="60"/>
  <c r="Q400" i="60"/>
  <c r="Q386" i="60"/>
  <c r="AJ400" i="60"/>
  <c r="M401" i="60"/>
  <c r="M387" i="60"/>
  <c r="U401" i="60"/>
  <c r="U387" i="60"/>
  <c r="AD401" i="60"/>
  <c r="AD387" i="60"/>
  <c r="E402" i="60"/>
  <c r="E388" i="60"/>
  <c r="Q402" i="60"/>
  <c r="Q388" i="60"/>
  <c r="AJ402" i="60"/>
  <c r="AJ388" i="60"/>
  <c r="M403" i="60"/>
  <c r="M389" i="60"/>
  <c r="U403" i="60"/>
  <c r="U389" i="60"/>
  <c r="AD403" i="60"/>
  <c r="AD389" i="60"/>
  <c r="G400" i="60"/>
  <c r="G386" i="60"/>
  <c r="R400" i="60"/>
  <c r="R386" i="60"/>
  <c r="AA400" i="60"/>
  <c r="AK400" i="60"/>
  <c r="N401" i="60"/>
  <c r="N387" i="60"/>
  <c r="AE401" i="60"/>
  <c r="AE387" i="60"/>
  <c r="G402" i="60"/>
  <c r="G388" i="60"/>
  <c r="R402" i="60"/>
  <c r="R388" i="60"/>
  <c r="AA402" i="60"/>
  <c r="AA388" i="60"/>
  <c r="AK402" i="60"/>
  <c r="N403" i="60"/>
  <c r="N389" i="60"/>
  <c r="V403" i="60"/>
  <c r="V389" i="60"/>
  <c r="AE403" i="60"/>
  <c r="AE389" i="60"/>
  <c r="I400" i="60"/>
  <c r="I386" i="60"/>
  <c r="S400" i="60"/>
  <c r="S386" i="60"/>
  <c r="AL400" i="60"/>
  <c r="O401" i="60"/>
  <c r="O387" i="60"/>
  <c r="W401" i="60"/>
  <c r="W387" i="60"/>
  <c r="AH401" i="60"/>
  <c r="AH387" i="60"/>
  <c r="S402" i="60"/>
  <c r="S388" i="60"/>
  <c r="AB402" i="60"/>
  <c r="AL402" i="60"/>
  <c r="O403" i="60"/>
  <c r="O389" i="60"/>
  <c r="W403" i="60"/>
  <c r="W389" i="60"/>
  <c r="AH403" i="60"/>
  <c r="AH389" i="60"/>
  <c r="L400" i="60"/>
  <c r="L386" i="60"/>
  <c r="T400" i="60"/>
  <c r="T386" i="60"/>
  <c r="AN400" i="60"/>
  <c r="AN386" i="60"/>
  <c r="P401" i="60"/>
  <c r="P387" i="60"/>
  <c r="AI401" i="60"/>
  <c r="AI387" i="60"/>
  <c r="L402" i="60"/>
  <c r="L388" i="60"/>
  <c r="T402" i="60"/>
  <c r="T388" i="60"/>
  <c r="AN402" i="60"/>
  <c r="AN388" i="60"/>
  <c r="P403" i="60"/>
  <c r="P389" i="60"/>
  <c r="X403" i="60"/>
  <c r="X389" i="60"/>
  <c r="AI403" i="60"/>
  <c r="AI389" i="60"/>
  <c r="M400" i="60"/>
  <c r="M386" i="60"/>
  <c r="U400" i="60"/>
  <c r="U386" i="60"/>
  <c r="AD400" i="60"/>
  <c r="AD386" i="60"/>
  <c r="E401" i="60"/>
  <c r="E387" i="60"/>
  <c r="Q401" i="60"/>
  <c r="Q387" i="60"/>
  <c r="AJ401" i="60"/>
  <c r="AJ387" i="60"/>
  <c r="M402" i="60"/>
  <c r="M388" i="60"/>
  <c r="U402" i="60"/>
  <c r="U388" i="60"/>
  <c r="AD402" i="60"/>
  <c r="AD388" i="60"/>
  <c r="E403" i="60"/>
  <c r="E389" i="60"/>
  <c r="Q403" i="60"/>
  <c r="Q389" i="60"/>
  <c r="AJ403" i="60"/>
  <c r="AJ389" i="60"/>
  <c r="N400" i="60"/>
  <c r="N386" i="60"/>
  <c r="AE400" i="60"/>
  <c r="AE386" i="60"/>
  <c r="G401" i="60"/>
  <c r="G387" i="60"/>
  <c r="R401" i="60"/>
  <c r="R387" i="60"/>
  <c r="AA401" i="60"/>
  <c r="AK401" i="60"/>
  <c r="N402" i="60"/>
  <c r="N388" i="60"/>
  <c r="V402" i="60"/>
  <c r="V388" i="60"/>
  <c r="AE402" i="60"/>
  <c r="AE388" i="60"/>
  <c r="G403" i="60"/>
  <c r="G389" i="60"/>
  <c r="R403" i="60"/>
  <c r="R389" i="60"/>
  <c r="AA403" i="60"/>
  <c r="AK403" i="60"/>
  <c r="O400" i="60"/>
  <c r="O386" i="60"/>
  <c r="W400" i="60"/>
  <c r="W386" i="60"/>
  <c r="AH400" i="60"/>
  <c r="AH386" i="60"/>
  <c r="S401" i="60"/>
  <c r="S387" i="60"/>
  <c r="O402" i="60"/>
  <c r="O388" i="60"/>
  <c r="W402" i="60"/>
  <c r="W388" i="60"/>
  <c r="AH402" i="60"/>
  <c r="AH388" i="60"/>
  <c r="I403" i="60"/>
  <c r="I389" i="60"/>
  <c r="S403" i="60"/>
  <c r="S389" i="60"/>
  <c r="AE411" i="60"/>
  <c r="AE390" i="60" s="1"/>
  <c r="O411" i="60"/>
  <c r="O390" i="60" s="1"/>
  <c r="G411" i="60"/>
  <c r="G390" i="60" s="1"/>
  <c r="Q411" i="60"/>
  <c r="Q390" i="60" s="1"/>
  <c r="AN411" i="60"/>
  <c r="AN390" i="60" s="1"/>
  <c r="P411" i="60"/>
  <c r="P390" i="60" s="1"/>
  <c r="X411" i="60"/>
  <c r="X390" i="60" s="1"/>
  <c r="AI411" i="60"/>
  <c r="AI390" i="60" s="1"/>
  <c r="I411" i="60"/>
  <c r="I390" i="60" s="1"/>
  <c r="S411" i="60"/>
  <c r="S390" i="60" s="1"/>
  <c r="AA411" i="60"/>
  <c r="AA390" i="60" s="1"/>
  <c r="W411" i="60"/>
  <c r="W390" i="60" s="1"/>
  <c r="E411" i="60"/>
  <c r="E390" i="60" s="1"/>
  <c r="M411" i="60"/>
  <c r="M390" i="60" s="1"/>
  <c r="U411" i="60"/>
  <c r="U390" i="60" s="1"/>
  <c r="AC411" i="60"/>
  <c r="AC390" i="60" s="1"/>
  <c r="AK411" i="60"/>
  <c r="AK390" i="60" s="1"/>
  <c r="N411" i="60"/>
  <c r="N390" i="60" s="1"/>
  <c r="AD411" i="60"/>
  <c r="AD390" i="60" s="1"/>
  <c r="V411" i="60"/>
  <c r="V390" i="60" s="1"/>
  <c r="AL411" i="60"/>
  <c r="AL390" i="60" s="1"/>
  <c r="R411" i="60"/>
  <c r="R390" i="60" s="1"/>
  <c r="AH411" i="60"/>
  <c r="AH390" i="60" s="1"/>
  <c r="AD399" i="60"/>
  <c r="M399" i="60"/>
  <c r="U399" i="60"/>
  <c r="AE399" i="60"/>
  <c r="AN399" i="60"/>
  <c r="N399" i="60"/>
  <c r="W399" i="60"/>
  <c r="E399" i="60"/>
  <c r="O399" i="60"/>
  <c r="L411" i="60"/>
  <c r="L390" i="60" s="1"/>
  <c r="T411" i="60"/>
  <c r="T390" i="60" s="1"/>
  <c r="AB411" i="60"/>
  <c r="AB390" i="60" s="1"/>
  <c r="AJ411" i="60"/>
  <c r="AJ390" i="60" s="1"/>
  <c r="P399" i="60"/>
  <c r="AH399" i="60"/>
  <c r="G399" i="60"/>
  <c r="Q399" i="60"/>
  <c r="AI399" i="60"/>
  <c r="R399" i="60"/>
  <c r="AJ399" i="60"/>
  <c r="S399" i="60"/>
  <c r="T32" i="63" l="1"/>
  <c r="V32" i="63"/>
  <c r="X35" i="63"/>
  <c r="T35" i="63"/>
  <c r="R32" i="63"/>
  <c r="BC1298" i="27"/>
  <c r="D35" i="63"/>
  <c r="D32" i="63"/>
  <c r="F427" i="60"/>
  <c r="AB417" i="60"/>
  <c r="AA417" i="60"/>
  <c r="AB416" i="60"/>
  <c r="AA416" i="60"/>
  <c r="AK415" i="60"/>
  <c r="AA415" i="60"/>
  <c r="AC414" i="60"/>
  <c r="AB414" i="60"/>
  <c r="AA414" i="60"/>
  <c r="V414" i="60"/>
  <c r="AN413" i="60"/>
  <c r="AC413" i="60"/>
  <c r="AB413" i="60"/>
  <c r="P425" i="60"/>
  <c r="P404" i="60" s="1"/>
  <c r="Z35" i="63" l="1"/>
  <c r="V29" i="63"/>
  <c r="V35" i="63"/>
  <c r="P29" i="63"/>
  <c r="P32" i="63"/>
  <c r="L32" i="63"/>
  <c r="N32" i="63"/>
  <c r="F32" i="63"/>
  <c r="H32" i="63"/>
  <c r="D29" i="63"/>
  <c r="O179" i="48"/>
  <c r="O181" i="48" s="1"/>
  <c r="O169" i="48"/>
  <c r="O170" i="48" s="1"/>
  <c r="O134" i="48"/>
  <c r="O190" i="48"/>
  <c r="O192" i="48" s="1"/>
  <c r="K179" i="48"/>
  <c r="G169" i="48"/>
  <c r="G134" i="48"/>
  <c r="G139" i="48" s="1"/>
  <c r="G179" i="48"/>
  <c r="G190" i="48"/>
  <c r="F190" i="48"/>
  <c r="F179" i="48"/>
  <c r="F169" i="48"/>
  <c r="F134" i="48"/>
  <c r="F139" i="48" s="1"/>
  <c r="X425" i="60"/>
  <c r="X404" i="60" s="1"/>
  <c r="AI425" i="60"/>
  <c r="AI404" i="60" s="1"/>
  <c r="I425" i="60"/>
  <c r="I404" i="60" s="1"/>
  <c r="AH425" i="60"/>
  <c r="AH404" i="60" s="1"/>
  <c r="AA425" i="60"/>
  <c r="AA404" i="60" s="1"/>
  <c r="AK425" i="60"/>
  <c r="AK404" i="60" s="1"/>
  <c r="R425" i="60"/>
  <c r="R404" i="60" s="1"/>
  <c r="Q425" i="60"/>
  <c r="Q404" i="60" s="1"/>
  <c r="AC425" i="60"/>
  <c r="AC404" i="60" s="1"/>
  <c r="AN425" i="60"/>
  <c r="AN404" i="60" s="1"/>
  <c r="G425" i="60"/>
  <c r="G404" i="60" s="1"/>
  <c r="AE425" i="60"/>
  <c r="AE404" i="60" s="1"/>
  <c r="T425" i="60"/>
  <c r="T404" i="60" s="1"/>
  <c r="AB425" i="60"/>
  <c r="AB404" i="60" s="1"/>
  <c r="AJ425" i="60"/>
  <c r="AJ404" i="60" s="1"/>
  <c r="V425" i="60"/>
  <c r="V404" i="60" s="1"/>
  <c r="AD425" i="60"/>
  <c r="AD404" i="60" s="1"/>
  <c r="AL425" i="60"/>
  <c r="AL404" i="60" s="1"/>
  <c r="S425" i="60"/>
  <c r="S404" i="60" s="1"/>
  <c r="L425" i="60"/>
  <c r="L404" i="60" s="1"/>
  <c r="E425" i="60"/>
  <c r="E404" i="60" s="1"/>
  <c r="M425" i="60"/>
  <c r="M404" i="60" s="1"/>
  <c r="U425" i="60"/>
  <c r="U404" i="60" s="1"/>
  <c r="N425" i="60"/>
  <c r="N404" i="60" s="1"/>
  <c r="O425" i="60"/>
  <c r="O404" i="60" s="1"/>
  <c r="W425" i="60"/>
  <c r="W404" i="60" s="1"/>
  <c r="X29" i="63" l="1"/>
  <c r="N137" i="62"/>
  <c r="L137" i="62"/>
  <c r="J137" i="62"/>
  <c r="I137" i="62"/>
  <c r="F29" i="63"/>
  <c r="G137" i="62"/>
  <c r="J29" i="63"/>
  <c r="F35" i="63"/>
  <c r="H35" i="63"/>
  <c r="O135" i="48"/>
  <c r="O139" i="48"/>
  <c r="N169" i="48"/>
  <c r="N134" i="48"/>
  <c r="N139" i="48" s="1"/>
  <c r="N190" i="48"/>
  <c r="N179" i="48"/>
  <c r="M190" i="48"/>
  <c r="M134" i="48"/>
  <c r="M139" i="48" s="1"/>
  <c r="M179" i="48"/>
  <c r="M169" i="48"/>
  <c r="K181" i="48"/>
  <c r="K134" i="48"/>
  <c r="K139" i="48" s="1"/>
  <c r="K169" i="48"/>
  <c r="K190" i="48"/>
  <c r="P31" i="48"/>
  <c r="P33" i="48" s="1"/>
  <c r="I190" i="48"/>
  <c r="I134" i="48"/>
  <c r="I139" i="48" s="1"/>
  <c r="I179" i="48"/>
  <c r="I169" i="48"/>
  <c r="H169" i="48"/>
  <c r="H170" i="48" s="1"/>
  <c r="H179" i="48"/>
  <c r="H181" i="48" s="1"/>
  <c r="H190" i="48"/>
  <c r="H192" i="48" s="1"/>
  <c r="H134" i="48"/>
  <c r="G135" i="48"/>
  <c r="G181" i="48"/>
  <c r="G170" i="48"/>
  <c r="G192" i="48"/>
  <c r="F135" i="48"/>
  <c r="F181" i="48"/>
  <c r="F170" i="48"/>
  <c r="F192" i="48"/>
  <c r="G138" i="62" l="1"/>
  <c r="Q137" i="62"/>
  <c r="Q138" i="62" s="1"/>
  <c r="P138" i="62"/>
  <c r="E138" i="62"/>
  <c r="M137" i="62"/>
  <c r="R29" i="63"/>
  <c r="T29" i="63"/>
  <c r="K137" i="62"/>
  <c r="L29" i="63"/>
  <c r="N29" i="63"/>
  <c r="H137" i="62"/>
  <c r="H29" i="63"/>
  <c r="H135" i="48"/>
  <c r="H139" i="48"/>
  <c r="Q31" i="48"/>
  <c r="Q33" i="48" s="1"/>
  <c r="N181" i="48"/>
  <c r="N192" i="48"/>
  <c r="N170" i="48"/>
  <c r="N135" i="48"/>
  <c r="M170" i="48"/>
  <c r="M181" i="48"/>
  <c r="M135" i="48"/>
  <c r="M192" i="48"/>
  <c r="K192" i="48"/>
  <c r="K135" i="48"/>
  <c r="K170" i="48"/>
  <c r="J169" i="48"/>
  <c r="Q169" i="48" s="1"/>
  <c r="J134" i="48"/>
  <c r="J179" i="48"/>
  <c r="Q179" i="48" s="1"/>
  <c r="J190" i="48"/>
  <c r="Q190" i="48" s="1"/>
  <c r="I135" i="48"/>
  <c r="I170" i="48"/>
  <c r="I181" i="48"/>
  <c r="I192" i="48"/>
  <c r="Q134" i="48" l="1"/>
  <c r="Q139" i="48" s="1"/>
  <c r="J139" i="48"/>
  <c r="P190" i="48"/>
  <c r="P192" i="48" s="1"/>
  <c r="P179" i="48"/>
  <c r="P181" i="48" s="1"/>
  <c r="P134" i="48"/>
  <c r="P169" i="48"/>
  <c r="Q181" i="48"/>
  <c r="J181" i="48"/>
  <c r="Q192" i="48"/>
  <c r="J192" i="48"/>
  <c r="J135" i="48"/>
  <c r="Q135" i="48"/>
  <c r="P170" i="48"/>
  <c r="J170" i="48"/>
  <c r="Q170" i="48"/>
  <c r="C427" i="60"/>
  <c r="AJ413" i="60"/>
  <c r="AI413" i="60"/>
  <c r="AE413" i="60"/>
  <c r="AD413" i="60"/>
  <c r="AA413" i="60"/>
  <c r="T413" i="60"/>
  <c r="S413" i="60"/>
  <c r="Q413" i="60"/>
  <c r="P413" i="60"/>
  <c r="N413" i="60"/>
  <c r="L413" i="60"/>
  <c r="G413" i="60"/>
  <c r="L6" i="27"/>
  <c r="L241" i="27"/>
  <c r="L250" i="27"/>
  <c r="L251" i="27"/>
  <c r="L278" i="27"/>
  <c r="L279" i="27"/>
  <c r="L280" i="27"/>
  <c r="L281" i="27"/>
  <c r="L282" i="27"/>
  <c r="L283" i="27"/>
  <c r="L284" i="27"/>
  <c r="L285" i="27"/>
  <c r="L286" i="27"/>
  <c r="L287" i="27"/>
  <c r="L288" i="27"/>
  <c r="L289" i="27"/>
  <c r="L290" i="27"/>
  <c r="L291" i="27"/>
  <c r="L292" i="27"/>
  <c r="L293" i="27"/>
  <c r="L294" i="27"/>
  <c r="L295" i="27"/>
  <c r="L296" i="27"/>
  <c r="L297" i="27"/>
  <c r="L298" i="27"/>
  <c r="L299" i="27"/>
  <c r="AH343" i="60" s="1"/>
  <c r="L300" i="27"/>
  <c r="L301" i="27"/>
  <c r="L302" i="27"/>
  <c r="L304" i="27"/>
  <c r="L305" i="27"/>
  <c r="L306" i="27"/>
  <c r="L307" i="27"/>
  <c r="L308" i="27"/>
  <c r="L309" i="27"/>
  <c r="L310" i="27"/>
  <c r="L311" i="27"/>
  <c r="L312" i="27"/>
  <c r="L313" i="27"/>
  <c r="L314" i="27"/>
  <c r="L315" i="27"/>
  <c r="L316" i="27"/>
  <c r="L317" i="27"/>
  <c r="L318" i="27"/>
  <c r="L319" i="27"/>
  <c r="L320" i="27"/>
  <c r="L321" i="27"/>
  <c r="L322" i="27"/>
  <c r="L323" i="27"/>
  <c r="L324" i="27"/>
  <c r="L325" i="27"/>
  <c r="L326" i="27"/>
  <c r="L327" i="27"/>
  <c r="L328" i="27"/>
  <c r="L329" i="27"/>
  <c r="L330" i="27"/>
  <c r="L331" i="27"/>
  <c r="L332" i="27"/>
  <c r="L333" i="27"/>
  <c r="L334" i="27"/>
  <c r="L335" i="27"/>
  <c r="L336" i="27"/>
  <c r="L337" i="27"/>
  <c r="L338" i="27"/>
  <c r="L339" i="27"/>
  <c r="L340" i="27"/>
  <c r="L341" i="27"/>
  <c r="L342" i="27"/>
  <c r="L343" i="27"/>
  <c r="L344" i="27"/>
  <c r="L345" i="27"/>
  <c r="L346" i="27"/>
  <c r="L347" i="27"/>
  <c r="L348" i="27"/>
  <c r="L349" i="27"/>
  <c r="L350" i="27"/>
  <c r="L351" i="27"/>
  <c r="L352" i="27"/>
  <c r="L353" i="27"/>
  <c r="L354" i="27"/>
  <c r="L355" i="27"/>
  <c r="L356" i="27"/>
  <c r="L357" i="27"/>
  <c r="L358" i="27"/>
  <c r="L359" i="27"/>
  <c r="L360" i="27"/>
  <c r="L361" i="27"/>
  <c r="L362" i="27"/>
  <c r="L363" i="27"/>
  <c r="L364" i="27"/>
  <c r="L365" i="27"/>
  <c r="L366" i="27"/>
  <c r="L367" i="27"/>
  <c r="L368" i="27"/>
  <c r="L369" i="27"/>
  <c r="L370" i="27"/>
  <c r="L371" i="27"/>
  <c r="L372" i="27"/>
  <c r="L373" i="27"/>
  <c r="L374" i="27"/>
  <c r="L375" i="27"/>
  <c r="L376" i="27"/>
  <c r="L377" i="27"/>
  <c r="L378" i="27"/>
  <c r="L379" i="27"/>
  <c r="L380" i="27"/>
  <c r="L381" i="27"/>
  <c r="L382" i="27"/>
  <c r="L383" i="27"/>
  <c r="L384" i="27"/>
  <c r="L385" i="27"/>
  <c r="L386" i="27"/>
  <c r="L387" i="27"/>
  <c r="L388" i="27"/>
  <c r="L389" i="27"/>
  <c r="L390" i="27"/>
  <c r="L391" i="27"/>
  <c r="L392" i="27"/>
  <c r="L393" i="27"/>
  <c r="L394" i="27"/>
  <c r="L395" i="27"/>
  <c r="L396" i="27"/>
  <c r="L397" i="27"/>
  <c r="L398" i="27"/>
  <c r="L399" i="27"/>
  <c r="L400" i="27"/>
  <c r="L401" i="27"/>
  <c r="L402" i="27"/>
  <c r="L403" i="27"/>
  <c r="L404" i="27"/>
  <c r="L405" i="27"/>
  <c r="L406" i="27"/>
  <c r="L407" i="27"/>
  <c r="L408" i="27"/>
  <c r="L409" i="27"/>
  <c r="L410" i="27"/>
  <c r="L411" i="27"/>
  <c r="L412" i="27"/>
  <c r="L413" i="27"/>
  <c r="L414" i="27"/>
  <c r="L415" i="27"/>
  <c r="L416" i="27"/>
  <c r="L417" i="27"/>
  <c r="L418" i="27"/>
  <c r="L419" i="27"/>
  <c r="L420" i="27"/>
  <c r="L421" i="27"/>
  <c r="L422" i="27"/>
  <c r="L423" i="27"/>
  <c r="L424" i="27"/>
  <c r="L425" i="27"/>
  <c r="L426" i="27"/>
  <c r="L427" i="27"/>
  <c r="L428" i="27"/>
  <c r="L429" i="27"/>
  <c r="L430" i="27"/>
  <c r="L431" i="27"/>
  <c r="L432" i="27"/>
  <c r="L433" i="27"/>
  <c r="L434" i="27"/>
  <c r="L435" i="27"/>
  <c r="L436" i="27"/>
  <c r="L437" i="27"/>
  <c r="L438" i="27"/>
  <c r="L439" i="27"/>
  <c r="L440" i="27"/>
  <c r="L441" i="27"/>
  <c r="L442" i="27"/>
  <c r="L443" i="27"/>
  <c r="L444" i="27"/>
  <c r="L445" i="27"/>
  <c r="L446" i="27"/>
  <c r="L447" i="27"/>
  <c r="L448" i="27"/>
  <c r="L449" i="27"/>
  <c r="L450" i="27"/>
  <c r="L451" i="27"/>
  <c r="L452" i="27"/>
  <c r="L453" i="27"/>
  <c r="L454" i="27"/>
  <c r="L455" i="27"/>
  <c r="L456" i="27"/>
  <c r="L457" i="27"/>
  <c r="L458" i="27"/>
  <c r="L459" i="27"/>
  <c r="L460" i="27"/>
  <c r="L461" i="27"/>
  <c r="L462" i="27"/>
  <c r="L463" i="27"/>
  <c r="L464" i="27"/>
  <c r="L465" i="27"/>
  <c r="L466" i="27"/>
  <c r="L467" i="27"/>
  <c r="L468" i="27"/>
  <c r="L469" i="27"/>
  <c r="L470" i="27"/>
  <c r="L471" i="27"/>
  <c r="L472" i="27"/>
  <c r="L473" i="27"/>
  <c r="L474" i="27"/>
  <c r="L475" i="27"/>
  <c r="L476" i="27"/>
  <c r="L477" i="27"/>
  <c r="L478" i="27"/>
  <c r="L479" i="27"/>
  <c r="L480" i="27"/>
  <c r="L481" i="27"/>
  <c r="L482" i="27"/>
  <c r="L483" i="27"/>
  <c r="L484" i="27"/>
  <c r="L485" i="27"/>
  <c r="L486" i="27"/>
  <c r="L487" i="27"/>
  <c r="L488" i="27"/>
  <c r="L489" i="27"/>
  <c r="L490" i="27"/>
  <c r="L491" i="27"/>
  <c r="L492" i="27"/>
  <c r="L493" i="27"/>
  <c r="L494" i="27"/>
  <c r="L495" i="27"/>
  <c r="L496" i="27"/>
  <c r="L497" i="27"/>
  <c r="L498" i="27"/>
  <c r="L499" i="27"/>
  <c r="L500" i="27"/>
  <c r="L501" i="27"/>
  <c r="L502" i="27"/>
  <c r="L503" i="27"/>
  <c r="L504" i="27"/>
  <c r="L505" i="27"/>
  <c r="L506" i="27"/>
  <c r="L507" i="27"/>
  <c r="L508" i="27"/>
  <c r="L509" i="27"/>
  <c r="L510" i="27"/>
  <c r="L511" i="27"/>
  <c r="L512" i="27"/>
  <c r="L513" i="27"/>
  <c r="L514" i="27"/>
  <c r="L515" i="27"/>
  <c r="L516" i="27"/>
  <c r="L517" i="27"/>
  <c r="L518" i="27"/>
  <c r="L519" i="27"/>
  <c r="L520" i="27"/>
  <c r="L521" i="27"/>
  <c r="L522" i="27"/>
  <c r="L523" i="27"/>
  <c r="L524" i="27"/>
  <c r="L525" i="27"/>
  <c r="L526" i="27"/>
  <c r="L527" i="27"/>
  <c r="L528" i="27"/>
  <c r="L529" i="27"/>
  <c r="L530" i="27"/>
  <c r="L531" i="27"/>
  <c r="L532" i="27"/>
  <c r="L533" i="27"/>
  <c r="L534" i="27"/>
  <c r="L535" i="27"/>
  <c r="L536" i="27"/>
  <c r="L537" i="27"/>
  <c r="L538" i="27"/>
  <c r="L539" i="27"/>
  <c r="L540" i="27"/>
  <c r="L541" i="27"/>
  <c r="L542" i="27"/>
  <c r="L543" i="27"/>
  <c r="L544" i="27"/>
  <c r="L545" i="27"/>
  <c r="L546" i="27"/>
  <c r="L547" i="27"/>
  <c r="L548" i="27"/>
  <c r="L549" i="27"/>
  <c r="L550" i="27"/>
  <c r="L551" i="27"/>
  <c r="L552" i="27"/>
  <c r="L553" i="27"/>
  <c r="L554" i="27"/>
  <c r="L555" i="27"/>
  <c r="L556" i="27"/>
  <c r="L557" i="27"/>
  <c r="L558" i="27"/>
  <c r="L559" i="27"/>
  <c r="L560" i="27"/>
  <c r="L561" i="27"/>
  <c r="L562" i="27"/>
  <c r="L563" i="27"/>
  <c r="L564" i="27"/>
  <c r="L565" i="27"/>
  <c r="L566" i="27"/>
  <c r="L567" i="27"/>
  <c r="L568" i="27"/>
  <c r="L569" i="27"/>
  <c r="L570" i="27"/>
  <c r="L571" i="27"/>
  <c r="L572" i="27"/>
  <c r="L573" i="27"/>
  <c r="L574" i="27"/>
  <c r="L575" i="27"/>
  <c r="L576" i="27"/>
  <c r="L577" i="27"/>
  <c r="L578" i="27"/>
  <c r="L579" i="27"/>
  <c r="L580" i="27"/>
  <c r="L581" i="27"/>
  <c r="L582" i="27"/>
  <c r="L583" i="27"/>
  <c r="L584" i="27"/>
  <c r="L585" i="27"/>
  <c r="L586" i="27"/>
  <c r="L587" i="27"/>
  <c r="L588" i="27"/>
  <c r="L589" i="27"/>
  <c r="L591" i="27"/>
  <c r="L592" i="27"/>
  <c r="L593" i="27"/>
  <c r="L594" i="27"/>
  <c r="L595" i="27"/>
  <c r="L596" i="27"/>
  <c r="L597" i="27"/>
  <c r="L598" i="27"/>
  <c r="L599" i="27"/>
  <c r="L600" i="27"/>
  <c r="L601" i="27"/>
  <c r="L602" i="27"/>
  <c r="L603" i="27"/>
  <c r="L604" i="27"/>
  <c r="L605" i="27"/>
  <c r="L606" i="27"/>
  <c r="L607" i="27"/>
  <c r="L608" i="27"/>
  <c r="L609" i="27"/>
  <c r="L610" i="27"/>
  <c r="L611" i="27"/>
  <c r="L612" i="27"/>
  <c r="L613" i="27"/>
  <c r="L614" i="27"/>
  <c r="L615" i="27"/>
  <c r="L616" i="27"/>
  <c r="L617" i="27"/>
  <c r="L618" i="27"/>
  <c r="L619" i="27"/>
  <c r="L620" i="27"/>
  <c r="L621" i="27"/>
  <c r="L622" i="27"/>
  <c r="L623" i="27"/>
  <c r="L624" i="27"/>
  <c r="L625" i="27"/>
  <c r="L626" i="27"/>
  <c r="L627" i="27"/>
  <c r="L628" i="27"/>
  <c r="L629" i="27"/>
  <c r="L630" i="27"/>
  <c r="L631" i="27"/>
  <c r="L632" i="27"/>
  <c r="L633" i="27"/>
  <c r="L634" i="27"/>
  <c r="L635" i="27"/>
  <c r="L636" i="27"/>
  <c r="L637" i="27"/>
  <c r="L638" i="27"/>
  <c r="L639" i="27"/>
  <c r="L640" i="27"/>
  <c r="L641" i="27"/>
  <c r="L642" i="27"/>
  <c r="L643" i="27"/>
  <c r="L644" i="27"/>
  <c r="L645" i="27"/>
  <c r="L646" i="27"/>
  <c r="L647" i="27"/>
  <c r="L648" i="27"/>
  <c r="L649" i="27"/>
  <c r="L650" i="27"/>
  <c r="L651" i="27"/>
  <c r="L652" i="27"/>
  <c r="L653" i="27"/>
  <c r="L654" i="27"/>
  <c r="L655" i="27"/>
  <c r="L656" i="27"/>
  <c r="L657" i="27"/>
  <c r="L658" i="27"/>
  <c r="L659" i="27"/>
  <c r="L660" i="27"/>
  <c r="L661" i="27"/>
  <c r="L662" i="27"/>
  <c r="L663" i="27"/>
  <c r="L664" i="27"/>
  <c r="L665" i="27"/>
  <c r="L666" i="27"/>
  <c r="L667" i="27"/>
  <c r="L668" i="27"/>
  <c r="L669" i="27"/>
  <c r="L670" i="27"/>
  <c r="L671" i="27"/>
  <c r="L672" i="27"/>
  <c r="L673" i="27"/>
  <c r="L674" i="27"/>
  <c r="L675" i="27"/>
  <c r="L676" i="27"/>
  <c r="L677" i="27"/>
  <c r="L678" i="27"/>
  <c r="L679" i="27"/>
  <c r="L680" i="27"/>
  <c r="L681" i="27"/>
  <c r="L682" i="27"/>
  <c r="L683" i="27"/>
  <c r="L684" i="27"/>
  <c r="L685" i="27"/>
  <c r="L686" i="27"/>
  <c r="L687" i="27"/>
  <c r="L688" i="27"/>
  <c r="L689" i="27"/>
  <c r="L690" i="27"/>
  <c r="L691" i="27"/>
  <c r="L692" i="27"/>
  <c r="L693" i="27"/>
  <c r="L694" i="27"/>
  <c r="L695" i="27"/>
  <c r="L696" i="27"/>
  <c r="L697" i="27"/>
  <c r="L698" i="27"/>
  <c r="L699" i="27"/>
  <c r="L700" i="27"/>
  <c r="L701" i="27"/>
  <c r="L702" i="27"/>
  <c r="L703" i="27"/>
  <c r="L704" i="27"/>
  <c r="L705" i="27"/>
  <c r="L706" i="27"/>
  <c r="L707" i="27"/>
  <c r="L708" i="27"/>
  <c r="L709" i="27"/>
  <c r="L710" i="27"/>
  <c r="L711" i="27"/>
  <c r="L712" i="27"/>
  <c r="L713" i="27"/>
  <c r="L714" i="27"/>
  <c r="L715" i="27"/>
  <c r="L716" i="27"/>
  <c r="L717" i="27"/>
  <c r="L718" i="27"/>
  <c r="L719" i="27"/>
  <c r="L720" i="27"/>
  <c r="L721" i="27"/>
  <c r="L722" i="27"/>
  <c r="L723" i="27"/>
  <c r="L724" i="27"/>
  <c r="L725" i="27"/>
  <c r="L726" i="27"/>
  <c r="L727" i="27"/>
  <c r="L728" i="27"/>
  <c r="L729" i="27"/>
  <c r="L730" i="27"/>
  <c r="L731" i="27"/>
  <c r="L732" i="27"/>
  <c r="L733" i="27"/>
  <c r="L734" i="27"/>
  <c r="L735" i="27"/>
  <c r="L736" i="27"/>
  <c r="L737" i="27"/>
  <c r="L738" i="27"/>
  <c r="L739" i="27"/>
  <c r="L740" i="27"/>
  <c r="L741" i="27"/>
  <c r="L742" i="27"/>
  <c r="L743" i="27"/>
  <c r="L744" i="27"/>
  <c r="L745" i="27"/>
  <c r="L746" i="27"/>
  <c r="L747" i="27"/>
  <c r="L748" i="27"/>
  <c r="L749" i="27"/>
  <c r="L750" i="27"/>
  <c r="L751" i="27"/>
  <c r="L752" i="27"/>
  <c r="L753" i="27"/>
  <c r="L754" i="27"/>
  <c r="L755" i="27"/>
  <c r="L756" i="27"/>
  <c r="L757" i="27"/>
  <c r="L758" i="27"/>
  <c r="L759" i="27"/>
  <c r="L760" i="27"/>
  <c r="L761" i="27"/>
  <c r="L762" i="27"/>
  <c r="L763" i="27"/>
  <c r="L764" i="27"/>
  <c r="L765" i="27"/>
  <c r="L766" i="27"/>
  <c r="L767" i="27"/>
  <c r="L768" i="27"/>
  <c r="L769" i="27"/>
  <c r="L770" i="27"/>
  <c r="L771" i="27"/>
  <c r="L772" i="27"/>
  <c r="L773" i="27"/>
  <c r="L774" i="27"/>
  <c r="L775" i="27"/>
  <c r="L776" i="27"/>
  <c r="L777" i="27"/>
  <c r="L778" i="27"/>
  <c r="L779" i="27"/>
  <c r="L780" i="27"/>
  <c r="L781" i="27"/>
  <c r="L782" i="27"/>
  <c r="L783" i="27"/>
  <c r="L784" i="27"/>
  <c r="L785" i="27"/>
  <c r="L786" i="27"/>
  <c r="L787" i="27"/>
  <c r="L788" i="27"/>
  <c r="L789" i="27"/>
  <c r="L790" i="27"/>
  <c r="L791" i="27"/>
  <c r="L792" i="27"/>
  <c r="L793" i="27"/>
  <c r="L794" i="27"/>
  <c r="L795" i="27"/>
  <c r="L796" i="27"/>
  <c r="L797" i="27"/>
  <c r="L798" i="27"/>
  <c r="L799" i="27"/>
  <c r="L800" i="27"/>
  <c r="L801" i="27"/>
  <c r="L802" i="27"/>
  <c r="L803" i="27"/>
  <c r="L804" i="27"/>
  <c r="L805" i="27"/>
  <c r="L806" i="27"/>
  <c r="L807" i="27"/>
  <c r="L808" i="27"/>
  <c r="L809" i="27"/>
  <c r="L810" i="27"/>
  <c r="L811" i="27"/>
  <c r="L812" i="27"/>
  <c r="L813" i="27"/>
  <c r="L814" i="27"/>
  <c r="L815" i="27"/>
  <c r="L816" i="27"/>
  <c r="L817" i="27"/>
  <c r="L818" i="27"/>
  <c r="L819" i="27"/>
  <c r="L820" i="27"/>
  <c r="L821" i="27"/>
  <c r="L822" i="27"/>
  <c r="L823" i="27"/>
  <c r="L824" i="27"/>
  <c r="L825" i="27"/>
  <c r="L826" i="27"/>
  <c r="L827" i="27"/>
  <c r="L828" i="27"/>
  <c r="L829" i="27"/>
  <c r="L830" i="27"/>
  <c r="L831" i="27"/>
  <c r="L832" i="27"/>
  <c r="L833" i="27"/>
  <c r="L834" i="27"/>
  <c r="L835" i="27"/>
  <c r="L836" i="27"/>
  <c r="L837" i="27"/>
  <c r="L838" i="27"/>
  <c r="L839" i="27"/>
  <c r="L840" i="27"/>
  <c r="L841" i="27"/>
  <c r="L842" i="27"/>
  <c r="L843" i="27"/>
  <c r="L844" i="27"/>
  <c r="L845" i="27"/>
  <c r="L846" i="27"/>
  <c r="L847" i="27"/>
  <c r="L848" i="27"/>
  <c r="L849" i="27"/>
  <c r="L850" i="27"/>
  <c r="L851" i="27"/>
  <c r="L852" i="27"/>
  <c r="L853" i="27"/>
  <c r="L854" i="27"/>
  <c r="L855" i="27"/>
  <c r="L856" i="27"/>
  <c r="L857" i="27"/>
  <c r="L858" i="27"/>
  <c r="L859" i="27"/>
  <c r="L860" i="27"/>
  <c r="L861" i="27"/>
  <c r="L862" i="27"/>
  <c r="L863" i="27"/>
  <c r="L864" i="27"/>
  <c r="L865" i="27"/>
  <c r="L866" i="27"/>
  <c r="L867" i="27"/>
  <c r="L868" i="27"/>
  <c r="L869" i="27"/>
  <c r="L870" i="27"/>
  <c r="L871" i="27"/>
  <c r="L872" i="27"/>
  <c r="L873" i="27"/>
  <c r="L874" i="27"/>
  <c r="L875" i="27"/>
  <c r="L876" i="27"/>
  <c r="L877" i="27"/>
  <c r="L878" i="27"/>
  <c r="L879" i="27"/>
  <c r="L880" i="27"/>
  <c r="L881" i="27"/>
  <c r="L882" i="27"/>
  <c r="L883" i="27"/>
  <c r="L884" i="27"/>
  <c r="L885" i="27"/>
  <c r="L886" i="27"/>
  <c r="L887" i="27"/>
  <c r="L888" i="27"/>
  <c r="L889" i="27"/>
  <c r="L890" i="27"/>
  <c r="L891" i="27"/>
  <c r="L892" i="27"/>
  <c r="L893" i="27"/>
  <c r="L894" i="27"/>
  <c r="L895" i="27"/>
  <c r="L896" i="27"/>
  <c r="L897" i="27"/>
  <c r="L898" i="27"/>
  <c r="L899" i="27"/>
  <c r="L900" i="27"/>
  <c r="L901" i="27"/>
  <c r="L902" i="27"/>
  <c r="L903" i="27"/>
  <c r="L904" i="27"/>
  <c r="L905" i="27"/>
  <c r="L906" i="27"/>
  <c r="L907" i="27"/>
  <c r="L908" i="27"/>
  <c r="L909" i="27"/>
  <c r="L910" i="27"/>
  <c r="L911" i="27"/>
  <c r="L912" i="27"/>
  <c r="L913" i="27"/>
  <c r="L914" i="27"/>
  <c r="L915" i="27"/>
  <c r="L916" i="27"/>
  <c r="L917" i="27"/>
  <c r="L918" i="27"/>
  <c r="L919" i="27"/>
  <c r="L920" i="27"/>
  <c r="L921" i="27"/>
  <c r="L922" i="27"/>
  <c r="L923" i="27"/>
  <c r="L924" i="27"/>
  <c r="L925" i="27"/>
  <c r="L926" i="27"/>
  <c r="L927" i="27"/>
  <c r="L928" i="27"/>
  <c r="L929" i="27"/>
  <c r="L930" i="27"/>
  <c r="L931" i="27"/>
  <c r="L932" i="27"/>
  <c r="L933" i="27"/>
  <c r="L934" i="27"/>
  <c r="L935" i="27"/>
  <c r="L936" i="27"/>
  <c r="L937" i="27"/>
  <c r="L938" i="27"/>
  <c r="L939" i="27"/>
  <c r="L940" i="27"/>
  <c r="L941" i="27"/>
  <c r="L942" i="27"/>
  <c r="L943" i="27"/>
  <c r="L944" i="27"/>
  <c r="L945" i="27"/>
  <c r="L946" i="27"/>
  <c r="L947" i="27"/>
  <c r="L948" i="27"/>
  <c r="L949" i="27"/>
  <c r="L950" i="27"/>
  <c r="L951" i="27"/>
  <c r="L952" i="27"/>
  <c r="L953" i="27"/>
  <c r="L954" i="27"/>
  <c r="L955" i="27"/>
  <c r="L956" i="27"/>
  <c r="L957" i="27"/>
  <c r="L958" i="27"/>
  <c r="L959" i="27"/>
  <c r="L960" i="27"/>
  <c r="L961" i="27"/>
  <c r="L962" i="27"/>
  <c r="L963" i="27"/>
  <c r="L964" i="27"/>
  <c r="L965" i="27"/>
  <c r="L966" i="27"/>
  <c r="L967" i="27"/>
  <c r="L968" i="27"/>
  <c r="L969" i="27"/>
  <c r="L970" i="27"/>
  <c r="L971" i="27"/>
  <c r="L972" i="27"/>
  <c r="L973" i="27"/>
  <c r="L974" i="27"/>
  <c r="L975" i="27"/>
  <c r="L976" i="27"/>
  <c r="L977" i="27"/>
  <c r="L978" i="27"/>
  <c r="L979" i="27"/>
  <c r="L980" i="27"/>
  <c r="L981" i="27"/>
  <c r="L982" i="27"/>
  <c r="L983" i="27"/>
  <c r="L984" i="27"/>
  <c r="L985" i="27"/>
  <c r="L986" i="27"/>
  <c r="L987" i="27"/>
  <c r="L988" i="27"/>
  <c r="L989" i="27"/>
  <c r="L990" i="27"/>
  <c r="L991" i="27"/>
  <c r="L992" i="27"/>
  <c r="L993" i="27"/>
  <c r="L994" i="27"/>
  <c r="L995" i="27"/>
  <c r="L996" i="27"/>
  <c r="L997" i="27"/>
  <c r="L998" i="27"/>
  <c r="L999" i="27"/>
  <c r="L1000" i="27"/>
  <c r="L1001" i="27"/>
  <c r="L1002" i="27"/>
  <c r="L1003" i="27"/>
  <c r="L1004" i="27"/>
  <c r="L1005" i="27"/>
  <c r="L1006" i="27"/>
  <c r="L1007" i="27"/>
  <c r="L1008" i="27"/>
  <c r="L1009" i="27"/>
  <c r="L1010" i="27"/>
  <c r="L1011" i="27"/>
  <c r="L1012" i="27"/>
  <c r="L1013" i="27"/>
  <c r="L1014" i="27"/>
  <c r="L1015" i="27"/>
  <c r="L1016" i="27"/>
  <c r="L1017" i="27"/>
  <c r="L1018" i="27"/>
  <c r="L1019" i="27"/>
  <c r="L1020" i="27"/>
  <c r="L1021" i="27"/>
  <c r="L1022" i="27"/>
  <c r="L1023" i="27"/>
  <c r="L1024" i="27"/>
  <c r="L1025" i="27"/>
  <c r="L1026" i="27"/>
  <c r="L1027" i="27"/>
  <c r="L1028" i="27"/>
  <c r="L1029" i="27"/>
  <c r="L1030" i="27"/>
  <c r="L1031" i="27"/>
  <c r="L1032" i="27"/>
  <c r="L1033" i="27"/>
  <c r="L1034" i="27"/>
  <c r="L1035" i="27"/>
  <c r="L1036" i="27"/>
  <c r="L1037" i="27"/>
  <c r="L1038" i="27"/>
  <c r="L1039" i="27"/>
  <c r="L1040" i="27"/>
  <c r="L1041" i="27"/>
  <c r="L1042" i="27"/>
  <c r="L1043" i="27"/>
  <c r="L1044" i="27"/>
  <c r="L1045" i="27"/>
  <c r="L1046" i="27"/>
  <c r="L1047" i="27"/>
  <c r="L1048" i="27"/>
  <c r="L1049" i="27"/>
  <c r="L1050" i="27"/>
  <c r="L1051" i="27"/>
  <c r="L1052" i="27"/>
  <c r="L1053" i="27"/>
  <c r="L1054" i="27"/>
  <c r="L1055" i="27"/>
  <c r="L1056" i="27"/>
  <c r="L1057" i="27"/>
  <c r="L1058" i="27"/>
  <c r="L1059" i="27"/>
  <c r="L1060" i="27"/>
  <c r="L1061" i="27"/>
  <c r="L1062" i="27"/>
  <c r="L1063" i="27"/>
  <c r="L1064" i="27"/>
  <c r="L1065" i="27"/>
  <c r="L1066" i="27"/>
  <c r="L1067" i="27"/>
  <c r="L1068" i="27"/>
  <c r="L1069" i="27"/>
  <c r="L1070" i="27"/>
  <c r="L1071" i="27"/>
  <c r="L1072" i="27"/>
  <c r="L1073" i="27"/>
  <c r="L1074" i="27"/>
  <c r="L1075" i="27"/>
  <c r="L1076" i="27"/>
  <c r="L1077" i="27"/>
  <c r="L1078" i="27"/>
  <c r="L1079" i="27"/>
  <c r="L1080" i="27"/>
  <c r="L1081" i="27"/>
  <c r="L1082" i="27"/>
  <c r="L1083" i="27"/>
  <c r="L1084" i="27"/>
  <c r="L1085" i="27"/>
  <c r="L1086" i="27"/>
  <c r="L1087" i="27"/>
  <c r="L1088" i="27"/>
  <c r="L1089" i="27"/>
  <c r="L1090" i="27"/>
  <c r="L1091" i="27"/>
  <c r="L1092" i="27"/>
  <c r="L1093" i="27"/>
  <c r="L1094" i="27"/>
  <c r="L1095" i="27"/>
  <c r="L1096" i="27"/>
  <c r="L1097" i="27"/>
  <c r="L1098" i="27"/>
  <c r="L1099" i="27"/>
  <c r="L1100" i="27"/>
  <c r="L1101" i="27"/>
  <c r="L1102" i="27"/>
  <c r="L1103" i="27"/>
  <c r="L1104" i="27"/>
  <c r="L1105" i="27"/>
  <c r="L1106" i="27"/>
  <c r="L1107" i="27"/>
  <c r="L1108" i="27"/>
  <c r="L1109" i="27"/>
  <c r="L1110" i="27"/>
  <c r="L1111" i="27"/>
  <c r="L1112" i="27"/>
  <c r="L1113" i="27"/>
  <c r="L1114" i="27"/>
  <c r="L1115" i="27"/>
  <c r="L1116" i="27"/>
  <c r="L1117" i="27"/>
  <c r="L1118" i="27"/>
  <c r="L1119" i="27"/>
  <c r="L1120" i="27"/>
  <c r="L1121" i="27"/>
  <c r="L1122" i="27"/>
  <c r="L1123" i="27"/>
  <c r="L1124" i="27"/>
  <c r="L1125" i="27"/>
  <c r="L1126" i="27"/>
  <c r="L1127" i="27"/>
  <c r="L1128" i="27"/>
  <c r="L1129" i="27"/>
  <c r="L1130" i="27"/>
  <c r="L1131" i="27"/>
  <c r="L1132" i="27"/>
  <c r="L1133" i="27"/>
  <c r="L1134" i="27"/>
  <c r="L1135" i="27"/>
  <c r="L1136" i="27"/>
  <c r="L1137" i="27"/>
  <c r="L1138" i="27"/>
  <c r="L1139" i="27"/>
  <c r="L1140" i="27"/>
  <c r="L1141" i="27"/>
  <c r="L1142" i="27"/>
  <c r="L1143" i="27"/>
  <c r="L1144" i="27"/>
  <c r="L1145" i="27"/>
  <c r="L1146" i="27"/>
  <c r="L1147" i="27"/>
  <c r="L1148" i="27"/>
  <c r="L1149" i="27"/>
  <c r="L1150" i="27"/>
  <c r="L1151" i="27"/>
  <c r="L1152" i="27"/>
  <c r="L1153" i="27"/>
  <c r="L1154" i="27"/>
  <c r="L1155" i="27"/>
  <c r="L1156" i="27"/>
  <c r="L1157" i="27"/>
  <c r="L1158" i="27"/>
  <c r="L1159" i="27"/>
  <c r="L1160" i="27"/>
  <c r="L1161" i="27"/>
  <c r="L1162" i="27"/>
  <c r="L1163" i="27"/>
  <c r="L1164" i="27"/>
  <c r="L1165" i="27"/>
  <c r="L1166" i="27"/>
  <c r="L1167" i="27"/>
  <c r="L1168" i="27"/>
  <c r="L1169" i="27"/>
  <c r="L1170" i="27"/>
  <c r="L1171" i="27"/>
  <c r="L1172" i="27"/>
  <c r="L1173" i="27"/>
  <c r="L1174" i="27"/>
  <c r="L1175" i="27"/>
  <c r="L1176" i="27"/>
  <c r="L1177" i="27"/>
  <c r="L1178" i="27"/>
  <c r="L1179" i="27"/>
  <c r="L1180" i="27"/>
  <c r="L1181" i="27"/>
  <c r="L1182" i="27"/>
  <c r="L1183" i="27"/>
  <c r="L1184" i="27"/>
  <c r="L1185" i="27"/>
  <c r="L1186" i="27"/>
  <c r="L1187" i="27"/>
  <c r="L1188" i="27"/>
  <c r="L1189" i="27"/>
  <c r="L1190" i="27"/>
  <c r="L1191" i="27"/>
  <c r="L1192" i="27"/>
  <c r="L1193" i="27"/>
  <c r="L1194" i="27"/>
  <c r="L1195" i="27"/>
  <c r="L1196" i="27"/>
  <c r="L1197" i="27"/>
  <c r="L1198" i="27"/>
  <c r="L1199" i="27"/>
  <c r="L1200" i="27"/>
  <c r="L1201" i="27"/>
  <c r="L1202" i="27"/>
  <c r="L1203" i="27"/>
  <c r="L1204" i="27"/>
  <c r="L1205" i="27"/>
  <c r="L1206" i="27"/>
  <c r="L1207" i="27"/>
  <c r="L1208" i="27"/>
  <c r="L1209" i="27"/>
  <c r="L1210" i="27"/>
  <c r="L1211" i="27"/>
  <c r="L1212" i="27"/>
  <c r="L1213" i="27"/>
  <c r="L1214" i="27"/>
  <c r="L1215" i="27"/>
  <c r="L1216" i="27"/>
  <c r="L1217" i="27"/>
  <c r="L1218" i="27"/>
  <c r="L1219" i="27"/>
  <c r="L1220" i="27"/>
  <c r="L1221" i="27"/>
  <c r="L1222" i="27"/>
  <c r="L1223" i="27"/>
  <c r="L1224" i="27"/>
  <c r="L1225" i="27"/>
  <c r="L1226" i="27"/>
  <c r="L1227" i="27"/>
  <c r="L1228" i="27"/>
  <c r="L1229" i="27"/>
  <c r="L1230" i="27"/>
  <c r="L1231" i="27"/>
  <c r="L1232" i="27"/>
  <c r="L1233" i="27"/>
  <c r="L1234" i="27"/>
  <c r="L1235" i="27"/>
  <c r="L1236" i="27"/>
  <c r="L1237" i="27"/>
  <c r="L1238" i="27"/>
  <c r="L1239" i="27"/>
  <c r="L1240" i="27"/>
  <c r="L1241" i="27"/>
  <c r="L1242" i="27"/>
  <c r="L1243" i="27"/>
  <c r="L1244" i="27"/>
  <c r="L1245" i="27"/>
  <c r="L1246" i="27"/>
  <c r="L1247" i="27"/>
  <c r="L1248" i="27"/>
  <c r="L1249" i="27"/>
  <c r="L1250" i="27"/>
  <c r="L1251" i="27"/>
  <c r="L1252" i="27"/>
  <c r="L1253" i="27"/>
  <c r="L1254" i="27"/>
  <c r="L1255" i="27"/>
  <c r="AN455" i="60"/>
  <c r="AN456" i="60"/>
  <c r="AN457" i="60"/>
  <c r="AN458" i="60"/>
  <c r="AN459" i="60"/>
  <c r="AN445" i="60"/>
  <c r="AN444" i="60"/>
  <c r="AN443" i="60"/>
  <c r="AN442" i="60"/>
  <c r="AN441" i="60"/>
  <c r="AN467" i="60"/>
  <c r="AN460" i="60" s="1"/>
  <c r="G441" i="60"/>
  <c r="L441" i="60"/>
  <c r="N441" i="60"/>
  <c r="O441" i="60"/>
  <c r="P441" i="60"/>
  <c r="Q441" i="60"/>
  <c r="R441" i="60"/>
  <c r="S441" i="60"/>
  <c r="T441" i="60"/>
  <c r="V441" i="60"/>
  <c r="W441" i="60"/>
  <c r="AA441" i="60"/>
  <c r="AD441" i="60"/>
  <c r="AE441" i="60"/>
  <c r="AH441" i="60"/>
  <c r="AI441" i="60"/>
  <c r="AJ441" i="60"/>
  <c r="G442" i="60"/>
  <c r="I442" i="60"/>
  <c r="L442" i="60"/>
  <c r="M442" i="60"/>
  <c r="N442" i="60"/>
  <c r="O442" i="60"/>
  <c r="P442" i="60"/>
  <c r="Q442" i="60"/>
  <c r="R442" i="60"/>
  <c r="S442" i="60"/>
  <c r="T442" i="60"/>
  <c r="U442" i="60"/>
  <c r="V442" i="60"/>
  <c r="W442" i="60"/>
  <c r="X442" i="60"/>
  <c r="AA442" i="60"/>
  <c r="AB442" i="60"/>
  <c r="AC442" i="60"/>
  <c r="AD442" i="60"/>
  <c r="AE442" i="60"/>
  <c r="AH442" i="60"/>
  <c r="AI442" i="60"/>
  <c r="AJ442" i="60"/>
  <c r="AK442" i="60"/>
  <c r="G443" i="60"/>
  <c r="L443" i="60"/>
  <c r="M443" i="60"/>
  <c r="N443" i="60"/>
  <c r="O443" i="60"/>
  <c r="P443" i="60"/>
  <c r="R443" i="60"/>
  <c r="S443" i="60"/>
  <c r="T443" i="60"/>
  <c r="U443" i="60"/>
  <c r="V443" i="60"/>
  <c r="W443" i="60"/>
  <c r="AA443" i="60"/>
  <c r="AD443" i="60"/>
  <c r="AE443" i="60"/>
  <c r="AH443" i="60"/>
  <c r="AI443" i="60"/>
  <c r="AJ443" i="60"/>
  <c r="AK443" i="60"/>
  <c r="L444" i="60"/>
  <c r="M444" i="60"/>
  <c r="P444" i="60"/>
  <c r="Q444" i="60"/>
  <c r="R444" i="60"/>
  <c r="S444" i="60"/>
  <c r="T444" i="60"/>
  <c r="U444" i="60"/>
  <c r="V444" i="60"/>
  <c r="X444" i="60"/>
  <c r="AA444" i="60"/>
  <c r="AB444" i="60"/>
  <c r="AD444" i="60"/>
  <c r="AH444" i="60"/>
  <c r="AI444" i="60"/>
  <c r="AJ444" i="60"/>
  <c r="AK444" i="60"/>
  <c r="AL444" i="60"/>
  <c r="G445" i="60"/>
  <c r="I445" i="60"/>
  <c r="L445" i="60"/>
  <c r="M445" i="60"/>
  <c r="N445" i="60"/>
  <c r="O445" i="60"/>
  <c r="P445" i="60"/>
  <c r="Q445" i="60"/>
  <c r="R445" i="60"/>
  <c r="S445" i="60"/>
  <c r="T445" i="60"/>
  <c r="U445" i="60"/>
  <c r="V445" i="60"/>
  <c r="W445" i="60"/>
  <c r="X445" i="60"/>
  <c r="AA445" i="60"/>
  <c r="AB453" i="60"/>
  <c r="AB445" i="60"/>
  <c r="AC445" i="60"/>
  <c r="AD445" i="60"/>
  <c r="AE445" i="60"/>
  <c r="AI445" i="60"/>
  <c r="AJ445" i="60"/>
  <c r="AK445" i="60"/>
  <c r="AL445" i="60"/>
  <c r="E442" i="60"/>
  <c r="E443" i="60"/>
  <c r="E444" i="60"/>
  <c r="E445" i="60"/>
  <c r="E441" i="60"/>
  <c r="C441" i="60"/>
  <c r="W455" i="60"/>
  <c r="C455" i="60"/>
  <c r="AH453" i="60"/>
  <c r="AA453" i="60"/>
  <c r="AH445" i="60"/>
  <c r="AE453" i="60"/>
  <c r="W453" i="60"/>
  <c r="Q453" i="60"/>
  <c r="I453" i="60"/>
  <c r="U453" i="60"/>
  <c r="M453" i="60"/>
  <c r="AN453" i="60"/>
  <c r="N453" i="60"/>
  <c r="AE444" i="60"/>
  <c r="W444" i="60"/>
  <c r="O444" i="60"/>
  <c r="G444" i="60"/>
  <c r="Q443" i="60"/>
  <c r="AK441" i="60"/>
  <c r="U441" i="60"/>
  <c r="M441" i="60"/>
  <c r="N444" i="60"/>
  <c r="K474" i="60"/>
  <c r="S474" i="60"/>
  <c r="AA474" i="60"/>
  <c r="AI474" i="60"/>
  <c r="I474" i="60"/>
  <c r="Q474" i="60"/>
  <c r="AG474" i="60"/>
  <c r="G474" i="60"/>
  <c r="O474" i="60"/>
  <c r="T474" i="60"/>
  <c r="W474" i="60"/>
  <c r="AE474" i="60"/>
  <c r="AJ474" i="60"/>
  <c r="AM474" i="60"/>
  <c r="J474" i="60"/>
  <c r="R474" i="60"/>
  <c r="Z474" i="60"/>
  <c r="AB474" i="60"/>
  <c r="AH474" i="60"/>
  <c r="F474" i="60"/>
  <c r="H474" i="60"/>
  <c r="L474" i="60"/>
  <c r="P474" i="60"/>
  <c r="X474" i="60"/>
  <c r="AF474" i="60"/>
  <c r="E474" i="60"/>
  <c r="AK474" i="60"/>
  <c r="M474" i="60"/>
  <c r="AC474" i="60"/>
  <c r="U474" i="60"/>
  <c r="AL474" i="60"/>
  <c r="AD474" i="60"/>
  <c r="V474" i="60"/>
  <c r="N474" i="60"/>
  <c r="F455" i="60"/>
  <c r="G455" i="60"/>
  <c r="H455" i="60"/>
  <c r="K455" i="60"/>
  <c r="L455" i="60"/>
  <c r="M455" i="60"/>
  <c r="N455" i="60"/>
  <c r="O455" i="60"/>
  <c r="P455" i="60"/>
  <c r="Q455" i="60"/>
  <c r="R455" i="60"/>
  <c r="S455" i="60"/>
  <c r="T455" i="60"/>
  <c r="U455" i="60"/>
  <c r="V455" i="60"/>
  <c r="Z455" i="60"/>
  <c r="AA455" i="60"/>
  <c r="AD455" i="60"/>
  <c r="AE455" i="60"/>
  <c r="AF455" i="60"/>
  <c r="AG455" i="60"/>
  <c r="AH455" i="60"/>
  <c r="AI455" i="60"/>
  <c r="AJ455" i="60"/>
  <c r="AK455" i="60"/>
  <c r="AL455" i="60"/>
  <c r="AM455" i="60"/>
  <c r="F456" i="60"/>
  <c r="G456" i="60"/>
  <c r="H456" i="60"/>
  <c r="I456" i="60"/>
  <c r="J456" i="60"/>
  <c r="K456" i="60"/>
  <c r="L456" i="60"/>
  <c r="M456" i="60"/>
  <c r="N456" i="60"/>
  <c r="O456" i="60"/>
  <c r="P456" i="60"/>
  <c r="Q456" i="60"/>
  <c r="R456" i="60"/>
  <c r="S456" i="60"/>
  <c r="T456" i="60"/>
  <c r="U456" i="60"/>
  <c r="V456" i="60"/>
  <c r="W456" i="60"/>
  <c r="X456" i="60"/>
  <c r="Z456" i="60"/>
  <c r="AA456" i="60"/>
  <c r="AB456" i="60"/>
  <c r="AC456" i="60"/>
  <c r="AD456" i="60"/>
  <c r="AE456" i="60"/>
  <c r="AF456" i="60"/>
  <c r="AG456" i="60"/>
  <c r="AH456" i="60"/>
  <c r="AI456" i="60"/>
  <c r="AJ456" i="60"/>
  <c r="AL456" i="60"/>
  <c r="AM456" i="60"/>
  <c r="F457" i="60"/>
  <c r="G457" i="60"/>
  <c r="H457" i="60"/>
  <c r="K457" i="60"/>
  <c r="L457" i="60"/>
  <c r="M457" i="60"/>
  <c r="N457" i="60"/>
  <c r="O457" i="60"/>
  <c r="P457" i="60"/>
  <c r="Q457" i="60"/>
  <c r="R457" i="60"/>
  <c r="S457" i="60"/>
  <c r="T457" i="60"/>
  <c r="U457" i="60"/>
  <c r="V457" i="60"/>
  <c r="W457" i="60"/>
  <c r="Z457" i="60"/>
  <c r="AA457" i="60"/>
  <c r="AD457" i="60"/>
  <c r="AE457" i="60"/>
  <c r="AF457" i="60"/>
  <c r="AG457" i="60"/>
  <c r="AH457" i="60"/>
  <c r="AI457" i="60"/>
  <c r="AJ457" i="60"/>
  <c r="AK457" i="60"/>
  <c r="AL457" i="60"/>
  <c r="AM457" i="60"/>
  <c r="F458" i="60"/>
  <c r="G458" i="60"/>
  <c r="H458" i="60"/>
  <c r="K458" i="60"/>
  <c r="L458" i="60"/>
  <c r="M458" i="60"/>
  <c r="N458" i="60"/>
  <c r="O458" i="60"/>
  <c r="P458" i="60"/>
  <c r="Q458" i="60"/>
  <c r="R458" i="60"/>
  <c r="S458" i="60"/>
  <c r="T458" i="60"/>
  <c r="U458" i="60"/>
  <c r="V458" i="60"/>
  <c r="W458" i="60"/>
  <c r="X458" i="60"/>
  <c r="Z458" i="60"/>
  <c r="AA458" i="60"/>
  <c r="AB458" i="60"/>
  <c r="AC458" i="60"/>
  <c r="AD458" i="60"/>
  <c r="AE458" i="60"/>
  <c r="AF458" i="60"/>
  <c r="AG458" i="60"/>
  <c r="AH458" i="60"/>
  <c r="AI458" i="60"/>
  <c r="AJ458" i="60"/>
  <c r="AK458" i="60"/>
  <c r="AL458" i="60"/>
  <c r="AM458" i="60"/>
  <c r="F459" i="60"/>
  <c r="G459" i="60"/>
  <c r="H459" i="60"/>
  <c r="I459" i="60"/>
  <c r="J459" i="60"/>
  <c r="K459" i="60"/>
  <c r="L459" i="60"/>
  <c r="M459" i="60"/>
  <c r="N459" i="60"/>
  <c r="O459" i="60"/>
  <c r="P459" i="60"/>
  <c r="Q459" i="60"/>
  <c r="R459" i="60"/>
  <c r="S459" i="60"/>
  <c r="T459" i="60"/>
  <c r="U459" i="60"/>
  <c r="V459" i="60"/>
  <c r="W459" i="60"/>
  <c r="X459" i="60"/>
  <c r="Z459" i="60"/>
  <c r="AA459" i="60"/>
  <c r="AB459" i="60"/>
  <c r="AC459" i="60"/>
  <c r="AD459" i="60"/>
  <c r="AE459" i="60"/>
  <c r="AF459" i="60"/>
  <c r="AG459" i="60"/>
  <c r="AH459" i="60"/>
  <c r="AI459" i="60"/>
  <c r="AJ459" i="60"/>
  <c r="AK459" i="60"/>
  <c r="AL459" i="60"/>
  <c r="AM459" i="60"/>
  <c r="E455" i="60"/>
  <c r="E456" i="60"/>
  <c r="E457" i="60"/>
  <c r="E458" i="60"/>
  <c r="E459" i="60"/>
  <c r="AJ467" i="60"/>
  <c r="AI467" i="60"/>
  <c r="AA467" i="60"/>
  <c r="S467" i="60"/>
  <c r="K467" i="60"/>
  <c r="L467" i="60"/>
  <c r="AH467" i="60"/>
  <c r="Z467" i="60"/>
  <c r="R467" i="60"/>
  <c r="J467" i="60"/>
  <c r="AG467" i="60"/>
  <c r="Q467" i="60"/>
  <c r="I467" i="60"/>
  <c r="E467" i="60"/>
  <c r="AF467" i="60"/>
  <c r="X467" i="60"/>
  <c r="P467" i="60"/>
  <c r="H467" i="60"/>
  <c r="AM467" i="60"/>
  <c r="AE467" i="60"/>
  <c r="W467" i="60"/>
  <c r="O467" i="60"/>
  <c r="G467" i="60"/>
  <c r="AB467" i="60"/>
  <c r="AL467" i="60"/>
  <c r="AD467" i="60"/>
  <c r="V467" i="60"/>
  <c r="N467" i="60"/>
  <c r="F467" i="60"/>
  <c r="T467" i="60"/>
  <c r="AK467" i="60"/>
  <c r="AC467" i="60"/>
  <c r="U467" i="60"/>
  <c r="M467" i="60"/>
  <c r="E16" i="49"/>
  <c r="G16" i="49"/>
  <c r="H16" i="49"/>
  <c r="P570" i="27"/>
  <c r="N570" i="27"/>
  <c r="AM570" i="27" s="1"/>
  <c r="P569" i="27"/>
  <c r="N569" i="27"/>
  <c r="AM569" i="27" s="1"/>
  <c r="P568" i="27"/>
  <c r="N568" i="27"/>
  <c r="AM568" i="27" s="1"/>
  <c r="P567" i="27"/>
  <c r="N567" i="27"/>
  <c r="AM567" i="27" s="1"/>
  <c r="P566" i="27"/>
  <c r="N566" i="27"/>
  <c r="AM566" i="27" s="1"/>
  <c r="P565" i="27"/>
  <c r="N565" i="27"/>
  <c r="AM565" i="27" s="1"/>
  <c r="P564" i="27"/>
  <c r="N564" i="27"/>
  <c r="AM564" i="27" s="1"/>
  <c r="P563" i="27"/>
  <c r="N563" i="27"/>
  <c r="AM563" i="27" s="1"/>
  <c r="P562" i="27"/>
  <c r="N562" i="27"/>
  <c r="AM562" i="27" s="1"/>
  <c r="P561" i="27"/>
  <c r="N561" i="27"/>
  <c r="AM561" i="27" s="1"/>
  <c r="P560" i="27"/>
  <c r="N560" i="27"/>
  <c r="AM560" i="27" s="1"/>
  <c r="P559" i="27"/>
  <c r="N559" i="27"/>
  <c r="AM559" i="27" s="1"/>
  <c r="P558" i="27"/>
  <c r="N558" i="27"/>
  <c r="AM558" i="27" s="1"/>
  <c r="P557" i="27"/>
  <c r="N557" i="27"/>
  <c r="AM557" i="27" s="1"/>
  <c r="P556" i="27"/>
  <c r="N556" i="27"/>
  <c r="AM556" i="27" s="1"/>
  <c r="P555" i="27"/>
  <c r="N555" i="27"/>
  <c r="AM555" i="27" s="1"/>
  <c r="P554" i="27"/>
  <c r="N554" i="27"/>
  <c r="AM554" i="27" s="1"/>
  <c r="P553" i="27"/>
  <c r="N553" i="27"/>
  <c r="AM553" i="27" s="1"/>
  <c r="P552" i="27"/>
  <c r="N552" i="27"/>
  <c r="AM552" i="27" s="1"/>
  <c r="P551" i="27"/>
  <c r="N551" i="27"/>
  <c r="AM551" i="27" s="1"/>
  <c r="P550" i="27"/>
  <c r="N550" i="27"/>
  <c r="AM550" i="27" s="1"/>
  <c r="P549" i="27"/>
  <c r="N549" i="27"/>
  <c r="AM549" i="27" s="1"/>
  <c r="P548" i="27"/>
  <c r="N548" i="27"/>
  <c r="AM548" i="27" s="1"/>
  <c r="P547" i="27"/>
  <c r="N547" i="27"/>
  <c r="AM547" i="27" s="1"/>
  <c r="P546" i="27"/>
  <c r="N546" i="27"/>
  <c r="AM546" i="27" s="1"/>
  <c r="P545" i="27"/>
  <c r="N545" i="27"/>
  <c r="AM545" i="27" s="1"/>
  <c r="P544" i="27"/>
  <c r="N544" i="27"/>
  <c r="AM544" i="27" s="1"/>
  <c r="P543" i="27"/>
  <c r="N543" i="27"/>
  <c r="AM543" i="27" s="1"/>
  <c r="P542" i="27"/>
  <c r="N542" i="27"/>
  <c r="AM542" i="27" s="1"/>
  <c r="P541" i="27"/>
  <c r="N541" i="27"/>
  <c r="AM541" i="27" s="1"/>
  <c r="P540" i="27"/>
  <c r="N540" i="27"/>
  <c r="AM540" i="27" s="1"/>
  <c r="P539" i="27"/>
  <c r="N539" i="27"/>
  <c r="AM539" i="27" s="1"/>
  <c r="P538" i="27"/>
  <c r="N538" i="27"/>
  <c r="AM538" i="27" s="1"/>
  <c r="P537" i="27"/>
  <c r="N537" i="27"/>
  <c r="AM537" i="27" s="1"/>
  <c r="P536" i="27"/>
  <c r="N536" i="27"/>
  <c r="AM536" i="27" s="1"/>
  <c r="P535" i="27"/>
  <c r="N535" i="27"/>
  <c r="AM535" i="27" s="1"/>
  <c r="P534" i="27"/>
  <c r="N534" i="27"/>
  <c r="AM534" i="27" s="1"/>
  <c r="P533" i="27"/>
  <c r="N533" i="27"/>
  <c r="AM533" i="27" s="1"/>
  <c r="P532" i="27"/>
  <c r="N532" i="27"/>
  <c r="AM532" i="27" s="1"/>
  <c r="P531" i="27"/>
  <c r="N531" i="27"/>
  <c r="AM531" i="27" s="1"/>
  <c r="P530" i="27"/>
  <c r="N530" i="27"/>
  <c r="AM530" i="27" s="1"/>
  <c r="P529" i="27"/>
  <c r="N529" i="27"/>
  <c r="AM529" i="27" s="1"/>
  <c r="P528" i="27"/>
  <c r="N528" i="27"/>
  <c r="AM528" i="27" s="1"/>
  <c r="P527" i="27"/>
  <c r="N527" i="27"/>
  <c r="AM527" i="27" s="1"/>
  <c r="P526" i="27"/>
  <c r="N526" i="27"/>
  <c r="AM526" i="27" s="1"/>
  <c r="P525" i="27"/>
  <c r="N525" i="27"/>
  <c r="AM525" i="27" s="1"/>
  <c r="P524" i="27"/>
  <c r="N524" i="27"/>
  <c r="AM524" i="27" s="1"/>
  <c r="P523" i="27"/>
  <c r="N523" i="27"/>
  <c r="AM523" i="27" s="1"/>
  <c r="P522" i="27"/>
  <c r="N522" i="27"/>
  <c r="AM522" i="27" s="1"/>
  <c r="P521" i="27"/>
  <c r="N521" i="27"/>
  <c r="AM521" i="27" s="1"/>
  <c r="P520" i="27"/>
  <c r="N520" i="27"/>
  <c r="AM520" i="27" s="1"/>
  <c r="P519" i="27"/>
  <c r="N519" i="27"/>
  <c r="AM519" i="27" s="1"/>
  <c r="P518" i="27"/>
  <c r="N518" i="27"/>
  <c r="AM518" i="27" s="1"/>
  <c r="P517" i="27"/>
  <c r="N517" i="27"/>
  <c r="AM517" i="27" s="1"/>
  <c r="P516" i="27"/>
  <c r="N516" i="27"/>
  <c r="AM516" i="27" s="1"/>
  <c r="P515" i="27"/>
  <c r="N515" i="27"/>
  <c r="AM515" i="27" s="1"/>
  <c r="P514" i="27"/>
  <c r="N514" i="27"/>
  <c r="AM514" i="27" s="1"/>
  <c r="P513" i="27"/>
  <c r="N513" i="27"/>
  <c r="AM513" i="27" s="1"/>
  <c r="P512" i="27"/>
  <c r="N512" i="27"/>
  <c r="AM512" i="27" s="1"/>
  <c r="P511" i="27"/>
  <c r="N511" i="27"/>
  <c r="AM511" i="27" s="1"/>
  <c r="P510" i="27"/>
  <c r="N510" i="27"/>
  <c r="AM510" i="27" s="1"/>
  <c r="P509" i="27"/>
  <c r="N509" i="27"/>
  <c r="AM509" i="27" s="1"/>
  <c r="P508" i="27"/>
  <c r="N508" i="27"/>
  <c r="AM508" i="27" s="1"/>
  <c r="P507" i="27"/>
  <c r="N507" i="27"/>
  <c r="AM507" i="27" s="1"/>
  <c r="P506" i="27"/>
  <c r="N506" i="27"/>
  <c r="AM506" i="27" s="1"/>
  <c r="P505" i="27"/>
  <c r="N505" i="27"/>
  <c r="AM505" i="27" s="1"/>
  <c r="P504" i="27"/>
  <c r="N504" i="27"/>
  <c r="AM504" i="27" s="1"/>
  <c r="P503" i="27"/>
  <c r="N503" i="27"/>
  <c r="AM503" i="27" s="1"/>
  <c r="P502" i="27"/>
  <c r="N502" i="27"/>
  <c r="AM502" i="27" s="1"/>
  <c r="P501" i="27"/>
  <c r="N501" i="27"/>
  <c r="AM501" i="27" s="1"/>
  <c r="P500" i="27"/>
  <c r="N500" i="27"/>
  <c r="AM500" i="27" s="1"/>
  <c r="P499" i="27"/>
  <c r="N499" i="27"/>
  <c r="AM499" i="27" s="1"/>
  <c r="P498" i="27"/>
  <c r="N498" i="27"/>
  <c r="AM498" i="27" s="1"/>
  <c r="P497" i="27"/>
  <c r="N497" i="27"/>
  <c r="AM497" i="27" s="1"/>
  <c r="P496" i="27"/>
  <c r="N496" i="27"/>
  <c r="AM496" i="27" s="1"/>
  <c r="P495" i="27"/>
  <c r="N495" i="27"/>
  <c r="AM495" i="27" s="1"/>
  <c r="P494" i="27"/>
  <c r="N494" i="27"/>
  <c r="AM494" i="27" s="1"/>
  <c r="P493" i="27"/>
  <c r="N493" i="27"/>
  <c r="AM493" i="27" s="1"/>
  <c r="P492" i="27"/>
  <c r="N492" i="27"/>
  <c r="AM492" i="27" s="1"/>
  <c r="P491" i="27"/>
  <c r="N491" i="27"/>
  <c r="AM491" i="27" s="1"/>
  <c r="P490" i="27"/>
  <c r="N490" i="27"/>
  <c r="AM490" i="27" s="1"/>
  <c r="P489" i="27"/>
  <c r="N489" i="27"/>
  <c r="AM489" i="27" s="1"/>
  <c r="P488" i="27"/>
  <c r="N488" i="27"/>
  <c r="AM488" i="27" s="1"/>
  <c r="P487" i="27"/>
  <c r="N487" i="27"/>
  <c r="AM487" i="27" s="1"/>
  <c r="P486" i="27"/>
  <c r="N486" i="27"/>
  <c r="AM486" i="27" s="1"/>
  <c r="P485" i="27"/>
  <c r="N485" i="27"/>
  <c r="AM485" i="27" s="1"/>
  <c r="P484" i="27"/>
  <c r="N484" i="27"/>
  <c r="AM484" i="27" s="1"/>
  <c r="P483" i="27"/>
  <c r="N483" i="27"/>
  <c r="AM483" i="27" s="1"/>
  <c r="P482" i="27"/>
  <c r="N482" i="27"/>
  <c r="AM482" i="27" s="1"/>
  <c r="P481" i="27"/>
  <c r="N481" i="27"/>
  <c r="AM481" i="27" s="1"/>
  <c r="P480" i="27"/>
  <c r="N480" i="27"/>
  <c r="AM480" i="27" s="1"/>
  <c r="P479" i="27"/>
  <c r="N479" i="27"/>
  <c r="AM479" i="27" s="1"/>
  <c r="P478" i="27"/>
  <c r="N478" i="27"/>
  <c r="AM478" i="27" s="1"/>
  <c r="P477" i="27"/>
  <c r="N477" i="27"/>
  <c r="AM477" i="27" s="1"/>
  <c r="P476" i="27"/>
  <c r="N476" i="27"/>
  <c r="AM476" i="27" s="1"/>
  <c r="P475" i="27"/>
  <c r="N475" i="27"/>
  <c r="AM475" i="27" s="1"/>
  <c r="P474" i="27"/>
  <c r="N474" i="27"/>
  <c r="AM474" i="27" s="1"/>
  <c r="P473" i="27"/>
  <c r="N473" i="27"/>
  <c r="AM473" i="27" s="1"/>
  <c r="P472" i="27"/>
  <c r="N472" i="27"/>
  <c r="AM472" i="27" s="1"/>
  <c r="P471" i="27"/>
  <c r="N471" i="27"/>
  <c r="AM471" i="27" s="1"/>
  <c r="P470" i="27"/>
  <c r="N470" i="27"/>
  <c r="AM470" i="27" s="1"/>
  <c r="P469" i="27"/>
  <c r="N469" i="27"/>
  <c r="AM469" i="27" s="1"/>
  <c r="P468" i="27"/>
  <c r="N468" i="27"/>
  <c r="AM468" i="27" s="1"/>
  <c r="P467" i="27"/>
  <c r="N467" i="27"/>
  <c r="AM467" i="27" s="1"/>
  <c r="P466" i="27"/>
  <c r="N466" i="27"/>
  <c r="AM466" i="27" s="1"/>
  <c r="P465" i="27"/>
  <c r="N465" i="27"/>
  <c r="AM465" i="27" s="1"/>
  <c r="P464" i="27"/>
  <c r="N464" i="27"/>
  <c r="AM464" i="27" s="1"/>
  <c r="P463" i="27"/>
  <c r="N463" i="27"/>
  <c r="AM463" i="27" s="1"/>
  <c r="P462" i="27"/>
  <c r="N462" i="27"/>
  <c r="AM462" i="27" s="1"/>
  <c r="P461" i="27"/>
  <c r="N461" i="27"/>
  <c r="AM461" i="27" s="1"/>
  <c r="P460" i="27"/>
  <c r="N460" i="27"/>
  <c r="AM460" i="27" s="1"/>
  <c r="P459" i="27"/>
  <c r="N459" i="27"/>
  <c r="AM459" i="27" s="1"/>
  <c r="P458" i="27"/>
  <c r="N458" i="27"/>
  <c r="AM458" i="27" s="1"/>
  <c r="P457" i="27"/>
  <c r="N457" i="27"/>
  <c r="AM457" i="27" s="1"/>
  <c r="P456" i="27"/>
  <c r="N456" i="27"/>
  <c r="AM456" i="27" s="1"/>
  <c r="P455" i="27"/>
  <c r="N455" i="27"/>
  <c r="AM455" i="27" s="1"/>
  <c r="P454" i="27"/>
  <c r="N454" i="27"/>
  <c r="AM454" i="27" s="1"/>
  <c r="P453" i="27"/>
  <c r="N453" i="27"/>
  <c r="AM453" i="27" s="1"/>
  <c r="P452" i="27"/>
  <c r="N452" i="27"/>
  <c r="AM452" i="27" s="1"/>
  <c r="P451" i="27"/>
  <c r="N451" i="27"/>
  <c r="AM451" i="27" s="1"/>
  <c r="P450" i="27"/>
  <c r="N450" i="27"/>
  <c r="AM450" i="27" s="1"/>
  <c r="P449" i="27"/>
  <c r="N449" i="27"/>
  <c r="AM449" i="27" s="1"/>
  <c r="P448" i="27"/>
  <c r="N448" i="27"/>
  <c r="AM448" i="27" s="1"/>
  <c r="P447" i="27"/>
  <c r="N447" i="27"/>
  <c r="AM447" i="27" s="1"/>
  <c r="P446" i="27"/>
  <c r="N446" i="27"/>
  <c r="AM446" i="27" s="1"/>
  <c r="P445" i="27"/>
  <c r="N445" i="27"/>
  <c r="AM445" i="27" s="1"/>
  <c r="P444" i="27"/>
  <c r="N444" i="27"/>
  <c r="AM444" i="27" s="1"/>
  <c r="P443" i="27"/>
  <c r="N443" i="27"/>
  <c r="AM443" i="27" s="1"/>
  <c r="P442" i="27"/>
  <c r="N442" i="27"/>
  <c r="AM442" i="27" s="1"/>
  <c r="P441" i="27"/>
  <c r="N441" i="27"/>
  <c r="AM441" i="27" s="1"/>
  <c r="P440" i="27"/>
  <c r="N440" i="27"/>
  <c r="AM440" i="27" s="1"/>
  <c r="P439" i="27"/>
  <c r="N439" i="27"/>
  <c r="AM439" i="27" s="1"/>
  <c r="P438" i="27"/>
  <c r="N438" i="27"/>
  <c r="AM438" i="27" s="1"/>
  <c r="P437" i="27"/>
  <c r="N437" i="27"/>
  <c r="AM437" i="27" s="1"/>
  <c r="P436" i="27"/>
  <c r="N436" i="27"/>
  <c r="AM436" i="27" s="1"/>
  <c r="P435" i="27"/>
  <c r="N435" i="27"/>
  <c r="AM435" i="27" s="1"/>
  <c r="P434" i="27"/>
  <c r="N434" i="27"/>
  <c r="AM434" i="27" s="1"/>
  <c r="P433" i="27"/>
  <c r="N433" i="27"/>
  <c r="AM433" i="27" s="1"/>
  <c r="P432" i="27"/>
  <c r="N432" i="27"/>
  <c r="AM432" i="27" s="1"/>
  <c r="P431" i="27"/>
  <c r="N431" i="27"/>
  <c r="AM431" i="27" s="1"/>
  <c r="P430" i="27"/>
  <c r="N430" i="27"/>
  <c r="AM430" i="27" s="1"/>
  <c r="P429" i="27"/>
  <c r="N429" i="27"/>
  <c r="AM429" i="27" s="1"/>
  <c r="P428" i="27"/>
  <c r="N428" i="27"/>
  <c r="AM428" i="27" s="1"/>
  <c r="P427" i="27"/>
  <c r="N427" i="27"/>
  <c r="AM427" i="27" s="1"/>
  <c r="P426" i="27"/>
  <c r="N426" i="27"/>
  <c r="AM426" i="27" s="1"/>
  <c r="P425" i="27"/>
  <c r="N425" i="27"/>
  <c r="AM425" i="27" s="1"/>
  <c r="P424" i="27"/>
  <c r="N424" i="27"/>
  <c r="AM424" i="27" s="1"/>
  <c r="P423" i="27"/>
  <c r="N423" i="27"/>
  <c r="AM423" i="27" s="1"/>
  <c r="P422" i="27"/>
  <c r="N422" i="27"/>
  <c r="AM422" i="27" s="1"/>
  <c r="P421" i="27"/>
  <c r="N421" i="27"/>
  <c r="AM421" i="27" s="1"/>
  <c r="P420" i="27"/>
  <c r="N420" i="27"/>
  <c r="AM420" i="27" s="1"/>
  <c r="P419" i="27"/>
  <c r="N419" i="27"/>
  <c r="AM419" i="27" s="1"/>
  <c r="P418" i="27"/>
  <c r="N418" i="27"/>
  <c r="AM418" i="27" s="1"/>
  <c r="P417" i="27"/>
  <c r="N417" i="27"/>
  <c r="AM417" i="27" s="1"/>
  <c r="P416" i="27"/>
  <c r="N416" i="27"/>
  <c r="AM416" i="27" s="1"/>
  <c r="P415" i="27"/>
  <c r="N415" i="27"/>
  <c r="AM415" i="27" s="1"/>
  <c r="P414" i="27"/>
  <c r="N414" i="27"/>
  <c r="AM414" i="27" s="1"/>
  <c r="P413" i="27"/>
  <c r="N413" i="27"/>
  <c r="AM413" i="27" s="1"/>
  <c r="P412" i="27"/>
  <c r="N412" i="27"/>
  <c r="AM412" i="27" s="1"/>
  <c r="P411" i="27"/>
  <c r="N411" i="27"/>
  <c r="AM411" i="27" s="1"/>
  <c r="P410" i="27"/>
  <c r="N410" i="27"/>
  <c r="AM410" i="27" s="1"/>
  <c r="P409" i="27"/>
  <c r="N409" i="27"/>
  <c r="AM409" i="27" s="1"/>
  <c r="P408" i="27"/>
  <c r="N408" i="27"/>
  <c r="AM408" i="27" s="1"/>
  <c r="P407" i="27"/>
  <c r="N407" i="27"/>
  <c r="AM407" i="27" s="1"/>
  <c r="P406" i="27"/>
  <c r="N406" i="27"/>
  <c r="AM406" i="27" s="1"/>
  <c r="P405" i="27"/>
  <c r="N405" i="27"/>
  <c r="AM405" i="27" s="1"/>
  <c r="P404" i="27"/>
  <c r="N404" i="27"/>
  <c r="AM404" i="27" s="1"/>
  <c r="P403" i="27"/>
  <c r="N403" i="27"/>
  <c r="AM403" i="27" s="1"/>
  <c r="P402" i="27"/>
  <c r="N402" i="27"/>
  <c r="AM402" i="27" s="1"/>
  <c r="P739" i="27"/>
  <c r="N739" i="27"/>
  <c r="AM739" i="27" s="1"/>
  <c r="P738" i="27"/>
  <c r="N738" i="27"/>
  <c r="AM738" i="27" s="1"/>
  <c r="P737" i="27"/>
  <c r="N737" i="27"/>
  <c r="AM737" i="27" s="1"/>
  <c r="P736" i="27"/>
  <c r="N736" i="27"/>
  <c r="AM736" i="27" s="1"/>
  <c r="P735" i="27"/>
  <c r="N735" i="27"/>
  <c r="AM735" i="27" s="1"/>
  <c r="P734" i="27"/>
  <c r="N734" i="27"/>
  <c r="AM734" i="27" s="1"/>
  <c r="P733" i="27"/>
  <c r="N733" i="27"/>
  <c r="AM733" i="27" s="1"/>
  <c r="P732" i="27"/>
  <c r="N732" i="27"/>
  <c r="AM732" i="27" s="1"/>
  <c r="P731" i="27"/>
  <c r="N731" i="27"/>
  <c r="AM731" i="27" s="1"/>
  <c r="P730" i="27"/>
  <c r="N730" i="27"/>
  <c r="AM730" i="27" s="1"/>
  <c r="P729" i="27"/>
  <c r="N729" i="27"/>
  <c r="AM729" i="27" s="1"/>
  <c r="P728" i="27"/>
  <c r="N728" i="27"/>
  <c r="AM728" i="27" s="1"/>
  <c r="P727" i="27"/>
  <c r="N727" i="27"/>
  <c r="AM727" i="27" s="1"/>
  <c r="P726" i="27"/>
  <c r="N726" i="27"/>
  <c r="AM726" i="27" s="1"/>
  <c r="P725" i="27"/>
  <c r="N725" i="27"/>
  <c r="AM725" i="27" s="1"/>
  <c r="P724" i="27"/>
  <c r="N724" i="27"/>
  <c r="AM724" i="27" s="1"/>
  <c r="P723" i="27"/>
  <c r="N723" i="27"/>
  <c r="AM723" i="27" s="1"/>
  <c r="P722" i="27"/>
  <c r="N722" i="27"/>
  <c r="AM722" i="27" s="1"/>
  <c r="P721" i="27"/>
  <c r="N721" i="27"/>
  <c r="AM721" i="27" s="1"/>
  <c r="P720" i="27"/>
  <c r="N720" i="27"/>
  <c r="AM720" i="27" s="1"/>
  <c r="P719" i="27"/>
  <c r="N719" i="27"/>
  <c r="AM719" i="27" s="1"/>
  <c r="P718" i="27"/>
  <c r="N718" i="27"/>
  <c r="AM718" i="27" s="1"/>
  <c r="P717" i="27"/>
  <c r="N717" i="27"/>
  <c r="AM717" i="27" s="1"/>
  <c r="P716" i="27"/>
  <c r="N716" i="27"/>
  <c r="AM716" i="27" s="1"/>
  <c r="P715" i="27"/>
  <c r="N715" i="27"/>
  <c r="AM715" i="27" s="1"/>
  <c r="P714" i="27"/>
  <c r="N714" i="27"/>
  <c r="AM714" i="27" s="1"/>
  <c r="P713" i="27"/>
  <c r="N713" i="27"/>
  <c r="AM713" i="27" s="1"/>
  <c r="P712" i="27"/>
  <c r="N712" i="27"/>
  <c r="AM712" i="27" s="1"/>
  <c r="P711" i="27"/>
  <c r="N711" i="27"/>
  <c r="AM711" i="27" s="1"/>
  <c r="P710" i="27"/>
  <c r="N710" i="27"/>
  <c r="AM710" i="27" s="1"/>
  <c r="P709" i="27"/>
  <c r="N709" i="27"/>
  <c r="AM709" i="27" s="1"/>
  <c r="P708" i="27"/>
  <c r="N708" i="27"/>
  <c r="AM708" i="27" s="1"/>
  <c r="P707" i="27"/>
  <c r="N707" i="27"/>
  <c r="AM707" i="27" s="1"/>
  <c r="P706" i="27"/>
  <c r="N706" i="27"/>
  <c r="AM706" i="27" s="1"/>
  <c r="P705" i="27"/>
  <c r="N705" i="27"/>
  <c r="AM705" i="27" s="1"/>
  <c r="P704" i="27"/>
  <c r="N704" i="27"/>
  <c r="AM704" i="27" s="1"/>
  <c r="P703" i="27"/>
  <c r="N703" i="27"/>
  <c r="AM703" i="27" s="1"/>
  <c r="P702" i="27"/>
  <c r="N702" i="27"/>
  <c r="AM702" i="27" s="1"/>
  <c r="P701" i="27"/>
  <c r="N701" i="27"/>
  <c r="AM701" i="27" s="1"/>
  <c r="P700" i="27"/>
  <c r="N700" i="27"/>
  <c r="AM700" i="27" s="1"/>
  <c r="P699" i="27"/>
  <c r="N699" i="27"/>
  <c r="AM699" i="27" s="1"/>
  <c r="P698" i="27"/>
  <c r="N698" i="27"/>
  <c r="AM698" i="27" s="1"/>
  <c r="P697" i="27"/>
  <c r="N697" i="27"/>
  <c r="AM697" i="27" s="1"/>
  <c r="P696" i="27"/>
  <c r="N696" i="27"/>
  <c r="AM696" i="27" s="1"/>
  <c r="P695" i="27"/>
  <c r="N695" i="27"/>
  <c r="AM695" i="27" s="1"/>
  <c r="P694" i="27"/>
  <c r="N694" i="27"/>
  <c r="AM694" i="27" s="1"/>
  <c r="P693" i="27"/>
  <c r="N693" i="27"/>
  <c r="AM693" i="27" s="1"/>
  <c r="P692" i="27"/>
  <c r="N692" i="27"/>
  <c r="AM692" i="27" s="1"/>
  <c r="P691" i="27"/>
  <c r="N691" i="27"/>
  <c r="AM691" i="27" s="1"/>
  <c r="P690" i="27"/>
  <c r="N690" i="27"/>
  <c r="AM690" i="27" s="1"/>
  <c r="P689" i="27"/>
  <c r="N689" i="27"/>
  <c r="AM689" i="27" s="1"/>
  <c r="P688" i="27"/>
  <c r="N688" i="27"/>
  <c r="AM688" i="27" s="1"/>
  <c r="P687" i="27"/>
  <c r="N687" i="27"/>
  <c r="AM687" i="27" s="1"/>
  <c r="P686" i="27"/>
  <c r="N686" i="27"/>
  <c r="AM686" i="27" s="1"/>
  <c r="P685" i="27"/>
  <c r="N685" i="27"/>
  <c r="AM685" i="27" s="1"/>
  <c r="P684" i="27"/>
  <c r="N684" i="27"/>
  <c r="AM684" i="27" s="1"/>
  <c r="P683" i="27"/>
  <c r="N683" i="27"/>
  <c r="AM683" i="27" s="1"/>
  <c r="P682" i="27"/>
  <c r="N682" i="27"/>
  <c r="AM682" i="27" s="1"/>
  <c r="P681" i="27"/>
  <c r="N681" i="27"/>
  <c r="AM681" i="27" s="1"/>
  <c r="P680" i="27"/>
  <c r="N680" i="27"/>
  <c r="AM680" i="27" s="1"/>
  <c r="P679" i="27"/>
  <c r="N679" i="27"/>
  <c r="AM679" i="27" s="1"/>
  <c r="P678" i="27"/>
  <c r="N678" i="27"/>
  <c r="AM678" i="27" s="1"/>
  <c r="P677" i="27"/>
  <c r="N677" i="27"/>
  <c r="AM677" i="27" s="1"/>
  <c r="P676" i="27"/>
  <c r="N676" i="27"/>
  <c r="AM676" i="27" s="1"/>
  <c r="P675" i="27"/>
  <c r="N675" i="27"/>
  <c r="AM675" i="27" s="1"/>
  <c r="P674" i="27"/>
  <c r="N674" i="27"/>
  <c r="AM674" i="27" s="1"/>
  <c r="P673" i="27"/>
  <c r="N673" i="27"/>
  <c r="AM673" i="27" s="1"/>
  <c r="P672" i="27"/>
  <c r="N672" i="27"/>
  <c r="AM672" i="27" s="1"/>
  <c r="P671" i="27"/>
  <c r="N671" i="27"/>
  <c r="AM671" i="27" s="1"/>
  <c r="P670" i="27"/>
  <c r="N670" i="27"/>
  <c r="AM670" i="27" s="1"/>
  <c r="P669" i="27"/>
  <c r="N669" i="27"/>
  <c r="AM669" i="27" s="1"/>
  <c r="P668" i="27"/>
  <c r="N668" i="27"/>
  <c r="AM668" i="27" s="1"/>
  <c r="P667" i="27"/>
  <c r="N667" i="27"/>
  <c r="AM667" i="27" s="1"/>
  <c r="P666" i="27"/>
  <c r="N666" i="27"/>
  <c r="AM666" i="27" s="1"/>
  <c r="P665" i="27"/>
  <c r="N665" i="27"/>
  <c r="AM665" i="27" s="1"/>
  <c r="P664" i="27"/>
  <c r="N664" i="27"/>
  <c r="AM664" i="27" s="1"/>
  <c r="P663" i="27"/>
  <c r="N663" i="27"/>
  <c r="AM663" i="27" s="1"/>
  <c r="P662" i="27"/>
  <c r="N662" i="27"/>
  <c r="AM662" i="27" s="1"/>
  <c r="P661" i="27"/>
  <c r="N661" i="27"/>
  <c r="AM661" i="27" s="1"/>
  <c r="P660" i="27"/>
  <c r="N660" i="27"/>
  <c r="AM660" i="27" s="1"/>
  <c r="P659" i="27"/>
  <c r="N659" i="27"/>
  <c r="AM659" i="27" s="1"/>
  <c r="P658" i="27"/>
  <c r="N658" i="27"/>
  <c r="AM658" i="27" s="1"/>
  <c r="P657" i="27"/>
  <c r="N657" i="27"/>
  <c r="AM657" i="27" s="1"/>
  <c r="P656" i="27"/>
  <c r="N656" i="27"/>
  <c r="AM656" i="27" s="1"/>
  <c r="P655" i="27"/>
  <c r="N655" i="27"/>
  <c r="AM655" i="27" s="1"/>
  <c r="P654" i="27"/>
  <c r="N654" i="27"/>
  <c r="AM654" i="27" s="1"/>
  <c r="P653" i="27"/>
  <c r="N653" i="27"/>
  <c r="AM653" i="27" s="1"/>
  <c r="P652" i="27"/>
  <c r="N652" i="27"/>
  <c r="AM652" i="27" s="1"/>
  <c r="P651" i="27"/>
  <c r="N651" i="27"/>
  <c r="AM651" i="27" s="1"/>
  <c r="P650" i="27"/>
  <c r="N650" i="27"/>
  <c r="AM650" i="27" s="1"/>
  <c r="P649" i="27"/>
  <c r="N649" i="27"/>
  <c r="AM649" i="27" s="1"/>
  <c r="P648" i="27"/>
  <c r="N648" i="27"/>
  <c r="AM648" i="27" s="1"/>
  <c r="P647" i="27"/>
  <c r="N647" i="27"/>
  <c r="AM647" i="27" s="1"/>
  <c r="P646" i="27"/>
  <c r="N646" i="27"/>
  <c r="AM646" i="27" s="1"/>
  <c r="P645" i="27"/>
  <c r="N645" i="27"/>
  <c r="AM645" i="27" s="1"/>
  <c r="P644" i="27"/>
  <c r="N644" i="27"/>
  <c r="AM644" i="27" s="1"/>
  <c r="P643" i="27"/>
  <c r="N643" i="27"/>
  <c r="AM643" i="27" s="1"/>
  <c r="P642" i="27"/>
  <c r="N642" i="27"/>
  <c r="AM642" i="27" s="1"/>
  <c r="P641" i="27"/>
  <c r="N641" i="27"/>
  <c r="AM641" i="27" s="1"/>
  <c r="P640" i="27"/>
  <c r="N640" i="27"/>
  <c r="AM640" i="27" s="1"/>
  <c r="P639" i="27"/>
  <c r="N639" i="27"/>
  <c r="AM639" i="27" s="1"/>
  <c r="P638" i="27"/>
  <c r="N638" i="27"/>
  <c r="AM638" i="27" s="1"/>
  <c r="P637" i="27"/>
  <c r="N637" i="27"/>
  <c r="AM637" i="27" s="1"/>
  <c r="P636" i="27"/>
  <c r="N636" i="27"/>
  <c r="AM636" i="27" s="1"/>
  <c r="P635" i="27"/>
  <c r="N635" i="27"/>
  <c r="AM635" i="27" s="1"/>
  <c r="P634" i="27"/>
  <c r="N634" i="27"/>
  <c r="AM634" i="27" s="1"/>
  <c r="P633" i="27"/>
  <c r="N633" i="27"/>
  <c r="AM633" i="27" s="1"/>
  <c r="P632" i="27"/>
  <c r="N632" i="27"/>
  <c r="AM632" i="27" s="1"/>
  <c r="P631" i="27"/>
  <c r="N631" i="27"/>
  <c r="AM631" i="27" s="1"/>
  <c r="P630" i="27"/>
  <c r="N630" i="27"/>
  <c r="AM630" i="27" s="1"/>
  <c r="P629" i="27"/>
  <c r="N629" i="27"/>
  <c r="AM629" i="27" s="1"/>
  <c r="P628" i="27"/>
  <c r="N628" i="27"/>
  <c r="AM628" i="27" s="1"/>
  <c r="P627" i="27"/>
  <c r="N627" i="27"/>
  <c r="AM627" i="27" s="1"/>
  <c r="P626" i="27"/>
  <c r="N626" i="27"/>
  <c r="AM626" i="27" s="1"/>
  <c r="P625" i="27"/>
  <c r="N625" i="27"/>
  <c r="AM625" i="27" s="1"/>
  <c r="P624" i="27"/>
  <c r="N624" i="27"/>
  <c r="AM624" i="27" s="1"/>
  <c r="P623" i="27"/>
  <c r="N623" i="27"/>
  <c r="AM623" i="27" s="1"/>
  <c r="P622" i="27"/>
  <c r="N622" i="27"/>
  <c r="AM622" i="27" s="1"/>
  <c r="P621" i="27"/>
  <c r="N621" i="27"/>
  <c r="AM621" i="27" s="1"/>
  <c r="P620" i="27"/>
  <c r="N620" i="27"/>
  <c r="AM620" i="27" s="1"/>
  <c r="P619" i="27"/>
  <c r="N619" i="27"/>
  <c r="AM619" i="27" s="1"/>
  <c r="P618" i="27"/>
  <c r="N618" i="27"/>
  <c r="AM618" i="27" s="1"/>
  <c r="P617" i="27"/>
  <c r="N617" i="27"/>
  <c r="AM617" i="27" s="1"/>
  <c r="P616" i="27"/>
  <c r="N616" i="27"/>
  <c r="AM616" i="27" s="1"/>
  <c r="P615" i="27"/>
  <c r="N615" i="27"/>
  <c r="AM615" i="27" s="1"/>
  <c r="P614" i="27"/>
  <c r="N614" i="27"/>
  <c r="AM614" i="27" s="1"/>
  <c r="P613" i="27"/>
  <c r="N613" i="27"/>
  <c r="AM613" i="27" s="1"/>
  <c r="P612" i="27"/>
  <c r="N612" i="27"/>
  <c r="AM612" i="27" s="1"/>
  <c r="P611" i="27"/>
  <c r="N611" i="27"/>
  <c r="AM611" i="27" s="1"/>
  <c r="P610" i="27"/>
  <c r="N610" i="27"/>
  <c r="AM610" i="27" s="1"/>
  <c r="P609" i="27"/>
  <c r="N609" i="27"/>
  <c r="AM609" i="27" s="1"/>
  <c r="P608" i="27"/>
  <c r="N608" i="27"/>
  <c r="AM608" i="27" s="1"/>
  <c r="P607" i="27"/>
  <c r="N607" i="27"/>
  <c r="AM607" i="27" s="1"/>
  <c r="P606" i="27"/>
  <c r="N606" i="27"/>
  <c r="AM606" i="27" s="1"/>
  <c r="P605" i="27"/>
  <c r="N605" i="27"/>
  <c r="AM605" i="27" s="1"/>
  <c r="P604" i="27"/>
  <c r="N604" i="27"/>
  <c r="AM604" i="27" s="1"/>
  <c r="P603" i="27"/>
  <c r="N603" i="27"/>
  <c r="AM603" i="27" s="1"/>
  <c r="P602" i="27"/>
  <c r="N602" i="27"/>
  <c r="AM602" i="27" s="1"/>
  <c r="P601" i="27"/>
  <c r="N601" i="27"/>
  <c r="AM601" i="27" s="1"/>
  <c r="P600" i="27"/>
  <c r="N600" i="27"/>
  <c r="AM600" i="27" s="1"/>
  <c r="P599" i="27"/>
  <c r="N599" i="27"/>
  <c r="AM599" i="27" s="1"/>
  <c r="P598" i="27"/>
  <c r="N598" i="27"/>
  <c r="AM598" i="27" s="1"/>
  <c r="P597" i="27"/>
  <c r="N597" i="27"/>
  <c r="AM597" i="27" s="1"/>
  <c r="P596" i="27"/>
  <c r="N596" i="27"/>
  <c r="AM596" i="27" s="1"/>
  <c r="P595" i="27"/>
  <c r="N595" i="27"/>
  <c r="AM595" i="27" s="1"/>
  <c r="P594" i="27"/>
  <c r="N594" i="27"/>
  <c r="AM594" i="27" s="1"/>
  <c r="P593" i="27"/>
  <c r="N593" i="27"/>
  <c r="AM593" i="27" s="1"/>
  <c r="P592" i="27"/>
  <c r="N592" i="27"/>
  <c r="AM592" i="27" s="1"/>
  <c r="P591" i="27"/>
  <c r="N591" i="27"/>
  <c r="AM591" i="27" s="1"/>
  <c r="P589" i="27"/>
  <c r="N589" i="27"/>
  <c r="AM589" i="27" s="1"/>
  <c r="P588" i="27"/>
  <c r="N588" i="27"/>
  <c r="AM588" i="27" s="1"/>
  <c r="P587" i="27"/>
  <c r="N587" i="27"/>
  <c r="AM587" i="27" s="1"/>
  <c r="P586" i="27"/>
  <c r="N586" i="27"/>
  <c r="AM586" i="27" s="1"/>
  <c r="P585" i="27"/>
  <c r="N585" i="27"/>
  <c r="AM585" i="27" s="1"/>
  <c r="P584" i="27"/>
  <c r="N584" i="27"/>
  <c r="AM584" i="27" s="1"/>
  <c r="P583" i="27"/>
  <c r="N583" i="27"/>
  <c r="AM583" i="27" s="1"/>
  <c r="P582" i="27"/>
  <c r="N582" i="27"/>
  <c r="AM582" i="27" s="1"/>
  <c r="P581" i="27"/>
  <c r="N581" i="27"/>
  <c r="AM581" i="27" s="1"/>
  <c r="P580" i="27"/>
  <c r="N580" i="27"/>
  <c r="AM580" i="27" s="1"/>
  <c r="P579" i="27"/>
  <c r="N579" i="27"/>
  <c r="AM579" i="27" s="1"/>
  <c r="P578" i="27"/>
  <c r="N578" i="27"/>
  <c r="AM578" i="27" s="1"/>
  <c r="P577" i="27"/>
  <c r="N577" i="27"/>
  <c r="AM577" i="27" s="1"/>
  <c r="P576" i="27"/>
  <c r="N576" i="27"/>
  <c r="AM576" i="27" s="1"/>
  <c r="P575" i="27"/>
  <c r="N575" i="27"/>
  <c r="AM575" i="27" s="1"/>
  <c r="P574" i="27"/>
  <c r="N574" i="27"/>
  <c r="AM574" i="27" s="1"/>
  <c r="P573" i="27"/>
  <c r="N573" i="27"/>
  <c r="AM573" i="27" s="1"/>
  <c r="P572" i="27"/>
  <c r="N572" i="27"/>
  <c r="AM572" i="27" s="1"/>
  <c r="P571" i="27"/>
  <c r="N571" i="27"/>
  <c r="AM571" i="27" s="1"/>
  <c r="E27" i="56"/>
  <c r="F27" i="56" s="1"/>
  <c r="E28" i="56"/>
  <c r="E29" i="56"/>
  <c r="F29" i="56" s="1"/>
  <c r="E30" i="56"/>
  <c r="F30" i="56" s="1"/>
  <c r="E31" i="56"/>
  <c r="F31" i="56" s="1"/>
  <c r="E32" i="56"/>
  <c r="F32" i="56" s="1"/>
  <c r="E33" i="56"/>
  <c r="E26" i="56"/>
  <c r="F26" i="56" s="1"/>
  <c r="E3" i="49"/>
  <c r="G3" i="49"/>
  <c r="H3" i="49"/>
  <c r="E4" i="49"/>
  <c r="G4" i="49"/>
  <c r="H4" i="49"/>
  <c r="E5" i="49"/>
  <c r="G5" i="49"/>
  <c r="H5" i="49"/>
  <c r="E6" i="49"/>
  <c r="G6" i="49"/>
  <c r="H6" i="49"/>
  <c r="E7" i="49"/>
  <c r="G7" i="49"/>
  <c r="H7" i="49"/>
  <c r="E8" i="49"/>
  <c r="G8" i="49"/>
  <c r="H8" i="49"/>
  <c r="E9" i="49"/>
  <c r="G9" i="49"/>
  <c r="H9" i="49"/>
  <c r="E10" i="49"/>
  <c r="G10" i="49"/>
  <c r="H10" i="49"/>
  <c r="E11" i="49"/>
  <c r="G11" i="49"/>
  <c r="H11" i="49"/>
  <c r="E12" i="49"/>
  <c r="G12" i="49"/>
  <c r="H12" i="49"/>
  <c r="E13" i="49"/>
  <c r="G13" i="49"/>
  <c r="H13" i="49"/>
  <c r="E14" i="49"/>
  <c r="G14" i="49"/>
  <c r="H14" i="49"/>
  <c r="E15" i="49"/>
  <c r="G15" i="49"/>
  <c r="H15" i="49"/>
  <c r="E17" i="49"/>
  <c r="G17" i="49"/>
  <c r="H17" i="49"/>
  <c r="G9" i="35"/>
  <c r="H9" i="35"/>
  <c r="J9" i="35"/>
  <c r="G10" i="35"/>
  <c r="H10" i="35"/>
  <c r="J10" i="35"/>
  <c r="G11" i="35"/>
  <c r="H11" i="35"/>
  <c r="J11" i="35"/>
  <c r="G13" i="35"/>
  <c r="H13" i="35"/>
  <c r="J13" i="35"/>
  <c r="G12" i="35"/>
  <c r="H12" i="35"/>
  <c r="J12" i="35"/>
  <c r="E34" i="56"/>
  <c r="H11" i="54"/>
  <c r="K11" i="54"/>
  <c r="P14" i="54"/>
  <c r="Q11" i="54"/>
  <c r="J11" i="54"/>
  <c r="I10" i="54"/>
  <c r="L10" i="54" s="1"/>
  <c r="G10" i="54"/>
  <c r="I9" i="54"/>
  <c r="L9" i="54" s="1"/>
  <c r="O9" i="54" s="1"/>
  <c r="G9" i="54"/>
  <c r="L8" i="54"/>
  <c r="G8" i="54"/>
  <c r="G64" i="64"/>
  <c r="I64" i="64"/>
  <c r="G65" i="64"/>
  <c r="I65" i="64"/>
  <c r="G67" i="64"/>
  <c r="I67" i="64"/>
  <c r="G68" i="64"/>
  <c r="I68" i="64"/>
  <c r="G69" i="64"/>
  <c r="I69" i="64"/>
  <c r="G70" i="64"/>
  <c r="I70" i="64"/>
  <c r="C40" i="58"/>
  <c r="C41" i="58"/>
  <c r="C42" i="58"/>
  <c r="C43" i="58"/>
  <c r="C44" i="58"/>
  <c r="C45" i="58"/>
  <c r="C46" i="58"/>
  <c r="C47" i="58"/>
  <c r="E40" i="58"/>
  <c r="E41" i="58"/>
  <c r="E42" i="58"/>
  <c r="E43" i="58"/>
  <c r="E44" i="58"/>
  <c r="E45" i="58"/>
  <c r="E46" i="58"/>
  <c r="E48" i="58"/>
  <c r="G40" i="58"/>
  <c r="G41" i="58"/>
  <c r="G42" i="58"/>
  <c r="G43" i="58"/>
  <c r="G44" i="58"/>
  <c r="G45" i="58"/>
  <c r="G46" i="58"/>
  <c r="I40" i="58"/>
  <c r="J44" i="58"/>
  <c r="K40" i="58"/>
  <c r="J40" i="58"/>
  <c r="J41" i="58"/>
  <c r="K41" i="58"/>
  <c r="J42" i="58"/>
  <c r="K42" i="58"/>
  <c r="J43" i="58"/>
  <c r="K43" i="58"/>
  <c r="K44" i="58"/>
  <c r="J45" i="58"/>
  <c r="K45" i="58"/>
  <c r="J46" i="58"/>
  <c r="K46" i="58"/>
  <c r="J47" i="58"/>
  <c r="K47" i="58"/>
  <c r="J48" i="58"/>
  <c r="K48" i="58"/>
  <c r="F54" i="58"/>
  <c r="F55" i="58"/>
  <c r="F56" i="58"/>
  <c r="F53" i="58"/>
  <c r="I41" i="58"/>
  <c r="I42" i="58"/>
  <c r="I43" i="58"/>
  <c r="I44" i="58"/>
  <c r="I45" i="58"/>
  <c r="I46" i="58"/>
  <c r="O187" i="48"/>
  <c r="N187" i="48"/>
  <c r="M187" i="48"/>
  <c r="L187" i="48"/>
  <c r="K187" i="48"/>
  <c r="J187" i="48"/>
  <c r="I187" i="48"/>
  <c r="H187" i="48"/>
  <c r="G187" i="48"/>
  <c r="F187" i="48"/>
  <c r="E187" i="48"/>
  <c r="D187" i="48"/>
  <c r="O186" i="48"/>
  <c r="N186" i="48"/>
  <c r="M186" i="48"/>
  <c r="L186" i="48"/>
  <c r="K186" i="48"/>
  <c r="J186" i="48"/>
  <c r="I186" i="48"/>
  <c r="H186" i="48"/>
  <c r="G186" i="48"/>
  <c r="F186" i="48"/>
  <c r="E186" i="48"/>
  <c r="D186" i="48"/>
  <c r="K185" i="48"/>
  <c r="J185" i="48"/>
  <c r="I185" i="48"/>
  <c r="G185" i="48"/>
  <c r="E185" i="48"/>
  <c r="D185" i="48"/>
  <c r="O184" i="48"/>
  <c r="N184" i="48"/>
  <c r="M184" i="48"/>
  <c r="L184" i="48"/>
  <c r="K184" i="48"/>
  <c r="I184" i="48"/>
  <c r="H184" i="48"/>
  <c r="G184" i="48"/>
  <c r="F184" i="48"/>
  <c r="E184" i="48"/>
  <c r="D184" i="48"/>
  <c r="N183" i="48"/>
  <c r="L183" i="48"/>
  <c r="K183" i="48"/>
  <c r="J183" i="48"/>
  <c r="I183" i="48"/>
  <c r="H183" i="48"/>
  <c r="G183" i="48"/>
  <c r="F183" i="48"/>
  <c r="D183" i="48"/>
  <c r="O176" i="48"/>
  <c r="N176" i="48"/>
  <c r="M176" i="48"/>
  <c r="L176" i="48"/>
  <c r="K176" i="48"/>
  <c r="J176" i="48"/>
  <c r="I176" i="48"/>
  <c r="H176" i="48"/>
  <c r="G176" i="48"/>
  <c r="F176" i="48"/>
  <c r="E176" i="48"/>
  <c r="D176" i="48"/>
  <c r="O175" i="48"/>
  <c r="N175" i="48"/>
  <c r="M175" i="48"/>
  <c r="L175" i="48"/>
  <c r="K175" i="48"/>
  <c r="J175" i="48"/>
  <c r="I175" i="48"/>
  <c r="H175" i="48"/>
  <c r="G175" i="48"/>
  <c r="F175" i="48"/>
  <c r="E175" i="48"/>
  <c r="D175" i="48"/>
  <c r="K174" i="48"/>
  <c r="J174" i="48"/>
  <c r="I174" i="48"/>
  <c r="G174" i="48"/>
  <c r="E174" i="48"/>
  <c r="D174" i="48"/>
  <c r="O173" i="48"/>
  <c r="N173" i="48"/>
  <c r="M173" i="48"/>
  <c r="L173" i="48"/>
  <c r="K173" i="48"/>
  <c r="I173" i="48"/>
  <c r="H173" i="48"/>
  <c r="G173" i="48"/>
  <c r="F173" i="48"/>
  <c r="E173" i="48"/>
  <c r="D173" i="48"/>
  <c r="N172" i="48"/>
  <c r="L172" i="48"/>
  <c r="K172" i="48"/>
  <c r="J172" i="48"/>
  <c r="I172" i="48"/>
  <c r="H172" i="48"/>
  <c r="G172" i="48"/>
  <c r="F172" i="48"/>
  <c r="D172" i="48"/>
  <c r="T168" i="48"/>
  <c r="O157" i="48"/>
  <c r="O162" i="48" s="1"/>
  <c r="N157" i="48"/>
  <c r="M157" i="48"/>
  <c r="L157" i="48"/>
  <c r="L162" i="48" s="1"/>
  <c r="K157" i="48"/>
  <c r="J157" i="48"/>
  <c r="J162" i="48" s="1"/>
  <c r="I157" i="48"/>
  <c r="I162" i="48" s="1"/>
  <c r="H157" i="48"/>
  <c r="H162" i="48" s="1"/>
  <c r="G157" i="48"/>
  <c r="G162" i="48" s="1"/>
  <c r="F157" i="48"/>
  <c r="F162" i="48" s="1"/>
  <c r="E157" i="48"/>
  <c r="E162" i="48" s="1"/>
  <c r="D157" i="48"/>
  <c r="Q156" i="48"/>
  <c r="P156" i="48"/>
  <c r="T164" i="48" s="1"/>
  <c r="O154" i="48"/>
  <c r="N154" i="48"/>
  <c r="M154" i="48"/>
  <c r="L154" i="48"/>
  <c r="K154" i="48"/>
  <c r="J154" i="48"/>
  <c r="I154" i="48"/>
  <c r="H154" i="48"/>
  <c r="G154" i="48"/>
  <c r="F154" i="48"/>
  <c r="E154" i="48"/>
  <c r="D154" i="48"/>
  <c r="Q153" i="48"/>
  <c r="P153" i="48"/>
  <c r="K150" i="48"/>
  <c r="J150" i="48"/>
  <c r="I150" i="48"/>
  <c r="G150" i="48"/>
  <c r="E150" i="48"/>
  <c r="D150" i="48"/>
  <c r="Q149" i="48"/>
  <c r="O146" i="48"/>
  <c r="N146" i="48"/>
  <c r="N147" i="48" s="1"/>
  <c r="M146" i="48"/>
  <c r="L146" i="48"/>
  <c r="L147" i="48" s="1"/>
  <c r="K146" i="48"/>
  <c r="K147" i="48" s="1"/>
  <c r="I146" i="48"/>
  <c r="H146" i="48"/>
  <c r="H147" i="48" s="1"/>
  <c r="G146" i="48"/>
  <c r="G147" i="48" s="1"/>
  <c r="F146" i="48"/>
  <c r="F147" i="48" s="1"/>
  <c r="E146" i="48"/>
  <c r="D146" i="48"/>
  <c r="D147" i="48" s="1"/>
  <c r="Q145" i="48"/>
  <c r="Q143" i="48"/>
  <c r="Q142" i="48"/>
  <c r="O122" i="48"/>
  <c r="O127" i="48" s="1"/>
  <c r="N122" i="48"/>
  <c r="N123" i="48" s="1"/>
  <c r="M122" i="48"/>
  <c r="M123" i="48" s="1"/>
  <c r="L122" i="48"/>
  <c r="L123" i="48" s="1"/>
  <c r="K122" i="48"/>
  <c r="K123" i="48" s="1"/>
  <c r="J122" i="48"/>
  <c r="J123" i="48" s="1"/>
  <c r="I122" i="48"/>
  <c r="I123" i="48" s="1"/>
  <c r="H122" i="48"/>
  <c r="H123" i="48" s="1"/>
  <c r="G122" i="48"/>
  <c r="G123" i="48" s="1"/>
  <c r="F122" i="48"/>
  <c r="F123" i="48" s="1"/>
  <c r="E122" i="48"/>
  <c r="E123" i="48" s="1"/>
  <c r="D122" i="48"/>
  <c r="Q121" i="48"/>
  <c r="P121" i="48"/>
  <c r="P118" i="48"/>
  <c r="Q117" i="48"/>
  <c r="P117" i="48"/>
  <c r="K114" i="48"/>
  <c r="K119" i="48" s="1"/>
  <c r="J114" i="48"/>
  <c r="J119" i="48" s="1"/>
  <c r="I114" i="48"/>
  <c r="I119" i="48" s="1"/>
  <c r="G114" i="48"/>
  <c r="G119" i="48" s="1"/>
  <c r="E114" i="48"/>
  <c r="E119" i="48" s="1"/>
  <c r="D114" i="48"/>
  <c r="D119" i="48" s="1"/>
  <c r="Q113" i="48"/>
  <c r="O110" i="48"/>
  <c r="N110" i="48"/>
  <c r="N111" i="48" s="1"/>
  <c r="M110" i="48"/>
  <c r="L110" i="48"/>
  <c r="L111" i="48" s="1"/>
  <c r="K110" i="48"/>
  <c r="K111" i="48" s="1"/>
  <c r="I110" i="48"/>
  <c r="I111" i="48" s="1"/>
  <c r="H110" i="48"/>
  <c r="H111" i="48" s="1"/>
  <c r="G110" i="48"/>
  <c r="G111" i="48" s="1"/>
  <c r="F110" i="48"/>
  <c r="F111" i="48" s="1"/>
  <c r="E110" i="48"/>
  <c r="D110" i="48"/>
  <c r="D111" i="48" s="1"/>
  <c r="Q109" i="48"/>
  <c r="Q106" i="48"/>
  <c r="O80" i="48"/>
  <c r="O72" i="48"/>
  <c r="N72" i="48"/>
  <c r="M72" i="48"/>
  <c r="L72" i="48"/>
  <c r="K72" i="48"/>
  <c r="J72" i="48"/>
  <c r="I72" i="48"/>
  <c r="H72" i="48"/>
  <c r="G72" i="48"/>
  <c r="F72" i="48"/>
  <c r="E72" i="48"/>
  <c r="D72" i="48"/>
  <c r="G71" i="48"/>
  <c r="F71" i="48"/>
  <c r="E71" i="48"/>
  <c r="D71" i="48"/>
  <c r="Q70" i="48"/>
  <c r="P70" i="48"/>
  <c r="G69" i="48"/>
  <c r="F69" i="48"/>
  <c r="E69" i="48"/>
  <c r="D69" i="48"/>
  <c r="Q68" i="48"/>
  <c r="P68" i="48"/>
  <c r="O67" i="48"/>
  <c r="O71" i="48" s="1"/>
  <c r="N67" i="48"/>
  <c r="N71" i="48" s="1"/>
  <c r="M67" i="48"/>
  <c r="M71" i="48" s="1"/>
  <c r="L67" i="48"/>
  <c r="L71" i="48" s="1"/>
  <c r="K67" i="48"/>
  <c r="K71" i="48" s="1"/>
  <c r="J67" i="48"/>
  <c r="J71" i="48" s="1"/>
  <c r="I67" i="48"/>
  <c r="I71" i="48" s="1"/>
  <c r="H67" i="48"/>
  <c r="Q66" i="48"/>
  <c r="Q88" i="48" s="1"/>
  <c r="P66" i="48"/>
  <c r="J64" i="48"/>
  <c r="I64" i="48"/>
  <c r="G64" i="48"/>
  <c r="Q62" i="48"/>
  <c r="P62" i="48"/>
  <c r="Q60" i="48"/>
  <c r="P60" i="48"/>
  <c r="O59" i="48"/>
  <c r="O63" i="48" s="1"/>
  <c r="N59" i="48"/>
  <c r="N63" i="48" s="1"/>
  <c r="M59" i="48"/>
  <c r="M63" i="48" s="1"/>
  <c r="L59" i="48"/>
  <c r="L63" i="48" s="1"/>
  <c r="K59" i="48"/>
  <c r="K63" i="48" s="1"/>
  <c r="J59" i="48"/>
  <c r="J63" i="48" s="1"/>
  <c r="I59" i="48"/>
  <c r="I63" i="48" s="1"/>
  <c r="H59" i="48"/>
  <c r="H63" i="48" s="1"/>
  <c r="G59" i="48"/>
  <c r="G63" i="48" s="1"/>
  <c r="F59" i="48"/>
  <c r="F63" i="48" s="1"/>
  <c r="E59" i="48"/>
  <c r="E63" i="48" s="1"/>
  <c r="D59" i="48"/>
  <c r="D63" i="48" s="1"/>
  <c r="Q58" i="48"/>
  <c r="P58" i="48"/>
  <c r="Q54" i="48"/>
  <c r="Q52" i="48"/>
  <c r="J51" i="48"/>
  <c r="J55" i="48" s="1"/>
  <c r="I51" i="48"/>
  <c r="I53" i="48" s="1"/>
  <c r="G51" i="48"/>
  <c r="G55" i="48" s="1"/>
  <c r="O50" i="48"/>
  <c r="O64" i="48" s="1"/>
  <c r="N50" i="48"/>
  <c r="N64" i="48" s="1"/>
  <c r="M50" i="48"/>
  <c r="M51" i="48" s="1"/>
  <c r="L50" i="48"/>
  <c r="L51" i="48" s="1"/>
  <c r="L53" i="48" s="1"/>
  <c r="K50" i="48"/>
  <c r="K64" i="48" s="1"/>
  <c r="H50" i="48"/>
  <c r="H64" i="48" s="1"/>
  <c r="F50" i="48"/>
  <c r="F64" i="48" s="1"/>
  <c r="E50" i="48"/>
  <c r="E51" i="48" s="1"/>
  <c r="E53" i="48" s="1"/>
  <c r="D50" i="48"/>
  <c r="D64" i="48" s="1"/>
  <c r="Q46" i="48"/>
  <c r="Q44" i="48"/>
  <c r="O42" i="48"/>
  <c r="O43" i="48" s="1"/>
  <c r="N42" i="48"/>
  <c r="N48" i="48" s="1"/>
  <c r="M42" i="48"/>
  <c r="M43" i="48" s="1"/>
  <c r="L42" i="48"/>
  <c r="L43" i="48" s="1"/>
  <c r="K42" i="48"/>
  <c r="K48" i="48" s="1"/>
  <c r="J42" i="48"/>
  <c r="J56" i="48" s="1"/>
  <c r="I42" i="48"/>
  <c r="I48" i="48" s="1"/>
  <c r="H42" i="48"/>
  <c r="H43" i="48" s="1"/>
  <c r="G42" i="48"/>
  <c r="G48" i="48" s="1"/>
  <c r="F42" i="48"/>
  <c r="F48" i="48" s="1"/>
  <c r="E42" i="48"/>
  <c r="E43" i="48" s="1"/>
  <c r="D42" i="48"/>
  <c r="D43" i="48" s="1"/>
  <c r="N40" i="48"/>
  <c r="L40" i="48"/>
  <c r="K40" i="48"/>
  <c r="J40" i="48"/>
  <c r="I40" i="48"/>
  <c r="H40" i="48"/>
  <c r="G40" i="48"/>
  <c r="F40" i="48"/>
  <c r="D40" i="48"/>
  <c r="Q39" i="48"/>
  <c r="N38" i="48"/>
  <c r="L38" i="48"/>
  <c r="K38" i="48"/>
  <c r="J38" i="48"/>
  <c r="I38" i="48"/>
  <c r="H38" i="48"/>
  <c r="G38" i="48"/>
  <c r="F38" i="48"/>
  <c r="D38" i="48"/>
  <c r="Q37" i="48"/>
  <c r="Q36" i="48"/>
  <c r="Q35" i="48"/>
  <c r="Q28" i="48"/>
  <c r="P28" i="48"/>
  <c r="Q27" i="48"/>
  <c r="Q154" i="48" s="1"/>
  <c r="P27" i="48"/>
  <c r="O174" i="48"/>
  <c r="N174" i="48"/>
  <c r="M150" i="48"/>
  <c r="L185" i="48"/>
  <c r="H185" i="48"/>
  <c r="F185" i="48"/>
  <c r="J110" i="48"/>
  <c r="J111" i="48" s="1"/>
  <c r="Q24" i="48"/>
  <c r="P24" i="48"/>
  <c r="Q16" i="48"/>
  <c r="Q15" i="48"/>
  <c r="Q14" i="48"/>
  <c r="P14" i="48"/>
  <c r="Q13" i="48"/>
  <c r="P13" i="48"/>
  <c r="K4" i="48"/>
  <c r="AP1294" i="27"/>
  <c r="AL1292" i="27"/>
  <c r="AK1292" i="27"/>
  <c r="AJ1292" i="27"/>
  <c r="AI1292" i="27"/>
  <c r="AH1292" i="27"/>
  <c r="AF1292" i="27"/>
  <c r="AE1292" i="27"/>
  <c r="AD1292" i="27"/>
  <c r="AC1292" i="27"/>
  <c r="AB1292" i="27"/>
  <c r="AA1292" i="27"/>
  <c r="X1292" i="27"/>
  <c r="W1292" i="27"/>
  <c r="V1292" i="27"/>
  <c r="U1292" i="27"/>
  <c r="T1292" i="27"/>
  <c r="Q1292" i="27"/>
  <c r="O1292" i="27"/>
  <c r="M1292" i="27"/>
  <c r="K1292" i="27"/>
  <c r="J1292" i="27"/>
  <c r="I1292" i="27"/>
  <c r="P1255" i="27"/>
  <c r="N1255" i="27"/>
  <c r="AM1255" i="27" s="1"/>
  <c r="P1254" i="27"/>
  <c r="N1254" i="27"/>
  <c r="AM1254" i="27" s="1"/>
  <c r="P1253" i="27"/>
  <c r="N1253" i="27"/>
  <c r="AM1253" i="27" s="1"/>
  <c r="P1252" i="27"/>
  <c r="N1252" i="27"/>
  <c r="AM1252" i="27" s="1"/>
  <c r="P1251" i="27"/>
  <c r="N1251" i="27"/>
  <c r="AM1251" i="27" s="1"/>
  <c r="P1250" i="27"/>
  <c r="N1250" i="27"/>
  <c r="AM1250" i="27" s="1"/>
  <c r="P1249" i="27"/>
  <c r="N1249" i="27"/>
  <c r="AM1249" i="27" s="1"/>
  <c r="P1248" i="27"/>
  <c r="N1248" i="27"/>
  <c r="AM1248" i="27" s="1"/>
  <c r="P1247" i="27"/>
  <c r="N1247" i="27"/>
  <c r="AM1247" i="27" s="1"/>
  <c r="P1246" i="27"/>
  <c r="N1246" i="27"/>
  <c r="AM1246" i="27" s="1"/>
  <c r="P1245" i="27"/>
  <c r="N1245" i="27"/>
  <c r="AM1245" i="27" s="1"/>
  <c r="P1244" i="27"/>
  <c r="N1244" i="27"/>
  <c r="AM1244" i="27" s="1"/>
  <c r="P1243" i="27"/>
  <c r="N1243" i="27"/>
  <c r="AM1243" i="27" s="1"/>
  <c r="P1242" i="27"/>
  <c r="N1242" i="27"/>
  <c r="AM1242" i="27" s="1"/>
  <c r="P1241" i="27"/>
  <c r="N1241" i="27"/>
  <c r="AM1241" i="27" s="1"/>
  <c r="P1240" i="27"/>
  <c r="N1240" i="27"/>
  <c r="AM1240" i="27" s="1"/>
  <c r="P1239" i="27"/>
  <c r="N1239" i="27"/>
  <c r="AM1239" i="27" s="1"/>
  <c r="P1238" i="27"/>
  <c r="N1238" i="27"/>
  <c r="AM1238" i="27" s="1"/>
  <c r="P1237" i="27"/>
  <c r="N1237" i="27"/>
  <c r="AM1237" i="27" s="1"/>
  <c r="P1236" i="27"/>
  <c r="N1236" i="27"/>
  <c r="AM1236" i="27" s="1"/>
  <c r="P1235" i="27"/>
  <c r="N1235" i="27"/>
  <c r="AM1235" i="27" s="1"/>
  <c r="P1234" i="27"/>
  <c r="N1234" i="27"/>
  <c r="AM1234" i="27" s="1"/>
  <c r="P1233" i="27"/>
  <c r="N1233" i="27"/>
  <c r="AM1233" i="27" s="1"/>
  <c r="P1232" i="27"/>
  <c r="N1232" i="27"/>
  <c r="AM1232" i="27" s="1"/>
  <c r="P1231" i="27"/>
  <c r="N1231" i="27"/>
  <c r="AM1231" i="27" s="1"/>
  <c r="P1230" i="27"/>
  <c r="N1230" i="27"/>
  <c r="AM1230" i="27" s="1"/>
  <c r="P1229" i="27"/>
  <c r="N1229" i="27"/>
  <c r="AM1229" i="27" s="1"/>
  <c r="P1228" i="27"/>
  <c r="N1228" i="27"/>
  <c r="AM1228" i="27" s="1"/>
  <c r="P1227" i="27"/>
  <c r="N1227" i="27"/>
  <c r="AM1227" i="27" s="1"/>
  <c r="P1226" i="27"/>
  <c r="N1226" i="27"/>
  <c r="AM1226" i="27" s="1"/>
  <c r="P1225" i="27"/>
  <c r="N1225" i="27"/>
  <c r="AM1225" i="27" s="1"/>
  <c r="P1224" i="27"/>
  <c r="N1224" i="27"/>
  <c r="AM1224" i="27" s="1"/>
  <c r="P1223" i="27"/>
  <c r="N1223" i="27"/>
  <c r="AM1223" i="27" s="1"/>
  <c r="P1222" i="27"/>
  <c r="N1222" i="27"/>
  <c r="AM1222" i="27" s="1"/>
  <c r="P1221" i="27"/>
  <c r="N1221" i="27"/>
  <c r="AM1221" i="27" s="1"/>
  <c r="P1220" i="27"/>
  <c r="N1220" i="27"/>
  <c r="AM1220" i="27" s="1"/>
  <c r="P1219" i="27"/>
  <c r="N1219" i="27"/>
  <c r="AM1219" i="27" s="1"/>
  <c r="P1218" i="27"/>
  <c r="N1218" i="27"/>
  <c r="AM1218" i="27" s="1"/>
  <c r="P1217" i="27"/>
  <c r="N1217" i="27"/>
  <c r="AM1217" i="27" s="1"/>
  <c r="P1216" i="27"/>
  <c r="N1216" i="27"/>
  <c r="AM1216" i="27" s="1"/>
  <c r="P1215" i="27"/>
  <c r="N1215" i="27"/>
  <c r="AM1215" i="27" s="1"/>
  <c r="P1214" i="27"/>
  <c r="N1214" i="27"/>
  <c r="AM1214" i="27" s="1"/>
  <c r="P1213" i="27"/>
  <c r="N1213" i="27"/>
  <c r="AM1213" i="27" s="1"/>
  <c r="P1212" i="27"/>
  <c r="N1212" i="27"/>
  <c r="AM1212" i="27" s="1"/>
  <c r="P1211" i="27"/>
  <c r="N1211" i="27"/>
  <c r="AM1211" i="27" s="1"/>
  <c r="P1210" i="27"/>
  <c r="N1210" i="27"/>
  <c r="AM1210" i="27" s="1"/>
  <c r="P1209" i="27"/>
  <c r="N1209" i="27"/>
  <c r="AM1209" i="27" s="1"/>
  <c r="P1208" i="27"/>
  <c r="N1208" i="27"/>
  <c r="AM1208" i="27" s="1"/>
  <c r="P1207" i="27"/>
  <c r="N1207" i="27"/>
  <c r="AM1207" i="27" s="1"/>
  <c r="P1206" i="27"/>
  <c r="N1206" i="27"/>
  <c r="AM1206" i="27" s="1"/>
  <c r="P1205" i="27"/>
  <c r="N1205" i="27"/>
  <c r="AM1205" i="27" s="1"/>
  <c r="P1204" i="27"/>
  <c r="N1204" i="27"/>
  <c r="AM1204" i="27" s="1"/>
  <c r="P1203" i="27"/>
  <c r="N1203" i="27"/>
  <c r="AM1203" i="27" s="1"/>
  <c r="P1202" i="27"/>
  <c r="N1202" i="27"/>
  <c r="AM1202" i="27" s="1"/>
  <c r="P1201" i="27"/>
  <c r="N1201" i="27"/>
  <c r="AM1201" i="27" s="1"/>
  <c r="P1200" i="27"/>
  <c r="N1200" i="27"/>
  <c r="AM1200" i="27" s="1"/>
  <c r="P1199" i="27"/>
  <c r="N1199" i="27"/>
  <c r="AM1199" i="27" s="1"/>
  <c r="P1198" i="27"/>
  <c r="N1198" i="27"/>
  <c r="AM1198" i="27" s="1"/>
  <c r="P1197" i="27"/>
  <c r="N1197" i="27"/>
  <c r="AM1197" i="27" s="1"/>
  <c r="P1196" i="27"/>
  <c r="N1196" i="27"/>
  <c r="AM1196" i="27" s="1"/>
  <c r="P1195" i="27"/>
  <c r="N1195" i="27"/>
  <c r="AM1195" i="27" s="1"/>
  <c r="P1194" i="27"/>
  <c r="N1194" i="27"/>
  <c r="AM1194" i="27" s="1"/>
  <c r="P1193" i="27"/>
  <c r="N1193" i="27"/>
  <c r="AM1193" i="27" s="1"/>
  <c r="P1192" i="27"/>
  <c r="N1192" i="27"/>
  <c r="AM1192" i="27" s="1"/>
  <c r="P1191" i="27"/>
  <c r="N1191" i="27"/>
  <c r="AM1191" i="27" s="1"/>
  <c r="P1190" i="27"/>
  <c r="N1190" i="27"/>
  <c r="AM1190" i="27" s="1"/>
  <c r="P1189" i="27"/>
  <c r="N1189" i="27"/>
  <c r="AM1189" i="27" s="1"/>
  <c r="P1188" i="27"/>
  <c r="N1188" i="27"/>
  <c r="AM1188" i="27" s="1"/>
  <c r="P1187" i="27"/>
  <c r="N1187" i="27"/>
  <c r="AM1187" i="27" s="1"/>
  <c r="P1186" i="27"/>
  <c r="N1186" i="27"/>
  <c r="AM1186" i="27" s="1"/>
  <c r="P1185" i="27"/>
  <c r="N1185" i="27"/>
  <c r="AM1185" i="27" s="1"/>
  <c r="P1184" i="27"/>
  <c r="N1184" i="27"/>
  <c r="AM1184" i="27" s="1"/>
  <c r="P1183" i="27"/>
  <c r="N1183" i="27"/>
  <c r="AM1183" i="27" s="1"/>
  <c r="P1182" i="27"/>
  <c r="N1182" i="27"/>
  <c r="AM1182" i="27" s="1"/>
  <c r="P1181" i="27"/>
  <c r="N1181" i="27"/>
  <c r="AM1181" i="27" s="1"/>
  <c r="P1180" i="27"/>
  <c r="N1180" i="27"/>
  <c r="AM1180" i="27" s="1"/>
  <c r="P1179" i="27"/>
  <c r="N1179" i="27"/>
  <c r="AM1179" i="27" s="1"/>
  <c r="P1178" i="27"/>
  <c r="N1178" i="27"/>
  <c r="AM1178" i="27" s="1"/>
  <c r="P1177" i="27"/>
  <c r="N1177" i="27"/>
  <c r="AM1177" i="27" s="1"/>
  <c r="P1176" i="27"/>
  <c r="N1176" i="27"/>
  <c r="AM1176" i="27" s="1"/>
  <c r="P1175" i="27"/>
  <c r="N1175" i="27"/>
  <c r="AM1175" i="27" s="1"/>
  <c r="P1174" i="27"/>
  <c r="N1174" i="27"/>
  <c r="AM1174" i="27" s="1"/>
  <c r="P1173" i="27"/>
  <c r="N1173" i="27"/>
  <c r="AM1173" i="27" s="1"/>
  <c r="P1172" i="27"/>
  <c r="N1172" i="27"/>
  <c r="AM1172" i="27" s="1"/>
  <c r="P1171" i="27"/>
  <c r="N1171" i="27"/>
  <c r="AM1171" i="27" s="1"/>
  <c r="P1170" i="27"/>
  <c r="N1170" i="27"/>
  <c r="AM1170" i="27" s="1"/>
  <c r="P1169" i="27"/>
  <c r="N1169" i="27"/>
  <c r="AM1169" i="27" s="1"/>
  <c r="P1168" i="27"/>
  <c r="N1168" i="27"/>
  <c r="AM1168" i="27" s="1"/>
  <c r="P1167" i="27"/>
  <c r="N1167" i="27"/>
  <c r="AM1167" i="27" s="1"/>
  <c r="P1166" i="27"/>
  <c r="N1166" i="27"/>
  <c r="AM1166" i="27" s="1"/>
  <c r="P1165" i="27"/>
  <c r="N1165" i="27"/>
  <c r="AM1165" i="27" s="1"/>
  <c r="P1164" i="27"/>
  <c r="N1164" i="27"/>
  <c r="AM1164" i="27" s="1"/>
  <c r="P1163" i="27"/>
  <c r="N1163" i="27"/>
  <c r="AM1163" i="27" s="1"/>
  <c r="P1162" i="27"/>
  <c r="N1162" i="27"/>
  <c r="AM1162" i="27" s="1"/>
  <c r="P1161" i="27"/>
  <c r="N1161" i="27"/>
  <c r="AM1161" i="27" s="1"/>
  <c r="P1160" i="27"/>
  <c r="N1160" i="27"/>
  <c r="AM1160" i="27" s="1"/>
  <c r="P1159" i="27"/>
  <c r="N1159" i="27"/>
  <c r="AM1159" i="27" s="1"/>
  <c r="P1158" i="27"/>
  <c r="N1158" i="27"/>
  <c r="AM1158" i="27" s="1"/>
  <c r="P1157" i="27"/>
  <c r="N1157" i="27"/>
  <c r="AM1157" i="27" s="1"/>
  <c r="P1156" i="27"/>
  <c r="N1156" i="27"/>
  <c r="AM1156" i="27" s="1"/>
  <c r="P1155" i="27"/>
  <c r="N1155" i="27"/>
  <c r="AM1155" i="27" s="1"/>
  <c r="P1154" i="27"/>
  <c r="N1154" i="27"/>
  <c r="AM1154" i="27" s="1"/>
  <c r="P1153" i="27"/>
  <c r="N1153" i="27"/>
  <c r="AM1153" i="27" s="1"/>
  <c r="P1152" i="27"/>
  <c r="N1152" i="27"/>
  <c r="AM1152" i="27" s="1"/>
  <c r="P1151" i="27"/>
  <c r="N1151" i="27"/>
  <c r="AM1151" i="27" s="1"/>
  <c r="P1150" i="27"/>
  <c r="N1150" i="27"/>
  <c r="AM1150" i="27" s="1"/>
  <c r="P1149" i="27"/>
  <c r="N1149" i="27"/>
  <c r="AM1149" i="27" s="1"/>
  <c r="P1148" i="27"/>
  <c r="N1148" i="27"/>
  <c r="AM1148" i="27" s="1"/>
  <c r="P1147" i="27"/>
  <c r="N1147" i="27"/>
  <c r="AM1147" i="27" s="1"/>
  <c r="P1146" i="27"/>
  <c r="N1146" i="27"/>
  <c r="AM1146" i="27" s="1"/>
  <c r="P1145" i="27"/>
  <c r="N1145" i="27"/>
  <c r="AM1145" i="27" s="1"/>
  <c r="P1144" i="27"/>
  <c r="N1144" i="27"/>
  <c r="AM1144" i="27" s="1"/>
  <c r="P1143" i="27"/>
  <c r="N1143" i="27"/>
  <c r="AM1143" i="27" s="1"/>
  <c r="P1142" i="27"/>
  <c r="N1142" i="27"/>
  <c r="AM1142" i="27" s="1"/>
  <c r="P1141" i="27"/>
  <c r="N1141" i="27"/>
  <c r="AM1141" i="27" s="1"/>
  <c r="P1140" i="27"/>
  <c r="N1140" i="27"/>
  <c r="AM1140" i="27" s="1"/>
  <c r="P1139" i="27"/>
  <c r="N1139" i="27"/>
  <c r="AM1139" i="27" s="1"/>
  <c r="P1138" i="27"/>
  <c r="N1138" i="27"/>
  <c r="AM1138" i="27" s="1"/>
  <c r="P1137" i="27"/>
  <c r="N1137" i="27"/>
  <c r="AM1137" i="27" s="1"/>
  <c r="P1136" i="27"/>
  <c r="N1136" i="27"/>
  <c r="AM1136" i="27" s="1"/>
  <c r="P1135" i="27"/>
  <c r="N1135" i="27"/>
  <c r="AM1135" i="27" s="1"/>
  <c r="P1134" i="27"/>
  <c r="N1134" i="27"/>
  <c r="AM1134" i="27" s="1"/>
  <c r="P1133" i="27"/>
  <c r="N1133" i="27"/>
  <c r="AM1133" i="27" s="1"/>
  <c r="P1132" i="27"/>
  <c r="N1132" i="27"/>
  <c r="AM1132" i="27" s="1"/>
  <c r="P1131" i="27"/>
  <c r="N1131" i="27"/>
  <c r="AM1131" i="27" s="1"/>
  <c r="P1130" i="27"/>
  <c r="N1130" i="27"/>
  <c r="AM1130" i="27" s="1"/>
  <c r="P1129" i="27"/>
  <c r="N1129" i="27"/>
  <c r="AM1129" i="27" s="1"/>
  <c r="P1128" i="27"/>
  <c r="N1128" i="27"/>
  <c r="AM1128" i="27" s="1"/>
  <c r="P1127" i="27"/>
  <c r="N1127" i="27"/>
  <c r="AM1127" i="27" s="1"/>
  <c r="P1126" i="27"/>
  <c r="N1126" i="27"/>
  <c r="AM1126" i="27" s="1"/>
  <c r="P1125" i="27"/>
  <c r="N1125" i="27"/>
  <c r="AM1125" i="27" s="1"/>
  <c r="P1124" i="27"/>
  <c r="N1124" i="27"/>
  <c r="AM1124" i="27" s="1"/>
  <c r="P1123" i="27"/>
  <c r="N1123" i="27"/>
  <c r="AM1123" i="27" s="1"/>
  <c r="P1122" i="27"/>
  <c r="N1122" i="27"/>
  <c r="AM1122" i="27" s="1"/>
  <c r="P1121" i="27"/>
  <c r="N1121" i="27"/>
  <c r="AM1121" i="27" s="1"/>
  <c r="P1120" i="27"/>
  <c r="N1120" i="27"/>
  <c r="AM1120" i="27" s="1"/>
  <c r="P1119" i="27"/>
  <c r="N1119" i="27"/>
  <c r="AM1119" i="27" s="1"/>
  <c r="P1118" i="27"/>
  <c r="N1118" i="27"/>
  <c r="AM1118" i="27" s="1"/>
  <c r="P1117" i="27"/>
  <c r="N1117" i="27"/>
  <c r="AM1117" i="27" s="1"/>
  <c r="P1116" i="27"/>
  <c r="N1116" i="27"/>
  <c r="AM1116" i="27" s="1"/>
  <c r="P1115" i="27"/>
  <c r="N1115" i="27"/>
  <c r="AM1115" i="27" s="1"/>
  <c r="P1114" i="27"/>
  <c r="N1114" i="27"/>
  <c r="AM1114" i="27" s="1"/>
  <c r="P1113" i="27"/>
  <c r="N1113" i="27"/>
  <c r="AM1113" i="27" s="1"/>
  <c r="P1112" i="27"/>
  <c r="N1112" i="27"/>
  <c r="AM1112" i="27" s="1"/>
  <c r="P1111" i="27"/>
  <c r="N1111" i="27"/>
  <c r="AM1111" i="27" s="1"/>
  <c r="P1110" i="27"/>
  <c r="N1110" i="27"/>
  <c r="AM1110" i="27" s="1"/>
  <c r="P1109" i="27"/>
  <c r="N1109" i="27"/>
  <c r="AM1109" i="27" s="1"/>
  <c r="P1108" i="27"/>
  <c r="N1108" i="27"/>
  <c r="AM1108" i="27" s="1"/>
  <c r="P1107" i="27"/>
  <c r="N1107" i="27"/>
  <c r="AM1107" i="27" s="1"/>
  <c r="P1106" i="27"/>
  <c r="N1106" i="27"/>
  <c r="AM1106" i="27" s="1"/>
  <c r="P1105" i="27"/>
  <c r="N1105" i="27"/>
  <c r="AM1105" i="27" s="1"/>
  <c r="P1104" i="27"/>
  <c r="N1104" i="27"/>
  <c r="AM1104" i="27" s="1"/>
  <c r="P1103" i="27"/>
  <c r="N1103" i="27"/>
  <c r="AM1103" i="27" s="1"/>
  <c r="P1102" i="27"/>
  <c r="N1102" i="27"/>
  <c r="AM1102" i="27" s="1"/>
  <c r="P1101" i="27"/>
  <c r="N1101" i="27"/>
  <c r="AM1101" i="27" s="1"/>
  <c r="P1100" i="27"/>
  <c r="N1100" i="27"/>
  <c r="AM1100" i="27" s="1"/>
  <c r="P1099" i="27"/>
  <c r="N1099" i="27"/>
  <c r="AM1099" i="27" s="1"/>
  <c r="P1098" i="27"/>
  <c r="N1098" i="27"/>
  <c r="AM1098" i="27" s="1"/>
  <c r="P1097" i="27"/>
  <c r="N1097" i="27"/>
  <c r="AM1097" i="27" s="1"/>
  <c r="P1096" i="27"/>
  <c r="N1096" i="27"/>
  <c r="AM1096" i="27" s="1"/>
  <c r="P1095" i="27"/>
  <c r="N1095" i="27"/>
  <c r="AM1095" i="27" s="1"/>
  <c r="P1094" i="27"/>
  <c r="N1094" i="27"/>
  <c r="AM1094" i="27" s="1"/>
  <c r="P1093" i="27"/>
  <c r="N1093" i="27"/>
  <c r="AM1093" i="27" s="1"/>
  <c r="P1092" i="27"/>
  <c r="N1092" i="27"/>
  <c r="AM1092" i="27" s="1"/>
  <c r="P1091" i="27"/>
  <c r="N1091" i="27"/>
  <c r="AM1091" i="27" s="1"/>
  <c r="P1090" i="27"/>
  <c r="N1090" i="27"/>
  <c r="AM1090" i="27" s="1"/>
  <c r="P1089" i="27"/>
  <c r="N1089" i="27"/>
  <c r="AM1089" i="27" s="1"/>
  <c r="P1088" i="27"/>
  <c r="N1088" i="27"/>
  <c r="AM1088" i="27" s="1"/>
  <c r="P1087" i="27"/>
  <c r="N1087" i="27"/>
  <c r="AM1087" i="27" s="1"/>
  <c r="P1086" i="27"/>
  <c r="N1086" i="27"/>
  <c r="AM1086" i="27" s="1"/>
  <c r="P1085" i="27"/>
  <c r="N1085" i="27"/>
  <c r="AM1085" i="27" s="1"/>
  <c r="P1084" i="27"/>
  <c r="N1084" i="27"/>
  <c r="AM1084" i="27" s="1"/>
  <c r="P1083" i="27"/>
  <c r="N1083" i="27"/>
  <c r="AM1083" i="27" s="1"/>
  <c r="P1082" i="27"/>
  <c r="N1082" i="27"/>
  <c r="AM1082" i="27" s="1"/>
  <c r="P1081" i="27"/>
  <c r="N1081" i="27"/>
  <c r="AM1081" i="27" s="1"/>
  <c r="P1080" i="27"/>
  <c r="N1080" i="27"/>
  <c r="AM1080" i="27" s="1"/>
  <c r="P1079" i="27"/>
  <c r="N1079" i="27"/>
  <c r="AM1079" i="27" s="1"/>
  <c r="P1078" i="27"/>
  <c r="N1078" i="27"/>
  <c r="AM1078" i="27" s="1"/>
  <c r="P1077" i="27"/>
  <c r="N1077" i="27"/>
  <c r="AM1077" i="27" s="1"/>
  <c r="P1076" i="27"/>
  <c r="N1076" i="27"/>
  <c r="AM1076" i="27" s="1"/>
  <c r="P1075" i="27"/>
  <c r="N1075" i="27"/>
  <c r="AM1075" i="27" s="1"/>
  <c r="P1074" i="27"/>
  <c r="N1074" i="27"/>
  <c r="AM1074" i="27" s="1"/>
  <c r="P1073" i="27"/>
  <c r="N1073" i="27"/>
  <c r="AM1073" i="27" s="1"/>
  <c r="P1072" i="27"/>
  <c r="N1072" i="27"/>
  <c r="AM1072" i="27" s="1"/>
  <c r="P1071" i="27"/>
  <c r="N1071" i="27"/>
  <c r="AM1071" i="27" s="1"/>
  <c r="P1070" i="27"/>
  <c r="N1070" i="27"/>
  <c r="AM1070" i="27" s="1"/>
  <c r="P1069" i="27"/>
  <c r="N1069" i="27"/>
  <c r="AM1069" i="27" s="1"/>
  <c r="P1068" i="27"/>
  <c r="N1068" i="27"/>
  <c r="AM1068" i="27" s="1"/>
  <c r="P1067" i="27"/>
  <c r="N1067" i="27"/>
  <c r="AM1067" i="27" s="1"/>
  <c r="P1066" i="27"/>
  <c r="N1066" i="27"/>
  <c r="AM1066" i="27" s="1"/>
  <c r="P1065" i="27"/>
  <c r="N1065" i="27"/>
  <c r="AM1065" i="27" s="1"/>
  <c r="P1064" i="27"/>
  <c r="N1064" i="27"/>
  <c r="AM1064" i="27" s="1"/>
  <c r="P1063" i="27"/>
  <c r="N1063" i="27"/>
  <c r="AM1063" i="27" s="1"/>
  <c r="P1062" i="27"/>
  <c r="N1062" i="27"/>
  <c r="AM1062" i="27" s="1"/>
  <c r="P1061" i="27"/>
  <c r="N1061" i="27"/>
  <c r="AM1061" i="27" s="1"/>
  <c r="P1060" i="27"/>
  <c r="N1060" i="27"/>
  <c r="AM1060" i="27" s="1"/>
  <c r="P1059" i="27"/>
  <c r="N1059" i="27"/>
  <c r="AM1059" i="27" s="1"/>
  <c r="P1058" i="27"/>
  <c r="N1058" i="27"/>
  <c r="AM1058" i="27" s="1"/>
  <c r="P1057" i="27"/>
  <c r="N1057" i="27"/>
  <c r="AM1057" i="27" s="1"/>
  <c r="P1056" i="27"/>
  <c r="N1056" i="27"/>
  <c r="AM1056" i="27" s="1"/>
  <c r="P1055" i="27"/>
  <c r="N1055" i="27"/>
  <c r="AM1055" i="27" s="1"/>
  <c r="P1054" i="27"/>
  <c r="N1054" i="27"/>
  <c r="AM1054" i="27" s="1"/>
  <c r="P1053" i="27"/>
  <c r="N1053" i="27"/>
  <c r="AM1053" i="27" s="1"/>
  <c r="P1052" i="27"/>
  <c r="N1052" i="27"/>
  <c r="AM1052" i="27" s="1"/>
  <c r="P1051" i="27"/>
  <c r="N1051" i="27"/>
  <c r="AM1051" i="27" s="1"/>
  <c r="P1050" i="27"/>
  <c r="N1050" i="27"/>
  <c r="AM1050" i="27" s="1"/>
  <c r="P1049" i="27"/>
  <c r="N1049" i="27"/>
  <c r="AM1049" i="27" s="1"/>
  <c r="P1048" i="27"/>
  <c r="N1048" i="27"/>
  <c r="AM1048" i="27" s="1"/>
  <c r="P1047" i="27"/>
  <c r="N1047" i="27"/>
  <c r="AM1047" i="27" s="1"/>
  <c r="P1046" i="27"/>
  <c r="N1046" i="27"/>
  <c r="AM1046" i="27" s="1"/>
  <c r="P1045" i="27"/>
  <c r="N1045" i="27"/>
  <c r="AM1045" i="27" s="1"/>
  <c r="P1044" i="27"/>
  <c r="N1044" i="27"/>
  <c r="AM1044" i="27" s="1"/>
  <c r="P1043" i="27"/>
  <c r="N1043" i="27"/>
  <c r="AM1043" i="27" s="1"/>
  <c r="P1042" i="27"/>
  <c r="N1042" i="27"/>
  <c r="AM1042" i="27" s="1"/>
  <c r="P1041" i="27"/>
  <c r="N1041" i="27"/>
  <c r="AM1041" i="27" s="1"/>
  <c r="P1040" i="27"/>
  <c r="N1040" i="27"/>
  <c r="AM1040" i="27" s="1"/>
  <c r="P1039" i="27"/>
  <c r="N1039" i="27"/>
  <c r="AM1039" i="27" s="1"/>
  <c r="P1038" i="27"/>
  <c r="N1038" i="27"/>
  <c r="AM1038" i="27" s="1"/>
  <c r="P1037" i="27"/>
  <c r="N1037" i="27"/>
  <c r="AM1037" i="27" s="1"/>
  <c r="P1036" i="27"/>
  <c r="N1036" i="27"/>
  <c r="AM1036" i="27" s="1"/>
  <c r="P1035" i="27"/>
  <c r="N1035" i="27"/>
  <c r="AM1035" i="27" s="1"/>
  <c r="P1034" i="27"/>
  <c r="N1034" i="27"/>
  <c r="AM1034" i="27" s="1"/>
  <c r="P1033" i="27"/>
  <c r="N1033" i="27"/>
  <c r="AM1033" i="27" s="1"/>
  <c r="P1032" i="27"/>
  <c r="N1032" i="27"/>
  <c r="AM1032" i="27" s="1"/>
  <c r="P1031" i="27"/>
  <c r="N1031" i="27"/>
  <c r="AM1031" i="27" s="1"/>
  <c r="P1030" i="27"/>
  <c r="N1030" i="27"/>
  <c r="AM1030" i="27" s="1"/>
  <c r="P1029" i="27"/>
  <c r="N1029" i="27"/>
  <c r="AM1029" i="27" s="1"/>
  <c r="P1028" i="27"/>
  <c r="N1028" i="27"/>
  <c r="AM1028" i="27" s="1"/>
  <c r="P1027" i="27"/>
  <c r="N1027" i="27"/>
  <c r="AM1027" i="27" s="1"/>
  <c r="P1026" i="27"/>
  <c r="N1026" i="27"/>
  <c r="AM1026" i="27" s="1"/>
  <c r="P1025" i="27"/>
  <c r="N1025" i="27"/>
  <c r="AM1025" i="27" s="1"/>
  <c r="P1024" i="27"/>
  <c r="N1024" i="27"/>
  <c r="AM1024" i="27" s="1"/>
  <c r="P1023" i="27"/>
  <c r="N1023" i="27"/>
  <c r="AM1023" i="27" s="1"/>
  <c r="P1022" i="27"/>
  <c r="N1022" i="27"/>
  <c r="AM1022" i="27" s="1"/>
  <c r="P1021" i="27"/>
  <c r="N1021" i="27"/>
  <c r="AM1021" i="27" s="1"/>
  <c r="P1020" i="27"/>
  <c r="N1020" i="27"/>
  <c r="AM1020" i="27" s="1"/>
  <c r="P1019" i="27"/>
  <c r="N1019" i="27"/>
  <c r="AM1019" i="27" s="1"/>
  <c r="P1018" i="27"/>
  <c r="N1018" i="27"/>
  <c r="AM1018" i="27" s="1"/>
  <c r="P1017" i="27"/>
  <c r="N1017" i="27"/>
  <c r="AM1017" i="27" s="1"/>
  <c r="P1016" i="27"/>
  <c r="N1016" i="27"/>
  <c r="AM1016" i="27" s="1"/>
  <c r="P1015" i="27"/>
  <c r="N1015" i="27"/>
  <c r="AM1015" i="27" s="1"/>
  <c r="P1014" i="27"/>
  <c r="N1014" i="27"/>
  <c r="AM1014" i="27" s="1"/>
  <c r="P1013" i="27"/>
  <c r="N1013" i="27"/>
  <c r="AM1013" i="27" s="1"/>
  <c r="P1012" i="27"/>
  <c r="N1012" i="27"/>
  <c r="AM1012" i="27" s="1"/>
  <c r="P1011" i="27"/>
  <c r="N1011" i="27"/>
  <c r="AM1011" i="27" s="1"/>
  <c r="P1010" i="27"/>
  <c r="N1010" i="27"/>
  <c r="AM1010" i="27" s="1"/>
  <c r="P1009" i="27"/>
  <c r="N1009" i="27"/>
  <c r="AM1009" i="27" s="1"/>
  <c r="P1008" i="27"/>
  <c r="N1008" i="27"/>
  <c r="AM1008" i="27" s="1"/>
  <c r="P1007" i="27"/>
  <c r="N1007" i="27"/>
  <c r="AM1007" i="27" s="1"/>
  <c r="P1006" i="27"/>
  <c r="N1006" i="27"/>
  <c r="AM1006" i="27" s="1"/>
  <c r="P1005" i="27"/>
  <c r="N1005" i="27"/>
  <c r="AM1005" i="27" s="1"/>
  <c r="P1004" i="27"/>
  <c r="N1004" i="27"/>
  <c r="AM1004" i="27" s="1"/>
  <c r="P1003" i="27"/>
  <c r="N1003" i="27"/>
  <c r="AM1003" i="27" s="1"/>
  <c r="P1002" i="27"/>
  <c r="N1002" i="27"/>
  <c r="AM1002" i="27" s="1"/>
  <c r="P1001" i="27"/>
  <c r="N1001" i="27"/>
  <c r="AM1001" i="27" s="1"/>
  <c r="P1000" i="27"/>
  <c r="N1000" i="27"/>
  <c r="AM1000" i="27" s="1"/>
  <c r="P999" i="27"/>
  <c r="N999" i="27"/>
  <c r="AM999" i="27" s="1"/>
  <c r="P998" i="27"/>
  <c r="N998" i="27"/>
  <c r="AM998" i="27" s="1"/>
  <c r="P997" i="27"/>
  <c r="N997" i="27"/>
  <c r="AM997" i="27" s="1"/>
  <c r="P996" i="27"/>
  <c r="N996" i="27"/>
  <c r="AM996" i="27" s="1"/>
  <c r="P995" i="27"/>
  <c r="N995" i="27"/>
  <c r="AM995" i="27" s="1"/>
  <c r="P994" i="27"/>
  <c r="N994" i="27"/>
  <c r="AM994" i="27" s="1"/>
  <c r="P993" i="27"/>
  <c r="N993" i="27"/>
  <c r="AM993" i="27" s="1"/>
  <c r="P992" i="27"/>
  <c r="N992" i="27"/>
  <c r="AM992" i="27" s="1"/>
  <c r="P991" i="27"/>
  <c r="N991" i="27"/>
  <c r="AM991" i="27" s="1"/>
  <c r="P990" i="27"/>
  <c r="N990" i="27"/>
  <c r="AM990" i="27" s="1"/>
  <c r="P989" i="27"/>
  <c r="N989" i="27"/>
  <c r="AM989" i="27" s="1"/>
  <c r="P988" i="27"/>
  <c r="N988" i="27"/>
  <c r="AM988" i="27" s="1"/>
  <c r="P987" i="27"/>
  <c r="N987" i="27"/>
  <c r="AM987" i="27" s="1"/>
  <c r="P986" i="27"/>
  <c r="N986" i="27"/>
  <c r="AM986" i="27" s="1"/>
  <c r="P985" i="27"/>
  <c r="N985" i="27"/>
  <c r="AM985" i="27" s="1"/>
  <c r="P984" i="27"/>
  <c r="N984" i="27"/>
  <c r="AM984" i="27" s="1"/>
  <c r="P983" i="27"/>
  <c r="N983" i="27"/>
  <c r="AM983" i="27" s="1"/>
  <c r="P982" i="27"/>
  <c r="N982" i="27"/>
  <c r="AM982" i="27" s="1"/>
  <c r="P981" i="27"/>
  <c r="N981" i="27"/>
  <c r="AM981" i="27" s="1"/>
  <c r="P980" i="27"/>
  <c r="N980" i="27"/>
  <c r="AM980" i="27" s="1"/>
  <c r="P979" i="27"/>
  <c r="N979" i="27"/>
  <c r="AM979" i="27" s="1"/>
  <c r="P978" i="27"/>
  <c r="N978" i="27"/>
  <c r="AM978" i="27" s="1"/>
  <c r="P977" i="27"/>
  <c r="N977" i="27"/>
  <c r="AM977" i="27" s="1"/>
  <c r="P976" i="27"/>
  <c r="N976" i="27"/>
  <c r="AM976" i="27" s="1"/>
  <c r="P975" i="27"/>
  <c r="N975" i="27"/>
  <c r="AM975" i="27" s="1"/>
  <c r="P974" i="27"/>
  <c r="N974" i="27"/>
  <c r="AM974" i="27" s="1"/>
  <c r="P973" i="27"/>
  <c r="N973" i="27"/>
  <c r="AM973" i="27" s="1"/>
  <c r="P972" i="27"/>
  <c r="N972" i="27"/>
  <c r="AM972" i="27" s="1"/>
  <c r="P971" i="27"/>
  <c r="N971" i="27"/>
  <c r="AM971" i="27" s="1"/>
  <c r="P970" i="27"/>
  <c r="N970" i="27"/>
  <c r="AM970" i="27" s="1"/>
  <c r="P969" i="27"/>
  <c r="N969" i="27"/>
  <c r="AM969" i="27" s="1"/>
  <c r="P968" i="27"/>
  <c r="N968" i="27"/>
  <c r="AM968" i="27" s="1"/>
  <c r="P967" i="27"/>
  <c r="N967" i="27"/>
  <c r="AM967" i="27" s="1"/>
  <c r="P966" i="27"/>
  <c r="N966" i="27"/>
  <c r="AM966" i="27" s="1"/>
  <c r="P965" i="27"/>
  <c r="N965" i="27"/>
  <c r="AM965" i="27" s="1"/>
  <c r="P964" i="27"/>
  <c r="N964" i="27"/>
  <c r="AM964" i="27" s="1"/>
  <c r="P963" i="27"/>
  <c r="N963" i="27"/>
  <c r="AM963" i="27" s="1"/>
  <c r="P962" i="27"/>
  <c r="N962" i="27"/>
  <c r="AM962" i="27" s="1"/>
  <c r="P961" i="27"/>
  <c r="N961" i="27"/>
  <c r="AM961" i="27" s="1"/>
  <c r="P960" i="27"/>
  <c r="N960" i="27"/>
  <c r="AM960" i="27" s="1"/>
  <c r="P959" i="27"/>
  <c r="N959" i="27"/>
  <c r="AM959" i="27" s="1"/>
  <c r="P958" i="27"/>
  <c r="N958" i="27"/>
  <c r="AM958" i="27" s="1"/>
  <c r="P957" i="27"/>
  <c r="N957" i="27"/>
  <c r="AM957" i="27" s="1"/>
  <c r="P956" i="27"/>
  <c r="N956" i="27"/>
  <c r="AM956" i="27" s="1"/>
  <c r="P955" i="27"/>
  <c r="N955" i="27"/>
  <c r="AM955" i="27" s="1"/>
  <c r="P954" i="27"/>
  <c r="N954" i="27"/>
  <c r="AM954" i="27" s="1"/>
  <c r="P953" i="27"/>
  <c r="N953" i="27"/>
  <c r="AM953" i="27" s="1"/>
  <c r="P952" i="27"/>
  <c r="N952" i="27"/>
  <c r="AM952" i="27" s="1"/>
  <c r="P951" i="27"/>
  <c r="N951" i="27"/>
  <c r="AM951" i="27" s="1"/>
  <c r="P950" i="27"/>
  <c r="N950" i="27"/>
  <c r="AM950" i="27" s="1"/>
  <c r="P949" i="27"/>
  <c r="N949" i="27"/>
  <c r="AM949" i="27" s="1"/>
  <c r="P948" i="27"/>
  <c r="N948" i="27"/>
  <c r="AM948" i="27" s="1"/>
  <c r="P947" i="27"/>
  <c r="N947" i="27"/>
  <c r="AM947" i="27" s="1"/>
  <c r="P946" i="27"/>
  <c r="N946" i="27"/>
  <c r="AM946" i="27" s="1"/>
  <c r="P945" i="27"/>
  <c r="N945" i="27"/>
  <c r="AM945" i="27" s="1"/>
  <c r="P944" i="27"/>
  <c r="N944" i="27"/>
  <c r="AM944" i="27" s="1"/>
  <c r="P943" i="27"/>
  <c r="N943" i="27"/>
  <c r="AM943" i="27" s="1"/>
  <c r="P942" i="27"/>
  <c r="N942" i="27"/>
  <c r="AM942" i="27" s="1"/>
  <c r="P941" i="27"/>
  <c r="N941" i="27"/>
  <c r="AM941" i="27" s="1"/>
  <c r="P940" i="27"/>
  <c r="N940" i="27"/>
  <c r="AM940" i="27" s="1"/>
  <c r="P939" i="27"/>
  <c r="N939" i="27"/>
  <c r="AM939" i="27" s="1"/>
  <c r="P938" i="27"/>
  <c r="N938" i="27"/>
  <c r="AM938" i="27" s="1"/>
  <c r="P937" i="27"/>
  <c r="N937" i="27"/>
  <c r="AM937" i="27" s="1"/>
  <c r="P936" i="27"/>
  <c r="N936" i="27"/>
  <c r="AM936" i="27" s="1"/>
  <c r="P935" i="27"/>
  <c r="N935" i="27"/>
  <c r="AM935" i="27" s="1"/>
  <c r="P934" i="27"/>
  <c r="N934" i="27"/>
  <c r="AM934" i="27" s="1"/>
  <c r="P933" i="27"/>
  <c r="N933" i="27"/>
  <c r="AM933" i="27" s="1"/>
  <c r="P932" i="27"/>
  <c r="N932" i="27"/>
  <c r="AM932" i="27" s="1"/>
  <c r="P931" i="27"/>
  <c r="N931" i="27"/>
  <c r="AM931" i="27" s="1"/>
  <c r="P930" i="27"/>
  <c r="N930" i="27"/>
  <c r="AM930" i="27" s="1"/>
  <c r="P929" i="27"/>
  <c r="N929" i="27"/>
  <c r="AM929" i="27" s="1"/>
  <c r="P928" i="27"/>
  <c r="N928" i="27"/>
  <c r="AM928" i="27" s="1"/>
  <c r="P927" i="27"/>
  <c r="N927" i="27"/>
  <c r="AM927" i="27" s="1"/>
  <c r="P926" i="27"/>
  <c r="N926" i="27"/>
  <c r="AM926" i="27" s="1"/>
  <c r="P925" i="27"/>
  <c r="N925" i="27"/>
  <c r="AM925" i="27" s="1"/>
  <c r="P924" i="27"/>
  <c r="N924" i="27"/>
  <c r="AM924" i="27" s="1"/>
  <c r="P923" i="27"/>
  <c r="N923" i="27"/>
  <c r="AM923" i="27" s="1"/>
  <c r="P922" i="27"/>
  <c r="N922" i="27"/>
  <c r="AM922" i="27" s="1"/>
  <c r="P921" i="27"/>
  <c r="N921" i="27"/>
  <c r="AM921" i="27" s="1"/>
  <c r="P920" i="27"/>
  <c r="N920" i="27"/>
  <c r="AM920" i="27" s="1"/>
  <c r="P919" i="27"/>
  <c r="N919" i="27"/>
  <c r="AM919" i="27" s="1"/>
  <c r="P918" i="27"/>
  <c r="N918" i="27"/>
  <c r="AM918" i="27" s="1"/>
  <c r="P917" i="27"/>
  <c r="N917" i="27"/>
  <c r="AM917" i="27" s="1"/>
  <c r="P916" i="27"/>
  <c r="N916" i="27"/>
  <c r="AM916" i="27" s="1"/>
  <c r="P915" i="27"/>
  <c r="N915" i="27"/>
  <c r="AM915" i="27" s="1"/>
  <c r="P914" i="27"/>
  <c r="N914" i="27"/>
  <c r="AM914" i="27" s="1"/>
  <c r="P913" i="27"/>
  <c r="N913" i="27"/>
  <c r="AM913" i="27" s="1"/>
  <c r="P912" i="27"/>
  <c r="N912" i="27"/>
  <c r="AM912" i="27" s="1"/>
  <c r="P911" i="27"/>
  <c r="N911" i="27"/>
  <c r="AM911" i="27" s="1"/>
  <c r="P910" i="27"/>
  <c r="N910" i="27"/>
  <c r="AM910" i="27" s="1"/>
  <c r="P909" i="27"/>
  <c r="N909" i="27"/>
  <c r="AM909" i="27" s="1"/>
  <c r="P908" i="27"/>
  <c r="N908" i="27"/>
  <c r="AM908" i="27" s="1"/>
  <c r="P907" i="27"/>
  <c r="N907" i="27"/>
  <c r="AM907" i="27" s="1"/>
  <c r="P906" i="27"/>
  <c r="N906" i="27"/>
  <c r="AM906" i="27" s="1"/>
  <c r="P905" i="27"/>
  <c r="N905" i="27"/>
  <c r="AM905" i="27" s="1"/>
  <c r="P904" i="27"/>
  <c r="N904" i="27"/>
  <c r="AM904" i="27" s="1"/>
  <c r="P903" i="27"/>
  <c r="N903" i="27"/>
  <c r="AM903" i="27" s="1"/>
  <c r="P902" i="27"/>
  <c r="N902" i="27"/>
  <c r="AM902" i="27" s="1"/>
  <c r="P901" i="27"/>
  <c r="N901" i="27"/>
  <c r="AM901" i="27" s="1"/>
  <c r="P900" i="27"/>
  <c r="N900" i="27"/>
  <c r="AM900" i="27" s="1"/>
  <c r="P899" i="27"/>
  <c r="N899" i="27"/>
  <c r="AM899" i="27" s="1"/>
  <c r="P898" i="27"/>
  <c r="N898" i="27"/>
  <c r="AM898" i="27" s="1"/>
  <c r="P897" i="27"/>
  <c r="N897" i="27"/>
  <c r="AM897" i="27" s="1"/>
  <c r="P896" i="27"/>
  <c r="N896" i="27"/>
  <c r="AM896" i="27" s="1"/>
  <c r="P895" i="27"/>
  <c r="N895" i="27"/>
  <c r="AM895" i="27" s="1"/>
  <c r="P894" i="27"/>
  <c r="N894" i="27"/>
  <c r="AM894" i="27" s="1"/>
  <c r="P893" i="27"/>
  <c r="N893" i="27"/>
  <c r="AM893" i="27" s="1"/>
  <c r="P892" i="27"/>
  <c r="N892" i="27"/>
  <c r="AM892" i="27" s="1"/>
  <c r="P891" i="27"/>
  <c r="N891" i="27"/>
  <c r="AM891" i="27" s="1"/>
  <c r="P890" i="27"/>
  <c r="N890" i="27"/>
  <c r="AM890" i="27" s="1"/>
  <c r="P889" i="27"/>
  <c r="N889" i="27"/>
  <c r="AM889" i="27" s="1"/>
  <c r="P888" i="27"/>
  <c r="N888" i="27"/>
  <c r="AM888" i="27" s="1"/>
  <c r="P887" i="27"/>
  <c r="N887" i="27"/>
  <c r="AM887" i="27" s="1"/>
  <c r="P886" i="27"/>
  <c r="N886" i="27"/>
  <c r="AM886" i="27" s="1"/>
  <c r="P885" i="27"/>
  <c r="N885" i="27"/>
  <c r="AM885" i="27" s="1"/>
  <c r="P884" i="27"/>
  <c r="N884" i="27"/>
  <c r="AM884" i="27" s="1"/>
  <c r="P883" i="27"/>
  <c r="N883" i="27"/>
  <c r="AM883" i="27" s="1"/>
  <c r="P882" i="27"/>
  <c r="N882" i="27"/>
  <c r="AM882" i="27" s="1"/>
  <c r="P881" i="27"/>
  <c r="N881" i="27"/>
  <c r="AM881" i="27" s="1"/>
  <c r="P880" i="27"/>
  <c r="N880" i="27"/>
  <c r="AM880" i="27" s="1"/>
  <c r="P879" i="27"/>
  <c r="N879" i="27"/>
  <c r="AM879" i="27" s="1"/>
  <c r="P878" i="27"/>
  <c r="N878" i="27"/>
  <c r="AM878" i="27" s="1"/>
  <c r="P877" i="27"/>
  <c r="N877" i="27"/>
  <c r="AM877" i="27" s="1"/>
  <c r="P876" i="27"/>
  <c r="N876" i="27"/>
  <c r="AM876" i="27" s="1"/>
  <c r="P875" i="27"/>
  <c r="N875" i="27"/>
  <c r="AM875" i="27" s="1"/>
  <c r="P874" i="27"/>
  <c r="N874" i="27"/>
  <c r="AM874" i="27" s="1"/>
  <c r="P873" i="27"/>
  <c r="N873" i="27"/>
  <c r="AM873" i="27" s="1"/>
  <c r="P872" i="27"/>
  <c r="N872" i="27"/>
  <c r="AM872" i="27" s="1"/>
  <c r="P871" i="27"/>
  <c r="N871" i="27"/>
  <c r="AM871" i="27" s="1"/>
  <c r="P870" i="27"/>
  <c r="N870" i="27"/>
  <c r="AM870" i="27" s="1"/>
  <c r="P869" i="27"/>
  <c r="N869" i="27"/>
  <c r="AM869" i="27" s="1"/>
  <c r="P868" i="27"/>
  <c r="N868" i="27"/>
  <c r="AM868" i="27" s="1"/>
  <c r="P867" i="27"/>
  <c r="N867" i="27"/>
  <c r="AM867" i="27" s="1"/>
  <c r="P866" i="27"/>
  <c r="N866" i="27"/>
  <c r="AM866" i="27" s="1"/>
  <c r="P865" i="27"/>
  <c r="N865" i="27"/>
  <c r="AM865" i="27" s="1"/>
  <c r="P864" i="27"/>
  <c r="N864" i="27"/>
  <c r="AM864" i="27" s="1"/>
  <c r="P863" i="27"/>
  <c r="N863" i="27"/>
  <c r="AM863" i="27" s="1"/>
  <c r="P862" i="27"/>
  <c r="N862" i="27"/>
  <c r="AM862" i="27" s="1"/>
  <c r="P861" i="27"/>
  <c r="N861" i="27"/>
  <c r="AM861" i="27" s="1"/>
  <c r="P860" i="27"/>
  <c r="N860" i="27"/>
  <c r="AM860" i="27" s="1"/>
  <c r="P859" i="27"/>
  <c r="N859" i="27"/>
  <c r="AM859" i="27" s="1"/>
  <c r="P858" i="27"/>
  <c r="N858" i="27"/>
  <c r="AM858" i="27" s="1"/>
  <c r="P857" i="27"/>
  <c r="N857" i="27"/>
  <c r="AM857" i="27" s="1"/>
  <c r="P856" i="27"/>
  <c r="N856" i="27"/>
  <c r="AM856" i="27" s="1"/>
  <c r="P855" i="27"/>
  <c r="N855" i="27"/>
  <c r="AM855" i="27" s="1"/>
  <c r="P854" i="27"/>
  <c r="N854" i="27"/>
  <c r="AM854" i="27" s="1"/>
  <c r="P853" i="27"/>
  <c r="N853" i="27"/>
  <c r="AM853" i="27" s="1"/>
  <c r="P852" i="27"/>
  <c r="N852" i="27"/>
  <c r="AM852" i="27" s="1"/>
  <c r="P851" i="27"/>
  <c r="N851" i="27"/>
  <c r="AM851" i="27" s="1"/>
  <c r="P850" i="27"/>
  <c r="N850" i="27"/>
  <c r="AM850" i="27" s="1"/>
  <c r="P849" i="27"/>
  <c r="N849" i="27"/>
  <c r="AM849" i="27" s="1"/>
  <c r="P848" i="27"/>
  <c r="N848" i="27"/>
  <c r="AM848" i="27" s="1"/>
  <c r="P847" i="27"/>
  <c r="N847" i="27"/>
  <c r="AM847" i="27" s="1"/>
  <c r="P846" i="27"/>
  <c r="N846" i="27"/>
  <c r="AM846" i="27" s="1"/>
  <c r="P845" i="27"/>
  <c r="N845" i="27"/>
  <c r="AM845" i="27" s="1"/>
  <c r="P844" i="27"/>
  <c r="N844" i="27"/>
  <c r="AM844" i="27" s="1"/>
  <c r="P843" i="27"/>
  <c r="N843" i="27"/>
  <c r="AM843" i="27" s="1"/>
  <c r="P842" i="27"/>
  <c r="N842" i="27"/>
  <c r="AM842" i="27" s="1"/>
  <c r="P841" i="27"/>
  <c r="N841" i="27"/>
  <c r="AM841" i="27" s="1"/>
  <c r="P840" i="27"/>
  <c r="N840" i="27"/>
  <c r="AM840" i="27" s="1"/>
  <c r="P839" i="27"/>
  <c r="N839" i="27"/>
  <c r="AM839" i="27" s="1"/>
  <c r="P838" i="27"/>
  <c r="N838" i="27"/>
  <c r="AM838" i="27" s="1"/>
  <c r="P837" i="27"/>
  <c r="N837" i="27"/>
  <c r="AM837" i="27" s="1"/>
  <c r="P836" i="27"/>
  <c r="N836" i="27"/>
  <c r="AM836" i="27" s="1"/>
  <c r="P835" i="27"/>
  <c r="N835" i="27"/>
  <c r="AM835" i="27" s="1"/>
  <c r="P834" i="27"/>
  <c r="N834" i="27"/>
  <c r="AM834" i="27" s="1"/>
  <c r="P833" i="27"/>
  <c r="N833" i="27"/>
  <c r="AM833" i="27" s="1"/>
  <c r="P832" i="27"/>
  <c r="N832" i="27"/>
  <c r="AM832" i="27" s="1"/>
  <c r="P831" i="27"/>
  <c r="N831" i="27"/>
  <c r="AM831" i="27" s="1"/>
  <c r="P830" i="27"/>
  <c r="N830" i="27"/>
  <c r="AM830" i="27" s="1"/>
  <c r="P829" i="27"/>
  <c r="N829" i="27"/>
  <c r="AM829" i="27" s="1"/>
  <c r="P828" i="27"/>
  <c r="N828" i="27"/>
  <c r="AM828" i="27" s="1"/>
  <c r="P827" i="27"/>
  <c r="N827" i="27"/>
  <c r="AM827" i="27" s="1"/>
  <c r="P826" i="27"/>
  <c r="N826" i="27"/>
  <c r="AM826" i="27" s="1"/>
  <c r="P825" i="27"/>
  <c r="N825" i="27"/>
  <c r="AM825" i="27" s="1"/>
  <c r="P824" i="27"/>
  <c r="N824" i="27"/>
  <c r="AM824" i="27" s="1"/>
  <c r="P823" i="27"/>
  <c r="N823" i="27"/>
  <c r="AM823" i="27" s="1"/>
  <c r="P822" i="27"/>
  <c r="N822" i="27"/>
  <c r="AM822" i="27" s="1"/>
  <c r="P821" i="27"/>
  <c r="N821" i="27"/>
  <c r="AM821" i="27" s="1"/>
  <c r="P820" i="27"/>
  <c r="N820" i="27"/>
  <c r="AM820" i="27" s="1"/>
  <c r="P819" i="27"/>
  <c r="N819" i="27"/>
  <c r="AM819" i="27" s="1"/>
  <c r="P818" i="27"/>
  <c r="N818" i="27"/>
  <c r="AM818" i="27" s="1"/>
  <c r="P817" i="27"/>
  <c r="N817" i="27"/>
  <c r="AM817" i="27" s="1"/>
  <c r="P816" i="27"/>
  <c r="N816" i="27"/>
  <c r="AM816" i="27" s="1"/>
  <c r="P815" i="27"/>
  <c r="N815" i="27"/>
  <c r="AM815" i="27" s="1"/>
  <c r="P814" i="27"/>
  <c r="N814" i="27"/>
  <c r="AM814" i="27" s="1"/>
  <c r="P813" i="27"/>
  <c r="N813" i="27"/>
  <c r="AM813" i="27" s="1"/>
  <c r="P812" i="27"/>
  <c r="N812" i="27"/>
  <c r="AM812" i="27" s="1"/>
  <c r="P811" i="27"/>
  <c r="N811" i="27"/>
  <c r="AM811" i="27" s="1"/>
  <c r="P810" i="27"/>
  <c r="N810" i="27"/>
  <c r="AM810" i="27" s="1"/>
  <c r="P809" i="27"/>
  <c r="N809" i="27"/>
  <c r="AM809" i="27" s="1"/>
  <c r="P808" i="27"/>
  <c r="N808" i="27"/>
  <c r="AM808" i="27" s="1"/>
  <c r="P807" i="27"/>
  <c r="N807" i="27"/>
  <c r="AM807" i="27" s="1"/>
  <c r="P806" i="27"/>
  <c r="N806" i="27"/>
  <c r="AM806" i="27" s="1"/>
  <c r="P805" i="27"/>
  <c r="N805" i="27"/>
  <c r="AM805" i="27" s="1"/>
  <c r="P804" i="27"/>
  <c r="N804" i="27"/>
  <c r="AM804" i="27" s="1"/>
  <c r="P803" i="27"/>
  <c r="N803" i="27"/>
  <c r="AM803" i="27" s="1"/>
  <c r="P802" i="27"/>
  <c r="N802" i="27"/>
  <c r="AM802" i="27" s="1"/>
  <c r="P801" i="27"/>
  <c r="N801" i="27"/>
  <c r="AM801" i="27" s="1"/>
  <c r="P800" i="27"/>
  <c r="N800" i="27"/>
  <c r="AM800" i="27" s="1"/>
  <c r="P799" i="27"/>
  <c r="N799" i="27"/>
  <c r="AM799" i="27" s="1"/>
  <c r="P798" i="27"/>
  <c r="N798" i="27"/>
  <c r="AM798" i="27" s="1"/>
  <c r="P797" i="27"/>
  <c r="N797" i="27"/>
  <c r="AM797" i="27" s="1"/>
  <c r="P796" i="27"/>
  <c r="N796" i="27"/>
  <c r="AM796" i="27" s="1"/>
  <c r="P795" i="27"/>
  <c r="N795" i="27"/>
  <c r="AM795" i="27" s="1"/>
  <c r="P794" i="27"/>
  <c r="N794" i="27"/>
  <c r="AM794" i="27" s="1"/>
  <c r="P793" i="27"/>
  <c r="N793" i="27"/>
  <c r="AM793" i="27" s="1"/>
  <c r="P792" i="27"/>
  <c r="N792" i="27"/>
  <c r="AM792" i="27" s="1"/>
  <c r="P791" i="27"/>
  <c r="N791" i="27"/>
  <c r="AM791" i="27" s="1"/>
  <c r="P790" i="27"/>
  <c r="N790" i="27"/>
  <c r="AM790" i="27" s="1"/>
  <c r="P789" i="27"/>
  <c r="N789" i="27"/>
  <c r="AM789" i="27" s="1"/>
  <c r="P788" i="27"/>
  <c r="N788" i="27"/>
  <c r="AM788" i="27" s="1"/>
  <c r="P787" i="27"/>
  <c r="N787" i="27"/>
  <c r="AM787" i="27" s="1"/>
  <c r="P786" i="27"/>
  <c r="N786" i="27"/>
  <c r="AM786" i="27" s="1"/>
  <c r="P785" i="27"/>
  <c r="N785" i="27"/>
  <c r="AM785" i="27" s="1"/>
  <c r="P784" i="27"/>
  <c r="N784" i="27"/>
  <c r="AM784" i="27" s="1"/>
  <c r="P783" i="27"/>
  <c r="N783" i="27"/>
  <c r="AM783" i="27" s="1"/>
  <c r="P782" i="27"/>
  <c r="N782" i="27"/>
  <c r="AM782" i="27" s="1"/>
  <c r="P781" i="27"/>
  <c r="N781" i="27"/>
  <c r="AM781" i="27" s="1"/>
  <c r="P780" i="27"/>
  <c r="N780" i="27"/>
  <c r="AM780" i="27" s="1"/>
  <c r="P779" i="27"/>
  <c r="N779" i="27"/>
  <c r="AM779" i="27" s="1"/>
  <c r="P778" i="27"/>
  <c r="N778" i="27"/>
  <c r="AM778" i="27" s="1"/>
  <c r="P777" i="27"/>
  <c r="N777" i="27"/>
  <c r="AM777" i="27" s="1"/>
  <c r="P776" i="27"/>
  <c r="N776" i="27"/>
  <c r="AM776" i="27" s="1"/>
  <c r="P775" i="27"/>
  <c r="N775" i="27"/>
  <c r="AM775" i="27" s="1"/>
  <c r="P774" i="27"/>
  <c r="N774" i="27"/>
  <c r="AM774" i="27" s="1"/>
  <c r="P773" i="27"/>
  <c r="N773" i="27"/>
  <c r="AM773" i="27" s="1"/>
  <c r="P772" i="27"/>
  <c r="N772" i="27"/>
  <c r="AM772" i="27" s="1"/>
  <c r="P771" i="27"/>
  <c r="N771" i="27"/>
  <c r="AM771" i="27" s="1"/>
  <c r="P770" i="27"/>
  <c r="N770" i="27"/>
  <c r="AM770" i="27" s="1"/>
  <c r="P769" i="27"/>
  <c r="N769" i="27"/>
  <c r="AM769" i="27" s="1"/>
  <c r="P768" i="27"/>
  <c r="N768" i="27"/>
  <c r="AM768" i="27" s="1"/>
  <c r="P767" i="27"/>
  <c r="N767" i="27"/>
  <c r="AM767" i="27" s="1"/>
  <c r="P766" i="27"/>
  <c r="N766" i="27"/>
  <c r="AM766" i="27" s="1"/>
  <c r="P765" i="27"/>
  <c r="N765" i="27"/>
  <c r="AM765" i="27" s="1"/>
  <c r="P764" i="27"/>
  <c r="N764" i="27"/>
  <c r="AM764" i="27" s="1"/>
  <c r="P763" i="27"/>
  <c r="N763" i="27"/>
  <c r="AM763" i="27" s="1"/>
  <c r="P762" i="27"/>
  <c r="N762" i="27"/>
  <c r="AM762" i="27" s="1"/>
  <c r="P761" i="27"/>
  <c r="N761" i="27"/>
  <c r="AM761" i="27" s="1"/>
  <c r="P760" i="27"/>
  <c r="N760" i="27"/>
  <c r="AM760" i="27" s="1"/>
  <c r="P759" i="27"/>
  <c r="N759" i="27"/>
  <c r="AM759" i="27" s="1"/>
  <c r="P758" i="27"/>
  <c r="N758" i="27"/>
  <c r="AM758" i="27" s="1"/>
  <c r="P757" i="27"/>
  <c r="N757" i="27"/>
  <c r="AM757" i="27" s="1"/>
  <c r="P756" i="27"/>
  <c r="N756" i="27"/>
  <c r="AM756" i="27" s="1"/>
  <c r="P755" i="27"/>
  <c r="N755" i="27"/>
  <c r="AM755" i="27" s="1"/>
  <c r="P754" i="27"/>
  <c r="N754" i="27"/>
  <c r="AM754" i="27" s="1"/>
  <c r="P753" i="27"/>
  <c r="N753" i="27"/>
  <c r="AM753" i="27" s="1"/>
  <c r="P752" i="27"/>
  <c r="N752" i="27"/>
  <c r="AM752" i="27" s="1"/>
  <c r="P751" i="27"/>
  <c r="N751" i="27"/>
  <c r="AM751" i="27" s="1"/>
  <c r="P750" i="27"/>
  <c r="N750" i="27"/>
  <c r="AM750" i="27" s="1"/>
  <c r="P749" i="27"/>
  <c r="N749" i="27"/>
  <c r="AM749" i="27" s="1"/>
  <c r="P748" i="27"/>
  <c r="N748" i="27"/>
  <c r="AM748" i="27" s="1"/>
  <c r="P747" i="27"/>
  <c r="N747" i="27"/>
  <c r="AM747" i="27" s="1"/>
  <c r="P746" i="27"/>
  <c r="N746" i="27"/>
  <c r="AM746" i="27" s="1"/>
  <c r="P745" i="27"/>
  <c r="N745" i="27"/>
  <c r="AM745" i="27" s="1"/>
  <c r="P744" i="27"/>
  <c r="N744" i="27"/>
  <c r="AM744" i="27" s="1"/>
  <c r="P743" i="27"/>
  <c r="N743" i="27"/>
  <c r="AM743" i="27" s="1"/>
  <c r="P742" i="27"/>
  <c r="N742" i="27"/>
  <c r="AM742" i="27" s="1"/>
  <c r="P741" i="27"/>
  <c r="N741" i="27"/>
  <c r="AM741" i="27" s="1"/>
  <c r="P740" i="27"/>
  <c r="N740" i="27"/>
  <c r="AM740" i="27" s="1"/>
  <c r="P401" i="27"/>
  <c r="N401" i="27"/>
  <c r="AM401" i="27" s="1"/>
  <c r="P400" i="27"/>
  <c r="N400" i="27"/>
  <c r="AM400" i="27" s="1"/>
  <c r="P399" i="27"/>
  <c r="N399" i="27"/>
  <c r="AM399" i="27" s="1"/>
  <c r="P398" i="27"/>
  <c r="N398" i="27"/>
  <c r="AM398" i="27" s="1"/>
  <c r="P397" i="27"/>
  <c r="N397" i="27"/>
  <c r="AM397" i="27" s="1"/>
  <c r="P396" i="27"/>
  <c r="N396" i="27"/>
  <c r="AM396" i="27" s="1"/>
  <c r="P395" i="27"/>
  <c r="N395" i="27"/>
  <c r="AM395" i="27" s="1"/>
  <c r="P394" i="27"/>
  <c r="N394" i="27"/>
  <c r="AM394" i="27" s="1"/>
  <c r="P393" i="27"/>
  <c r="N393" i="27"/>
  <c r="AM393" i="27" s="1"/>
  <c r="P392" i="27"/>
  <c r="N392" i="27"/>
  <c r="AM392" i="27" s="1"/>
  <c r="P391" i="27"/>
  <c r="N391" i="27"/>
  <c r="AM391" i="27" s="1"/>
  <c r="P390" i="27"/>
  <c r="N390" i="27"/>
  <c r="AM390" i="27" s="1"/>
  <c r="P389" i="27"/>
  <c r="N389" i="27"/>
  <c r="AM389" i="27" s="1"/>
  <c r="P388" i="27"/>
  <c r="N388" i="27"/>
  <c r="AM388" i="27" s="1"/>
  <c r="P387" i="27"/>
  <c r="N387" i="27"/>
  <c r="AM387" i="27" s="1"/>
  <c r="P386" i="27"/>
  <c r="N386" i="27"/>
  <c r="AM386" i="27" s="1"/>
  <c r="P385" i="27"/>
  <c r="N385" i="27"/>
  <c r="AM385" i="27" s="1"/>
  <c r="P384" i="27"/>
  <c r="N384" i="27"/>
  <c r="AM384" i="27" s="1"/>
  <c r="P383" i="27"/>
  <c r="N383" i="27"/>
  <c r="AM383" i="27" s="1"/>
  <c r="P382" i="27"/>
  <c r="N382" i="27"/>
  <c r="AM382" i="27" s="1"/>
  <c r="P381" i="27"/>
  <c r="N381" i="27"/>
  <c r="AM381" i="27" s="1"/>
  <c r="P380" i="27"/>
  <c r="N380" i="27"/>
  <c r="AM380" i="27" s="1"/>
  <c r="P379" i="27"/>
  <c r="N379" i="27"/>
  <c r="AM379" i="27" s="1"/>
  <c r="P378" i="27"/>
  <c r="N378" i="27"/>
  <c r="AM378" i="27" s="1"/>
  <c r="P377" i="27"/>
  <c r="N377" i="27"/>
  <c r="AM377" i="27" s="1"/>
  <c r="P376" i="27"/>
  <c r="N376" i="27"/>
  <c r="AM376" i="27" s="1"/>
  <c r="P375" i="27"/>
  <c r="N375" i="27"/>
  <c r="AM375" i="27" s="1"/>
  <c r="P374" i="27"/>
  <c r="N374" i="27"/>
  <c r="AM374" i="27" s="1"/>
  <c r="P373" i="27"/>
  <c r="N373" i="27"/>
  <c r="AM373" i="27" s="1"/>
  <c r="P372" i="27"/>
  <c r="N372" i="27"/>
  <c r="AM372" i="27" s="1"/>
  <c r="P371" i="27"/>
  <c r="N371" i="27"/>
  <c r="AM371" i="27" s="1"/>
  <c r="P370" i="27"/>
  <c r="N370" i="27"/>
  <c r="AM370" i="27" s="1"/>
  <c r="P369" i="27"/>
  <c r="N369" i="27"/>
  <c r="AM369" i="27" s="1"/>
  <c r="P368" i="27"/>
  <c r="N368" i="27"/>
  <c r="AM368" i="27" s="1"/>
  <c r="P367" i="27"/>
  <c r="N367" i="27"/>
  <c r="AM367" i="27" s="1"/>
  <c r="P366" i="27"/>
  <c r="N366" i="27"/>
  <c r="AM366" i="27" s="1"/>
  <c r="P365" i="27"/>
  <c r="N365" i="27"/>
  <c r="AM365" i="27" s="1"/>
  <c r="P364" i="27"/>
  <c r="N364" i="27"/>
  <c r="AM364" i="27" s="1"/>
  <c r="P363" i="27"/>
  <c r="N363" i="27"/>
  <c r="AM363" i="27" s="1"/>
  <c r="P362" i="27"/>
  <c r="N362" i="27"/>
  <c r="AM362" i="27" s="1"/>
  <c r="P361" i="27"/>
  <c r="N361" i="27"/>
  <c r="AM361" i="27" s="1"/>
  <c r="P360" i="27"/>
  <c r="N360" i="27"/>
  <c r="AM360" i="27" s="1"/>
  <c r="P359" i="27"/>
  <c r="N359" i="27"/>
  <c r="AM359" i="27" s="1"/>
  <c r="P358" i="27"/>
  <c r="N358" i="27"/>
  <c r="AM358" i="27" s="1"/>
  <c r="P357" i="27"/>
  <c r="N357" i="27"/>
  <c r="AM357" i="27" s="1"/>
  <c r="P356" i="27"/>
  <c r="N356" i="27"/>
  <c r="AM356" i="27" s="1"/>
  <c r="P355" i="27"/>
  <c r="N355" i="27"/>
  <c r="AM355" i="27" s="1"/>
  <c r="P354" i="27"/>
  <c r="N354" i="27"/>
  <c r="AM354" i="27" s="1"/>
  <c r="P353" i="27"/>
  <c r="N353" i="27"/>
  <c r="AM353" i="27" s="1"/>
  <c r="P352" i="27"/>
  <c r="N352" i="27"/>
  <c r="AM352" i="27" s="1"/>
  <c r="P351" i="27"/>
  <c r="N351" i="27"/>
  <c r="AM351" i="27" s="1"/>
  <c r="P350" i="27"/>
  <c r="N350" i="27"/>
  <c r="AM350" i="27" s="1"/>
  <c r="P349" i="27"/>
  <c r="N349" i="27"/>
  <c r="AM349" i="27" s="1"/>
  <c r="P348" i="27"/>
  <c r="N348" i="27"/>
  <c r="AM348" i="27" s="1"/>
  <c r="P347" i="27"/>
  <c r="N347" i="27"/>
  <c r="AM347" i="27" s="1"/>
  <c r="P346" i="27"/>
  <c r="N346" i="27"/>
  <c r="AM346" i="27" s="1"/>
  <c r="P345" i="27"/>
  <c r="N345" i="27"/>
  <c r="AM345" i="27" s="1"/>
  <c r="P344" i="27"/>
  <c r="N344" i="27"/>
  <c r="AM344" i="27" s="1"/>
  <c r="P343" i="27"/>
  <c r="N343" i="27"/>
  <c r="AM343" i="27" s="1"/>
  <c r="P342" i="27"/>
  <c r="N342" i="27"/>
  <c r="AM342" i="27" s="1"/>
  <c r="P341" i="27"/>
  <c r="N341" i="27"/>
  <c r="AM341" i="27" s="1"/>
  <c r="P340" i="27"/>
  <c r="N340" i="27"/>
  <c r="AM340" i="27" s="1"/>
  <c r="P339" i="27"/>
  <c r="N339" i="27"/>
  <c r="AM339" i="27" s="1"/>
  <c r="P338" i="27"/>
  <c r="N338" i="27"/>
  <c r="AM338" i="27" s="1"/>
  <c r="P337" i="27"/>
  <c r="N337" i="27"/>
  <c r="AM337" i="27" s="1"/>
  <c r="P336" i="27"/>
  <c r="N336" i="27"/>
  <c r="AM336" i="27" s="1"/>
  <c r="P335" i="27"/>
  <c r="N335" i="27"/>
  <c r="AM335" i="27" s="1"/>
  <c r="P334" i="27"/>
  <c r="N334" i="27"/>
  <c r="AM334" i="27" s="1"/>
  <c r="P333" i="27"/>
  <c r="N333" i="27"/>
  <c r="AM333" i="27" s="1"/>
  <c r="P332" i="27"/>
  <c r="N332" i="27"/>
  <c r="AM332" i="27" s="1"/>
  <c r="P331" i="27"/>
  <c r="N331" i="27"/>
  <c r="AM331" i="27" s="1"/>
  <c r="P330" i="27"/>
  <c r="N330" i="27"/>
  <c r="AM330" i="27" s="1"/>
  <c r="P329" i="27"/>
  <c r="N329" i="27"/>
  <c r="AM329" i="27" s="1"/>
  <c r="P328" i="27"/>
  <c r="N328" i="27"/>
  <c r="AM328" i="27" s="1"/>
  <c r="P327" i="27"/>
  <c r="N327" i="27"/>
  <c r="AM327" i="27" s="1"/>
  <c r="P326" i="27"/>
  <c r="N326" i="27"/>
  <c r="AM326" i="27" s="1"/>
  <c r="P325" i="27"/>
  <c r="N325" i="27"/>
  <c r="AM325" i="27" s="1"/>
  <c r="P324" i="27"/>
  <c r="N324" i="27"/>
  <c r="AM324" i="27" s="1"/>
  <c r="P323" i="27"/>
  <c r="N323" i="27"/>
  <c r="AM323" i="27" s="1"/>
  <c r="P322" i="27"/>
  <c r="N322" i="27"/>
  <c r="AM322" i="27" s="1"/>
  <c r="P321" i="27"/>
  <c r="N321" i="27"/>
  <c r="AM321" i="27" s="1"/>
  <c r="P320" i="27"/>
  <c r="N320" i="27"/>
  <c r="AM320" i="27" s="1"/>
  <c r="P319" i="27"/>
  <c r="N319" i="27"/>
  <c r="AM319" i="27" s="1"/>
  <c r="P318" i="27"/>
  <c r="N318" i="27"/>
  <c r="AM318" i="27" s="1"/>
  <c r="P317" i="27"/>
  <c r="N317" i="27"/>
  <c r="AM317" i="27" s="1"/>
  <c r="P316" i="27"/>
  <c r="N316" i="27"/>
  <c r="AM316" i="27" s="1"/>
  <c r="P315" i="27"/>
  <c r="N315" i="27"/>
  <c r="AM315" i="27" s="1"/>
  <c r="P314" i="27"/>
  <c r="N314" i="27"/>
  <c r="AM314" i="27" s="1"/>
  <c r="P313" i="27"/>
  <c r="N313" i="27"/>
  <c r="AM313" i="27" s="1"/>
  <c r="P312" i="27"/>
  <c r="N312" i="27"/>
  <c r="AM312" i="27" s="1"/>
  <c r="P311" i="27"/>
  <c r="N311" i="27"/>
  <c r="AM311" i="27" s="1"/>
  <c r="P310" i="27"/>
  <c r="N310" i="27"/>
  <c r="AM310" i="27" s="1"/>
  <c r="P309" i="27"/>
  <c r="N309" i="27"/>
  <c r="AM309" i="27" s="1"/>
  <c r="P308" i="27"/>
  <c r="N308" i="27"/>
  <c r="AM308" i="27" s="1"/>
  <c r="P307" i="27"/>
  <c r="N307" i="27"/>
  <c r="AM307" i="27" s="1"/>
  <c r="P306" i="27"/>
  <c r="N306" i="27"/>
  <c r="AM306" i="27" s="1"/>
  <c r="P305" i="27"/>
  <c r="N305" i="27"/>
  <c r="AM305" i="27" s="1"/>
  <c r="P304" i="27"/>
  <c r="N304" i="27"/>
  <c r="AM304" i="27" s="1"/>
  <c r="P302" i="27"/>
  <c r="N302" i="27"/>
  <c r="AM302" i="27" s="1"/>
  <c r="P301" i="27"/>
  <c r="N301" i="27"/>
  <c r="AM301" i="27" s="1"/>
  <c r="P300" i="27"/>
  <c r="N300" i="27"/>
  <c r="AM300" i="27" s="1"/>
  <c r="P299" i="27"/>
  <c r="N299" i="27"/>
  <c r="AM299" i="27" s="1"/>
  <c r="P298" i="27"/>
  <c r="N298" i="27"/>
  <c r="AM298" i="27" s="1"/>
  <c r="P297" i="27"/>
  <c r="N297" i="27"/>
  <c r="AM297" i="27" s="1"/>
  <c r="P296" i="27"/>
  <c r="N296" i="27"/>
  <c r="AM296" i="27" s="1"/>
  <c r="P295" i="27"/>
  <c r="N295" i="27"/>
  <c r="AM295" i="27" s="1"/>
  <c r="P294" i="27"/>
  <c r="N294" i="27"/>
  <c r="AM294" i="27" s="1"/>
  <c r="P293" i="27"/>
  <c r="N293" i="27"/>
  <c r="AM293" i="27" s="1"/>
  <c r="P292" i="27"/>
  <c r="N292" i="27"/>
  <c r="AM292" i="27" s="1"/>
  <c r="P291" i="27"/>
  <c r="N291" i="27"/>
  <c r="AM291" i="27" s="1"/>
  <c r="P290" i="27"/>
  <c r="N290" i="27"/>
  <c r="AM290" i="27" s="1"/>
  <c r="P289" i="27"/>
  <c r="N289" i="27"/>
  <c r="AM289" i="27" s="1"/>
  <c r="P288" i="27"/>
  <c r="N288" i="27"/>
  <c r="AM288" i="27" s="1"/>
  <c r="P287" i="27"/>
  <c r="N287" i="27"/>
  <c r="AM287" i="27" s="1"/>
  <c r="P286" i="27"/>
  <c r="N286" i="27"/>
  <c r="AM286" i="27" s="1"/>
  <c r="P285" i="27"/>
  <c r="N285" i="27"/>
  <c r="AM285" i="27" s="1"/>
  <c r="P284" i="27"/>
  <c r="N284" i="27"/>
  <c r="AM284" i="27" s="1"/>
  <c r="P283" i="27"/>
  <c r="N283" i="27"/>
  <c r="AM283" i="27" s="1"/>
  <c r="P282" i="27"/>
  <c r="N282" i="27"/>
  <c r="AM282" i="27" s="1"/>
  <c r="P281" i="27"/>
  <c r="N281" i="27"/>
  <c r="AM281" i="27" s="1"/>
  <c r="P280" i="27"/>
  <c r="N280" i="27"/>
  <c r="AM280" i="27" s="1"/>
  <c r="P279" i="27"/>
  <c r="N279" i="27"/>
  <c r="AM279" i="27" s="1"/>
  <c r="P278" i="27"/>
  <c r="N278" i="27"/>
  <c r="AM278" i="27" s="1"/>
  <c r="P251" i="27"/>
  <c r="N251" i="27"/>
  <c r="AM251" i="27" s="1"/>
  <c r="P250" i="27"/>
  <c r="N250" i="27"/>
  <c r="AM250" i="27" s="1"/>
  <c r="P241" i="27"/>
  <c r="N241" i="27"/>
  <c r="AM241" i="27" s="1"/>
  <c r="P6" i="27"/>
  <c r="N6" i="27"/>
  <c r="H2" i="49"/>
  <c r="G2" i="49"/>
  <c r="E2" i="49"/>
  <c r="J8" i="35"/>
  <c r="H8" i="35"/>
  <c r="G8" i="35"/>
  <c r="H444" i="60"/>
  <c r="AF441" i="60"/>
  <c r="AF443" i="60"/>
  <c r="F443" i="60"/>
  <c r="AF445" i="60"/>
  <c r="F445" i="60"/>
  <c r="H453" i="60"/>
  <c r="H443" i="60"/>
  <c r="H445" i="60"/>
  <c r="AF453" i="60"/>
  <c r="F442" i="60"/>
  <c r="H442" i="60"/>
  <c r="AF444" i="60"/>
  <c r="F444" i="60"/>
  <c r="P25" i="48"/>
  <c r="H114" i="48"/>
  <c r="L114" i="48"/>
  <c r="L119" i="48" s="1"/>
  <c r="N150" i="48"/>
  <c r="H174" i="48"/>
  <c r="L174" i="48"/>
  <c r="M185" i="48"/>
  <c r="P16" i="48"/>
  <c r="Q25" i="48"/>
  <c r="M114" i="48"/>
  <c r="M119" i="48" s="1"/>
  <c r="J146" i="48"/>
  <c r="J147" i="48" s="1"/>
  <c r="O150" i="48"/>
  <c r="M174" i="48"/>
  <c r="J184" i="48"/>
  <c r="N185" i="48"/>
  <c r="N114" i="48"/>
  <c r="N119" i="48" s="1"/>
  <c r="H150" i="48"/>
  <c r="L150" i="48"/>
  <c r="J173" i="48"/>
  <c r="O185" i="48"/>
  <c r="O114" i="48"/>
  <c r="P15" i="48"/>
  <c r="Q26" i="48"/>
  <c r="F174" i="48"/>
  <c r="F114" i="48"/>
  <c r="F119" i="48" s="1"/>
  <c r="F150" i="48"/>
  <c r="M80" i="48"/>
  <c r="J453" i="60"/>
  <c r="J442" i="60"/>
  <c r="H441" i="60"/>
  <c r="F441" i="60"/>
  <c r="G80" i="48"/>
  <c r="H80" i="48"/>
  <c r="K80" i="48"/>
  <c r="L80" i="48"/>
  <c r="J445" i="60"/>
  <c r="K445" i="60"/>
  <c r="K442" i="60"/>
  <c r="K444" i="60"/>
  <c r="K443" i="60"/>
  <c r="J80" i="48"/>
  <c r="N80" i="48"/>
  <c r="E80" i="48"/>
  <c r="Z444" i="60"/>
  <c r="Z442" i="60"/>
  <c r="K441" i="60"/>
  <c r="Z445" i="60"/>
  <c r="Z443" i="60"/>
  <c r="Z441" i="60"/>
  <c r="AG443" i="60"/>
  <c r="AG442" i="60"/>
  <c r="AG445" i="60"/>
  <c r="AG444" i="60"/>
  <c r="AM444" i="60"/>
  <c r="AM443" i="60"/>
  <c r="AM445" i="60"/>
  <c r="AM453" i="60"/>
  <c r="AG441" i="60"/>
  <c r="AM442" i="60"/>
  <c r="Q17" i="48"/>
  <c r="P17" i="48"/>
  <c r="AM441" i="60"/>
  <c r="BF1299" i="27" l="1"/>
  <c r="H17" i="60"/>
  <c r="H10" i="60" s="1"/>
  <c r="H16" i="60"/>
  <c r="H9" i="60" s="1"/>
  <c r="F14" i="60"/>
  <c r="F7" i="60" s="1"/>
  <c r="AF15" i="60"/>
  <c r="F15" i="60"/>
  <c r="F8" i="60" s="1"/>
  <c r="H14" i="60"/>
  <c r="H7" i="60" s="1"/>
  <c r="H15" i="60"/>
  <c r="H8" i="60" s="1"/>
  <c r="AF18" i="60"/>
  <c r="AF11" i="60" s="1"/>
  <c r="F18" i="60"/>
  <c r="F11" i="60" s="1"/>
  <c r="H18" i="60"/>
  <c r="H11" i="60" s="1"/>
  <c r="AF17" i="60"/>
  <c r="AF10" i="60" s="1"/>
  <c r="F17" i="60"/>
  <c r="F10" i="60" s="1"/>
  <c r="AF16" i="60"/>
  <c r="AF9" i="60" s="1"/>
  <c r="F16" i="60"/>
  <c r="F9" i="60" s="1"/>
  <c r="K4" i="66"/>
  <c r="K116" i="66" s="1"/>
  <c r="K119" i="35"/>
  <c r="K120" i="35" s="1"/>
  <c r="BF1300" i="27"/>
  <c r="O8" i="54"/>
  <c r="P8" i="54" s="1"/>
  <c r="R8" i="54" s="1"/>
  <c r="AO1292" i="27"/>
  <c r="G113" i="35"/>
  <c r="H119" i="35"/>
  <c r="J119" i="35"/>
  <c r="AD69" i="64"/>
  <c r="AB69" i="64"/>
  <c r="AD65" i="64"/>
  <c r="AB65" i="64"/>
  <c r="E65" i="64"/>
  <c r="AD66" i="64"/>
  <c r="AB66" i="64"/>
  <c r="E66" i="64"/>
  <c r="AD70" i="64"/>
  <c r="AB70" i="64"/>
  <c r="E70" i="64"/>
  <c r="AD67" i="64"/>
  <c r="AB67" i="64"/>
  <c r="E67" i="64"/>
  <c r="AD68" i="64"/>
  <c r="AB68" i="64"/>
  <c r="E68" i="64"/>
  <c r="E64" i="64"/>
  <c r="AM6" i="27"/>
  <c r="P135" i="48"/>
  <c r="P139" i="48"/>
  <c r="F58" i="58"/>
  <c r="L47" i="58"/>
  <c r="E115" i="48"/>
  <c r="M151" i="48"/>
  <c r="I69" i="48"/>
  <c r="I61" i="48"/>
  <c r="J127" i="48"/>
  <c r="L45" i="58"/>
  <c r="L44" i="58"/>
  <c r="T160" i="48"/>
  <c r="L40" i="58"/>
  <c r="J158" i="48"/>
  <c r="L48" i="58"/>
  <c r="K127" i="48"/>
  <c r="J61" i="48"/>
  <c r="Q122" i="48"/>
  <c r="Q131" i="48" s="1"/>
  <c r="O158" i="48"/>
  <c r="L41" i="58"/>
  <c r="D151" i="48"/>
  <c r="F57" i="58"/>
  <c r="L43" i="58"/>
  <c r="E158" i="48"/>
  <c r="M158" i="48"/>
  <c r="Q150" i="48"/>
  <c r="L46" i="58"/>
  <c r="L42" i="58"/>
  <c r="G151" i="48"/>
  <c r="F158" i="48"/>
  <c r="G61" i="48"/>
  <c r="O123" i="48"/>
  <c r="N158" i="48"/>
  <c r="H127" i="48"/>
  <c r="J53" i="48"/>
  <c r="F61" i="48"/>
  <c r="G158" i="48"/>
  <c r="H151" i="48"/>
  <c r="H115" i="48"/>
  <c r="E151" i="48"/>
  <c r="I158" i="48"/>
  <c r="G43" i="48"/>
  <c r="G47" i="48" s="1"/>
  <c r="L64" i="48"/>
  <c r="G56" i="48"/>
  <c r="AH360" i="60"/>
  <c r="AH369" i="60"/>
  <c r="AH357" i="60"/>
  <c r="AE460" i="60"/>
  <c r="Q460" i="60"/>
  <c r="AJ460" i="60"/>
  <c r="G460" i="60"/>
  <c r="Q107" i="48"/>
  <c r="D123" i="48"/>
  <c r="P122" i="48"/>
  <c r="P131" i="48" s="1"/>
  <c r="H48" i="48"/>
  <c r="M11" i="54"/>
  <c r="Q40" i="48"/>
  <c r="K61" i="48"/>
  <c r="J69" i="48"/>
  <c r="I43" i="48"/>
  <c r="I47" i="48" s="1"/>
  <c r="D127" i="48"/>
  <c r="N51" i="48"/>
  <c r="N53" i="48" s="1"/>
  <c r="I56" i="48"/>
  <c r="L115" i="48"/>
  <c r="O69" i="48"/>
  <c r="K151" i="48"/>
  <c r="M115" i="48"/>
  <c r="I127" i="48"/>
  <c r="H158" i="48"/>
  <c r="H119" i="48"/>
  <c r="J115" i="48"/>
  <c r="K43" i="48"/>
  <c r="D115" i="48"/>
  <c r="K69" i="48"/>
  <c r="E127" i="48"/>
  <c r="G53" i="48"/>
  <c r="M127" i="48"/>
  <c r="F127" i="48"/>
  <c r="E61" i="48"/>
  <c r="N115" i="48"/>
  <c r="F151" i="48"/>
  <c r="E64" i="48"/>
  <c r="L127" i="48"/>
  <c r="L56" i="48"/>
  <c r="F51" i="48"/>
  <c r="F53" i="48" s="1"/>
  <c r="L48" i="48"/>
  <c r="O115" i="48"/>
  <c r="J151" i="48"/>
  <c r="M61" i="48"/>
  <c r="M69" i="48"/>
  <c r="O151" i="48"/>
  <c r="N61" i="48"/>
  <c r="Q114" i="48"/>
  <c r="K158" i="48"/>
  <c r="T125" i="48"/>
  <c r="T129" i="48"/>
  <c r="K162" i="48"/>
  <c r="L158" i="48"/>
  <c r="G115" i="48"/>
  <c r="N69" i="48"/>
  <c r="N151" i="48"/>
  <c r="Q175" i="48"/>
  <c r="Q72" i="48"/>
  <c r="P80" i="48"/>
  <c r="P88" i="48"/>
  <c r="O119" i="48"/>
  <c r="Q38" i="48"/>
  <c r="Q118" i="48"/>
  <c r="Q184" i="48"/>
  <c r="Q185" i="48"/>
  <c r="L55" i="48"/>
  <c r="Q110" i="48"/>
  <c r="P72" i="48"/>
  <c r="P157" i="48"/>
  <c r="P166" i="48" s="1"/>
  <c r="Q172" i="48"/>
  <c r="Q173" i="48"/>
  <c r="P175" i="48"/>
  <c r="Q176" i="48"/>
  <c r="Q183" i="48"/>
  <c r="Q186" i="48"/>
  <c r="P187" i="48"/>
  <c r="Q157" i="48"/>
  <c r="Q162" i="48" s="1"/>
  <c r="O61" i="48"/>
  <c r="I151" i="48"/>
  <c r="E48" i="48"/>
  <c r="Q174" i="48"/>
  <c r="I115" i="48"/>
  <c r="H51" i="48"/>
  <c r="H53" i="48" s="1"/>
  <c r="L151" i="48"/>
  <c r="G127" i="48"/>
  <c r="P67" i="48"/>
  <c r="P69" i="48" s="1"/>
  <c r="N127" i="48"/>
  <c r="M162" i="48"/>
  <c r="N162" i="48"/>
  <c r="F56" i="48"/>
  <c r="N56" i="48"/>
  <c r="K56" i="48"/>
  <c r="N43" i="48"/>
  <c r="K51" i="48"/>
  <c r="K53" i="48" s="1"/>
  <c r="F43" i="48"/>
  <c r="J48" i="48"/>
  <c r="D51" i="48"/>
  <c r="J43" i="48"/>
  <c r="O51" i="48"/>
  <c r="O53" i="48" s="1"/>
  <c r="F385" i="60"/>
  <c r="O460" i="60"/>
  <c r="N446" i="60"/>
  <c r="R722" i="27"/>
  <c r="S722" i="27" s="1"/>
  <c r="R6" i="27"/>
  <c r="H47" i="48"/>
  <c r="H45" i="48"/>
  <c r="D45" i="48"/>
  <c r="D47" i="48"/>
  <c r="L45" i="48"/>
  <c r="L47" i="48"/>
  <c r="D56" i="48"/>
  <c r="O56" i="48"/>
  <c r="H56" i="48"/>
  <c r="D48" i="48"/>
  <c r="M428" i="60"/>
  <c r="M414" i="60"/>
  <c r="U430" i="60"/>
  <c r="U416" i="60"/>
  <c r="AK427" i="60"/>
  <c r="AK413" i="60"/>
  <c r="AK429" i="60"/>
  <c r="N430" i="60"/>
  <c r="N416" i="60"/>
  <c r="V430" i="60"/>
  <c r="V416" i="60"/>
  <c r="AE430" i="60"/>
  <c r="AE416" i="60"/>
  <c r="G431" i="60"/>
  <c r="G417" i="60"/>
  <c r="R431" i="60"/>
  <c r="R417" i="60"/>
  <c r="AA431" i="60"/>
  <c r="AK431" i="60"/>
  <c r="AK417" i="60"/>
  <c r="AD428" i="60"/>
  <c r="AD414" i="60"/>
  <c r="E431" i="60"/>
  <c r="E417" i="60"/>
  <c r="R427" i="60"/>
  <c r="R413" i="60"/>
  <c r="AA429" i="60"/>
  <c r="N460" i="60"/>
  <c r="AL427" i="60"/>
  <c r="O428" i="60"/>
  <c r="O414" i="60"/>
  <c r="W428" i="60"/>
  <c r="W414" i="60"/>
  <c r="AH428" i="60"/>
  <c r="AH414" i="60"/>
  <c r="S429" i="60"/>
  <c r="S415" i="60"/>
  <c r="AB429" i="60"/>
  <c r="AL429" i="60"/>
  <c r="O430" i="60"/>
  <c r="O416" i="60"/>
  <c r="W430" i="60"/>
  <c r="W416" i="60"/>
  <c r="AH430" i="60"/>
  <c r="AH416" i="60"/>
  <c r="I431" i="60"/>
  <c r="I417" i="60"/>
  <c r="S431" i="60"/>
  <c r="S417" i="60"/>
  <c r="AB431" i="60"/>
  <c r="AL431" i="60"/>
  <c r="AL417" i="60"/>
  <c r="U428" i="60"/>
  <c r="U414" i="60"/>
  <c r="M430" i="60"/>
  <c r="M416" i="60"/>
  <c r="N428" i="60"/>
  <c r="N414" i="60"/>
  <c r="V460" i="60"/>
  <c r="S460" i="60"/>
  <c r="P428" i="60"/>
  <c r="P414" i="60"/>
  <c r="X428" i="60"/>
  <c r="X414" i="60"/>
  <c r="AI428" i="60"/>
  <c r="AI414" i="60"/>
  <c r="L429" i="60"/>
  <c r="L415" i="60"/>
  <c r="T429" i="60"/>
  <c r="T415" i="60"/>
  <c r="AN429" i="60"/>
  <c r="AN415" i="60"/>
  <c r="P430" i="60"/>
  <c r="P416" i="60"/>
  <c r="X430" i="60"/>
  <c r="X416" i="60"/>
  <c r="AI430" i="60"/>
  <c r="AI416" i="60"/>
  <c r="L431" i="60"/>
  <c r="L417" i="60"/>
  <c r="T431" i="60"/>
  <c r="T417" i="60"/>
  <c r="AN431" i="60"/>
  <c r="AN417" i="60"/>
  <c r="E427" i="60"/>
  <c r="E413" i="60"/>
  <c r="E429" i="60"/>
  <c r="E415" i="60"/>
  <c r="Q431" i="60"/>
  <c r="Q417" i="60"/>
  <c r="G429" i="60"/>
  <c r="G415" i="60"/>
  <c r="AA460" i="60"/>
  <c r="M427" i="60"/>
  <c r="M413" i="60"/>
  <c r="U427" i="60"/>
  <c r="U413" i="60"/>
  <c r="E428" i="60"/>
  <c r="E414" i="60"/>
  <c r="Q428" i="60"/>
  <c r="Q414" i="60"/>
  <c r="AJ428" i="60"/>
  <c r="AJ414" i="60"/>
  <c r="M429" i="60"/>
  <c r="M415" i="60"/>
  <c r="U429" i="60"/>
  <c r="U415" i="60"/>
  <c r="AD429" i="60"/>
  <c r="AD415" i="60"/>
  <c r="E430" i="60"/>
  <c r="E416" i="60"/>
  <c r="Q430" i="60"/>
  <c r="Q416" i="60"/>
  <c r="AJ430" i="60"/>
  <c r="AJ416" i="60"/>
  <c r="M431" i="60"/>
  <c r="M417" i="60"/>
  <c r="U431" i="60"/>
  <c r="U417" i="60"/>
  <c r="AD431" i="60"/>
  <c r="AD417" i="60"/>
  <c r="AE428" i="60"/>
  <c r="AE414" i="60"/>
  <c r="G428" i="60"/>
  <c r="G414" i="60"/>
  <c r="R428" i="60"/>
  <c r="R414" i="60"/>
  <c r="AA428" i="60"/>
  <c r="AK428" i="60"/>
  <c r="N429" i="60"/>
  <c r="N415" i="60"/>
  <c r="AE429" i="60"/>
  <c r="AE415" i="60"/>
  <c r="G430" i="60"/>
  <c r="G416" i="60"/>
  <c r="R430" i="60"/>
  <c r="R416" i="60"/>
  <c r="AA430" i="60"/>
  <c r="AK430" i="60"/>
  <c r="AK416" i="60"/>
  <c r="N431" i="60"/>
  <c r="N417" i="60"/>
  <c r="V431" i="60"/>
  <c r="V417" i="60"/>
  <c r="AE431" i="60"/>
  <c r="AE417" i="60"/>
  <c r="Q429" i="60"/>
  <c r="Q415" i="60"/>
  <c r="AD430" i="60"/>
  <c r="AD416" i="60"/>
  <c r="AB460" i="60"/>
  <c r="O427" i="60"/>
  <c r="O413" i="60"/>
  <c r="W427" i="60"/>
  <c r="W413" i="60"/>
  <c r="AH427" i="60"/>
  <c r="AH413" i="60"/>
  <c r="I428" i="60"/>
  <c r="I414" i="60"/>
  <c r="S428" i="60"/>
  <c r="S414" i="60"/>
  <c r="AB428" i="60"/>
  <c r="AL428" i="60"/>
  <c r="O429" i="60"/>
  <c r="O415" i="60"/>
  <c r="W429" i="60"/>
  <c r="W415" i="60"/>
  <c r="AH429" i="60"/>
  <c r="AH415" i="60"/>
  <c r="S430" i="60"/>
  <c r="S416" i="60"/>
  <c r="AB430" i="60"/>
  <c r="AL430" i="60"/>
  <c r="O431" i="60"/>
  <c r="O417" i="60"/>
  <c r="W431" i="60"/>
  <c r="W417" i="60"/>
  <c r="AH431" i="60"/>
  <c r="AH417" i="60"/>
  <c r="AJ429" i="60"/>
  <c r="AJ415" i="60"/>
  <c r="AJ431" i="60"/>
  <c r="AJ417" i="60"/>
  <c r="R429" i="60"/>
  <c r="R415" i="60"/>
  <c r="AF460" i="60"/>
  <c r="Z460" i="60"/>
  <c r="L428" i="60"/>
  <c r="L414" i="60"/>
  <c r="T428" i="60"/>
  <c r="T414" i="60"/>
  <c r="AC428" i="60"/>
  <c r="AN428" i="60"/>
  <c r="AN414" i="60"/>
  <c r="P429" i="60"/>
  <c r="P415" i="60"/>
  <c r="AI429" i="60"/>
  <c r="AI415" i="60"/>
  <c r="L430" i="60"/>
  <c r="L416" i="60"/>
  <c r="T430" i="60"/>
  <c r="T416" i="60"/>
  <c r="AN430" i="60"/>
  <c r="AN416" i="60"/>
  <c r="P431" i="60"/>
  <c r="P417" i="60"/>
  <c r="X431" i="60"/>
  <c r="X417" i="60"/>
  <c r="AI431" i="60"/>
  <c r="AI417" i="60"/>
  <c r="R915" i="27"/>
  <c r="S915" i="27" s="1"/>
  <c r="R800" i="27"/>
  <c r="S800" i="27" s="1"/>
  <c r="O47" i="48"/>
  <c r="O45" i="48"/>
  <c r="E47" i="48"/>
  <c r="E45" i="48"/>
  <c r="M55" i="48"/>
  <c r="M53" i="48"/>
  <c r="M45" i="48"/>
  <c r="M47" i="48"/>
  <c r="F80" i="48"/>
  <c r="M56" i="48"/>
  <c r="P176" i="48"/>
  <c r="H71" i="48"/>
  <c r="D162" i="48"/>
  <c r="F115" i="48"/>
  <c r="M64" i="48"/>
  <c r="Q42" i="48"/>
  <c r="Q48" i="48" s="1"/>
  <c r="L61" i="48"/>
  <c r="L69" i="48"/>
  <c r="D158" i="48"/>
  <c r="Q59" i="48"/>
  <c r="P154" i="48"/>
  <c r="T133" i="48"/>
  <c r="Q146" i="48"/>
  <c r="Q147" i="48" s="1"/>
  <c r="Q50" i="48"/>
  <c r="E55" i="48"/>
  <c r="H61" i="48"/>
  <c r="H69" i="48"/>
  <c r="Q67" i="48"/>
  <c r="D61" i="48"/>
  <c r="P186" i="48"/>
  <c r="Q187" i="48"/>
  <c r="I80" i="48"/>
  <c r="P59" i="48"/>
  <c r="Q80" i="48"/>
  <c r="D80" i="48"/>
  <c r="E56" i="48"/>
  <c r="K115" i="48"/>
  <c r="I55" i="48"/>
  <c r="I147" i="48"/>
  <c r="R373" i="27"/>
  <c r="S373" i="27" s="1"/>
  <c r="R1204" i="27"/>
  <c r="S1204" i="27" s="1"/>
  <c r="R1240" i="27"/>
  <c r="S1240" i="27" s="1"/>
  <c r="R785" i="27"/>
  <c r="S785" i="27" s="1"/>
  <c r="R1202" i="27"/>
  <c r="S1202" i="27" s="1"/>
  <c r="R917" i="27"/>
  <c r="S917" i="27" s="1"/>
  <c r="R284" i="27"/>
  <c r="S284" i="27" s="1"/>
  <c r="R908" i="27"/>
  <c r="R1136" i="27"/>
  <c r="S1136" i="27" s="1"/>
  <c r="R739" i="27"/>
  <c r="S739" i="27" s="1"/>
  <c r="R1103" i="27"/>
  <c r="S1103" i="27" s="1"/>
  <c r="R751" i="27"/>
  <c r="S751" i="27" s="1"/>
  <c r="R485" i="27"/>
  <c r="S485" i="27" s="1"/>
  <c r="R922" i="27"/>
  <c r="S922" i="27" s="1"/>
  <c r="R1168" i="27"/>
  <c r="S1168" i="27" s="1"/>
  <c r="R806" i="27"/>
  <c r="S806" i="27" s="1"/>
  <c r="R745" i="27"/>
  <c r="S745" i="27" s="1"/>
  <c r="R1083" i="27"/>
  <c r="S1083" i="27" s="1"/>
  <c r="R967" i="27"/>
  <c r="S967" i="27" s="1"/>
  <c r="R1093" i="27"/>
  <c r="S1093" i="27" s="1"/>
  <c r="R293" i="27"/>
  <c r="S293" i="27" s="1"/>
  <c r="R535" i="27"/>
  <c r="S535" i="27" s="1"/>
  <c r="R527" i="27"/>
  <c r="S527" i="27" s="1"/>
  <c r="R766" i="27"/>
  <c r="S766" i="27" s="1"/>
  <c r="R531" i="27"/>
  <c r="S531" i="27" s="1"/>
  <c r="R1111" i="27"/>
  <c r="S1111" i="27" s="1"/>
  <c r="R1013" i="27"/>
  <c r="S1013" i="27" s="1"/>
  <c r="R294" i="27"/>
  <c r="S294" i="27" s="1"/>
  <c r="R1001" i="27"/>
  <c r="S1001" i="27" s="1"/>
  <c r="R975" i="27"/>
  <c r="S975" i="27" s="1"/>
  <c r="R543" i="27"/>
  <c r="S543" i="27" s="1"/>
  <c r="R1017" i="27"/>
  <c r="S1017" i="27" s="1"/>
  <c r="R929" i="27"/>
  <c r="S929" i="27" s="1"/>
  <c r="R1061" i="27"/>
  <c r="S1061" i="27" s="1"/>
  <c r="R1099" i="27"/>
  <c r="S1099" i="27" s="1"/>
  <c r="R1243" i="27"/>
  <c r="S1243" i="27" s="1"/>
  <c r="R338" i="27"/>
  <c r="S338" i="27" s="1"/>
  <c r="R1170" i="27"/>
  <c r="S1170" i="27" s="1"/>
  <c r="R820" i="27"/>
  <c r="S820" i="27" s="1"/>
  <c r="R899" i="27"/>
  <c r="S899" i="27" s="1"/>
  <c r="R523" i="27"/>
  <c r="S523" i="27" s="1"/>
  <c r="R1092" i="27"/>
  <c r="S1092" i="27" s="1"/>
  <c r="R1218" i="27"/>
  <c r="S1218" i="27" s="1"/>
  <c r="R297" i="27"/>
  <c r="S297" i="27" s="1"/>
  <c r="R384" i="27"/>
  <c r="S384" i="27" s="1"/>
  <c r="R762" i="27"/>
  <c r="S762" i="27" s="1"/>
  <c r="R863" i="27"/>
  <c r="R901" i="27"/>
  <c r="R912" i="27"/>
  <c r="S912" i="27" s="1"/>
  <c r="R920" i="27"/>
  <c r="S920" i="27" s="1"/>
  <c r="R947" i="27"/>
  <c r="S947" i="27" s="1"/>
  <c r="R1046" i="27"/>
  <c r="S1046" i="27" s="1"/>
  <c r="R1097" i="27"/>
  <c r="S1097" i="27" s="1"/>
  <c r="R1231" i="27"/>
  <c r="S1231" i="27" s="1"/>
  <c r="R578" i="27"/>
  <c r="S578" i="27" s="1"/>
  <c r="R582" i="27"/>
  <c r="S582" i="27" s="1"/>
  <c r="R638" i="27"/>
  <c r="S638" i="27" s="1"/>
  <c r="R666" i="27"/>
  <c r="S666" i="27" s="1"/>
  <c r="R678" i="27"/>
  <c r="S678" i="27" s="1"/>
  <c r="R682" i="27"/>
  <c r="R686" i="27"/>
  <c r="R404" i="27"/>
  <c r="S404" i="27" s="1"/>
  <c r="R412" i="27"/>
  <c r="S412" i="27" s="1"/>
  <c r="R416" i="27"/>
  <c r="S416" i="27" s="1"/>
  <c r="R440" i="27"/>
  <c r="S440" i="27" s="1"/>
  <c r="R448" i="27"/>
  <c r="S448" i="27" s="1"/>
  <c r="R452" i="27"/>
  <c r="S452" i="27" s="1"/>
  <c r="R460" i="27"/>
  <c r="S460" i="27" s="1"/>
  <c r="R516" i="27"/>
  <c r="S516" i="27" s="1"/>
  <c r="R520" i="27"/>
  <c r="S520" i="27" s="1"/>
  <c r="R532" i="27"/>
  <c r="S532" i="27" s="1"/>
  <c r="R548" i="27"/>
  <c r="S548" i="27" s="1"/>
  <c r="R556" i="27"/>
  <c r="S556" i="27" s="1"/>
  <c r="R942" i="27"/>
  <c r="R979" i="27"/>
  <c r="S979" i="27" s="1"/>
  <c r="R992" i="27"/>
  <c r="S992" i="27" s="1"/>
  <c r="R941" i="27"/>
  <c r="S941" i="27" s="1"/>
  <c r="R1116" i="27"/>
  <c r="S1116" i="27" s="1"/>
  <c r="R1251" i="27"/>
  <c r="S1251" i="27" s="1"/>
  <c r="R374" i="27"/>
  <c r="S374" i="27" s="1"/>
  <c r="R398" i="27"/>
  <c r="S398" i="27" s="1"/>
  <c r="R776" i="27"/>
  <c r="R861" i="27"/>
  <c r="S861" i="27" s="1"/>
  <c r="R910" i="27"/>
  <c r="S910" i="27" s="1"/>
  <c r="R918" i="27"/>
  <c r="S918" i="27" s="1"/>
  <c r="R1248" i="27"/>
  <c r="S1248" i="27" s="1"/>
  <c r="R599" i="27"/>
  <c r="S599" i="27" s="1"/>
  <c r="R651" i="27"/>
  <c r="S651" i="27" s="1"/>
  <c r="R691" i="27"/>
  <c r="S691" i="27" s="1"/>
  <c r="R413" i="27"/>
  <c r="S413" i="27" s="1"/>
  <c r="R441" i="27"/>
  <c r="S441" i="27" s="1"/>
  <c r="R453" i="27"/>
  <c r="S453" i="27" s="1"/>
  <c r="R465" i="27"/>
  <c r="S465" i="27" s="1"/>
  <c r="R477" i="27"/>
  <c r="S477" i="27" s="1"/>
  <c r="R521" i="27"/>
  <c r="S521" i="27" s="1"/>
  <c r="R553" i="27"/>
  <c r="S553" i="27" s="1"/>
  <c r="R385" i="27"/>
  <c r="S385" i="27" s="1"/>
  <c r="R872" i="27"/>
  <c r="R921" i="27"/>
  <c r="S921" i="27" s="1"/>
  <c r="R924" i="27"/>
  <c r="S924" i="27" s="1"/>
  <c r="R940" i="27"/>
  <c r="S940" i="27" s="1"/>
  <c r="R1063" i="27"/>
  <c r="S1063" i="27" s="1"/>
  <c r="R1106" i="27"/>
  <c r="S1106" i="27" s="1"/>
  <c r="R1130" i="27"/>
  <c r="S1130" i="27" s="1"/>
  <c r="R1157" i="27"/>
  <c r="S1157" i="27" s="1"/>
  <c r="R576" i="27"/>
  <c r="S576" i="27" s="1"/>
  <c r="R813" i="27"/>
  <c r="S813" i="27" s="1"/>
  <c r="R1084" i="27"/>
  <c r="S1084" i="27" s="1"/>
  <c r="R1124" i="27"/>
  <c r="S1124" i="27" s="1"/>
  <c r="R596" i="27"/>
  <c r="S596" i="27" s="1"/>
  <c r="R648" i="27"/>
  <c r="S648" i="27" s="1"/>
  <c r="R724" i="27"/>
  <c r="S724" i="27" s="1"/>
  <c r="R732" i="27"/>
  <c r="S732" i="27" s="1"/>
  <c r="R402" i="27"/>
  <c r="S402" i="27" s="1"/>
  <c r="R430" i="27"/>
  <c r="S430" i="27" s="1"/>
  <c r="R438" i="27"/>
  <c r="S438" i="27" s="1"/>
  <c r="R450" i="27"/>
  <c r="S450" i="27" s="1"/>
  <c r="R466" i="27"/>
  <c r="S466" i="27" s="1"/>
  <c r="R470" i="27"/>
  <c r="S470" i="27" s="1"/>
  <c r="R494" i="27"/>
  <c r="S494" i="27" s="1"/>
  <c r="R514" i="27"/>
  <c r="S514" i="27" s="1"/>
  <c r="R538" i="27"/>
  <c r="S538" i="27" s="1"/>
  <c r="R542" i="27"/>
  <c r="S542" i="27" s="1"/>
  <c r="R566" i="27"/>
  <c r="S566" i="27" s="1"/>
  <c r="R570" i="27"/>
  <c r="S570" i="27" s="1"/>
  <c r="R850" i="27"/>
  <c r="S850" i="27" s="1"/>
  <c r="R758" i="27"/>
  <c r="S758" i="27" s="1"/>
  <c r="R956" i="27"/>
  <c r="S956" i="27" s="1"/>
  <c r="R1219" i="27"/>
  <c r="S1219" i="27" s="1"/>
  <c r="R1235" i="27"/>
  <c r="S1235" i="27" s="1"/>
  <c r="R377" i="27"/>
  <c r="S377" i="27" s="1"/>
  <c r="R828" i="27"/>
  <c r="S828" i="27" s="1"/>
  <c r="R1133" i="27"/>
  <c r="S1133" i="27" s="1"/>
  <c r="R1210" i="27"/>
  <c r="S1210" i="27" s="1"/>
  <c r="R1223" i="27"/>
  <c r="S1223" i="27" s="1"/>
  <c r="R902" i="27"/>
  <c r="S902" i="27" s="1"/>
  <c r="R317" i="27"/>
  <c r="S317" i="27" s="1"/>
  <c r="R911" i="27"/>
  <c r="S911" i="27" s="1"/>
  <c r="R930" i="27"/>
  <c r="S930" i="27" s="1"/>
  <c r="R946" i="27"/>
  <c r="S946" i="27" s="1"/>
  <c r="R994" i="27"/>
  <c r="S994" i="27" s="1"/>
  <c r="R1018" i="27"/>
  <c r="S1018" i="27" s="1"/>
  <c r="R1163" i="27"/>
  <c r="S1163" i="27" s="1"/>
  <c r="R639" i="27"/>
  <c r="R457" i="27"/>
  <c r="S457" i="27" s="1"/>
  <c r="R742" i="27"/>
  <c r="S742" i="27" s="1"/>
  <c r="R935" i="27"/>
  <c r="S935" i="27" s="1"/>
  <c r="R1207" i="27"/>
  <c r="S1207" i="27" s="1"/>
  <c r="R786" i="27"/>
  <c r="S786" i="27" s="1"/>
  <c r="R309" i="27"/>
  <c r="S309" i="27" s="1"/>
  <c r="R347" i="27"/>
  <c r="S347" i="27" s="1"/>
  <c r="R989" i="27"/>
  <c r="S989" i="27" s="1"/>
  <c r="R1115" i="27"/>
  <c r="S1115" i="27" s="1"/>
  <c r="R1123" i="27"/>
  <c r="S1123" i="27" s="1"/>
  <c r="R1217" i="27"/>
  <c r="S1217" i="27" s="1"/>
  <c r="R1244" i="27"/>
  <c r="S1244" i="27" s="1"/>
  <c r="R541" i="27"/>
  <c r="S541" i="27" s="1"/>
  <c r="R589" i="27"/>
  <c r="S589" i="27" s="1"/>
  <c r="R609" i="27"/>
  <c r="S609" i="27" s="1"/>
  <c r="R621" i="27"/>
  <c r="S621" i="27" s="1"/>
  <c r="R629" i="27"/>
  <c r="S629" i="27" s="1"/>
  <c r="R653" i="27"/>
  <c r="S653" i="27" s="1"/>
  <c r="R669" i="27"/>
  <c r="R677" i="27"/>
  <c r="S677" i="27" s="1"/>
  <c r="R729" i="27"/>
  <c r="S729" i="27" s="1"/>
  <c r="R415" i="27"/>
  <c r="S415" i="27" s="1"/>
  <c r="R423" i="27"/>
  <c r="S423" i="27" s="1"/>
  <c r="R439" i="27"/>
  <c r="S439" i="27" s="1"/>
  <c r="R447" i="27"/>
  <c r="S447" i="27" s="1"/>
  <c r="R471" i="27"/>
  <c r="S471" i="27" s="1"/>
  <c r="R475" i="27"/>
  <c r="S475" i="27" s="1"/>
  <c r="R547" i="27"/>
  <c r="S547" i="27" s="1"/>
  <c r="R551" i="27"/>
  <c r="S551" i="27" s="1"/>
  <c r="R563" i="27"/>
  <c r="S563" i="27" s="1"/>
  <c r="R845" i="27"/>
  <c r="S845" i="27" s="1"/>
  <c r="R1022" i="27"/>
  <c r="S1022" i="27" s="1"/>
  <c r="R1076" i="27"/>
  <c r="S1076" i="27" s="1"/>
  <c r="R301" i="27"/>
  <c r="S301" i="27" s="1"/>
  <c r="R357" i="27"/>
  <c r="S357" i="27" s="1"/>
  <c r="R980" i="27"/>
  <c r="S980" i="27" s="1"/>
  <c r="R914" i="27"/>
  <c r="S914" i="27" s="1"/>
  <c r="R1176" i="27"/>
  <c r="S1176" i="27" s="1"/>
  <c r="R780" i="27"/>
  <c r="S780" i="27" s="1"/>
  <c r="R875" i="27"/>
  <c r="R285" i="27"/>
  <c r="S285" i="27" s="1"/>
  <c r="R302" i="27"/>
  <c r="S302" i="27" s="1"/>
  <c r="R350" i="27"/>
  <c r="S350" i="27" s="1"/>
  <c r="R868" i="27"/>
  <c r="S868" i="27" s="1"/>
  <c r="R909" i="27"/>
  <c r="S909" i="27" s="1"/>
  <c r="R1000" i="27"/>
  <c r="S1000" i="27" s="1"/>
  <c r="R1008" i="27"/>
  <c r="S1008" i="27" s="1"/>
  <c r="R1016" i="27"/>
  <c r="S1016" i="27" s="1"/>
  <c r="R1035" i="27"/>
  <c r="S1035" i="27" s="1"/>
  <c r="R1086" i="27"/>
  <c r="S1086" i="27" s="1"/>
  <c r="R1118" i="27"/>
  <c r="S1118" i="27" s="1"/>
  <c r="R1196" i="27"/>
  <c r="S1196" i="27" s="1"/>
  <c r="R417" i="27"/>
  <c r="S417" i="27" s="1"/>
  <c r="R916" i="27"/>
  <c r="R1072" i="27"/>
  <c r="R1096" i="27"/>
  <c r="S1096" i="27" s="1"/>
  <c r="R981" i="27"/>
  <c r="S981" i="27" s="1"/>
  <c r="R1053" i="27"/>
  <c r="S1053" i="27" s="1"/>
  <c r="R913" i="27"/>
  <c r="S913" i="27" s="1"/>
  <c r="R1117" i="27"/>
  <c r="R1198" i="27"/>
  <c r="S1198" i="27" s="1"/>
  <c r="R783" i="27"/>
  <c r="S783" i="27" s="1"/>
  <c r="R1005" i="27"/>
  <c r="S1005" i="27" s="1"/>
  <c r="R743" i="27"/>
  <c r="S743" i="27" s="1"/>
  <c r="R1193" i="27"/>
  <c r="S1193" i="27" s="1"/>
  <c r="R400" i="27"/>
  <c r="S400" i="27" s="1"/>
  <c r="R1192" i="27"/>
  <c r="S1192" i="27" s="1"/>
  <c r="R973" i="27"/>
  <c r="S973" i="27" s="1"/>
  <c r="R1228" i="27"/>
  <c r="S1228" i="27" s="1"/>
  <c r="R808" i="27"/>
  <c r="R897" i="27"/>
  <c r="S897" i="27" s="1"/>
  <c r="R1149" i="27"/>
  <c r="S1149" i="27" s="1"/>
  <c r="R767" i="27"/>
  <c r="S767" i="27" s="1"/>
  <c r="R1155" i="27"/>
  <c r="S1155" i="27" s="1"/>
  <c r="R983" i="27"/>
  <c r="S983" i="27" s="1"/>
  <c r="R335" i="27"/>
  <c r="S335" i="27" s="1"/>
  <c r="R524" i="27"/>
  <c r="S524" i="27" s="1"/>
  <c r="R557" i="27"/>
  <c r="R846" i="27"/>
  <c r="S846" i="27" s="1"/>
  <c r="R798" i="27"/>
  <c r="S798" i="27" s="1"/>
  <c r="R1238" i="27"/>
  <c r="S1238" i="27" s="1"/>
  <c r="R1131" i="27"/>
  <c r="S1131" i="27" s="1"/>
  <c r="R759" i="27"/>
  <c r="S759" i="27" s="1"/>
  <c r="R336" i="27"/>
  <c r="S336" i="27" s="1"/>
  <c r="R971" i="27"/>
  <c r="S971" i="27" s="1"/>
  <c r="R498" i="27"/>
  <c r="S498" i="27" s="1"/>
  <c r="R830" i="27"/>
  <c r="S830" i="27" s="1"/>
  <c r="R794" i="27"/>
  <c r="S794" i="27" s="1"/>
  <c r="R565" i="27"/>
  <c r="S565" i="27" s="1"/>
  <c r="R1255" i="27"/>
  <c r="S1255" i="27" s="1"/>
  <c r="R1047" i="27"/>
  <c r="S1047" i="27" s="1"/>
  <c r="R790" i="27"/>
  <c r="S790" i="27" s="1"/>
  <c r="R838" i="27"/>
  <c r="S838" i="27" s="1"/>
  <c r="R906" i="27"/>
  <c r="R652" i="27"/>
  <c r="S652" i="27" s="1"/>
  <c r="R1057" i="27"/>
  <c r="R1041" i="27"/>
  <c r="S1041" i="27" s="1"/>
  <c r="R1105" i="27"/>
  <c r="S1105" i="27" s="1"/>
  <c r="R1195" i="27"/>
  <c r="S1195" i="27" s="1"/>
  <c r="R643" i="27"/>
  <c r="R1068" i="27"/>
  <c r="S1068" i="27" s="1"/>
  <c r="R1134" i="27"/>
  <c r="S1134" i="27" s="1"/>
  <c r="R984" i="27"/>
  <c r="S984" i="27" s="1"/>
  <c r="R1029" i="27"/>
  <c r="S1029" i="27" s="1"/>
  <c r="R832" i="27"/>
  <c r="S832" i="27" s="1"/>
  <c r="R810" i="27"/>
  <c r="S810" i="27" s="1"/>
  <c r="R1184" i="27"/>
  <c r="S1184" i="27" s="1"/>
  <c r="R1227" i="27"/>
  <c r="S1227" i="27" s="1"/>
  <c r="R1122" i="27"/>
  <c r="S1122" i="27" s="1"/>
  <c r="R372" i="27"/>
  <c r="S372" i="27" s="1"/>
  <c r="R1164" i="27"/>
  <c r="S1164" i="27" s="1"/>
  <c r="R1187" i="27"/>
  <c r="S1187" i="27" s="1"/>
  <c r="R870" i="27"/>
  <c r="S870" i="27" s="1"/>
  <c r="R1156" i="27"/>
  <c r="S1156" i="27" s="1"/>
  <c r="R368" i="27"/>
  <c r="S368" i="27" s="1"/>
  <c r="R731" i="27"/>
  <c r="S731" i="27" s="1"/>
  <c r="R623" i="27"/>
  <c r="S623" i="27" s="1"/>
  <c r="R409" i="27"/>
  <c r="S409" i="27" s="1"/>
  <c r="R584" i="27"/>
  <c r="R428" i="27"/>
  <c r="S428" i="27" s="1"/>
  <c r="R1045" i="27"/>
  <c r="S1045" i="27" s="1"/>
  <c r="R1160" i="27"/>
  <c r="S1160" i="27" s="1"/>
  <c r="R966" i="27"/>
  <c r="S966" i="27" s="1"/>
  <c r="R1125" i="27"/>
  <c r="S1125" i="27" s="1"/>
  <c r="R1080" i="27"/>
  <c r="S1080" i="27" s="1"/>
  <c r="R351" i="27"/>
  <c r="S351" i="27" s="1"/>
  <c r="R707" i="27"/>
  <c r="S707" i="27" s="1"/>
  <c r="R727" i="27"/>
  <c r="S727" i="27" s="1"/>
  <c r="R421" i="27"/>
  <c r="S421" i="27" s="1"/>
  <c r="R1144" i="27"/>
  <c r="S1144" i="27" s="1"/>
  <c r="R1172" i="27"/>
  <c r="S1172" i="27" s="1"/>
  <c r="R343" i="27"/>
  <c r="S343" i="27" s="1"/>
  <c r="R711" i="27"/>
  <c r="S711" i="27" s="1"/>
  <c r="R683" i="27"/>
  <c r="S683" i="27" s="1"/>
  <c r="R696" i="27"/>
  <c r="S696" i="27" s="1"/>
  <c r="R695" i="27"/>
  <c r="S695" i="27" s="1"/>
  <c r="R718" i="27"/>
  <c r="S718" i="27" s="1"/>
  <c r="R704" i="27"/>
  <c r="S704" i="27" s="1"/>
  <c r="R1142" i="27"/>
  <c r="S1142" i="27" s="1"/>
  <c r="R1049" i="27"/>
  <c r="S1049" i="27" s="1"/>
  <c r="R893" i="27"/>
  <c r="S893" i="27" s="1"/>
  <c r="R1037" i="27"/>
  <c r="S1037" i="27" s="1"/>
  <c r="R788" i="27"/>
  <c r="S788" i="27" s="1"/>
  <c r="R841" i="27"/>
  <c r="S841" i="27" s="1"/>
  <c r="R812" i="27"/>
  <c r="S812" i="27" s="1"/>
  <c r="R763" i="27"/>
  <c r="S763" i="27" s="1"/>
  <c r="R950" i="27"/>
  <c r="S950" i="27" s="1"/>
  <c r="R251" i="27"/>
  <c r="S251" i="27" s="1"/>
  <c r="R1178" i="27"/>
  <c r="S1178" i="27" s="1"/>
  <c r="R824" i="27"/>
  <c r="S824" i="27" s="1"/>
  <c r="R963" i="27"/>
  <c r="S963" i="27" s="1"/>
  <c r="R865" i="27"/>
  <c r="S865" i="27" s="1"/>
  <c r="R327" i="27"/>
  <c r="S327" i="27" s="1"/>
  <c r="R684" i="27"/>
  <c r="R644" i="27"/>
  <c r="S644" i="27" s="1"/>
  <c r="R504" i="27"/>
  <c r="S504" i="27" s="1"/>
  <c r="R437" i="27"/>
  <c r="S437" i="27" s="1"/>
  <c r="R1148" i="27"/>
  <c r="S1148" i="27" s="1"/>
  <c r="R1033" i="27"/>
  <c r="S1033" i="27" s="1"/>
  <c r="R295" i="27"/>
  <c r="S295" i="27" s="1"/>
  <c r="AG295" i="27" s="1"/>
  <c r="R1152" i="27"/>
  <c r="S1152" i="27" s="1"/>
  <c r="R757" i="27"/>
  <c r="R1088" i="27"/>
  <c r="S1088" i="27" s="1"/>
  <c r="R1203" i="27"/>
  <c r="S1203" i="27" s="1"/>
  <c r="R319" i="27"/>
  <c r="S319" i="27" s="1"/>
  <c r="R660" i="27"/>
  <c r="S660" i="27" s="1"/>
  <c r="R600" i="27"/>
  <c r="S600" i="27" s="1"/>
  <c r="R506" i="27"/>
  <c r="S506" i="27" s="1"/>
  <c r="R670" i="27"/>
  <c r="S670" i="27" s="1"/>
  <c r="R612" i="27"/>
  <c r="R456" i="27"/>
  <c r="S456" i="27" s="1"/>
  <c r="R1197" i="27"/>
  <c r="S1197" i="27" s="1"/>
  <c r="R1128" i="27"/>
  <c r="S1128" i="27" s="1"/>
  <c r="R982" i="27"/>
  <c r="S982" i="27" s="1"/>
  <c r="R782" i="27"/>
  <c r="S782" i="27" s="1"/>
  <c r="R369" i="27"/>
  <c r="S369" i="27" s="1"/>
  <c r="R389" i="27"/>
  <c r="S389" i="27" s="1"/>
  <c r="R296" i="27"/>
  <c r="S296" i="27" s="1"/>
  <c r="AG296" i="27" s="1"/>
  <c r="R1006" i="27"/>
  <c r="S1006" i="27" s="1"/>
  <c r="R753" i="27"/>
  <c r="S753" i="27" s="1"/>
  <c r="R1212" i="27"/>
  <c r="S1212" i="27" s="1"/>
  <c r="R1091" i="27"/>
  <c r="S1091" i="27" s="1"/>
  <c r="R840" i="27"/>
  <c r="S840" i="27" s="1"/>
  <c r="R934" i="27"/>
  <c r="S934" i="27" s="1"/>
  <c r="R874" i="27"/>
  <c r="S874" i="27" s="1"/>
  <c r="R907" i="27"/>
  <c r="S907" i="27" s="1"/>
  <c r="R394" i="27"/>
  <c r="S394" i="27" s="1"/>
  <c r="R321" i="27"/>
  <c r="S321" i="27" s="1"/>
  <c r="R640" i="27"/>
  <c r="S640" i="27" s="1"/>
  <c r="R626" i="27"/>
  <c r="S626" i="27" s="1"/>
  <c r="R573" i="27"/>
  <c r="R508" i="27"/>
  <c r="S508" i="27" s="1"/>
  <c r="R403" i="27"/>
  <c r="S403" i="27" s="1"/>
  <c r="R805" i="27"/>
  <c r="S805" i="27" s="1"/>
  <c r="R1021" i="27"/>
  <c r="S1021" i="27" s="1"/>
  <c r="R960" i="27"/>
  <c r="S960" i="27" s="1"/>
  <c r="R559" i="27"/>
  <c r="R499" i="27"/>
  <c r="S499" i="27" s="1"/>
  <c r="L1292" i="27"/>
  <c r="R1181" i="27"/>
  <c r="S1181" i="27" s="1"/>
  <c r="R1246" i="27"/>
  <c r="S1246" i="27" s="1"/>
  <c r="R1067" i="27"/>
  <c r="S1067" i="27" s="1"/>
  <c r="R803" i="27"/>
  <c r="S803" i="27" s="1"/>
  <c r="R774" i="27"/>
  <c r="S774" i="27" s="1"/>
  <c r="R937" i="27"/>
  <c r="S937" i="27" s="1"/>
  <c r="R308" i="27"/>
  <c r="S308" i="27" s="1"/>
  <c r="R829" i="27"/>
  <c r="S829" i="27" s="1"/>
  <c r="R819" i="27"/>
  <c r="S819" i="27" s="1"/>
  <c r="R787" i="27"/>
  <c r="S787" i="27" s="1"/>
  <c r="R361" i="27"/>
  <c r="S361" i="27" s="1"/>
  <c r="R399" i="27"/>
  <c r="S399" i="27" s="1"/>
  <c r="R821" i="27"/>
  <c r="S821" i="27" s="1"/>
  <c r="R741" i="27"/>
  <c r="S741" i="27" s="1"/>
  <c r="R1169" i="27"/>
  <c r="S1169" i="27" s="1"/>
  <c r="R837" i="27"/>
  <c r="S837" i="27" s="1"/>
  <c r="R877" i="27"/>
  <c r="S877" i="27" s="1"/>
  <c r="R581" i="27"/>
  <c r="S581" i="27" s="1"/>
  <c r="R419" i="27"/>
  <c r="S419" i="27" s="1"/>
  <c r="R436" i="27"/>
  <c r="S436" i="27" s="1"/>
  <c r="R680" i="27"/>
  <c r="R779" i="27"/>
  <c r="S779" i="27" s="1"/>
  <c r="R882" i="27"/>
  <c r="S882" i="27" s="1"/>
  <c r="R784" i="27"/>
  <c r="S784" i="27" s="1"/>
  <c r="R1112" i="27"/>
  <c r="S1112" i="27" s="1"/>
  <c r="R376" i="27"/>
  <c r="S376" i="27" s="1"/>
  <c r="R968" i="27"/>
  <c r="S968" i="27" s="1"/>
  <c r="R1048" i="27"/>
  <c r="S1048" i="27" s="1"/>
  <c r="R1179" i="27"/>
  <c r="S1179" i="27" s="1"/>
  <c r="R926" i="27"/>
  <c r="S926" i="27" s="1"/>
  <c r="R772" i="27"/>
  <c r="S772" i="27" s="1"/>
  <c r="R864" i="27"/>
  <c r="S864" i="27" s="1"/>
  <c r="R316" i="27"/>
  <c r="S316" i="27" s="1"/>
  <c r="R250" i="27"/>
  <c r="S250" i="27" s="1"/>
  <c r="R777" i="27"/>
  <c r="S777" i="27" s="1"/>
  <c r="R332" i="27"/>
  <c r="S332" i="27" s="1"/>
  <c r="R1222" i="27"/>
  <c r="S1222" i="27" s="1"/>
  <c r="R324" i="27"/>
  <c r="S324" i="27" s="1"/>
  <c r="R353" i="27"/>
  <c r="S353" i="27" s="1"/>
  <c r="R1165" i="27"/>
  <c r="S1165" i="27" s="1"/>
  <c r="R1019" i="27"/>
  <c r="R1032" i="27"/>
  <c r="R1011" i="27"/>
  <c r="S1011" i="27" s="1"/>
  <c r="R770" i="27"/>
  <c r="S770" i="27" s="1"/>
  <c r="R816" i="27"/>
  <c r="S816" i="27" s="1"/>
  <c r="R306" i="27"/>
  <c r="S306" i="27" s="1"/>
  <c r="R1120" i="27"/>
  <c r="S1120" i="27" s="1"/>
  <c r="R1141" i="27"/>
  <c r="S1141" i="27" s="1"/>
  <c r="R354" i="27"/>
  <c r="S354" i="27" s="1"/>
  <c r="R1075" i="27"/>
  <c r="R1107" i="27"/>
  <c r="S1107" i="27" s="1"/>
  <c r="R904" i="27"/>
  <c r="S904" i="27" s="1"/>
  <c r="R305" i="27"/>
  <c r="S305" i="27" s="1"/>
  <c r="R668" i="27"/>
  <c r="R624" i="27"/>
  <c r="S624" i="27" s="1"/>
  <c r="R728" i="27"/>
  <c r="S728" i="27" s="1"/>
  <c r="R414" i="27"/>
  <c r="S414" i="27" s="1"/>
  <c r="R472" i="27"/>
  <c r="S472" i="27" s="1"/>
  <c r="R407" i="27"/>
  <c r="S407" i="27" s="1"/>
  <c r="R487" i="27"/>
  <c r="S487" i="27" s="1"/>
  <c r="R733" i="27"/>
  <c r="S733" i="27" s="1"/>
  <c r="R725" i="27"/>
  <c r="R990" i="27"/>
  <c r="S990" i="27" s="1"/>
  <c r="R932" i="27"/>
  <c r="S932" i="27" s="1"/>
  <c r="R1175" i="27"/>
  <c r="S1175" i="27" s="1"/>
  <c r="R1104" i="27"/>
  <c r="S1104" i="27" s="1"/>
  <c r="R286" i="27"/>
  <c r="S286" i="27" s="1"/>
  <c r="R1139" i="27"/>
  <c r="S1139" i="27" s="1"/>
  <c r="R894" i="27"/>
  <c r="S894" i="27" s="1"/>
  <c r="R1024" i="27"/>
  <c r="S1024" i="27" s="1"/>
  <c r="R764" i="27"/>
  <c r="S764" i="27" s="1"/>
  <c r="R710" i="27"/>
  <c r="R519" i="27"/>
  <c r="S519" i="27" s="1"/>
  <c r="R799" i="27"/>
  <c r="S799" i="27" s="1"/>
  <c r="R1241" i="27"/>
  <c r="S1241" i="27" s="1"/>
  <c r="R1254" i="27"/>
  <c r="S1254" i="27" s="1"/>
  <c r="R1213" i="27"/>
  <c r="S1213" i="27" s="1"/>
  <c r="R1135" i="27"/>
  <c r="S1135" i="27" s="1"/>
  <c r="R1095" i="27"/>
  <c r="S1095" i="27" s="1"/>
  <c r="R1089" i="27"/>
  <c r="S1089" i="27" s="1"/>
  <c r="R1025" i="27"/>
  <c r="S1025" i="27" s="1"/>
  <c r="R925" i="27"/>
  <c r="S925" i="27" s="1"/>
  <c r="R811" i="27"/>
  <c r="S811" i="27" s="1"/>
  <c r="R892" i="27"/>
  <c r="S892" i="27" s="1"/>
  <c r="R1015" i="27"/>
  <c r="S1015" i="27" s="1"/>
  <c r="R318" i="27"/>
  <c r="S318" i="27" s="1"/>
  <c r="R283" i="27"/>
  <c r="S283" i="27" s="1"/>
  <c r="R287" i="27"/>
  <c r="S287" i="27" s="1"/>
  <c r="R1056" i="27"/>
  <c r="S1056" i="27" s="1"/>
  <c r="R279" i="27"/>
  <c r="S279" i="27" s="1"/>
  <c r="R965" i="27"/>
  <c r="S965" i="27" s="1"/>
  <c r="R744" i="27"/>
  <c r="S744" i="27" s="1"/>
  <c r="R1129" i="27"/>
  <c r="S1129" i="27" s="1"/>
  <c r="R781" i="27"/>
  <c r="S781" i="27" s="1"/>
  <c r="R795" i="27"/>
  <c r="S795" i="27" s="1"/>
  <c r="R1040" i="27"/>
  <c r="S1040" i="27" s="1"/>
  <c r="R842" i="27"/>
  <c r="S842" i="27" s="1"/>
  <c r="R1062" i="27"/>
  <c r="S1062" i="27" s="1"/>
  <c r="R1247" i="27"/>
  <c r="S1247" i="27" s="1"/>
  <c r="R1189" i="27"/>
  <c r="S1189" i="27" s="1"/>
  <c r="R771" i="27"/>
  <c r="S771" i="27" s="1"/>
  <c r="R1236" i="27"/>
  <c r="S1236" i="27" s="1"/>
  <c r="R1028" i="27"/>
  <c r="S1028" i="27" s="1"/>
  <c r="R740" i="27"/>
  <c r="S740" i="27" s="1"/>
  <c r="R325" i="27"/>
  <c r="S325" i="27" s="1"/>
  <c r="R337" i="27"/>
  <c r="S337" i="27" s="1"/>
  <c r="R750" i="27"/>
  <c r="S750" i="27" s="1"/>
  <c r="R720" i="27"/>
  <c r="S720" i="27" s="1"/>
  <c r="R410" i="27"/>
  <c r="S410" i="27" s="1"/>
  <c r="R422" i="27"/>
  <c r="S422" i="27" s="1"/>
  <c r="R898" i="27"/>
  <c r="S898" i="27" s="1"/>
  <c r="R365" i="27"/>
  <c r="S365" i="27" s="1"/>
  <c r="R1002" i="27"/>
  <c r="R1010" i="27"/>
  <c r="S1010" i="27" s="1"/>
  <c r="R1055" i="27"/>
  <c r="S1055" i="27" s="1"/>
  <c r="R340" i="27"/>
  <c r="S340" i="27" s="1"/>
  <c r="R363" i="27"/>
  <c r="S363" i="27" s="1"/>
  <c r="R388" i="27"/>
  <c r="S388" i="27" s="1"/>
  <c r="R1250" i="27"/>
  <c r="S1250" i="27" s="1"/>
  <c r="R1137" i="27"/>
  <c r="S1137" i="27" s="1"/>
  <c r="R1030" i="27"/>
  <c r="R299" i="27"/>
  <c r="S299" i="27" s="1"/>
  <c r="R1073" i="27"/>
  <c r="S1073" i="27" s="1"/>
  <c r="R754" i="27"/>
  <c r="S754" i="27" s="1"/>
  <c r="R525" i="27"/>
  <c r="R529" i="27"/>
  <c r="S529" i="27" s="1"/>
  <c r="R533" i="27"/>
  <c r="R1242" i="27"/>
  <c r="S1242" i="27" s="1"/>
  <c r="R1208" i="27"/>
  <c r="S1208" i="27" s="1"/>
  <c r="R1126" i="27"/>
  <c r="S1126" i="27" s="1"/>
  <c r="R809" i="27"/>
  <c r="S809" i="27" s="1"/>
  <c r="R1012" i="27"/>
  <c r="S1012" i="27" s="1"/>
  <c r="R314" i="27"/>
  <c r="S314" i="27" s="1"/>
  <c r="R1249" i="27"/>
  <c r="S1249" i="27" s="1"/>
  <c r="R1060" i="27"/>
  <c r="R1224" i="27"/>
  <c r="S1224" i="27" s="1"/>
  <c r="R322" i="27"/>
  <c r="S322" i="27" s="1"/>
  <c r="R358" i="27"/>
  <c r="S358" i="27" s="1"/>
  <c r="R1214" i="27"/>
  <c r="S1214" i="27" s="1"/>
  <c r="R1113" i="27"/>
  <c r="S1113" i="27" s="1"/>
  <c r="R881" i="27"/>
  <c r="S881" i="27" s="1"/>
  <c r="R773" i="27"/>
  <c r="S773" i="27" s="1"/>
  <c r="R749" i="27"/>
  <c r="S749" i="27" s="1"/>
  <c r="R1052" i="27"/>
  <c r="R1245" i="27"/>
  <c r="S1245" i="27" s="1"/>
  <c r="R401" i="27"/>
  <c r="S401" i="27" s="1"/>
  <c r="R1234" i="27"/>
  <c r="S1234" i="27" s="1"/>
  <c r="R858" i="27"/>
  <c r="S858" i="27" s="1"/>
  <c r="R292" i="27"/>
  <c r="S292" i="27" s="1"/>
  <c r="R1074" i="27"/>
  <c r="S1074" i="27" s="1"/>
  <c r="R1119" i="27"/>
  <c r="S1119" i="27" s="1"/>
  <c r="R996" i="27"/>
  <c r="S996" i="27" s="1"/>
  <c r="R765" i="27"/>
  <c r="S765" i="27" s="1"/>
  <c r="R807" i="27"/>
  <c r="S807" i="27" s="1"/>
  <c r="R282" i="27"/>
  <c r="S282" i="27" s="1"/>
  <c r="R871" i="27"/>
  <c r="S871" i="27" s="1"/>
  <c r="R1132" i="27"/>
  <c r="S1132" i="27" s="1"/>
  <c r="R300" i="27"/>
  <c r="S300" i="27" s="1"/>
  <c r="R1054" i="27"/>
  <c r="S1054" i="27" s="1"/>
  <c r="R356" i="27"/>
  <c r="S356" i="27" s="1"/>
  <c r="R826" i="27"/>
  <c r="S826" i="27" s="1"/>
  <c r="R393" i="27"/>
  <c r="S393" i="27" s="1"/>
  <c r="R752" i="27"/>
  <c r="S752" i="27" s="1"/>
  <c r="R1221" i="27"/>
  <c r="S1221" i="27" s="1"/>
  <c r="R951" i="27"/>
  <c r="S951" i="27" s="1"/>
  <c r="R876" i="27"/>
  <c r="S876" i="27" s="1"/>
  <c r="R1232" i="27"/>
  <c r="S1232" i="27" s="1"/>
  <c r="R856" i="27"/>
  <c r="R311" i="27"/>
  <c r="S311" i="27" s="1"/>
  <c r="R366" i="27"/>
  <c r="S366" i="27" s="1"/>
  <c r="R827" i="27"/>
  <c r="S827" i="27" s="1"/>
  <c r="R1064" i="27"/>
  <c r="S1064" i="27" s="1"/>
  <c r="R1171" i="27"/>
  <c r="S1171" i="27" s="1"/>
  <c r="R1220" i="27"/>
  <c r="S1220" i="27" s="1"/>
  <c r="R1233" i="27"/>
  <c r="S1233" i="27" s="1"/>
  <c r="R593" i="27"/>
  <c r="S593" i="27" s="1"/>
  <c r="R633" i="27"/>
  <c r="S633" i="27" s="1"/>
  <c r="R637" i="27"/>
  <c r="S637" i="27" s="1"/>
  <c r="R1209" i="27"/>
  <c r="S1209" i="27" s="1"/>
  <c r="R900" i="27"/>
  <c r="S900" i="27" s="1"/>
  <c r="R1036" i="27"/>
  <c r="S1036" i="27" s="1"/>
  <c r="R291" i="27"/>
  <c r="S291" i="27" s="1"/>
  <c r="R833" i="27"/>
  <c r="S833" i="27" s="1"/>
  <c r="R362" i="27"/>
  <c r="S362" i="27" s="1"/>
  <c r="R957" i="27"/>
  <c r="S957" i="27" s="1"/>
  <c r="R1023" i="27"/>
  <c r="R1031" i="27"/>
  <c r="S1031" i="27" s="1"/>
  <c r="R1110" i="27"/>
  <c r="S1110" i="27" s="1"/>
  <c r="R1039" i="27"/>
  <c r="R986" i="27"/>
  <c r="S986" i="27" s="1"/>
  <c r="R972" i="27"/>
  <c r="S972" i="27" s="1"/>
  <c r="R818" i="27"/>
  <c r="S818" i="27" s="1"/>
  <c r="R320" i="27"/>
  <c r="S320" i="27" s="1"/>
  <c r="R383" i="27"/>
  <c r="S383" i="27" s="1"/>
  <c r="R1020" i="27"/>
  <c r="S1020" i="27" s="1"/>
  <c r="R964" i="27"/>
  <c r="S964" i="27" s="1"/>
  <c r="R860" i="27"/>
  <c r="S860" i="27" s="1"/>
  <c r="R1229" i="27"/>
  <c r="S1229" i="27" s="1"/>
  <c r="R278" i="27"/>
  <c r="S278" i="27" s="1"/>
  <c r="R288" i="27"/>
  <c r="S288" i="27" s="1"/>
  <c r="R959" i="27"/>
  <c r="S959" i="27" s="1"/>
  <c r="R1081" i="27"/>
  <c r="S1081" i="27" s="1"/>
  <c r="R1071" i="27"/>
  <c r="S1071" i="27" s="1"/>
  <c r="R334" i="27"/>
  <c r="S334" i="27" s="1"/>
  <c r="R1177" i="27"/>
  <c r="S1177" i="27" s="1"/>
  <c r="R936" i="27"/>
  <c r="R852" i="27"/>
  <c r="S852" i="27" s="1"/>
  <c r="R396" i="27"/>
  <c r="S396" i="27" s="1"/>
  <c r="R298" i="27"/>
  <c r="R886" i="27"/>
  <c r="S886" i="27" s="1"/>
  <c r="R1094" i="27"/>
  <c r="S1094" i="27" s="1"/>
  <c r="R1194" i="27"/>
  <c r="S1194" i="27" s="1"/>
  <c r="R817" i="27"/>
  <c r="S817" i="27" s="1"/>
  <c r="R1038" i="27"/>
  <c r="S1038" i="27" s="1"/>
  <c r="R1188" i="27"/>
  <c r="S1188" i="27" s="1"/>
  <c r="R1216" i="27"/>
  <c r="S1216" i="27" s="1"/>
  <c r="R537" i="27"/>
  <c r="S537" i="27" s="1"/>
  <c r="R1239" i="27"/>
  <c r="S1239" i="27" s="1"/>
  <c r="R315" i="27"/>
  <c r="S315" i="27" s="1"/>
  <c r="R938" i="27"/>
  <c r="S938" i="27" s="1"/>
  <c r="R1066" i="27"/>
  <c r="S1066" i="27" s="1"/>
  <c r="R1087" i="27"/>
  <c r="S1087" i="27" s="1"/>
  <c r="R1143" i="27"/>
  <c r="S1143" i="27" s="1"/>
  <c r="R1252" i="27"/>
  <c r="S1252" i="27" s="1"/>
  <c r="R801" i="27"/>
  <c r="S801" i="27" s="1"/>
  <c r="R857" i="27"/>
  <c r="S857" i="27" s="1"/>
  <c r="R375" i="27"/>
  <c r="S375" i="27" s="1"/>
  <c r="R878" i="27"/>
  <c r="S878" i="27" s="1"/>
  <c r="R342" i="27"/>
  <c r="S342" i="27" s="1"/>
  <c r="R746" i="27"/>
  <c r="S746" i="27" s="1"/>
  <c r="R834" i="27"/>
  <c r="S834" i="27" s="1"/>
  <c r="R855" i="27"/>
  <c r="S855" i="27" s="1"/>
  <c r="R1162" i="27"/>
  <c r="S1162" i="27" s="1"/>
  <c r="R889" i="27"/>
  <c r="S889" i="27" s="1"/>
  <c r="R390" i="27"/>
  <c r="S390" i="27" s="1"/>
  <c r="R341" i="27"/>
  <c r="S341" i="27" s="1"/>
  <c r="R352" i="27"/>
  <c r="S352" i="27" s="1"/>
  <c r="R367" i="27"/>
  <c r="S367" i="27" s="1"/>
  <c r="R380" i="27"/>
  <c r="S380" i="27" s="1"/>
  <c r="R778" i="27"/>
  <c r="S778" i="27" s="1"/>
  <c r="R804" i="27"/>
  <c r="S804" i="27" s="1"/>
  <c r="R933" i="27"/>
  <c r="S933" i="27" s="1"/>
  <c r="R478" i="27"/>
  <c r="S478" i="27" s="1"/>
  <c r="R474" i="27"/>
  <c r="S474" i="27" s="1"/>
  <c r="R737" i="27"/>
  <c r="S737" i="27" s="1"/>
  <c r="R649" i="27"/>
  <c r="S649" i="27" s="1"/>
  <c r="R610" i="27"/>
  <c r="S610" i="27" s="1"/>
  <c r="R679" i="27"/>
  <c r="S679" i="27" s="1"/>
  <c r="R721" i="27"/>
  <c r="S721" i="27" s="1"/>
  <c r="R604" i="27"/>
  <c r="S604" i="27" s="1"/>
  <c r="R614" i="27"/>
  <c r="S614" i="27" s="1"/>
  <c r="R554" i="27"/>
  <c r="R476" i="27"/>
  <c r="S476" i="27" s="1"/>
  <c r="R484" i="27"/>
  <c r="S484" i="27" s="1"/>
  <c r="R656" i="27"/>
  <c r="S656" i="27" s="1"/>
  <c r="R672" i="27"/>
  <c r="S672" i="27" s="1"/>
  <c r="R708" i="27"/>
  <c r="R662" i="27"/>
  <c r="S662" i="27" s="1"/>
  <c r="R587" i="27"/>
  <c r="S587" i="27" s="1"/>
  <c r="R591" i="27"/>
  <c r="S591" i="27" s="1"/>
  <c r="R445" i="27"/>
  <c r="S445" i="27" s="1"/>
  <c r="R479" i="27"/>
  <c r="R510" i="27"/>
  <c r="S510" i="27" s="1"/>
  <c r="R716" i="27"/>
  <c r="S716" i="27" s="1"/>
  <c r="R700" i="27"/>
  <c r="S700" i="27" s="1"/>
  <c r="R655" i="27"/>
  <c r="S655" i="27" s="1"/>
  <c r="R592" i="27"/>
  <c r="S592" i="27" s="1"/>
  <c r="R512" i="27"/>
  <c r="S512" i="27" s="1"/>
  <c r="R454" i="27"/>
  <c r="S454" i="27" s="1"/>
  <c r="R473" i="27"/>
  <c r="S473" i="27" s="1"/>
  <c r="R468" i="27"/>
  <c r="S468" i="27" s="1"/>
  <c r="R490" i="27"/>
  <c r="S490" i="27" s="1"/>
  <c r="S439" i="60"/>
  <c r="R796" i="27"/>
  <c r="S796" i="27" s="1"/>
  <c r="R849" i="27"/>
  <c r="S849" i="27" s="1"/>
  <c r="R977" i="27"/>
  <c r="S977" i="27" s="1"/>
  <c r="R791" i="27"/>
  <c r="S791" i="27" s="1"/>
  <c r="R815" i="27"/>
  <c r="S815" i="27" s="1"/>
  <c r="R1090" i="27"/>
  <c r="S1090" i="27" s="1"/>
  <c r="R961" i="27"/>
  <c r="S961" i="27" s="1"/>
  <c r="R760" i="27"/>
  <c r="S760" i="27" s="1"/>
  <c r="R1153" i="27"/>
  <c r="R281" i="27"/>
  <c r="S281" i="27" s="1"/>
  <c r="R289" i="27"/>
  <c r="S289" i="27" s="1"/>
  <c r="R313" i="27"/>
  <c r="S313" i="27" s="1"/>
  <c r="R747" i="27"/>
  <c r="R755" i="27"/>
  <c r="S755" i="27" s="1"/>
  <c r="R802" i="27"/>
  <c r="R887" i="27"/>
  <c r="R1121" i="27"/>
  <c r="S1121" i="27" s="1"/>
  <c r="R1191" i="27"/>
  <c r="S1191" i="27" s="1"/>
  <c r="R969" i="27"/>
  <c r="S969" i="27" s="1"/>
  <c r="R1043" i="27"/>
  <c r="R1166" i="27"/>
  <c r="S1166" i="27" s="1"/>
  <c r="R895" i="27"/>
  <c r="S895" i="27" s="1"/>
  <c r="R1182" i="27"/>
  <c r="S1182" i="27" s="1"/>
  <c r="R381" i="27"/>
  <c r="S381" i="27" s="1"/>
  <c r="R386" i="27"/>
  <c r="S386" i="27" s="1"/>
  <c r="R797" i="27"/>
  <c r="S797" i="27" s="1"/>
  <c r="R944" i="27"/>
  <c r="S944" i="27" s="1"/>
  <c r="R970" i="27"/>
  <c r="S970" i="27" s="1"/>
  <c r="R1100" i="27"/>
  <c r="S1100" i="27" s="1"/>
  <c r="R1159" i="27"/>
  <c r="S1159" i="27" s="1"/>
  <c r="R1183" i="27"/>
  <c r="S1183" i="27" s="1"/>
  <c r="R1186" i="27"/>
  <c r="S1186" i="27" s="1"/>
  <c r="R943" i="27"/>
  <c r="S943" i="27" s="1"/>
  <c r="R927" i="27"/>
  <c r="S927" i="27" s="1"/>
  <c r="R371" i="27"/>
  <c r="S371" i="27" s="1"/>
  <c r="R761" i="27"/>
  <c r="R769" i="27"/>
  <c r="S769" i="27" s="1"/>
  <c r="R792" i="27"/>
  <c r="S792" i="27" s="1"/>
  <c r="R853" i="27"/>
  <c r="S853" i="27" s="1"/>
  <c r="R896" i="27"/>
  <c r="S896" i="27" s="1"/>
  <c r="R1127" i="27"/>
  <c r="S1127" i="27" s="1"/>
  <c r="R1146" i="27"/>
  <c r="S1146" i="27" s="1"/>
  <c r="R1253" i="27"/>
  <c r="S1253" i="27" s="1"/>
  <c r="R948" i="27"/>
  <c r="S948" i="27" s="1"/>
  <c r="R1059" i="27"/>
  <c r="S1059" i="27" s="1"/>
  <c r="R1070" i="27"/>
  <c r="S1070" i="27" s="1"/>
  <c r="R1158" i="27"/>
  <c r="S1158" i="27" s="1"/>
  <c r="R339" i="27"/>
  <c r="S339" i="27" s="1"/>
  <c r="R1201" i="27"/>
  <c r="S1201" i="27" s="1"/>
  <c r="R1206" i="27"/>
  <c r="S1206" i="27" s="1"/>
  <c r="R1226" i="27"/>
  <c r="S1226" i="27" s="1"/>
  <c r="R1051" i="27"/>
  <c r="S1051" i="27" s="1"/>
  <c r="R359" i="27"/>
  <c r="S359" i="27" s="1"/>
  <c r="R392" i="27"/>
  <c r="R748" i="27"/>
  <c r="S748" i="27" s="1"/>
  <c r="R756" i="27"/>
  <c r="S756" i="27" s="1"/>
  <c r="R835" i="27"/>
  <c r="S835" i="27" s="1"/>
  <c r="R843" i="27"/>
  <c r="S843" i="27" s="1"/>
  <c r="R848" i="27"/>
  <c r="R888" i="27"/>
  <c r="S888" i="27" s="1"/>
  <c r="R1034" i="27"/>
  <c r="S1034" i="27" s="1"/>
  <c r="R1077" i="27"/>
  <c r="S1077" i="27" s="1"/>
  <c r="R1085" i="27"/>
  <c r="S1085" i="27" s="1"/>
  <c r="R1114" i="27"/>
  <c r="S1114" i="27" s="1"/>
  <c r="R1230" i="27"/>
  <c r="S1230" i="27" s="1"/>
  <c r="R844" i="27"/>
  <c r="R1014" i="27"/>
  <c r="S1014" i="27" s="1"/>
  <c r="R823" i="27"/>
  <c r="S823" i="27" s="1"/>
  <c r="R1108" i="27"/>
  <c r="S1108" i="27" s="1"/>
  <c r="R330" i="27"/>
  <c r="S330" i="27" s="1"/>
  <c r="R346" i="27"/>
  <c r="S346" i="27" s="1"/>
  <c r="R382" i="27"/>
  <c r="S382" i="27" s="1"/>
  <c r="R387" i="27"/>
  <c r="S387" i="27" s="1"/>
  <c r="R814" i="27"/>
  <c r="R822" i="27"/>
  <c r="S822" i="27" s="1"/>
  <c r="R880" i="27"/>
  <c r="R1101" i="27"/>
  <c r="S1101" i="27" s="1"/>
  <c r="R1109" i="27"/>
  <c r="S1109" i="27" s="1"/>
  <c r="R1200" i="27"/>
  <c r="S1200" i="27" s="1"/>
  <c r="R1205" i="27"/>
  <c r="S1205" i="27" s="1"/>
  <c r="R1225" i="27"/>
  <c r="S1225" i="27" s="1"/>
  <c r="R768" i="27"/>
  <c r="S768" i="27" s="1"/>
  <c r="R1009" i="27"/>
  <c r="S1009" i="27" s="1"/>
  <c r="R836" i="27"/>
  <c r="S836" i="27" s="1"/>
  <c r="R905" i="27"/>
  <c r="S905" i="27" s="1"/>
  <c r="R1078" i="27"/>
  <c r="S1078" i="27" s="1"/>
  <c r="R331" i="27"/>
  <c r="S331" i="27" s="1"/>
  <c r="R304" i="27"/>
  <c r="S304" i="27" s="1"/>
  <c r="R364" i="27"/>
  <c r="S364" i="27" s="1"/>
  <c r="R854" i="27"/>
  <c r="S854" i="27" s="1"/>
  <c r="R867" i="27"/>
  <c r="S867" i="27" s="1"/>
  <c r="R998" i="27"/>
  <c r="S998" i="27" s="1"/>
  <c r="R1003" i="27"/>
  <c r="S1003" i="27" s="1"/>
  <c r="R1190" i="27"/>
  <c r="S1190" i="27" s="1"/>
  <c r="R988" i="27"/>
  <c r="S988" i="27" s="1"/>
  <c r="R671" i="27"/>
  <c r="S671" i="27" s="1"/>
  <c r="R667" i="27"/>
  <c r="S667" i="27" s="1"/>
  <c r="R647" i="27"/>
  <c r="S647" i="27" s="1"/>
  <c r="R608" i="27"/>
  <c r="S608" i="27" s="1"/>
  <c r="R598" i="27"/>
  <c r="S598" i="27" s="1"/>
  <c r="R636" i="27"/>
  <c r="S636" i="27" s="1"/>
  <c r="R735" i="27"/>
  <c r="S735" i="27" s="1"/>
  <c r="R646" i="27"/>
  <c r="S646" i="27" s="1"/>
  <c r="R689" i="27"/>
  <c r="S689" i="27" s="1"/>
  <c r="R645" i="27"/>
  <c r="S645" i="27" s="1"/>
  <c r="R540" i="27"/>
  <c r="S540" i="27" s="1"/>
  <c r="R736" i="27"/>
  <c r="R406" i="27"/>
  <c r="S406" i="27" s="1"/>
  <c r="R509" i="27"/>
  <c r="S509" i="27" s="1"/>
  <c r="R630" i="27"/>
  <c r="S630" i="27" s="1"/>
  <c r="R664" i="27"/>
  <c r="S664" i="27" s="1"/>
  <c r="R502" i="27"/>
  <c r="S502" i="27" s="1"/>
  <c r="R463" i="27"/>
  <c r="S463" i="27" s="1"/>
  <c r="R550" i="27"/>
  <c r="S550" i="27" s="1"/>
  <c r="R572" i="27"/>
  <c r="S572" i="27" s="1"/>
  <c r="R706" i="27"/>
  <c r="S706" i="27" s="1"/>
  <c r="R349" i="27"/>
  <c r="S349" i="27" s="1"/>
  <c r="R333" i="27"/>
  <c r="S333" i="27" s="1"/>
  <c r="E18" i="49"/>
  <c r="R642" i="27"/>
  <c r="S642" i="27" s="1"/>
  <c r="R432" i="27"/>
  <c r="S432" i="27" s="1"/>
  <c r="R641" i="27"/>
  <c r="S641" i="27" s="1"/>
  <c r="R491" i="27"/>
  <c r="S491" i="27" s="1"/>
  <c r="R534" i="27"/>
  <c r="S534" i="27" s="1"/>
  <c r="R615" i="27"/>
  <c r="S615" i="27" s="1"/>
  <c r="R568" i="27"/>
  <c r="S568" i="27" s="1"/>
  <c r="R345" i="27"/>
  <c r="S345" i="27" s="1"/>
  <c r="R329" i="27"/>
  <c r="S329" i="27" s="1"/>
  <c r="R663" i="27"/>
  <c r="S663" i="27" s="1"/>
  <c r="R717" i="27"/>
  <c r="S717" i="27" s="1"/>
  <c r="R611" i="27"/>
  <c r="S611" i="27" s="1"/>
  <c r="R703" i="27"/>
  <c r="R676" i="27"/>
  <c r="R715" i="27"/>
  <c r="S715" i="27" s="1"/>
  <c r="R694" i="27"/>
  <c r="S694" i="27" s="1"/>
  <c r="R734" i="27"/>
  <c r="S734" i="27" s="1"/>
  <c r="R594" i="27"/>
  <c r="S594" i="27" s="1"/>
  <c r="R602" i="27"/>
  <c r="S602" i="27" s="1"/>
  <c r="R605" i="27"/>
  <c r="S605" i="27" s="1"/>
  <c r="R712" i="27"/>
  <c r="S712" i="27" s="1"/>
  <c r="R597" i="27"/>
  <c r="S597" i="27" s="1"/>
  <c r="R496" i="27"/>
  <c r="S496" i="27" s="1"/>
  <c r="R492" i="27"/>
  <c r="S492" i="27" s="1"/>
  <c r="R459" i="27"/>
  <c r="S459" i="27" s="1"/>
  <c r="R431" i="27"/>
  <c r="S431" i="27" s="1"/>
  <c r="R544" i="27"/>
  <c r="S544" i="27" s="1"/>
  <c r="R434" i="27"/>
  <c r="S434" i="27" s="1"/>
  <c r="R726" i="27"/>
  <c r="S726" i="27" s="1"/>
  <c r="R574" i="27"/>
  <c r="S574" i="27" s="1"/>
  <c r="R713" i="27"/>
  <c r="S713" i="27" s="1"/>
  <c r="R530" i="27"/>
  <c r="R501" i="27"/>
  <c r="R451" i="27"/>
  <c r="S451" i="27" s="1"/>
  <c r="R424" i="27"/>
  <c r="S424" i="27" s="1"/>
  <c r="R697" i="27"/>
  <c r="R420" i="27"/>
  <c r="S420" i="27" s="1"/>
  <c r="R526" i="27"/>
  <c r="S526" i="27" s="1"/>
  <c r="R426" i="27"/>
  <c r="S426" i="27" s="1"/>
  <c r="R620" i="27"/>
  <c r="S620" i="27" s="1"/>
  <c r="R730" i="27"/>
  <c r="S730" i="27" s="1"/>
  <c r="R310" i="27"/>
  <c r="S310" i="27" s="1"/>
  <c r="R378" i="27"/>
  <c r="S378" i="27" s="1"/>
  <c r="R379" i="27"/>
  <c r="S379" i="27" s="1"/>
  <c r="R395" i="27"/>
  <c r="S395" i="27" s="1"/>
  <c r="R348" i="27"/>
  <c r="S348" i="27" s="1"/>
  <c r="R326" i="27"/>
  <c r="S326" i="27" s="1"/>
  <c r="R885" i="27"/>
  <c r="S885" i="27" s="1"/>
  <c r="R370" i="27"/>
  <c r="S370" i="27" s="1"/>
  <c r="R355" i="27"/>
  <c r="S355" i="27" s="1"/>
  <c r="R323" i="27"/>
  <c r="S323" i="27" s="1"/>
  <c r="R307" i="27"/>
  <c r="S307" i="27" s="1"/>
  <c r="R687" i="27"/>
  <c r="S687" i="27" s="1"/>
  <c r="R575" i="27"/>
  <c r="S575" i="27" s="1"/>
  <c r="R719" i="27"/>
  <c r="S719" i="27" s="1"/>
  <c r="R673" i="27"/>
  <c r="S673" i="27" s="1"/>
  <c r="R607" i="27"/>
  <c r="S607" i="27" s="1"/>
  <c r="R693" i="27"/>
  <c r="S693" i="27" s="1"/>
  <c r="R435" i="27"/>
  <c r="S435" i="27" s="1"/>
  <c r="R433" i="27"/>
  <c r="S433" i="27" s="1"/>
  <c r="R567" i="27"/>
  <c r="S567" i="27" s="1"/>
  <c r="R518" i="27"/>
  <c r="S518" i="27" s="1"/>
  <c r="R738" i="27"/>
  <c r="S738" i="27" s="1"/>
  <c r="R1185" i="27"/>
  <c r="S1185" i="27" s="1"/>
  <c r="L439" i="60"/>
  <c r="L418" i="60" s="1"/>
  <c r="T439" i="60"/>
  <c r="T418" i="60" s="1"/>
  <c r="G18" i="49"/>
  <c r="H18" i="49"/>
  <c r="R997" i="27"/>
  <c r="S997" i="27" s="1"/>
  <c r="R1215" i="27"/>
  <c r="S1215" i="27" s="1"/>
  <c r="R1237" i="27"/>
  <c r="S1237" i="27" s="1"/>
  <c r="R511" i="27"/>
  <c r="S511" i="27" s="1"/>
  <c r="R1211" i="27"/>
  <c r="S1211" i="27" s="1"/>
  <c r="R480" i="27"/>
  <c r="S480" i="27" s="1"/>
  <c r="R469" i="27"/>
  <c r="S469" i="27" s="1"/>
  <c r="R884" i="27"/>
  <c r="S884" i="27" s="1"/>
  <c r="R987" i="27"/>
  <c r="S987" i="27" s="1"/>
  <c r="R903" i="27"/>
  <c r="S903" i="27" s="1"/>
  <c r="R995" i="27"/>
  <c r="S995" i="27" s="1"/>
  <c r="R634" i="27"/>
  <c r="S634" i="27" s="1"/>
  <c r="R631" i="27"/>
  <c r="S631" i="27" s="1"/>
  <c r="R462" i="27"/>
  <c r="S462" i="27" s="1"/>
  <c r="R1140" i="27"/>
  <c r="S1140" i="27" s="1"/>
  <c r="R1145" i="27"/>
  <c r="S1145" i="27" s="1"/>
  <c r="R954" i="27"/>
  <c r="S954" i="27" s="1"/>
  <c r="R1027" i="27"/>
  <c r="S1027" i="27" s="1"/>
  <c r="R1161" i="27"/>
  <c r="S1161" i="27" s="1"/>
  <c r="R328" i="27"/>
  <c r="S328" i="27" s="1"/>
  <c r="R891" i="27"/>
  <c r="S891" i="27" s="1"/>
  <c r="R1004" i="27"/>
  <c r="R280" i="27"/>
  <c r="S280" i="27" s="1"/>
  <c r="R344" i="27"/>
  <c r="S344" i="27" s="1"/>
  <c r="R793" i="27"/>
  <c r="S793" i="27" s="1"/>
  <c r="R825" i="27"/>
  <c r="S825" i="27" s="1"/>
  <c r="R859" i="27"/>
  <c r="S859" i="27" s="1"/>
  <c r="R962" i="27"/>
  <c r="S962" i="27" s="1"/>
  <c r="R1069" i="27"/>
  <c r="S1069" i="27" s="1"/>
  <c r="R1079" i="27"/>
  <c r="S1079" i="27" s="1"/>
  <c r="R312" i="27"/>
  <c r="S312" i="27" s="1"/>
  <c r="R879" i="27"/>
  <c r="S879" i="27" s="1"/>
  <c r="R360" i="27"/>
  <c r="S360" i="27" s="1"/>
  <c r="R391" i="27"/>
  <c r="S391" i="27" s="1"/>
  <c r="R775" i="27"/>
  <c r="S775" i="27" s="1"/>
  <c r="R839" i="27"/>
  <c r="S839" i="27" s="1"/>
  <c r="R1044" i="27"/>
  <c r="S1044" i="27" s="1"/>
  <c r="R290" i="27"/>
  <c r="S290" i="27" s="1"/>
  <c r="R397" i="27"/>
  <c r="S397" i="27" s="1"/>
  <c r="R1199" i="27"/>
  <c r="S1199" i="27" s="1"/>
  <c r="R851" i="27"/>
  <c r="S851" i="27" s="1"/>
  <c r="R789" i="27"/>
  <c r="S789" i="27" s="1"/>
  <c r="R831" i="27"/>
  <c r="S831" i="27" s="1"/>
  <c r="R847" i="27"/>
  <c r="S847" i="27" s="1"/>
  <c r="R705" i="27"/>
  <c r="S705" i="27" s="1"/>
  <c r="R486" i="27"/>
  <c r="S486" i="27" s="1"/>
  <c r="R577" i="27"/>
  <c r="S577" i="27" s="1"/>
  <c r="R661" i="27"/>
  <c r="S661" i="27" s="1"/>
  <c r="R493" i="27"/>
  <c r="S493" i="27" s="1"/>
  <c r="R702" i="27"/>
  <c r="S702" i="27" s="1"/>
  <c r="R483" i="27"/>
  <c r="R552" i="27"/>
  <c r="S552" i="27" s="1"/>
  <c r="R571" i="27"/>
  <c r="S571" i="27" s="1"/>
  <c r="R632" i="27"/>
  <c r="S632" i="27" s="1"/>
  <c r="R688" i="27"/>
  <c r="S688" i="27" s="1"/>
  <c r="R692" i="27"/>
  <c r="S692" i="27" s="1"/>
  <c r="R546" i="27"/>
  <c r="S546" i="27" s="1"/>
  <c r="N1292" i="27"/>
  <c r="R583" i="27"/>
  <c r="S583" i="27" s="1"/>
  <c r="R446" i="27"/>
  <c r="S446" i="27" s="1"/>
  <c r="R539" i="27"/>
  <c r="S539" i="27" s="1"/>
  <c r="R467" i="27"/>
  <c r="S467" i="27" s="1"/>
  <c r="R580" i="27"/>
  <c r="S580" i="27" s="1"/>
  <c r="R464" i="27"/>
  <c r="S464" i="27" s="1"/>
  <c r="R500" i="27"/>
  <c r="S500" i="27" s="1"/>
  <c r="R606" i="27"/>
  <c r="S606" i="27" s="1"/>
  <c r="R497" i="27"/>
  <c r="S497" i="27" s="1"/>
  <c r="R481" i="27"/>
  <c r="S481" i="27" s="1"/>
  <c r="R658" i="27"/>
  <c r="S658" i="27" s="1"/>
  <c r="R562" i="27"/>
  <c r="S562" i="27" s="1"/>
  <c r="R427" i="27"/>
  <c r="S427" i="27" s="1"/>
  <c r="R657" i="27"/>
  <c r="R442" i="27"/>
  <c r="S442" i="27" s="1"/>
  <c r="R515" i="27"/>
  <c r="R659" i="27"/>
  <c r="R690" i="27"/>
  <c r="S690" i="27" s="1"/>
  <c r="AA439" i="60"/>
  <c r="R699" i="27"/>
  <c r="S699" i="27" s="1"/>
  <c r="R675" i="27"/>
  <c r="S675" i="27" s="1"/>
  <c r="R517" i="27"/>
  <c r="S517" i="27" s="1"/>
  <c r="R536" i="27"/>
  <c r="S536" i="27" s="1"/>
  <c r="R723" i="27"/>
  <c r="S723" i="27" s="1"/>
  <c r="R488" i="27"/>
  <c r="S488" i="27" s="1"/>
  <c r="R561" i="27"/>
  <c r="S561" i="27" s="1"/>
  <c r="R579" i="27"/>
  <c r="S579" i="27" s="1"/>
  <c r="R616" i="27"/>
  <c r="S616" i="27" s="1"/>
  <c r="R701" i="27"/>
  <c r="S701" i="27" s="1"/>
  <c r="R549" i="27"/>
  <c r="S549" i="27" s="1"/>
  <c r="R558" i="27"/>
  <c r="S558" i="27" s="1"/>
  <c r="R622" i="27"/>
  <c r="S622" i="27" s="1"/>
  <c r="R522" i="27"/>
  <c r="S522" i="27" s="1"/>
  <c r="R618" i="27"/>
  <c r="S618" i="27" s="1"/>
  <c r="R654" i="27"/>
  <c r="R709" i="27"/>
  <c r="S709" i="27" s="1"/>
  <c r="R443" i="27"/>
  <c r="S443" i="27" s="1"/>
  <c r="R698" i="27"/>
  <c r="R461" i="27"/>
  <c r="S461" i="27" s="1"/>
  <c r="AI439" i="60"/>
  <c r="AJ439" i="60"/>
  <c r="R1102" i="27"/>
  <c r="S1102" i="27" s="1"/>
  <c r="R1174" i="27"/>
  <c r="S1174" i="27" s="1"/>
  <c r="R923" i="27"/>
  <c r="R928" i="27"/>
  <c r="S928" i="27" s="1"/>
  <c r="R953" i="27"/>
  <c r="S953" i="27" s="1"/>
  <c r="R958" i="27"/>
  <c r="S958" i="27" s="1"/>
  <c r="R1050" i="27"/>
  <c r="S1050" i="27" s="1"/>
  <c r="R1065" i="27"/>
  <c r="S1065" i="27" s="1"/>
  <c r="R1167" i="27"/>
  <c r="S1167" i="27" s="1"/>
  <c r="R866" i="27"/>
  <c r="S866" i="27" s="1"/>
  <c r="R883" i="27"/>
  <c r="S883" i="27" s="1"/>
  <c r="R890" i="27"/>
  <c r="S890" i="27" s="1"/>
  <c r="R949" i="27"/>
  <c r="S949" i="27" s="1"/>
  <c r="R978" i="27"/>
  <c r="S978" i="27" s="1"/>
  <c r="R985" i="27"/>
  <c r="S985" i="27" s="1"/>
  <c r="R991" i="27"/>
  <c r="S991" i="27" s="1"/>
  <c r="R993" i="27"/>
  <c r="S993" i="27" s="1"/>
  <c r="R999" i="27"/>
  <c r="S999" i="27" s="1"/>
  <c r="R1007" i="27"/>
  <c r="R1058" i="27"/>
  <c r="S1058" i="27" s="1"/>
  <c r="R1082" i="27"/>
  <c r="R1098" i="27"/>
  <c r="S1098" i="27" s="1"/>
  <c r="R1138" i="27"/>
  <c r="S1138" i="27" s="1"/>
  <c r="R939" i="27"/>
  <c r="S939" i="27" s="1"/>
  <c r="R955" i="27"/>
  <c r="S955" i="27" s="1"/>
  <c r="R1042" i="27"/>
  <c r="S1042" i="27" s="1"/>
  <c r="R1147" i="27"/>
  <c r="S1147" i="27" s="1"/>
  <c r="P1292" i="27"/>
  <c r="R945" i="27"/>
  <c r="S945" i="27" s="1"/>
  <c r="R1180" i="27"/>
  <c r="S1180" i="27" s="1"/>
  <c r="R862" i="27"/>
  <c r="S862" i="27" s="1"/>
  <c r="R974" i="27"/>
  <c r="R952" i="27"/>
  <c r="S952" i="27" s="1"/>
  <c r="R1151" i="27"/>
  <c r="S1151" i="27" s="1"/>
  <c r="R1173" i="27"/>
  <c r="S1173" i="27" s="1"/>
  <c r="R1150" i="27"/>
  <c r="S1150" i="27" s="1"/>
  <c r="R869" i="27"/>
  <c r="S869" i="27" s="1"/>
  <c r="R919" i="27"/>
  <c r="S919" i="27" s="1"/>
  <c r="R931" i="27"/>
  <c r="S931" i="27" s="1"/>
  <c r="R976" i="27"/>
  <c r="S976" i="27" s="1"/>
  <c r="R1026" i="27"/>
  <c r="R1154" i="27"/>
  <c r="S1154" i="27" s="1"/>
  <c r="R241" i="27"/>
  <c r="S241" i="27" s="1"/>
  <c r="R873" i="27"/>
  <c r="S873" i="27" s="1"/>
  <c r="R674" i="27"/>
  <c r="S674" i="27" s="1"/>
  <c r="R489" i="27"/>
  <c r="S489" i="27" s="1"/>
  <c r="R586" i="27"/>
  <c r="S586" i="27" s="1"/>
  <c r="R444" i="27"/>
  <c r="S444" i="27" s="1"/>
  <c r="R619" i="27"/>
  <c r="S619" i="27" s="1"/>
  <c r="R650" i="27"/>
  <c r="S650" i="27" s="1"/>
  <c r="R603" i="27"/>
  <c r="S603" i="27" s="1"/>
  <c r="R635" i="27"/>
  <c r="S635" i="27" s="1"/>
  <c r="R588" i="27"/>
  <c r="S588" i="27" s="1"/>
  <c r="R681" i="27"/>
  <c r="S681" i="27" s="1"/>
  <c r="R617" i="27"/>
  <c r="S617" i="27" s="1"/>
  <c r="R411" i="27"/>
  <c r="S411" i="27" s="1"/>
  <c r="R418" i="27"/>
  <c r="S418" i="27" s="1"/>
  <c r="R495" i="27"/>
  <c r="S495" i="27" s="1"/>
  <c r="R585" i="27"/>
  <c r="R595" i="27"/>
  <c r="R408" i="27"/>
  <c r="R503" i="27"/>
  <c r="S503" i="27" s="1"/>
  <c r="R507" i="27"/>
  <c r="S507" i="27" s="1"/>
  <c r="R714" i="27"/>
  <c r="S714" i="27" s="1"/>
  <c r="R528" i="27"/>
  <c r="S528" i="27" s="1"/>
  <c r="R545" i="27"/>
  <c r="S545" i="27" s="1"/>
  <c r="R601" i="27"/>
  <c r="S601" i="27" s="1"/>
  <c r="R627" i="27"/>
  <c r="S627" i="27" s="1"/>
  <c r="R405" i="27"/>
  <c r="S405" i="27" s="1"/>
  <c r="R625" i="27"/>
  <c r="S625" i="27" s="1"/>
  <c r="R665" i="27"/>
  <c r="S665" i="27" s="1"/>
  <c r="R685" i="27"/>
  <c r="S685" i="27" s="1"/>
  <c r="R449" i="27"/>
  <c r="S449" i="27" s="1"/>
  <c r="R458" i="27"/>
  <c r="S458" i="27" s="1"/>
  <c r="R560" i="27"/>
  <c r="S560" i="27" s="1"/>
  <c r="R613" i="27"/>
  <c r="S613" i="27" s="1"/>
  <c r="R425" i="27"/>
  <c r="S425" i="27" s="1"/>
  <c r="R455" i="27"/>
  <c r="S455" i="27" s="1"/>
  <c r="R505" i="27"/>
  <c r="S505" i="27" s="1"/>
  <c r="R429" i="27"/>
  <c r="S429" i="27" s="1"/>
  <c r="R555" i="27"/>
  <c r="R569" i="27"/>
  <c r="R513" i="27"/>
  <c r="S513" i="27" s="1"/>
  <c r="R564" i="27"/>
  <c r="R628" i="27"/>
  <c r="S628" i="27" s="1"/>
  <c r="R482" i="27"/>
  <c r="S482" i="27" s="1"/>
  <c r="AB439" i="60"/>
  <c r="AN439" i="60"/>
  <c r="AN432" i="60" s="1"/>
  <c r="P439" i="60"/>
  <c r="X439" i="60"/>
  <c r="X418" i="60" s="1"/>
  <c r="I439" i="60"/>
  <c r="Q439" i="60"/>
  <c r="G439" i="60"/>
  <c r="G418" i="60" s="1"/>
  <c r="O439" i="60"/>
  <c r="O418" i="60" s="1"/>
  <c r="W439" i="60"/>
  <c r="AE439" i="60"/>
  <c r="I11" i="54"/>
  <c r="G11" i="54"/>
  <c r="P9" i="54"/>
  <c r="R9" i="54" s="1"/>
  <c r="O10" i="54"/>
  <c r="E120" i="35"/>
  <c r="E121" i="35" s="1"/>
  <c r="P427" i="60"/>
  <c r="AI427" i="60"/>
  <c r="J446" i="60"/>
  <c r="H460" i="60"/>
  <c r="AG460" i="60"/>
  <c r="X460" i="60"/>
  <c r="G427" i="60"/>
  <c r="Q427" i="60"/>
  <c r="AJ427" i="60"/>
  <c r="T460" i="60"/>
  <c r="AA427" i="60"/>
  <c r="AI460" i="60"/>
  <c r="U460" i="60"/>
  <c r="N439" i="60"/>
  <c r="V439" i="60"/>
  <c r="V418" i="60" s="1"/>
  <c r="AD439" i="60"/>
  <c r="AD418" i="60" s="1"/>
  <c r="AL439" i="60"/>
  <c r="AL418" i="60" s="1"/>
  <c r="S427" i="60"/>
  <c r="AD427" i="60"/>
  <c r="L427" i="60"/>
  <c r="T427" i="60"/>
  <c r="AE427" i="60"/>
  <c r="AN427" i="60"/>
  <c r="E460" i="60"/>
  <c r="I446" i="60"/>
  <c r="AB446" i="60"/>
  <c r="N427" i="60"/>
  <c r="V427" i="60"/>
  <c r="P460" i="60"/>
  <c r="J460" i="60"/>
  <c r="R460" i="60"/>
  <c r="AD460" i="60"/>
  <c r="K460" i="60"/>
  <c r="W446" i="60"/>
  <c r="AC460" i="60"/>
  <c r="W460" i="60"/>
  <c r="AE446" i="60"/>
  <c r="E439" i="60"/>
  <c r="M439" i="60"/>
  <c r="U439" i="60"/>
  <c r="AC439" i="60"/>
  <c r="AC418" i="60" s="1"/>
  <c r="AK439" i="60"/>
  <c r="AK460" i="60"/>
  <c r="AL460" i="60"/>
  <c r="AH460" i="60"/>
  <c r="L460" i="60"/>
  <c r="I460" i="60"/>
  <c r="AM460" i="60"/>
  <c r="AN446" i="60"/>
  <c r="R439" i="60"/>
  <c r="R418" i="60" s="1"/>
  <c r="AH439" i="60"/>
  <c r="AF446" i="60"/>
  <c r="M446" i="60"/>
  <c r="AA446" i="60"/>
  <c r="M460" i="60"/>
  <c r="F460" i="60"/>
  <c r="U446" i="60"/>
  <c r="AH446" i="60"/>
  <c r="AM446" i="60"/>
  <c r="H446" i="60"/>
  <c r="Q446" i="60"/>
  <c r="O453" i="60"/>
  <c r="O446" i="60" s="1"/>
  <c r="AG453" i="60"/>
  <c r="F453" i="60"/>
  <c r="F446" i="60" s="1"/>
  <c r="AF442" i="60"/>
  <c r="AD453" i="60"/>
  <c r="AD446" i="60" s="1"/>
  <c r="X453" i="60"/>
  <c r="X446" i="60" s="1"/>
  <c r="S453" i="60"/>
  <c r="S446" i="60" s="1"/>
  <c r="Z453" i="60"/>
  <c r="Z446" i="60" s="1"/>
  <c r="AL453" i="60"/>
  <c r="AL446" i="60" s="1"/>
  <c r="AJ453" i="60"/>
  <c r="AJ446" i="60" s="1"/>
  <c r="AI453" i="60"/>
  <c r="AI446" i="60" s="1"/>
  <c r="AC453" i="60"/>
  <c r="AC446" i="60" s="1"/>
  <c r="L453" i="60"/>
  <c r="L446" i="60" s="1"/>
  <c r="P453" i="60"/>
  <c r="P446" i="60" s="1"/>
  <c r="K453" i="60"/>
  <c r="K446" i="60" s="1"/>
  <c r="AK453" i="60"/>
  <c r="AK446" i="60" s="1"/>
  <c r="G453" i="60"/>
  <c r="G446" i="60" s="1"/>
  <c r="E453" i="60"/>
  <c r="E446" i="60" s="1"/>
  <c r="V453" i="60"/>
  <c r="V446" i="60" s="1"/>
  <c r="T453" i="60"/>
  <c r="T446" i="60" s="1"/>
  <c r="R453" i="60"/>
  <c r="R446" i="60" s="1"/>
  <c r="J15" i="60" l="1"/>
  <c r="J8" i="60" s="1"/>
  <c r="AF14" i="60"/>
  <c r="AF19" i="60" s="1"/>
  <c r="H19" i="60"/>
  <c r="J16" i="60"/>
  <c r="J17" i="60"/>
  <c r="J14" i="60"/>
  <c r="F19" i="60"/>
  <c r="J18" i="60"/>
  <c r="AF22" i="60"/>
  <c r="AF8" i="60"/>
  <c r="AF33" i="60"/>
  <c r="H33" i="60"/>
  <c r="S814" i="27"/>
  <c r="H21" i="60"/>
  <c r="F33" i="60"/>
  <c r="S657" i="27"/>
  <c r="S298" i="27"/>
  <c r="AS9" i="59"/>
  <c r="F38" i="60"/>
  <c r="F24" i="60"/>
  <c r="AF38" i="60"/>
  <c r="AF24" i="60"/>
  <c r="F36" i="60"/>
  <c r="F22" i="60"/>
  <c r="F35" i="60"/>
  <c r="F21" i="60"/>
  <c r="F39" i="60"/>
  <c r="F25" i="60"/>
  <c r="F37" i="60"/>
  <c r="F23" i="60"/>
  <c r="AF39" i="60"/>
  <c r="AF25" i="60"/>
  <c r="AF37" i="60"/>
  <c r="AF23" i="60"/>
  <c r="H38" i="60"/>
  <c r="H24" i="60"/>
  <c r="H36" i="60"/>
  <c r="H22" i="60"/>
  <c r="H37" i="60"/>
  <c r="H23" i="60"/>
  <c r="H39" i="60"/>
  <c r="H25" i="60"/>
  <c r="F47" i="60"/>
  <c r="S9" i="54"/>
  <c r="S564" i="27"/>
  <c r="H47" i="60"/>
  <c r="H26" i="60" s="1"/>
  <c r="H35" i="60"/>
  <c r="S392" i="27"/>
  <c r="S747" i="27"/>
  <c r="AF50" i="60"/>
  <c r="AF36" i="60"/>
  <c r="G7" i="35"/>
  <c r="G119" i="35" s="1"/>
  <c r="G120" i="35" s="1"/>
  <c r="G121" i="35" s="1"/>
  <c r="G4" i="66"/>
  <c r="G116" i="66" s="1"/>
  <c r="AF61" i="60"/>
  <c r="F61" i="60"/>
  <c r="S408" i="27"/>
  <c r="S936" i="27"/>
  <c r="S584" i="27"/>
  <c r="H61" i="60"/>
  <c r="S776" i="27"/>
  <c r="D41" i="59"/>
  <c r="F63" i="60"/>
  <c r="F49" i="60"/>
  <c r="H64" i="60"/>
  <c r="H50" i="60"/>
  <c r="H65" i="60"/>
  <c r="H51" i="60"/>
  <c r="F67" i="60"/>
  <c r="F53" i="60"/>
  <c r="F65" i="60"/>
  <c r="F51" i="60"/>
  <c r="AF67" i="60"/>
  <c r="AF53" i="60"/>
  <c r="AF65" i="60"/>
  <c r="AF51" i="60"/>
  <c r="F66" i="60"/>
  <c r="F52" i="60"/>
  <c r="H67" i="60"/>
  <c r="H53" i="60"/>
  <c r="AF66" i="60"/>
  <c r="AF52" i="60"/>
  <c r="H66" i="60"/>
  <c r="H52" i="60"/>
  <c r="F64" i="60"/>
  <c r="F50" i="60"/>
  <c r="H63" i="60"/>
  <c r="H49" i="60"/>
  <c r="S659" i="27"/>
  <c r="S483" i="27"/>
  <c r="F75" i="60"/>
  <c r="S848" i="27"/>
  <c r="H75" i="60"/>
  <c r="F89" i="60"/>
  <c r="S654" i="27"/>
  <c r="S1004" i="27"/>
  <c r="S479" i="27"/>
  <c r="H89" i="60"/>
  <c r="F92" i="60"/>
  <c r="F78" i="60"/>
  <c r="F91" i="60"/>
  <c r="F77" i="60"/>
  <c r="F95" i="60"/>
  <c r="F81" i="60"/>
  <c r="AF92" i="60"/>
  <c r="AF95" i="60"/>
  <c r="AF81" i="60"/>
  <c r="F94" i="60"/>
  <c r="F80" i="60"/>
  <c r="H93" i="60"/>
  <c r="H79" i="60"/>
  <c r="H92" i="60"/>
  <c r="H78" i="60"/>
  <c r="AF94" i="60"/>
  <c r="AF80" i="60"/>
  <c r="F93" i="60"/>
  <c r="F79" i="60"/>
  <c r="H91" i="60"/>
  <c r="H77" i="60"/>
  <c r="AF93" i="60"/>
  <c r="AF79" i="60"/>
  <c r="H95" i="60"/>
  <c r="H81" i="60"/>
  <c r="H94" i="60"/>
  <c r="H80" i="60"/>
  <c r="AF117" i="60"/>
  <c r="F117" i="60"/>
  <c r="S1023" i="27"/>
  <c r="H117" i="60"/>
  <c r="S501" i="27"/>
  <c r="S863" i="27"/>
  <c r="S680" i="27"/>
  <c r="F120" i="60"/>
  <c r="F121" i="60"/>
  <c r="F107" i="60"/>
  <c r="H123" i="60"/>
  <c r="H109" i="60"/>
  <c r="AH131" i="60"/>
  <c r="AH110" i="60" s="1"/>
  <c r="AH105" i="60"/>
  <c r="H120" i="60"/>
  <c r="H106" i="60"/>
  <c r="H121" i="60"/>
  <c r="H107" i="60"/>
  <c r="H122" i="60"/>
  <c r="H108" i="60"/>
  <c r="F122" i="60"/>
  <c r="F108" i="60"/>
  <c r="H119" i="60"/>
  <c r="H105" i="60"/>
  <c r="F119" i="60"/>
  <c r="F105" i="60"/>
  <c r="F123" i="60"/>
  <c r="F109" i="60"/>
  <c r="H131" i="60"/>
  <c r="F131" i="60"/>
  <c r="AF105" i="60"/>
  <c r="AH119" i="60"/>
  <c r="H133" i="60"/>
  <c r="F135" i="60"/>
  <c r="AH145" i="60"/>
  <c r="AH133" i="60"/>
  <c r="AF145" i="60"/>
  <c r="F145" i="60"/>
  <c r="H145" i="60"/>
  <c r="F134" i="60"/>
  <c r="S515" i="27"/>
  <c r="S844" i="27"/>
  <c r="S1002" i="27"/>
  <c r="S669" i="27"/>
  <c r="AF149" i="60"/>
  <c r="AF135" i="60"/>
  <c r="F150" i="60"/>
  <c r="F136" i="60"/>
  <c r="H151" i="60"/>
  <c r="H137" i="60"/>
  <c r="AF150" i="60"/>
  <c r="AF136" i="60"/>
  <c r="H150" i="60"/>
  <c r="H136" i="60"/>
  <c r="F147" i="60"/>
  <c r="F133" i="60"/>
  <c r="H148" i="60"/>
  <c r="H134" i="60"/>
  <c r="F151" i="60"/>
  <c r="F137" i="60"/>
  <c r="AF151" i="60"/>
  <c r="AF137" i="60"/>
  <c r="AF148" i="60"/>
  <c r="AF134" i="60"/>
  <c r="H149" i="60"/>
  <c r="H135" i="60"/>
  <c r="S1026" i="27"/>
  <c r="F159" i="60"/>
  <c r="S525" i="27"/>
  <c r="S684" i="27"/>
  <c r="H159" i="60"/>
  <c r="S872" i="27"/>
  <c r="F162" i="60"/>
  <c r="F148" i="60"/>
  <c r="H161" i="60"/>
  <c r="H147" i="60"/>
  <c r="F163" i="60"/>
  <c r="F149" i="60"/>
  <c r="S1039" i="27"/>
  <c r="S533" i="27"/>
  <c r="F173" i="60"/>
  <c r="S887" i="27"/>
  <c r="S682" i="27"/>
  <c r="H173" i="60"/>
  <c r="H178" i="60"/>
  <c r="H164" i="60"/>
  <c r="F178" i="60"/>
  <c r="F164" i="60"/>
  <c r="AF176" i="60"/>
  <c r="AF162" i="60"/>
  <c r="AF178" i="60"/>
  <c r="AF164" i="60"/>
  <c r="H177" i="60"/>
  <c r="H163" i="60"/>
  <c r="AF177" i="60"/>
  <c r="AF163" i="60"/>
  <c r="H176" i="60"/>
  <c r="H162" i="60"/>
  <c r="F179" i="60"/>
  <c r="F165" i="60"/>
  <c r="H179" i="60"/>
  <c r="H165" i="60"/>
  <c r="AF179" i="60"/>
  <c r="AF165" i="60"/>
  <c r="F175" i="60"/>
  <c r="F161" i="60"/>
  <c r="F187" i="60"/>
  <c r="S676" i="27"/>
  <c r="S875" i="27"/>
  <c r="S1032" i="27"/>
  <c r="F176" i="60"/>
  <c r="H187" i="60"/>
  <c r="F191" i="60"/>
  <c r="F177" i="60"/>
  <c r="H189" i="60"/>
  <c r="H175" i="60"/>
  <c r="P10" i="54"/>
  <c r="R10" i="54" s="1"/>
  <c r="AJ13" i="59" s="1"/>
  <c r="H201" i="60"/>
  <c r="F201" i="60"/>
  <c r="H190" i="60"/>
  <c r="S856" i="27"/>
  <c r="S530" i="27"/>
  <c r="S668" i="27"/>
  <c r="F204" i="60"/>
  <c r="F190" i="60"/>
  <c r="AF204" i="60"/>
  <c r="AF190" i="60"/>
  <c r="H207" i="60"/>
  <c r="H193" i="60"/>
  <c r="H205" i="60"/>
  <c r="H191" i="60"/>
  <c r="F207" i="60"/>
  <c r="F193" i="60"/>
  <c r="H206" i="60"/>
  <c r="H192" i="60"/>
  <c r="AF207" i="60"/>
  <c r="AF193" i="60"/>
  <c r="AF205" i="60"/>
  <c r="AF191" i="60"/>
  <c r="F206" i="60"/>
  <c r="F192" i="60"/>
  <c r="F203" i="60"/>
  <c r="F189" i="60"/>
  <c r="AF206" i="60"/>
  <c r="AF192" i="60"/>
  <c r="F215" i="60"/>
  <c r="H215" i="60"/>
  <c r="S880" i="27"/>
  <c r="S686" i="27"/>
  <c r="S1030" i="27"/>
  <c r="S557" i="27"/>
  <c r="H218" i="60"/>
  <c r="H204" i="60"/>
  <c r="F219" i="60"/>
  <c r="F205" i="60"/>
  <c r="H217" i="60"/>
  <c r="H203" i="60"/>
  <c r="H229" i="60"/>
  <c r="F229" i="60"/>
  <c r="AF233" i="60"/>
  <c r="AF219" i="60"/>
  <c r="H233" i="60"/>
  <c r="H219" i="60"/>
  <c r="F232" i="60"/>
  <c r="F218" i="60"/>
  <c r="F235" i="60"/>
  <c r="F221" i="60"/>
  <c r="AF232" i="60"/>
  <c r="AF218" i="60"/>
  <c r="AF235" i="60"/>
  <c r="AF221" i="60"/>
  <c r="F234" i="60"/>
  <c r="F220" i="60"/>
  <c r="H235" i="60"/>
  <c r="H221" i="60"/>
  <c r="AF234" i="60"/>
  <c r="AF220" i="60"/>
  <c r="H234" i="60"/>
  <c r="H220" i="60"/>
  <c r="F231" i="60"/>
  <c r="F217" i="60"/>
  <c r="J120" i="35"/>
  <c r="J121" i="35" s="1"/>
  <c r="K121" i="35"/>
  <c r="H243" i="60"/>
  <c r="H232" i="60"/>
  <c r="S923" i="27"/>
  <c r="S725" i="27"/>
  <c r="F243" i="60"/>
  <c r="S585" i="27"/>
  <c r="S1075" i="27"/>
  <c r="H245" i="60"/>
  <c r="H231" i="60"/>
  <c r="F247" i="60"/>
  <c r="F233" i="60"/>
  <c r="F257" i="60"/>
  <c r="H257" i="60"/>
  <c r="F260" i="60"/>
  <c r="F246" i="60"/>
  <c r="F263" i="60"/>
  <c r="F249" i="60"/>
  <c r="AF260" i="60"/>
  <c r="AF246" i="60"/>
  <c r="AF263" i="60"/>
  <c r="AF249" i="60"/>
  <c r="H261" i="60"/>
  <c r="H247" i="60"/>
  <c r="F262" i="60"/>
  <c r="F248" i="60"/>
  <c r="H262" i="60"/>
  <c r="H248" i="60"/>
  <c r="AF262" i="60"/>
  <c r="AF248" i="60"/>
  <c r="H260" i="60"/>
  <c r="H246" i="60"/>
  <c r="AF261" i="60"/>
  <c r="AF247" i="60"/>
  <c r="F259" i="60"/>
  <c r="F245" i="60"/>
  <c r="H263" i="60"/>
  <c r="H249" i="60"/>
  <c r="S906" i="27"/>
  <c r="S573" i="27"/>
  <c r="S708" i="27"/>
  <c r="S1060" i="27"/>
  <c r="F271" i="60"/>
  <c r="H271" i="60"/>
  <c r="F275" i="60"/>
  <c r="F261" i="60"/>
  <c r="H273" i="60"/>
  <c r="H259" i="60"/>
  <c r="S697" i="27"/>
  <c r="S901" i="27"/>
  <c r="S559" i="27"/>
  <c r="H285" i="60"/>
  <c r="F285" i="60"/>
  <c r="AF288" i="60"/>
  <c r="AF274" i="60"/>
  <c r="AF289" i="60"/>
  <c r="AF275" i="60"/>
  <c r="H291" i="60"/>
  <c r="H277" i="60"/>
  <c r="F288" i="60"/>
  <c r="F274" i="60"/>
  <c r="H288" i="60"/>
  <c r="H274" i="60"/>
  <c r="F291" i="60"/>
  <c r="F277" i="60"/>
  <c r="H290" i="60"/>
  <c r="H276" i="60"/>
  <c r="AF291" i="60"/>
  <c r="AF277" i="60"/>
  <c r="F290" i="60"/>
  <c r="F276" i="60"/>
  <c r="F287" i="60"/>
  <c r="F273" i="60"/>
  <c r="AF290" i="60"/>
  <c r="AF276" i="60"/>
  <c r="H289" i="60"/>
  <c r="H275" i="60"/>
  <c r="H299" i="60"/>
  <c r="S698" i="27"/>
  <c r="S1043" i="27"/>
  <c r="F299" i="60"/>
  <c r="S554" i="27"/>
  <c r="S908" i="27"/>
  <c r="H301" i="60"/>
  <c r="H287" i="60"/>
  <c r="F303" i="60"/>
  <c r="F289" i="60"/>
  <c r="H313" i="60"/>
  <c r="S1052" i="27"/>
  <c r="S555" i="27"/>
  <c r="S703" i="27"/>
  <c r="S916" i="27"/>
  <c r="F313" i="60"/>
  <c r="F316" i="60"/>
  <c r="F302" i="60"/>
  <c r="AF317" i="60"/>
  <c r="AF303" i="60"/>
  <c r="AF316" i="60"/>
  <c r="AF302" i="60"/>
  <c r="F319" i="60"/>
  <c r="F305" i="60"/>
  <c r="H317" i="60"/>
  <c r="H303" i="60"/>
  <c r="AF319" i="60"/>
  <c r="AF305" i="60"/>
  <c r="H319" i="60"/>
  <c r="H305" i="60"/>
  <c r="H318" i="60"/>
  <c r="H304" i="60"/>
  <c r="F315" i="60"/>
  <c r="F301" i="60"/>
  <c r="F318" i="60"/>
  <c r="F304" i="60"/>
  <c r="H316" i="60"/>
  <c r="H302" i="60"/>
  <c r="Q127" i="48"/>
  <c r="F59" i="58"/>
  <c r="G45" i="48"/>
  <c r="Q111" i="48"/>
  <c r="P158" i="48"/>
  <c r="P162" i="48"/>
  <c r="H327" i="60"/>
  <c r="F327" i="60"/>
  <c r="S942" i="27"/>
  <c r="S1082" i="27"/>
  <c r="S710" i="27"/>
  <c r="F317" i="60"/>
  <c r="S569" i="27"/>
  <c r="H329" i="60"/>
  <c r="H315" i="60"/>
  <c r="F341" i="60"/>
  <c r="H341" i="60"/>
  <c r="H347" i="60"/>
  <c r="H333" i="60"/>
  <c r="F343" i="60"/>
  <c r="F329" i="60"/>
  <c r="H346" i="60"/>
  <c r="H332" i="60"/>
  <c r="F347" i="60"/>
  <c r="F333" i="60"/>
  <c r="H344" i="60"/>
  <c r="H330" i="60"/>
  <c r="AF347" i="60"/>
  <c r="AF333" i="60"/>
  <c r="H345" i="60"/>
  <c r="H331" i="60"/>
  <c r="F344" i="60"/>
  <c r="F330" i="60"/>
  <c r="AF344" i="60"/>
  <c r="AF330" i="60"/>
  <c r="AF345" i="60"/>
  <c r="AF331" i="60"/>
  <c r="F346" i="60"/>
  <c r="F332" i="60"/>
  <c r="F345" i="60"/>
  <c r="F331" i="60"/>
  <c r="AF346" i="60"/>
  <c r="AF332" i="60"/>
  <c r="O55" i="48"/>
  <c r="S736" i="27"/>
  <c r="S974" i="27"/>
  <c r="S1117" i="27"/>
  <c r="H355" i="60"/>
  <c r="S595" i="27"/>
  <c r="F355" i="60"/>
  <c r="H357" i="60"/>
  <c r="H343" i="60"/>
  <c r="AH362" i="60"/>
  <c r="AH348" i="60"/>
  <c r="AF359" i="60"/>
  <c r="AF360" i="60"/>
  <c r="S1007" i="27"/>
  <c r="S1153" i="27"/>
  <c r="H369" i="60"/>
  <c r="F369" i="60"/>
  <c r="S757" i="27"/>
  <c r="F373" i="60"/>
  <c r="F359" i="60"/>
  <c r="H372" i="60"/>
  <c r="H375" i="60"/>
  <c r="H361" i="60"/>
  <c r="H373" i="60"/>
  <c r="H359" i="60"/>
  <c r="F372" i="60"/>
  <c r="F358" i="60"/>
  <c r="H374" i="60"/>
  <c r="H360" i="60"/>
  <c r="AF372" i="60"/>
  <c r="AF358" i="60"/>
  <c r="F371" i="60"/>
  <c r="F357" i="60"/>
  <c r="F375" i="60"/>
  <c r="F361" i="60"/>
  <c r="F374" i="60"/>
  <c r="F360" i="60"/>
  <c r="AF375" i="60"/>
  <c r="AF361" i="60"/>
  <c r="S761" i="27"/>
  <c r="H383" i="60"/>
  <c r="S1019" i="27"/>
  <c r="S612" i="27"/>
  <c r="F383" i="60"/>
  <c r="H385" i="60"/>
  <c r="H371" i="60"/>
  <c r="I45" i="48"/>
  <c r="N55" i="48"/>
  <c r="AF397" i="60"/>
  <c r="S6" i="27"/>
  <c r="S643" i="27"/>
  <c r="F397" i="60"/>
  <c r="H397" i="60"/>
  <c r="Q115" i="48"/>
  <c r="Q43" i="48"/>
  <c r="Q47" i="48" s="1"/>
  <c r="Q119" i="48"/>
  <c r="F55" i="48"/>
  <c r="K45" i="48"/>
  <c r="K47" i="48"/>
  <c r="P71" i="48"/>
  <c r="H55" i="48"/>
  <c r="Q158" i="48"/>
  <c r="Q166" i="48"/>
  <c r="P127" i="48"/>
  <c r="P123" i="48"/>
  <c r="Q51" i="48"/>
  <c r="Q53" i="48" s="1"/>
  <c r="Q123" i="48"/>
  <c r="K55" i="48"/>
  <c r="F400" i="60"/>
  <c r="F386" i="60"/>
  <c r="F403" i="60"/>
  <c r="F389" i="60"/>
  <c r="H401" i="60"/>
  <c r="H387" i="60"/>
  <c r="F401" i="60"/>
  <c r="F387" i="60"/>
  <c r="H400" i="60"/>
  <c r="H386" i="60"/>
  <c r="H402" i="60"/>
  <c r="H388" i="60"/>
  <c r="F402" i="60"/>
  <c r="F388" i="60"/>
  <c r="H403" i="60"/>
  <c r="H389" i="60"/>
  <c r="F47" i="48"/>
  <c r="F45" i="48"/>
  <c r="N47" i="48"/>
  <c r="N45" i="48"/>
  <c r="J47" i="48"/>
  <c r="J45" i="48"/>
  <c r="D53" i="48"/>
  <c r="D55" i="48"/>
  <c r="H411" i="60"/>
  <c r="H399" i="60"/>
  <c r="S808" i="27"/>
  <c r="F411" i="60"/>
  <c r="F399" i="60"/>
  <c r="S1072" i="27"/>
  <c r="AF413" i="60"/>
  <c r="S1057" i="27"/>
  <c r="H425" i="60"/>
  <c r="K413" i="60"/>
  <c r="S639" i="27"/>
  <c r="F425" i="60"/>
  <c r="S802" i="27"/>
  <c r="F413" i="60"/>
  <c r="AK432" i="60"/>
  <c r="AK418" i="60"/>
  <c r="H428" i="60"/>
  <c r="H414" i="60"/>
  <c r="AE432" i="60"/>
  <c r="AE418" i="60"/>
  <c r="F430" i="60"/>
  <c r="F416" i="60"/>
  <c r="Q432" i="60"/>
  <c r="Q418" i="60"/>
  <c r="U432" i="60"/>
  <c r="U418" i="60"/>
  <c r="I432" i="60"/>
  <c r="I418" i="60"/>
  <c r="M432" i="60"/>
  <c r="M418" i="60"/>
  <c r="W432" i="60"/>
  <c r="W418" i="60"/>
  <c r="AA432" i="60"/>
  <c r="AA418" i="60"/>
  <c r="AB432" i="60"/>
  <c r="AB418" i="60"/>
  <c r="E432" i="60"/>
  <c r="E418" i="60"/>
  <c r="N432" i="60"/>
  <c r="N418" i="60"/>
  <c r="P432" i="60"/>
  <c r="P418" i="60"/>
  <c r="H429" i="60"/>
  <c r="H415" i="60"/>
  <c r="F429" i="60"/>
  <c r="F415" i="60"/>
  <c r="H427" i="60"/>
  <c r="H413" i="60"/>
  <c r="AJ432" i="60"/>
  <c r="AJ418" i="60"/>
  <c r="F431" i="60"/>
  <c r="F417" i="60"/>
  <c r="AN418" i="60"/>
  <c r="AH432" i="60"/>
  <c r="AH418" i="60"/>
  <c r="S432" i="60"/>
  <c r="S418" i="60"/>
  <c r="H431" i="60"/>
  <c r="H417" i="60"/>
  <c r="AI432" i="60"/>
  <c r="AI418" i="60"/>
  <c r="F428" i="60"/>
  <c r="F414" i="60"/>
  <c r="H430" i="60"/>
  <c r="H416" i="60"/>
  <c r="Q64" i="48"/>
  <c r="Q56" i="48"/>
  <c r="Q79" i="48"/>
  <c r="Q151" i="48"/>
  <c r="Q63" i="48"/>
  <c r="Q61" i="48"/>
  <c r="Q69" i="48"/>
  <c r="Q71" i="48"/>
  <c r="P61" i="48"/>
  <c r="P63" i="48"/>
  <c r="D16" i="49"/>
  <c r="F16" i="49" s="1"/>
  <c r="H439" i="60"/>
  <c r="F439" i="60"/>
  <c r="R1292" i="27"/>
  <c r="AM1292" i="27"/>
  <c r="H120" i="35"/>
  <c r="H121" i="35" s="1"/>
  <c r="L11" i="54"/>
  <c r="I16" i="63" s="1"/>
  <c r="AC432" i="60"/>
  <c r="O432" i="60"/>
  <c r="T432" i="60"/>
  <c r="G432" i="60"/>
  <c r="L432" i="60"/>
  <c r="AL432" i="60"/>
  <c r="R432" i="60"/>
  <c r="AD432" i="60"/>
  <c r="AG446" i="60"/>
  <c r="V432" i="60"/>
  <c r="X432" i="60"/>
  <c r="J16" i="63" l="1"/>
  <c r="I18" i="63"/>
  <c r="AL13" i="59"/>
  <c r="AK13" i="59"/>
  <c r="H12" i="60"/>
  <c r="K17" i="60"/>
  <c r="K10" i="60" s="1"/>
  <c r="F12" i="60"/>
  <c r="J19" i="60"/>
  <c r="K18" i="60"/>
  <c r="K11" i="60" s="1"/>
  <c r="K14" i="60"/>
  <c r="AF12" i="60"/>
  <c r="K16" i="60"/>
  <c r="K9" i="60" s="1"/>
  <c r="K15" i="60"/>
  <c r="K8" i="60" s="1"/>
  <c r="AF7" i="60"/>
  <c r="J25" i="60"/>
  <c r="J11" i="60"/>
  <c r="H54" i="60"/>
  <c r="AP13" i="59"/>
  <c r="F26" i="60"/>
  <c r="J33" i="60"/>
  <c r="F4" i="66"/>
  <c r="AS13" i="59"/>
  <c r="AT13" i="59"/>
  <c r="AT9" i="59"/>
  <c r="F250" i="60"/>
  <c r="AF47" i="60"/>
  <c r="AF26" i="60" s="1"/>
  <c r="AF21" i="60"/>
  <c r="J36" i="60"/>
  <c r="J22" i="60"/>
  <c r="H40" i="60"/>
  <c r="F40" i="60"/>
  <c r="J47" i="60"/>
  <c r="D45" i="59"/>
  <c r="F45" i="59" s="1"/>
  <c r="AW9" i="59"/>
  <c r="K21" i="60"/>
  <c r="AF35" i="60"/>
  <c r="F54" i="60"/>
  <c r="J49" i="60"/>
  <c r="J53" i="60"/>
  <c r="J39" i="60"/>
  <c r="J61" i="60"/>
  <c r="E41" i="59"/>
  <c r="AF75" i="60"/>
  <c r="AF54" i="60" s="1"/>
  <c r="AF49" i="60"/>
  <c r="J64" i="60"/>
  <c r="J50" i="60"/>
  <c r="F68" i="60"/>
  <c r="I41" i="59"/>
  <c r="F41" i="59"/>
  <c r="I45" i="59"/>
  <c r="H68" i="60"/>
  <c r="J75" i="60"/>
  <c r="J63" i="60"/>
  <c r="AF63" i="60"/>
  <c r="K49" i="60"/>
  <c r="J81" i="60"/>
  <c r="J67" i="60"/>
  <c r="AF89" i="60"/>
  <c r="AF64" i="60"/>
  <c r="AF78" i="60"/>
  <c r="F82" i="60"/>
  <c r="H82" i="60"/>
  <c r="J89" i="60"/>
  <c r="J91" i="60"/>
  <c r="J77" i="60"/>
  <c r="J92" i="60"/>
  <c r="J78" i="60"/>
  <c r="AF77" i="60"/>
  <c r="J95" i="60"/>
  <c r="M41" i="59"/>
  <c r="J41" i="59"/>
  <c r="V37" i="63"/>
  <c r="F96" i="60"/>
  <c r="AF96" i="60"/>
  <c r="K77" i="60"/>
  <c r="H96" i="60"/>
  <c r="AF91" i="60"/>
  <c r="F110" i="60"/>
  <c r="H110" i="60"/>
  <c r="J117" i="60"/>
  <c r="Q45" i="59"/>
  <c r="F124" i="60"/>
  <c r="J120" i="60"/>
  <c r="J106" i="60"/>
  <c r="AF120" i="60"/>
  <c r="AF106" i="60"/>
  <c r="J123" i="60"/>
  <c r="J109" i="60"/>
  <c r="AF123" i="60"/>
  <c r="AF109" i="60"/>
  <c r="AF121" i="60"/>
  <c r="AF107" i="60"/>
  <c r="AF122" i="60"/>
  <c r="AF108" i="60"/>
  <c r="H124" i="60"/>
  <c r="AK45" i="59"/>
  <c r="R45" i="59"/>
  <c r="J131" i="60"/>
  <c r="AF131" i="60"/>
  <c r="K105" i="60"/>
  <c r="AF119" i="60"/>
  <c r="AH138" i="60"/>
  <c r="AH124" i="60"/>
  <c r="F166" i="60"/>
  <c r="J145" i="60"/>
  <c r="J151" i="60"/>
  <c r="J137" i="60"/>
  <c r="AF159" i="60"/>
  <c r="AF133" i="60"/>
  <c r="J148" i="60"/>
  <c r="J134" i="60"/>
  <c r="H152" i="60"/>
  <c r="H138" i="60"/>
  <c r="F152" i="60"/>
  <c r="F138" i="60"/>
  <c r="J159" i="60"/>
  <c r="AF173" i="60"/>
  <c r="AF147" i="60"/>
  <c r="H166" i="60"/>
  <c r="J173" i="60"/>
  <c r="F180" i="60"/>
  <c r="AF187" i="60"/>
  <c r="AF161" i="60"/>
  <c r="J179" i="60"/>
  <c r="J165" i="60"/>
  <c r="J176" i="60"/>
  <c r="J162" i="60"/>
  <c r="J187" i="60"/>
  <c r="H180" i="60"/>
  <c r="S10" i="54"/>
  <c r="W4" i="54"/>
  <c r="F7" i="35"/>
  <c r="F194" i="60"/>
  <c r="AF201" i="60"/>
  <c r="AF175" i="60"/>
  <c r="H194" i="60"/>
  <c r="J201" i="60"/>
  <c r="J204" i="60"/>
  <c r="J190" i="60"/>
  <c r="J207" i="60"/>
  <c r="J193" i="60"/>
  <c r="AF215" i="60"/>
  <c r="AF189" i="60"/>
  <c r="F208" i="60"/>
  <c r="H208" i="60"/>
  <c r="J215" i="60"/>
  <c r="D37" i="63"/>
  <c r="AT45" i="59"/>
  <c r="AW45" i="59"/>
  <c r="F222" i="60"/>
  <c r="AF229" i="60"/>
  <c r="AF203" i="60"/>
  <c r="H222" i="60"/>
  <c r="AG6" i="27"/>
  <c r="J229" i="60"/>
  <c r="J232" i="60"/>
  <c r="J218" i="60"/>
  <c r="J235" i="60"/>
  <c r="J221" i="60"/>
  <c r="AF243" i="60"/>
  <c r="AF217" i="60"/>
  <c r="H236" i="60"/>
  <c r="F236" i="60"/>
  <c r="J243" i="60"/>
  <c r="AF257" i="60"/>
  <c r="AF231" i="60"/>
  <c r="J257" i="60"/>
  <c r="H250" i="60"/>
  <c r="AF271" i="60"/>
  <c r="AF245" i="60"/>
  <c r="J263" i="60"/>
  <c r="J249" i="60"/>
  <c r="J260" i="60"/>
  <c r="J246" i="60"/>
  <c r="F264" i="60"/>
  <c r="H264" i="60"/>
  <c r="J271" i="60"/>
  <c r="AF285" i="60"/>
  <c r="AF259" i="60"/>
  <c r="H278" i="60"/>
  <c r="F278" i="60"/>
  <c r="J285" i="60"/>
  <c r="J291" i="60"/>
  <c r="J277" i="60"/>
  <c r="J288" i="60"/>
  <c r="J274" i="60"/>
  <c r="AF299" i="60"/>
  <c r="AF273" i="60"/>
  <c r="H292" i="60"/>
  <c r="J299" i="60"/>
  <c r="F292" i="60"/>
  <c r="AF313" i="60"/>
  <c r="AF287" i="60"/>
  <c r="F306" i="60"/>
  <c r="H306" i="60"/>
  <c r="AF301" i="60"/>
  <c r="J313" i="60"/>
  <c r="F320" i="60"/>
  <c r="J319" i="60"/>
  <c r="J305" i="60"/>
  <c r="J316" i="60"/>
  <c r="J302" i="60"/>
  <c r="AF318" i="60"/>
  <c r="AF304" i="60"/>
  <c r="AF327" i="60"/>
  <c r="H320" i="60"/>
  <c r="J327" i="60"/>
  <c r="AF341" i="60"/>
  <c r="AF315" i="60"/>
  <c r="F334" i="60"/>
  <c r="J341" i="60"/>
  <c r="H334" i="60"/>
  <c r="K315" i="60"/>
  <c r="J344" i="60"/>
  <c r="J330" i="60"/>
  <c r="AF355" i="60"/>
  <c r="AF329" i="60"/>
  <c r="J347" i="60"/>
  <c r="J333" i="60"/>
  <c r="AF343" i="60"/>
  <c r="J355" i="60"/>
  <c r="H348" i="60"/>
  <c r="F348" i="60"/>
  <c r="J357" i="60"/>
  <c r="AF369" i="60"/>
  <c r="AF357" i="60"/>
  <c r="H362" i="60"/>
  <c r="F362" i="60"/>
  <c r="K343" i="60"/>
  <c r="J369" i="60"/>
  <c r="J372" i="60"/>
  <c r="J358" i="60"/>
  <c r="AF374" i="60"/>
  <c r="J375" i="60"/>
  <c r="J361" i="60"/>
  <c r="H376" i="60"/>
  <c r="F376" i="60"/>
  <c r="AF383" i="60"/>
  <c r="J383" i="60"/>
  <c r="Q45" i="48"/>
  <c r="J397" i="60"/>
  <c r="Q55" i="48"/>
  <c r="H390" i="60"/>
  <c r="F390" i="60"/>
  <c r="K371" i="60"/>
  <c r="H404" i="60"/>
  <c r="J403" i="60"/>
  <c r="J389" i="60"/>
  <c r="AF400" i="60"/>
  <c r="AF386" i="60"/>
  <c r="AF403" i="60"/>
  <c r="AF389" i="60"/>
  <c r="K400" i="60"/>
  <c r="J400" i="60"/>
  <c r="J386" i="60"/>
  <c r="AF402" i="60"/>
  <c r="AF388" i="60"/>
  <c r="AF401" i="60"/>
  <c r="AF387" i="60"/>
  <c r="F404" i="60"/>
  <c r="K399" i="60"/>
  <c r="J411" i="60"/>
  <c r="Z413" i="60"/>
  <c r="AF411" i="60"/>
  <c r="AF390" i="60" s="1"/>
  <c r="S1292" i="27"/>
  <c r="AF425" i="60"/>
  <c r="K414" i="60"/>
  <c r="J425" i="60"/>
  <c r="K415" i="60"/>
  <c r="K417" i="60"/>
  <c r="K416" i="60"/>
  <c r="AF431" i="60"/>
  <c r="AF417" i="60"/>
  <c r="AF428" i="60"/>
  <c r="AF414" i="60"/>
  <c r="J431" i="60"/>
  <c r="J417" i="60"/>
  <c r="AF430" i="60"/>
  <c r="AF416" i="60"/>
  <c r="AF429" i="60"/>
  <c r="AF415" i="60"/>
  <c r="F432" i="60"/>
  <c r="F418" i="60"/>
  <c r="K430" i="60"/>
  <c r="J428" i="60"/>
  <c r="J414" i="60"/>
  <c r="K431" i="60"/>
  <c r="K429" i="60"/>
  <c r="H432" i="60"/>
  <c r="H418" i="60"/>
  <c r="K428" i="60"/>
  <c r="AF439" i="60"/>
  <c r="AF427" i="60"/>
  <c r="K439" i="60"/>
  <c r="K427" i="60"/>
  <c r="Z427" i="60"/>
  <c r="J439" i="60"/>
  <c r="O11" i="54"/>
  <c r="N41" i="59"/>
  <c r="AF68" i="60" l="1"/>
  <c r="AF40" i="60"/>
  <c r="J12" i="60"/>
  <c r="K19" i="60"/>
  <c r="K7" i="60"/>
  <c r="AF194" i="60"/>
  <c r="K33" i="60"/>
  <c r="J26" i="60"/>
  <c r="E45" i="59"/>
  <c r="H16" i="63"/>
  <c r="G18" i="63"/>
  <c r="K38" i="60"/>
  <c r="K24" i="60"/>
  <c r="K39" i="60"/>
  <c r="K25" i="60"/>
  <c r="J40" i="60"/>
  <c r="K36" i="60"/>
  <c r="K22" i="60"/>
  <c r="J54" i="60"/>
  <c r="K37" i="60"/>
  <c r="K23" i="60"/>
  <c r="K47" i="60"/>
  <c r="K35" i="60"/>
  <c r="K61" i="60"/>
  <c r="V39" i="63"/>
  <c r="X39" i="63"/>
  <c r="K67" i="60"/>
  <c r="K53" i="60"/>
  <c r="K66" i="60"/>
  <c r="K52" i="60"/>
  <c r="K65" i="60"/>
  <c r="K51" i="60"/>
  <c r="K64" i="60"/>
  <c r="K50" i="60"/>
  <c r="K75" i="60"/>
  <c r="K63" i="60"/>
  <c r="AF82" i="60"/>
  <c r="J82" i="60"/>
  <c r="J68" i="60"/>
  <c r="K89" i="60"/>
  <c r="K93" i="60"/>
  <c r="K79" i="60"/>
  <c r="K94" i="60"/>
  <c r="K80" i="60"/>
  <c r="K95" i="60"/>
  <c r="K81" i="60"/>
  <c r="J124" i="60"/>
  <c r="K92" i="60"/>
  <c r="K78" i="60"/>
  <c r="M45" i="59"/>
  <c r="J45" i="59"/>
  <c r="J96" i="60"/>
  <c r="N45" i="59"/>
  <c r="K91" i="60"/>
  <c r="J110" i="60"/>
  <c r="K117" i="60"/>
  <c r="Q41" i="59"/>
  <c r="K121" i="60"/>
  <c r="K107" i="60"/>
  <c r="AF124" i="60"/>
  <c r="AF110" i="60"/>
  <c r="K120" i="60"/>
  <c r="K106" i="60"/>
  <c r="K122" i="60"/>
  <c r="K108" i="60"/>
  <c r="K123" i="60"/>
  <c r="K109" i="60"/>
  <c r="K131" i="60"/>
  <c r="U45" i="59"/>
  <c r="V45" i="59"/>
  <c r="AK41" i="59"/>
  <c r="R41" i="59"/>
  <c r="K119" i="60"/>
  <c r="AF166" i="60"/>
  <c r="K134" i="60"/>
  <c r="K145" i="60"/>
  <c r="K151" i="60"/>
  <c r="K137" i="60"/>
  <c r="J152" i="60"/>
  <c r="J138" i="60"/>
  <c r="K149" i="60"/>
  <c r="K135" i="60"/>
  <c r="K150" i="60"/>
  <c r="K136" i="60"/>
  <c r="K147" i="60"/>
  <c r="K133" i="60"/>
  <c r="AF152" i="60"/>
  <c r="AF138" i="60"/>
  <c r="AF180" i="60"/>
  <c r="K159" i="60"/>
  <c r="K148" i="60"/>
  <c r="J166" i="60"/>
  <c r="K173" i="60"/>
  <c r="K161" i="60"/>
  <c r="K176" i="60"/>
  <c r="K162" i="60"/>
  <c r="K177" i="60"/>
  <c r="K163" i="60"/>
  <c r="AF208" i="60"/>
  <c r="K178" i="60"/>
  <c r="K164" i="60"/>
  <c r="K179" i="60"/>
  <c r="K165" i="60"/>
  <c r="J180" i="60"/>
  <c r="K187" i="60"/>
  <c r="K175" i="60"/>
  <c r="AP45" i="59"/>
  <c r="AL45" i="59"/>
  <c r="AP41" i="59"/>
  <c r="AL41" i="59"/>
  <c r="H37" i="63"/>
  <c r="AF222" i="60"/>
  <c r="J194" i="60"/>
  <c r="K201" i="60"/>
  <c r="K206" i="60"/>
  <c r="K192" i="60"/>
  <c r="K203" i="60"/>
  <c r="K189" i="60"/>
  <c r="K205" i="60"/>
  <c r="K191" i="60"/>
  <c r="K207" i="60"/>
  <c r="K193" i="60"/>
  <c r="K204" i="60"/>
  <c r="K190" i="60"/>
  <c r="D39" i="63"/>
  <c r="F39" i="63"/>
  <c r="J208" i="60"/>
  <c r="K215" i="60"/>
  <c r="S8" i="54"/>
  <c r="AF236" i="60"/>
  <c r="AF250" i="60"/>
  <c r="AF306" i="60"/>
  <c r="AF264" i="60"/>
  <c r="K229" i="60"/>
  <c r="J222" i="60"/>
  <c r="K218" i="60"/>
  <c r="K234" i="60"/>
  <c r="K220" i="60"/>
  <c r="K233" i="60"/>
  <c r="K219" i="60"/>
  <c r="K235" i="60"/>
  <c r="K221" i="60"/>
  <c r="K231" i="60"/>
  <c r="K217" i="60"/>
  <c r="J236" i="60"/>
  <c r="K243" i="60"/>
  <c r="J250" i="60"/>
  <c r="K246" i="60"/>
  <c r="K232" i="60"/>
  <c r="AF278" i="60"/>
  <c r="K257" i="60"/>
  <c r="K263" i="60"/>
  <c r="K249" i="60"/>
  <c r="AF292" i="60"/>
  <c r="K261" i="60"/>
  <c r="K247" i="60"/>
  <c r="K262" i="60"/>
  <c r="K248" i="60"/>
  <c r="K259" i="60"/>
  <c r="K245" i="60"/>
  <c r="J264" i="60"/>
  <c r="K271" i="60"/>
  <c r="K274" i="60"/>
  <c r="K260" i="60"/>
  <c r="J278" i="60"/>
  <c r="K285" i="60"/>
  <c r="K291" i="60"/>
  <c r="K277" i="60"/>
  <c r="K290" i="60"/>
  <c r="K276" i="60"/>
  <c r="K287" i="60"/>
  <c r="K273" i="60"/>
  <c r="K289" i="60"/>
  <c r="K275" i="60"/>
  <c r="J292" i="60"/>
  <c r="K299" i="60"/>
  <c r="J306" i="60"/>
  <c r="K302" i="60"/>
  <c r="K288" i="60"/>
  <c r="K313" i="60"/>
  <c r="K301" i="60"/>
  <c r="K318" i="60"/>
  <c r="K304" i="60"/>
  <c r="K319" i="60"/>
  <c r="K305" i="60"/>
  <c r="K317" i="60"/>
  <c r="K303" i="60"/>
  <c r="AF348" i="60"/>
  <c r="AF320" i="60"/>
  <c r="J320" i="60"/>
  <c r="K327" i="60"/>
  <c r="K316" i="60"/>
  <c r="AF334" i="60"/>
  <c r="K341" i="60"/>
  <c r="J334" i="60"/>
  <c r="K329" i="60"/>
  <c r="K344" i="60"/>
  <c r="K330" i="60"/>
  <c r="K345" i="60"/>
  <c r="K331" i="60"/>
  <c r="K346" i="60"/>
  <c r="K332" i="60"/>
  <c r="K347" i="60"/>
  <c r="K333" i="60"/>
  <c r="J390" i="60"/>
  <c r="J348" i="60"/>
  <c r="K355" i="60"/>
  <c r="K359" i="60"/>
  <c r="K358" i="60"/>
  <c r="J362" i="60"/>
  <c r="Z343" i="60"/>
  <c r="K369" i="60"/>
  <c r="K357" i="60"/>
  <c r="K374" i="60"/>
  <c r="K360" i="60"/>
  <c r="K375" i="60"/>
  <c r="K361" i="60"/>
  <c r="AF376" i="60"/>
  <c r="AF362" i="60"/>
  <c r="J376" i="60"/>
  <c r="K383" i="60"/>
  <c r="K373" i="60"/>
  <c r="W2" i="54"/>
  <c r="W3" i="54" s="1"/>
  <c r="K386" i="60"/>
  <c r="K372" i="60"/>
  <c r="K397" i="60"/>
  <c r="K385" i="60"/>
  <c r="Z371" i="60"/>
  <c r="K402" i="60"/>
  <c r="K388" i="60"/>
  <c r="K401" i="60"/>
  <c r="K387" i="60"/>
  <c r="K403" i="60"/>
  <c r="K389" i="60"/>
  <c r="Z400" i="60"/>
  <c r="J404" i="60"/>
  <c r="Z399" i="60"/>
  <c r="AF404" i="60"/>
  <c r="K411" i="60"/>
  <c r="AG413" i="60"/>
  <c r="K425" i="60"/>
  <c r="Z417" i="60"/>
  <c r="Z415" i="60"/>
  <c r="Z416" i="60"/>
  <c r="Z414" i="60"/>
  <c r="Z428" i="60"/>
  <c r="Z429" i="60"/>
  <c r="K432" i="60"/>
  <c r="Z431" i="60"/>
  <c r="AF432" i="60"/>
  <c r="AF418" i="60"/>
  <c r="J432" i="60"/>
  <c r="J418" i="60"/>
  <c r="Z430" i="60"/>
  <c r="AG427" i="60"/>
  <c r="Z439" i="60"/>
  <c r="P11" i="54"/>
  <c r="K12" i="60" l="1"/>
  <c r="H18" i="63"/>
  <c r="J18" i="63"/>
  <c r="K26" i="60"/>
  <c r="K40" i="60"/>
  <c r="S11" i="54"/>
  <c r="AX13" i="59"/>
  <c r="AW13" i="59"/>
  <c r="K54" i="60"/>
  <c r="I7" i="35"/>
  <c r="L7" i="35" s="1"/>
  <c r="M7" i="35" s="1"/>
  <c r="I4" i="66"/>
  <c r="H39" i="63"/>
  <c r="J39" i="63"/>
  <c r="K68" i="60"/>
  <c r="K124" i="60"/>
  <c r="K82" i="60"/>
  <c r="K96" i="60"/>
  <c r="K110" i="60"/>
  <c r="U41" i="59"/>
  <c r="V41" i="59"/>
  <c r="K152" i="60"/>
  <c r="K138" i="60"/>
  <c r="K166" i="60"/>
  <c r="K180" i="60"/>
  <c r="K194" i="60"/>
  <c r="K208" i="60"/>
  <c r="AT41" i="59"/>
  <c r="AW41" i="59"/>
  <c r="K222" i="60"/>
  <c r="K236" i="60"/>
  <c r="K250" i="60"/>
  <c r="K264" i="60"/>
  <c r="K278" i="60"/>
  <c r="K292" i="60"/>
  <c r="K306" i="60"/>
  <c r="K320" i="60"/>
  <c r="K334" i="60"/>
  <c r="Z347" i="60"/>
  <c r="Z346" i="60"/>
  <c r="K348" i="60"/>
  <c r="Z355" i="60"/>
  <c r="Z358" i="60"/>
  <c r="Z344" i="60"/>
  <c r="Z359" i="60"/>
  <c r="Z345" i="60"/>
  <c r="K362" i="60"/>
  <c r="Z369" i="60"/>
  <c r="Z357" i="60"/>
  <c r="Z375" i="60"/>
  <c r="Z361" i="60"/>
  <c r="Z374" i="60"/>
  <c r="Z360" i="60"/>
  <c r="K376" i="60"/>
  <c r="Z383" i="60"/>
  <c r="Z373" i="60"/>
  <c r="W5" i="54"/>
  <c r="Z386" i="60"/>
  <c r="Z372" i="60"/>
  <c r="K390" i="60"/>
  <c r="Z397" i="60"/>
  <c r="Z385" i="60"/>
  <c r="Z401" i="60"/>
  <c r="Z387" i="60"/>
  <c r="AG400" i="60"/>
  <c r="Z403" i="60"/>
  <c r="Z389" i="60"/>
  <c r="Z402" i="60"/>
  <c r="Z388" i="60"/>
  <c r="Z411" i="60"/>
  <c r="K418" i="60"/>
  <c r="K404" i="60"/>
  <c r="AM413" i="60"/>
  <c r="AG416" i="60"/>
  <c r="AG415" i="60"/>
  <c r="AG417" i="60"/>
  <c r="Z425" i="60"/>
  <c r="AG428" i="60"/>
  <c r="Z432" i="60"/>
  <c r="AG431" i="60"/>
  <c r="AG429" i="60"/>
  <c r="AG430" i="60"/>
  <c r="AG439" i="60"/>
  <c r="AM427" i="60"/>
  <c r="R11" i="54"/>
  <c r="AJ29" i="59" s="1"/>
  <c r="I116" i="66" l="1"/>
  <c r="L4" i="66"/>
  <c r="D3" i="65"/>
  <c r="AG345" i="60"/>
  <c r="AG346" i="60"/>
  <c r="AG347" i="60"/>
  <c r="Z348" i="60"/>
  <c r="AG355" i="60"/>
  <c r="AG343" i="60"/>
  <c r="AG358" i="60"/>
  <c r="AG344" i="60"/>
  <c r="Z362" i="60"/>
  <c r="AG369" i="60"/>
  <c r="AG374" i="60"/>
  <c r="AG360" i="60"/>
  <c r="AG371" i="60"/>
  <c r="AG357" i="60"/>
  <c r="AG375" i="60"/>
  <c r="AG361" i="60"/>
  <c r="AG373" i="60"/>
  <c r="AG359" i="60"/>
  <c r="Z376" i="60"/>
  <c r="AG383" i="60"/>
  <c r="AG386" i="60"/>
  <c r="AG372" i="60"/>
  <c r="Z390" i="60"/>
  <c r="AG397" i="60"/>
  <c r="AG385" i="60"/>
  <c r="AG403" i="60"/>
  <c r="AG389" i="60"/>
  <c r="AG402" i="60"/>
  <c r="AG388" i="60"/>
  <c r="AG401" i="60"/>
  <c r="AG387" i="60"/>
  <c r="AG411" i="60"/>
  <c r="AG399" i="60"/>
  <c r="Z418" i="60"/>
  <c r="Z404" i="60"/>
  <c r="AG425" i="60"/>
  <c r="AG414" i="60"/>
  <c r="AM416" i="60"/>
  <c r="AM417" i="60"/>
  <c r="AM415" i="60"/>
  <c r="AM430" i="60"/>
  <c r="AM429" i="60"/>
  <c r="AM431" i="60"/>
  <c r="AM428" i="60"/>
  <c r="AG432" i="60"/>
  <c r="AM439" i="60"/>
  <c r="D7" i="65" l="1"/>
  <c r="F3" i="65"/>
  <c r="AM347" i="60"/>
  <c r="AM344" i="60"/>
  <c r="AM345" i="60"/>
  <c r="AM346" i="60"/>
  <c r="AG348" i="60"/>
  <c r="AM355" i="60"/>
  <c r="AM357" i="60"/>
  <c r="AM343" i="60"/>
  <c r="AG362" i="60"/>
  <c r="AM369" i="60"/>
  <c r="AM375" i="60"/>
  <c r="AM361" i="60"/>
  <c r="AM373" i="60"/>
  <c r="AM359" i="60"/>
  <c r="AM372" i="60"/>
  <c r="AM358" i="60"/>
  <c r="AM374" i="60"/>
  <c r="AM360" i="60"/>
  <c r="E104" i="48"/>
  <c r="AG376" i="60"/>
  <c r="AM383" i="60"/>
  <c r="AM385" i="60"/>
  <c r="AM371" i="60"/>
  <c r="AG390" i="60"/>
  <c r="AM397" i="60"/>
  <c r="AM401" i="60"/>
  <c r="AM387" i="60"/>
  <c r="AM400" i="60"/>
  <c r="AM386" i="60"/>
  <c r="AM402" i="60"/>
  <c r="AM388" i="60"/>
  <c r="AM403" i="60"/>
  <c r="AM389" i="60"/>
  <c r="AM411" i="60"/>
  <c r="AM399" i="60"/>
  <c r="AG418" i="60"/>
  <c r="AG404" i="60"/>
  <c r="AM414" i="60"/>
  <c r="AM425" i="60"/>
  <c r="AM432" i="60"/>
  <c r="G3" i="65" l="1"/>
  <c r="F7" i="65"/>
  <c r="G104" i="48"/>
  <c r="AM348" i="60"/>
  <c r="AM362" i="60"/>
  <c r="AM376" i="60"/>
  <c r="AM390" i="60"/>
  <c r="AM418" i="60"/>
  <c r="AM404" i="60"/>
  <c r="G103" i="48" l="1"/>
  <c r="G101" i="48"/>
  <c r="G191" i="48" s="1"/>
  <c r="E103" i="48"/>
  <c r="E101" i="48"/>
  <c r="E191" i="48" s="1"/>
  <c r="D104" i="48"/>
  <c r="F104" i="48" l="1"/>
  <c r="F103" i="48"/>
  <c r="F101" i="48"/>
  <c r="F191" i="48" s="1"/>
  <c r="D101" i="48"/>
  <c r="D191" i="48" s="1"/>
  <c r="D103" i="48"/>
  <c r="D180" i="48" s="1"/>
  <c r="AG1004" i="27" l="1"/>
  <c r="AG1024" i="27"/>
  <c r="AN1024" i="27" s="1"/>
  <c r="AT1024" i="27" s="1"/>
  <c r="AG1065" i="27"/>
  <c r="AN1065" i="27" s="1"/>
  <c r="AT1065" i="27" s="1"/>
  <c r="AG991" i="27"/>
  <c r="AN991" i="27" s="1"/>
  <c r="AT991" i="27" s="1"/>
  <c r="AG1036" i="27"/>
  <c r="AN1036" i="27" s="1"/>
  <c r="AT1036" i="27" s="1"/>
  <c r="AG1074" i="27"/>
  <c r="AN1074" i="27" s="1"/>
  <c r="AT1074" i="27" s="1"/>
  <c r="AG1125" i="27"/>
  <c r="AN1125" i="27" s="1"/>
  <c r="AT1125" i="27" s="1"/>
  <c r="AG1107" i="27"/>
  <c r="AN1107" i="27" s="1"/>
  <c r="AT1107" i="27" s="1"/>
  <c r="AG1026" i="27"/>
  <c r="AG1067" i="27"/>
  <c r="AN1067" i="27" s="1"/>
  <c r="AT1067" i="27" s="1"/>
  <c r="AG1108" i="27"/>
  <c r="AN1108" i="27" s="1"/>
  <c r="AT1108" i="27" s="1"/>
  <c r="AG1149" i="27"/>
  <c r="AN1149" i="27" s="1"/>
  <c r="AT1149" i="27" s="1"/>
  <c r="AG948" i="27"/>
  <c r="AN948" i="27" s="1"/>
  <c r="AT948" i="27" s="1"/>
  <c r="AG1048" i="27"/>
  <c r="AN1048" i="27" s="1"/>
  <c r="AT1048" i="27" s="1"/>
  <c r="AG1088" i="27"/>
  <c r="AN1088" i="27" s="1"/>
  <c r="AT1088" i="27" s="1"/>
  <c r="AG1129" i="27"/>
  <c r="AN1129" i="27" s="1"/>
  <c r="AT1129" i="27" s="1"/>
  <c r="AG1132" i="27"/>
  <c r="AN1132" i="27" s="1"/>
  <c r="AT1132" i="27" s="1"/>
  <c r="AG919" i="27"/>
  <c r="AN919" i="27" s="1"/>
  <c r="AT919" i="27" s="1"/>
  <c r="AG1070" i="27"/>
  <c r="AN1070" i="27" s="1"/>
  <c r="AT1070" i="27" s="1"/>
  <c r="AG1101" i="27"/>
  <c r="AN1101" i="27" s="1"/>
  <c r="AT1101" i="27" s="1"/>
  <c r="AG995" i="27"/>
  <c r="AN995" i="27" s="1"/>
  <c r="AT995" i="27" s="1"/>
  <c r="AG1147" i="27"/>
  <c r="AN1147" i="27" s="1"/>
  <c r="AT1147" i="27" s="1"/>
  <c r="AG962" i="27"/>
  <c r="AN962" i="27" s="1"/>
  <c r="AT962" i="27" s="1"/>
  <c r="AG1145" i="27"/>
  <c r="AN1145" i="27" s="1"/>
  <c r="AT1145" i="27" s="1"/>
  <c r="AG944" i="27"/>
  <c r="AN944" i="27" s="1"/>
  <c r="AT944" i="27" s="1"/>
  <c r="AG994" i="27"/>
  <c r="AN994" i="27" s="1"/>
  <c r="AT994" i="27" s="1"/>
  <c r="AG1073" i="27"/>
  <c r="AN1073" i="27" s="1"/>
  <c r="AT1073" i="27" s="1"/>
  <c r="AG491" i="27"/>
  <c r="AN491" i="27" s="1"/>
  <c r="AT491" i="27" s="1"/>
  <c r="AG965" i="27"/>
  <c r="AN965" i="27" s="1"/>
  <c r="AT965" i="27" s="1"/>
  <c r="AG1046" i="27"/>
  <c r="AN1046" i="27" s="1"/>
  <c r="AT1046" i="27" s="1"/>
  <c r="AG1127" i="27"/>
  <c r="AN1127" i="27" s="1"/>
  <c r="AT1127" i="27" s="1"/>
  <c r="AG946" i="27"/>
  <c r="AN946" i="27" s="1"/>
  <c r="AT946" i="27" s="1"/>
  <c r="AG1078" i="27"/>
  <c r="AN1078" i="27" s="1"/>
  <c r="AT1078" i="27" s="1"/>
  <c r="AG1118" i="27"/>
  <c r="AN1118" i="27" s="1"/>
  <c r="AT1118" i="27" s="1"/>
  <c r="AG1131" i="27"/>
  <c r="AN1131" i="27" s="1"/>
  <c r="AT1131" i="27" s="1"/>
  <c r="AG489" i="27"/>
  <c r="AN489" i="27" s="1"/>
  <c r="AT489" i="27" s="1"/>
  <c r="AG1060" i="27"/>
  <c r="AG1141" i="27"/>
  <c r="AN1141" i="27" s="1"/>
  <c r="AT1141" i="27" s="1"/>
  <c r="AG1049" i="27"/>
  <c r="AN1049" i="27" s="1"/>
  <c r="AT1049" i="27" s="1"/>
  <c r="AG1089" i="27"/>
  <c r="AN1089" i="27" s="1"/>
  <c r="AT1089" i="27" s="1"/>
  <c r="AG1130" i="27"/>
  <c r="AN1130" i="27" s="1"/>
  <c r="AT1130" i="27" s="1"/>
  <c r="AG1152" i="27"/>
  <c r="AN1152" i="27" s="1"/>
  <c r="AT1152" i="27" s="1"/>
  <c r="AG1144" i="27"/>
  <c r="AN1144" i="27" s="1"/>
  <c r="AT1144" i="27" s="1"/>
  <c r="AG1023" i="27"/>
  <c r="AG1064" i="27"/>
  <c r="AN1064" i="27" s="1"/>
  <c r="AT1064" i="27" s="1"/>
  <c r="AG1077" i="27"/>
  <c r="AN1077" i="27" s="1"/>
  <c r="AT1077" i="27" s="1"/>
  <c r="AG1029" i="27"/>
  <c r="AN1029" i="27" s="1"/>
  <c r="AT1029" i="27" s="1"/>
  <c r="AG1045" i="27"/>
  <c r="AN1045" i="27" s="1"/>
  <c r="AT1045" i="27" s="1"/>
  <c r="AG1126" i="27"/>
  <c r="AN1126" i="27" s="1"/>
  <c r="AT1126" i="27" s="1"/>
  <c r="AG947" i="27"/>
  <c r="AN947" i="27" s="1"/>
  <c r="AT947" i="27" s="1"/>
  <c r="AG1050" i="27"/>
  <c r="AN1050" i="27" s="1"/>
  <c r="AT1050" i="27" s="1"/>
  <c r="AG1051" i="27"/>
  <c r="AN1051" i="27" s="1"/>
  <c r="AT1051" i="27" s="1"/>
  <c r="AG957" i="27"/>
  <c r="AN957" i="27" s="1"/>
  <c r="AT957" i="27" s="1"/>
  <c r="AG1047" i="27"/>
  <c r="AN1047" i="27" s="1"/>
  <c r="AT1047" i="27" s="1"/>
  <c r="AG1087" i="27"/>
  <c r="AN1087" i="27" s="1"/>
  <c r="AT1087" i="27" s="1"/>
  <c r="AG1128" i="27"/>
  <c r="AN1128" i="27" s="1"/>
  <c r="AT1128" i="27" s="1"/>
  <c r="AG1075" i="27"/>
  <c r="AG1028" i="27"/>
  <c r="AN1028" i="27" s="1"/>
  <c r="AT1028" i="27" s="1"/>
  <c r="AG1068" i="27"/>
  <c r="AN1068" i="27" s="1"/>
  <c r="AT1068" i="27" s="1"/>
  <c r="AG1109" i="27"/>
  <c r="AN1109" i="27" s="1"/>
  <c r="AT1109" i="27" s="1"/>
  <c r="AG1150" i="27"/>
  <c r="AN1150" i="27" s="1"/>
  <c r="AT1150" i="27" s="1"/>
  <c r="AG1053" i="27"/>
  <c r="AN1053" i="27" s="1"/>
  <c r="AT1053" i="27" s="1"/>
  <c r="AG1142" i="27"/>
  <c r="AN1142" i="27" s="1"/>
  <c r="AT1142" i="27" s="1"/>
  <c r="AG1027" i="27"/>
  <c r="AN1027" i="27" s="1"/>
  <c r="AT1027" i="27" s="1"/>
  <c r="AG1201" i="27"/>
  <c r="AN1201" i="27" s="1"/>
  <c r="AT1201" i="27" s="1"/>
  <c r="AG1022" i="27"/>
  <c r="AN1022" i="27" s="1"/>
  <c r="AT1022" i="27" s="1"/>
  <c r="AG1071" i="27"/>
  <c r="AN1071" i="27" s="1"/>
  <c r="AT1071" i="27" s="1"/>
  <c r="AG1076" i="27"/>
  <c r="AN1076" i="27" s="1"/>
  <c r="AT1076" i="27" s="1"/>
  <c r="AG943" i="27"/>
  <c r="AN943" i="27" s="1"/>
  <c r="AT943" i="27" s="1"/>
  <c r="AG993" i="27"/>
  <c r="AN993" i="27" s="1"/>
  <c r="AT993" i="27" s="1"/>
  <c r="AG1072" i="27"/>
  <c r="AN1072" i="27" s="1"/>
  <c r="AT1072" i="27" s="1"/>
  <c r="AG964" i="27"/>
  <c r="AN964" i="27" s="1"/>
  <c r="AG945" i="27"/>
  <c r="AN945" i="27" s="1"/>
  <c r="AT945" i="27" s="1"/>
  <c r="AG1025" i="27"/>
  <c r="AN1025" i="27" s="1"/>
  <c r="AT1025" i="27" s="1"/>
  <c r="AG1066" i="27"/>
  <c r="AN1066" i="27" s="1"/>
  <c r="AT1066" i="27" s="1"/>
  <c r="AG1148" i="27"/>
  <c r="AN1148" i="27" s="1"/>
  <c r="AT1148" i="27" s="1"/>
  <c r="AG1133" i="27"/>
  <c r="AN1133" i="27" s="1"/>
  <c r="AT1133" i="27" s="1"/>
  <c r="AG1140" i="27"/>
  <c r="AN1140" i="27" s="1"/>
  <c r="AT1140" i="27" s="1"/>
  <c r="AG1052" i="27"/>
  <c r="AG1143" i="27"/>
  <c r="AN1143" i="27" s="1"/>
  <c r="AT1143" i="27" s="1"/>
  <c r="AG950" i="27"/>
  <c r="AN950" i="27" s="1"/>
  <c r="AT950" i="27" s="1"/>
  <c r="AG990" i="27"/>
  <c r="AN990" i="27" s="1"/>
  <c r="AT990" i="27" s="1"/>
  <c r="AG1030" i="27"/>
  <c r="AG1069" i="27"/>
  <c r="AN1069" i="27" s="1"/>
  <c r="AT1069" i="27" s="1"/>
  <c r="AG1151" i="27"/>
  <c r="AN1151" i="27" s="1"/>
  <c r="AT1151" i="27" s="1"/>
  <c r="AG636" i="27"/>
  <c r="AN636" i="27" s="1"/>
  <c r="AT636" i="27" s="1"/>
  <c r="AG949" i="27"/>
  <c r="AN949" i="27" s="1"/>
  <c r="AT949" i="27" s="1"/>
  <c r="AG992" i="27"/>
  <c r="AN992" i="27" s="1"/>
  <c r="AT992" i="27" s="1"/>
  <c r="AG1110" i="27"/>
  <c r="AN1110" i="27" s="1"/>
  <c r="AT1110" i="27" s="1"/>
  <c r="AT964" i="27" l="1"/>
  <c r="E1059" i="61"/>
  <c r="E1265" i="61"/>
  <c r="E1020" i="61"/>
  <c r="E1060" i="61"/>
  <c r="E1117" i="61"/>
  <c r="E1039" i="61"/>
  <c r="E940" i="61"/>
  <c r="E1044" i="61"/>
  <c r="E1041" i="61"/>
  <c r="E1040" i="61"/>
  <c r="E1118" i="61"/>
  <c r="E1042" i="61"/>
  <c r="E939" i="61"/>
  <c r="AN1004" i="27"/>
  <c r="AN1023" i="27"/>
  <c r="AT1023" i="27" s="1"/>
  <c r="AN1026" i="27"/>
  <c r="AT1026" i="27" s="1"/>
  <c r="AN1030" i="27"/>
  <c r="AT1030" i="27" s="1"/>
  <c r="AN1075" i="27"/>
  <c r="AT1075" i="27" s="1"/>
  <c r="AN1060" i="27"/>
  <c r="AT1060" i="27" s="1"/>
  <c r="AN1052" i="27"/>
  <c r="AT1052" i="27" s="1"/>
  <c r="AG1146" i="27"/>
  <c r="AN1146" i="27" s="1"/>
  <c r="AT1146" i="27" s="1"/>
  <c r="AG942" i="27"/>
  <c r="AG966" i="27"/>
  <c r="AN966" i="27" s="1"/>
  <c r="AT966" i="27" s="1"/>
  <c r="AG1081" i="27"/>
  <c r="AN1081" i="27" s="1"/>
  <c r="AT1081" i="27" s="1"/>
  <c r="AG1090" i="27"/>
  <c r="AN1090" i="27" s="1"/>
  <c r="AT1090" i="27" s="1"/>
  <c r="E1067" i="61" l="1"/>
  <c r="E1021" i="61"/>
  <c r="E1043" i="61"/>
  <c r="E941" i="61"/>
  <c r="AT1004" i="27"/>
  <c r="R330" i="60"/>
  <c r="R316" i="60"/>
  <c r="AN942" i="27"/>
  <c r="AT942" i="27" s="1"/>
  <c r="R331" i="60" l="1"/>
  <c r="R317" i="60"/>
  <c r="R332" i="60"/>
  <c r="R318" i="60"/>
  <c r="R333" i="60" l="1"/>
  <c r="R319" i="60"/>
  <c r="R315" i="60"/>
  <c r="Z1292" i="27"/>
  <c r="R341" i="60" l="1"/>
  <c r="R329" i="60"/>
  <c r="R334" i="60" l="1"/>
  <c r="R320" i="60"/>
  <c r="AG460" i="27" l="1"/>
  <c r="AN460" i="27" s="1"/>
  <c r="AT460" i="27" s="1"/>
  <c r="AG445" i="27"/>
  <c r="AN445" i="27" s="1"/>
  <c r="AT445" i="27" s="1"/>
  <c r="AG646" i="27"/>
  <c r="AN646" i="27" s="1"/>
  <c r="AT646" i="27" s="1"/>
  <c r="AG1187" i="27"/>
  <c r="AN1187" i="27" s="1"/>
  <c r="AT1187" i="27" s="1"/>
  <c r="AG981" i="27"/>
  <c r="AN981" i="27" s="1"/>
  <c r="AT981" i="27" s="1"/>
  <c r="AG697" i="27"/>
  <c r="AG310" i="27"/>
  <c r="AN310" i="27" s="1"/>
  <c r="AT310" i="27" s="1"/>
  <c r="AG564" i="27"/>
  <c r="AG845" i="27"/>
  <c r="AN845" i="27" s="1"/>
  <c r="AT845" i="27" s="1"/>
  <c r="AG922" i="27"/>
  <c r="AN922" i="27" s="1"/>
  <c r="AT922" i="27" s="1"/>
  <c r="AG315" i="27"/>
  <c r="AN315" i="27" s="1"/>
  <c r="AT315" i="27" s="1"/>
  <c r="AG599" i="27"/>
  <c r="AN599" i="27" s="1"/>
  <c r="AT599" i="27" s="1"/>
  <c r="AG820" i="27"/>
  <c r="AN820" i="27" s="1"/>
  <c r="AT820" i="27" s="1"/>
  <c r="AG974" i="27"/>
  <c r="AN974" i="27" s="1"/>
  <c r="AT974" i="27" s="1"/>
  <c r="AG679" i="27"/>
  <c r="AN679" i="27" s="1"/>
  <c r="AT679" i="27" s="1"/>
  <c r="AG823" i="27"/>
  <c r="AN823" i="27" s="1"/>
  <c r="AT823" i="27" s="1"/>
  <c r="AG877" i="27"/>
  <c r="AN877" i="27" s="1"/>
  <c r="AT877" i="27" s="1"/>
  <c r="AG658" i="27"/>
  <c r="AN658" i="27" s="1"/>
  <c r="AG343" i="27"/>
  <c r="AN343" i="27" s="1"/>
  <c r="AT343" i="27" s="1"/>
  <c r="AG342" i="27"/>
  <c r="AN342" i="27" s="1"/>
  <c r="AT342" i="27" s="1"/>
  <c r="AG587" i="27"/>
  <c r="AN587" i="27" s="1"/>
  <c r="AT587" i="27" s="1"/>
  <c r="AG573" i="27"/>
  <c r="AG1223" i="27"/>
  <c r="AN1223" i="27" s="1"/>
  <c r="AT1223" i="27" s="1"/>
  <c r="AG474" i="27"/>
  <c r="AN474" i="27" s="1"/>
  <c r="AT474" i="27" s="1"/>
  <c r="AG492" i="27"/>
  <c r="AN492" i="27" s="1"/>
  <c r="AT492" i="27" s="1"/>
  <c r="AG422" i="27"/>
  <c r="AN422" i="27" s="1"/>
  <c r="AT422" i="27" s="1"/>
  <c r="AG340" i="27"/>
  <c r="AN340" i="27" s="1"/>
  <c r="AT340" i="27" s="1"/>
  <c r="AG625" i="27"/>
  <c r="AN625" i="27" s="1"/>
  <c r="AT625" i="27" s="1"/>
  <c r="AG584" i="27"/>
  <c r="AG722" i="27"/>
  <c r="AN722" i="27" s="1"/>
  <c r="AT722" i="27" s="1"/>
  <c r="AG654" i="27"/>
  <c r="AG327" i="27"/>
  <c r="AN327" i="27" s="1"/>
  <c r="AT327" i="27" s="1"/>
  <c r="AG652" i="27"/>
  <c r="AN652" i="27" s="1"/>
  <c r="AT652" i="27" s="1"/>
  <c r="AG649" i="27"/>
  <c r="AN649" i="27" s="1"/>
  <c r="AT649" i="27" s="1"/>
  <c r="AG870" i="27"/>
  <c r="AN870" i="27" s="1"/>
  <c r="AT870" i="27" s="1"/>
  <c r="AG1184" i="27"/>
  <c r="AN1184" i="27" s="1"/>
  <c r="AT1184" i="27" s="1"/>
  <c r="AG1212" i="27"/>
  <c r="AN1212" i="27" s="1"/>
  <c r="AT1212" i="27" s="1"/>
  <c r="AG1231" i="27"/>
  <c r="AN1231" i="27" s="1"/>
  <c r="AT1231" i="27" s="1"/>
  <c r="AG1020" i="27"/>
  <c r="AN1020" i="27" s="1"/>
  <c r="AT1020" i="27" s="1"/>
  <c r="AG510" i="27"/>
  <c r="AN510" i="27" s="1"/>
  <c r="AT510" i="27" s="1"/>
  <c r="AG793" i="27"/>
  <c r="AN793" i="27" s="1"/>
  <c r="AT793" i="27" s="1"/>
  <c r="AG435" i="27"/>
  <c r="AN435" i="27" s="1"/>
  <c r="AT435" i="27" s="1"/>
  <c r="AG650" i="27"/>
  <c r="AN650" i="27" s="1"/>
  <c r="AT650" i="27" s="1"/>
  <c r="AG768" i="27"/>
  <c r="AN768" i="27" s="1"/>
  <c r="AG321" i="27"/>
  <c r="AN321" i="27" s="1"/>
  <c r="AT321" i="27" s="1"/>
  <c r="AG797" i="27"/>
  <c r="AN797" i="27" s="1"/>
  <c r="AT797" i="27" s="1"/>
  <c r="AG597" i="27"/>
  <c r="AN597" i="27" s="1"/>
  <c r="AT597" i="27" s="1"/>
  <c r="AG1193" i="27"/>
  <c r="AN1193" i="27" s="1"/>
  <c r="AT1193" i="27" s="1"/>
  <c r="AG1177" i="27"/>
  <c r="AN1177" i="27" s="1"/>
  <c r="AT1177" i="27" s="1"/>
  <c r="AG934" i="27"/>
  <c r="AN934" i="27" s="1"/>
  <c r="AT934" i="27" s="1"/>
  <c r="AG388" i="27"/>
  <c r="AN388" i="27" s="1"/>
  <c r="AT388" i="27" s="1"/>
  <c r="AG761" i="27"/>
  <c r="AN761" i="27" s="1"/>
  <c r="AT761" i="27" s="1"/>
  <c r="AG278" i="27"/>
  <c r="AN278" i="27" s="1"/>
  <c r="AT278" i="27" s="1"/>
  <c r="AG712" i="27"/>
  <c r="AN712" i="27" s="1"/>
  <c r="AT712" i="27" s="1"/>
  <c r="AG723" i="27"/>
  <c r="AN723" i="27" s="1"/>
  <c r="AT723" i="27" s="1"/>
  <c r="AG286" i="27"/>
  <c r="AN286" i="27" s="1"/>
  <c r="AT286" i="27" s="1"/>
  <c r="AG478" i="27"/>
  <c r="AN478" i="27" s="1"/>
  <c r="AT478" i="27" s="1"/>
  <c r="AG1000" i="27"/>
  <c r="AN1000" i="27" s="1"/>
  <c r="AT1000" i="27" s="1"/>
  <c r="AG952" i="27"/>
  <c r="AN952" i="27" s="1"/>
  <c r="AT952" i="27" s="1"/>
  <c r="AG1086" i="27"/>
  <c r="AN1086" i="27" s="1"/>
  <c r="AT1086" i="27" s="1"/>
  <c r="AG403" i="27"/>
  <c r="AN403" i="27" s="1"/>
  <c r="AT403" i="27" s="1"/>
  <c r="AG453" i="27"/>
  <c r="AN453" i="27" s="1"/>
  <c r="AT453" i="27" s="1"/>
  <c r="AG586" i="27"/>
  <c r="AN586" i="27" s="1"/>
  <c r="AT586" i="27" s="1"/>
  <c r="AG812" i="27"/>
  <c r="AN812" i="27" s="1"/>
  <c r="AG329" i="27"/>
  <c r="AN329" i="27" s="1"/>
  <c r="AT329" i="27" s="1"/>
  <c r="AG798" i="27"/>
  <c r="AN798" i="27" s="1"/>
  <c r="AT798" i="27" s="1"/>
  <c r="AG754" i="27"/>
  <c r="AN754" i="27" s="1"/>
  <c r="AT754" i="27" s="1"/>
  <c r="AG675" i="27"/>
  <c r="AN675" i="27" s="1"/>
  <c r="AT675" i="27" s="1"/>
  <c r="AG302" i="27"/>
  <c r="AN302" i="27" s="1"/>
  <c r="AT302" i="27" s="1"/>
  <c r="AG1167" i="27"/>
  <c r="AN1167" i="27" s="1"/>
  <c r="AT1167" i="27" s="1"/>
  <c r="AG1252" i="27"/>
  <c r="AN1252" i="27" s="1"/>
  <c r="AT1252" i="27" s="1"/>
  <c r="AG1235" i="27"/>
  <c r="AN1235" i="27" s="1"/>
  <c r="AT1235" i="27" s="1"/>
  <c r="AG1100" i="27"/>
  <c r="AN1100" i="27" s="1"/>
  <c r="AT1100" i="27" s="1"/>
  <c r="AG1003" i="27"/>
  <c r="AN1003" i="27" s="1"/>
  <c r="AT1003" i="27" s="1"/>
  <c r="AG659" i="27"/>
  <c r="AG376" i="27"/>
  <c r="AN376" i="27" s="1"/>
  <c r="AT376" i="27" s="1"/>
  <c r="AG600" i="27"/>
  <c r="AN600" i="27" s="1"/>
  <c r="AT600" i="27" s="1"/>
  <c r="AG905" i="27"/>
  <c r="AN905" i="27" s="1"/>
  <c r="AT905" i="27" s="1"/>
  <c r="AG958" i="27"/>
  <c r="AN958" i="27" s="1"/>
  <c r="AT958" i="27" s="1"/>
  <c r="AG423" i="27"/>
  <c r="AN423" i="27" s="1"/>
  <c r="AT423" i="27" s="1"/>
  <c r="AG1039" i="27"/>
  <c r="AG383" i="27"/>
  <c r="AN383" i="27" s="1"/>
  <c r="AT383" i="27" s="1"/>
  <c r="AG834" i="27"/>
  <c r="AN834" i="27" s="1"/>
  <c r="AT834" i="27" s="1"/>
  <c r="AG353" i="27"/>
  <c r="AN353" i="27" s="1"/>
  <c r="AT353" i="27" s="1"/>
  <c r="AG747" i="27"/>
  <c r="AG1198" i="27"/>
  <c r="AN1198" i="27" s="1"/>
  <c r="AT1198" i="27" s="1"/>
  <c r="AG1033" i="27"/>
  <c r="AN1033" i="27" s="1"/>
  <c r="AT1033" i="27" s="1"/>
  <c r="AG851" i="27"/>
  <c r="AN851" i="27" s="1"/>
  <c r="AT851" i="27" s="1"/>
  <c r="AG1156" i="27"/>
  <c r="AN1156" i="27" s="1"/>
  <c r="AT1156" i="27" s="1"/>
  <c r="AG1002" i="27"/>
  <c r="AG395" i="27"/>
  <c r="AN395" i="27" s="1"/>
  <c r="AT395" i="27" s="1"/>
  <c r="AG577" i="27"/>
  <c r="AN577" i="27" s="1"/>
  <c r="AT577" i="27" s="1"/>
  <c r="AG446" i="27"/>
  <c r="AN446" i="27" s="1"/>
  <c r="AT446" i="27" s="1"/>
  <c r="AG837" i="27"/>
  <c r="AN837" i="27" s="1"/>
  <c r="AT837" i="27" s="1"/>
  <c r="AG617" i="27"/>
  <c r="AN617" i="27" s="1"/>
  <c r="AT617" i="27" s="1"/>
  <c r="AG536" i="27"/>
  <c r="AN536" i="27" s="1"/>
  <c r="AT536" i="27" s="1"/>
  <c r="AG333" i="27"/>
  <c r="AN333" i="27" s="1"/>
  <c r="AT333" i="27" s="1"/>
  <c r="AG745" i="27"/>
  <c r="AN745" i="27" s="1"/>
  <c r="AG684" i="27"/>
  <c r="AG568" i="27"/>
  <c r="AN568" i="27" s="1"/>
  <c r="AT568" i="27" s="1"/>
  <c r="AG438" i="27"/>
  <c r="AN438" i="27" s="1"/>
  <c r="AT438" i="27" s="1"/>
  <c r="AG743" i="27"/>
  <c r="AN743" i="27" s="1"/>
  <c r="AG385" i="27"/>
  <c r="AN385" i="27" s="1"/>
  <c r="AT385" i="27" s="1"/>
  <c r="AG756" i="27"/>
  <c r="AN756" i="27" s="1"/>
  <c r="AT756" i="27" s="1"/>
  <c r="AG578" i="27"/>
  <c r="AN578" i="27" s="1"/>
  <c r="AT578" i="27" s="1"/>
  <c r="AG902" i="27"/>
  <c r="AN902" i="27" s="1"/>
  <c r="AT902" i="27" s="1"/>
  <c r="AG497" i="27"/>
  <c r="AN497" i="27" s="1"/>
  <c r="AT497" i="27" s="1"/>
  <c r="AG850" i="27"/>
  <c r="AN850" i="27" s="1"/>
  <c r="AG906" i="27"/>
  <c r="AG728" i="27"/>
  <c r="AN728" i="27" s="1"/>
  <c r="AT728" i="27" s="1"/>
  <c r="AG250" i="27"/>
  <c r="AN250" i="27" s="1"/>
  <c r="AT250" i="27" s="1"/>
  <c r="AG1197" i="27"/>
  <c r="AN1197" i="27" s="1"/>
  <c r="AT1197" i="27" s="1"/>
  <c r="AG1253" i="27"/>
  <c r="AN1253" i="27" s="1"/>
  <c r="AT1253" i="27" s="1"/>
  <c r="AG516" i="27"/>
  <c r="AN516" i="27" s="1"/>
  <c r="AT516" i="27" s="1"/>
  <c r="AG1035" i="27"/>
  <c r="AN1035" i="27" s="1"/>
  <c r="AT1035" i="27" s="1"/>
  <c r="AG374" i="27"/>
  <c r="AN374" i="27" s="1"/>
  <c r="AT374" i="27" s="1"/>
  <c r="AG635" i="27"/>
  <c r="AN635" i="27" s="1"/>
  <c r="AT635" i="27" s="1"/>
  <c r="AG294" i="27"/>
  <c r="AN294" i="27" s="1"/>
  <c r="AT294" i="27" s="1"/>
  <c r="AG279" i="27"/>
  <c r="AN279" i="27" s="1"/>
  <c r="AT279" i="27" s="1"/>
  <c r="AG859" i="27"/>
  <c r="AN859" i="27" s="1"/>
  <c r="AG335" i="27"/>
  <c r="AN335" i="27" s="1"/>
  <c r="AT335" i="27" s="1"/>
  <c r="AG336" i="27"/>
  <c r="AN336" i="27" s="1"/>
  <c r="AT336" i="27" s="1"/>
  <c r="AG241" i="27"/>
  <c r="AG1211" i="27"/>
  <c r="AN1211" i="27" s="1"/>
  <c r="AT1211" i="27" s="1"/>
  <c r="AG1164" i="27"/>
  <c r="AN1164" i="27" s="1"/>
  <c r="AT1164" i="27" s="1"/>
  <c r="AG391" i="27"/>
  <c r="AN391" i="27" s="1"/>
  <c r="AT391" i="27" s="1"/>
  <c r="AG530" i="27"/>
  <c r="AG1120" i="27"/>
  <c r="AN1120" i="27" s="1"/>
  <c r="AT1120" i="27" s="1"/>
  <c r="AG496" i="27"/>
  <c r="AN496" i="27" s="1"/>
  <c r="AT496" i="27" s="1"/>
  <c r="AG567" i="27"/>
  <c r="AN567" i="27" s="1"/>
  <c r="AT567" i="27" s="1"/>
  <c r="AG410" i="27"/>
  <c r="AN410" i="27" s="1"/>
  <c r="AT410" i="27" s="1"/>
  <c r="AG583" i="27"/>
  <c r="AN583" i="27" s="1"/>
  <c r="AT583" i="27" s="1"/>
  <c r="AG777" i="27"/>
  <c r="AN777" i="27" s="1"/>
  <c r="AT777" i="27" s="1"/>
  <c r="AG833" i="27"/>
  <c r="AN833" i="27" s="1"/>
  <c r="AG341" i="27"/>
  <c r="AN341" i="27" s="1"/>
  <c r="AT341" i="27" s="1"/>
  <c r="AG764" i="27"/>
  <c r="AN764" i="27" s="1"/>
  <c r="AG574" i="27"/>
  <c r="AN574" i="27" s="1"/>
  <c r="AT574" i="27" s="1"/>
  <c r="AG1205" i="27"/>
  <c r="AN1205" i="27" s="1"/>
  <c r="AT1205" i="27" s="1"/>
  <c r="AG1176" i="27"/>
  <c r="AN1176" i="27" s="1"/>
  <c r="AT1176" i="27" s="1"/>
  <c r="AG465" i="27"/>
  <c r="AN465" i="27" s="1"/>
  <c r="AT465" i="27" s="1"/>
  <c r="AG521" i="27"/>
  <c r="AN521" i="27" s="1"/>
  <c r="AT521" i="27" s="1"/>
  <c r="AG828" i="27"/>
  <c r="AN828" i="27" s="1"/>
  <c r="AT828" i="27" s="1"/>
  <c r="AG1085" i="27"/>
  <c r="AN1085" i="27" s="1"/>
  <c r="AT1085" i="27" s="1"/>
  <c r="AG780" i="27"/>
  <c r="AN780" i="27" s="1"/>
  <c r="AT780" i="27" s="1"/>
  <c r="AG439" i="27"/>
  <c r="AN439" i="27" s="1"/>
  <c r="AT439" i="27" s="1"/>
  <c r="AG417" i="27"/>
  <c r="AN417" i="27" s="1"/>
  <c r="AT417" i="27" s="1"/>
  <c r="AG633" i="27"/>
  <c r="AN633" i="27" s="1"/>
  <c r="AT633" i="27" s="1"/>
  <c r="AG721" i="27"/>
  <c r="AN721" i="27" s="1"/>
  <c r="AT721" i="27" s="1"/>
  <c r="AG936" i="27"/>
  <c r="AG629" i="27"/>
  <c r="AN629" i="27" s="1"/>
  <c r="AT629" i="27" s="1"/>
  <c r="AG441" i="27"/>
  <c r="AN441" i="27" s="1"/>
  <c r="AT441" i="27" s="1"/>
  <c r="AG630" i="27"/>
  <c r="AN630" i="27" s="1"/>
  <c r="AT630" i="27" s="1"/>
  <c r="AG610" i="27"/>
  <c r="AN610" i="27" s="1"/>
  <c r="AT610" i="27" s="1"/>
  <c r="AG841" i="27"/>
  <c r="AN841" i="27" s="1"/>
  <c r="AG1179" i="27"/>
  <c r="AN1179" i="27" s="1"/>
  <c r="AT1179" i="27" s="1"/>
  <c r="AG1160" i="27"/>
  <c r="AN1160" i="27" s="1"/>
  <c r="AT1160" i="27" s="1"/>
  <c r="AG485" i="27"/>
  <c r="AN485" i="27" s="1"/>
  <c r="AT485" i="27" s="1"/>
  <c r="AG523" i="27"/>
  <c r="AN523" i="27" s="1"/>
  <c r="AT523" i="27" s="1"/>
  <c r="AG1008" i="27"/>
  <c r="AN1008" i="27" s="1"/>
  <c r="AT1008" i="27" s="1"/>
  <c r="AG643" i="27"/>
  <c r="AN643" i="27" s="1"/>
  <c r="AG1031" i="27"/>
  <c r="AG552" i="27"/>
  <c r="AN552" i="27" s="1"/>
  <c r="AT552" i="27" s="1"/>
  <c r="AG413" i="27"/>
  <c r="AN413" i="27" s="1"/>
  <c r="AT413" i="27" s="1"/>
  <c r="AG457" i="27"/>
  <c r="AN457" i="27" s="1"/>
  <c r="AT457" i="27" s="1"/>
  <c r="AG767" i="27"/>
  <c r="AN767" i="27" s="1"/>
  <c r="AT767" i="27" s="1"/>
  <c r="AG873" i="27"/>
  <c r="AN873" i="27" s="1"/>
  <c r="AT873" i="27" s="1"/>
  <c r="AG373" i="27"/>
  <c r="AN373" i="27" s="1"/>
  <c r="AT373" i="27" s="1"/>
  <c r="AG1042" i="27"/>
  <c r="AN1042" i="27" s="1"/>
  <c r="AT1042" i="27" s="1"/>
  <c r="AG930" i="27"/>
  <c r="AN930" i="27" s="1"/>
  <c r="AT930" i="27" s="1"/>
  <c r="AG555" i="27"/>
  <c r="AG419" i="27"/>
  <c r="AN419" i="27" s="1"/>
  <c r="AT419" i="27" s="1"/>
  <c r="AG389" i="27"/>
  <c r="AN389" i="27" s="1"/>
  <c r="AG839" i="27"/>
  <c r="AN839" i="27" s="1"/>
  <c r="AG719" i="27"/>
  <c r="AN719" i="27" s="1"/>
  <c r="AT719" i="27" s="1"/>
  <c r="AG572" i="27"/>
  <c r="AN572" i="27" s="1"/>
  <c r="AT572" i="27" s="1"/>
  <c r="AG799" i="27"/>
  <c r="AN799" i="27" s="1"/>
  <c r="AT799" i="27" s="1"/>
  <c r="AG916" i="27"/>
  <c r="AG772" i="27"/>
  <c r="AN772" i="27" s="1"/>
  <c r="AG449" i="27"/>
  <c r="AN449" i="27" s="1"/>
  <c r="AT449" i="27" s="1"/>
  <c r="AG390" i="27"/>
  <c r="AN390" i="27" s="1"/>
  <c r="AT390" i="27" s="1"/>
  <c r="AG540" i="27"/>
  <c r="AN540" i="27" s="1"/>
  <c r="AT540" i="27" s="1"/>
  <c r="AG1043" i="27"/>
  <c r="AG562" i="27"/>
  <c r="AN562" i="27" s="1"/>
  <c r="AT562" i="27" s="1"/>
  <c r="AG411" i="27"/>
  <c r="AN411" i="27" s="1"/>
  <c r="AT411" i="27" s="1"/>
  <c r="AG909" i="27"/>
  <c r="AN909" i="27" s="1"/>
  <c r="AT909" i="27" s="1"/>
  <c r="AG671" i="27"/>
  <c r="AN671" i="27" s="1"/>
  <c r="AT671" i="27" s="1"/>
  <c r="AG316" i="27"/>
  <c r="AN316" i="27" s="1"/>
  <c r="AT316" i="27" s="1"/>
  <c r="AG910" i="27"/>
  <c r="AN910" i="27" s="1"/>
  <c r="AT910" i="27" s="1"/>
  <c r="AG651" i="27"/>
  <c r="AN651" i="27" s="1"/>
  <c r="AT651" i="27" s="1"/>
  <c r="AG794" i="27"/>
  <c r="AN794" i="27" s="1"/>
  <c r="AG320" i="27"/>
  <c r="AN320" i="27" s="1"/>
  <c r="AT320" i="27" s="1"/>
  <c r="AG912" i="27"/>
  <c r="AN912" i="27" s="1"/>
  <c r="AT912" i="27" s="1"/>
  <c r="AG653" i="27"/>
  <c r="AN653" i="27" s="1"/>
  <c r="AT653" i="27" s="1"/>
  <c r="AG1204" i="27"/>
  <c r="AN1204" i="27" s="1"/>
  <c r="AT1204" i="27" s="1"/>
  <c r="AG399" i="27"/>
  <c r="AN399" i="27" s="1"/>
  <c r="AT399" i="27" s="1"/>
  <c r="AG589" i="27"/>
  <c r="AN589" i="27" s="1"/>
  <c r="AT589" i="27" s="1"/>
  <c r="AG648" i="27"/>
  <c r="AN648" i="27" s="1"/>
  <c r="AT648" i="27" s="1"/>
  <c r="AG699" i="27"/>
  <c r="AN699" i="27" s="1"/>
  <c r="AT699" i="27" s="1"/>
  <c r="AG789" i="27"/>
  <c r="AN789" i="27" s="1"/>
  <c r="AT789" i="27" s="1"/>
  <c r="AG735" i="27"/>
  <c r="AN735" i="27" s="1"/>
  <c r="AT735" i="27" s="1"/>
  <c r="AG421" i="27"/>
  <c r="AN421" i="27" s="1"/>
  <c r="AT421" i="27" s="1"/>
  <c r="AG470" i="27"/>
  <c r="AN470" i="27" s="1"/>
  <c r="AT470" i="27" s="1"/>
  <c r="AG687" i="27"/>
  <c r="AN687" i="27" s="1"/>
  <c r="AT687" i="27" s="1"/>
  <c r="AG963" i="27"/>
  <c r="AN963" i="27" s="1"/>
  <c r="AT963" i="27" s="1"/>
  <c r="AG903" i="27"/>
  <c r="AN903" i="27" s="1"/>
  <c r="AT903" i="27" s="1"/>
  <c r="AG717" i="27"/>
  <c r="AN717" i="27" s="1"/>
  <c r="AT717" i="27" s="1"/>
  <c r="AG1063" i="27"/>
  <c r="AN1063" i="27" s="1"/>
  <c r="AT1063" i="27" s="1"/>
  <c r="AG622" i="27"/>
  <c r="AN622" i="27" s="1"/>
  <c r="AT622" i="27" s="1"/>
  <c r="AG987" i="27"/>
  <c r="AN987" i="27" s="1"/>
  <c r="AT987" i="27" s="1"/>
  <c r="AG868" i="27"/>
  <c r="AN868" i="27" s="1"/>
  <c r="AT868" i="27" s="1"/>
  <c r="AG896" i="27"/>
  <c r="AN896" i="27" s="1"/>
  <c r="AT896" i="27" s="1"/>
  <c r="AG508" i="27"/>
  <c r="AN508" i="27" s="1"/>
  <c r="AT508" i="27" s="1"/>
  <c r="AG955" i="27"/>
  <c r="AN955" i="27" s="1"/>
  <c r="AT955" i="27" s="1"/>
  <c r="AG1137" i="27"/>
  <c r="AN1137" i="27" s="1"/>
  <c r="AT1137" i="27" s="1"/>
  <c r="AG352" i="27"/>
  <c r="AN352" i="27" s="1"/>
  <c r="AT352" i="27" s="1"/>
  <c r="AG660" i="27"/>
  <c r="AN660" i="27" s="1"/>
  <c r="AG1191" i="27"/>
  <c r="AN1191" i="27" s="1"/>
  <c r="AT1191" i="27" s="1"/>
  <c r="AG1093" i="27"/>
  <c r="AN1093" i="27" s="1"/>
  <c r="AT1093" i="27" s="1"/>
  <c r="AG1242" i="27"/>
  <c r="AN1242" i="27" s="1"/>
  <c r="AT1242" i="27" s="1"/>
  <c r="AG1210" i="27"/>
  <c r="AN1210" i="27" s="1"/>
  <c r="AT1210" i="27" s="1"/>
  <c r="AG477" i="27"/>
  <c r="AN477" i="27" s="1"/>
  <c r="AT477" i="27" s="1"/>
  <c r="AG1114" i="27"/>
  <c r="AN1114" i="27" s="1"/>
  <c r="AT1114" i="27" s="1"/>
  <c r="AG956" i="27"/>
  <c r="AN956" i="27" s="1"/>
  <c r="AT956" i="27" s="1"/>
  <c r="AG560" i="27"/>
  <c r="AN560" i="27" s="1"/>
  <c r="AT560" i="27" s="1"/>
  <c r="AG461" i="27"/>
  <c r="AN461" i="27" s="1"/>
  <c r="AT461" i="27" s="1"/>
  <c r="AG331" i="27"/>
  <c r="AN331" i="27" s="1"/>
  <c r="AT331" i="27" s="1"/>
  <c r="AG879" i="27"/>
  <c r="AN879" i="27" s="1"/>
  <c r="AG752" i="27"/>
  <c r="AN752" i="27" s="1"/>
  <c r="AT752" i="27" s="1"/>
  <c r="AG683" i="27"/>
  <c r="AN683" i="27" s="1"/>
  <c r="AT683" i="27" s="1"/>
  <c r="AG328" i="27"/>
  <c r="AN328" i="27" s="1"/>
  <c r="AT328" i="27" s="1"/>
  <c r="AG306" i="27"/>
  <c r="AN306" i="27" s="1"/>
  <c r="AT306" i="27" s="1"/>
  <c r="AG750" i="27"/>
  <c r="AN750" i="27" s="1"/>
  <c r="AT750" i="27" s="1"/>
  <c r="AG337" i="27"/>
  <c r="AN337" i="27" s="1"/>
  <c r="AT337" i="27" s="1"/>
  <c r="AG1196" i="27"/>
  <c r="AN1196" i="27" s="1"/>
  <c r="AT1196" i="27" s="1"/>
  <c r="AG488" i="27"/>
  <c r="AN488" i="27" s="1"/>
  <c r="AT488" i="27" s="1"/>
  <c r="AG548" i="27"/>
  <c r="AN548" i="27" s="1"/>
  <c r="AT548" i="27" s="1"/>
  <c r="AG561" i="27"/>
  <c r="AN561" i="27" s="1"/>
  <c r="AT561" i="27" s="1"/>
  <c r="AG284" i="27"/>
  <c r="AN284" i="27" s="1"/>
  <c r="AT284" i="27" s="1"/>
  <c r="AG430" i="27"/>
  <c r="AN430" i="27" s="1"/>
  <c r="AT430" i="27" s="1"/>
  <c r="AG959" i="27"/>
  <c r="AN959" i="27" s="1"/>
  <c r="AT959" i="27" s="1"/>
  <c r="AG939" i="27"/>
  <c r="AN939" i="27" s="1"/>
  <c r="AT939" i="27" s="1"/>
  <c r="AG986" i="27"/>
  <c r="AN986" i="27" s="1"/>
  <c r="AT986" i="27" s="1"/>
  <c r="AG616" i="27"/>
  <c r="AN616" i="27" s="1"/>
  <c r="AT616" i="27" s="1"/>
  <c r="AG765" i="27"/>
  <c r="AN765" i="27" s="1"/>
  <c r="AG908" i="27"/>
  <c r="AG1111" i="27"/>
  <c r="AN1111" i="27" s="1"/>
  <c r="AT1111" i="27" s="1"/>
  <c r="AG935" i="27"/>
  <c r="AN935" i="27" s="1"/>
  <c r="AT935" i="27" s="1"/>
  <c r="AG1014" i="27"/>
  <c r="AN1014" i="27" s="1"/>
  <c r="AT1014" i="27" s="1"/>
  <c r="AG350" i="27"/>
  <c r="AN350" i="27" s="1"/>
  <c r="AT350" i="27" s="1"/>
  <c r="AG878" i="27"/>
  <c r="AN878" i="27" s="1"/>
  <c r="AG846" i="27"/>
  <c r="AN846" i="27" s="1"/>
  <c r="AT846" i="27" s="1"/>
  <c r="AG437" i="27"/>
  <c r="AN437" i="27" s="1"/>
  <c r="AT437" i="27" s="1"/>
  <c r="AG807" i="27"/>
  <c r="AN807" i="27" s="1"/>
  <c r="AG620" i="27"/>
  <c r="AN620" i="27" s="1"/>
  <c r="AT620" i="27" s="1"/>
  <c r="AG759" i="27"/>
  <c r="AN759" i="27" s="1"/>
  <c r="AT759" i="27" s="1"/>
  <c r="AG251" i="27"/>
  <c r="AN251" i="27" s="1"/>
  <c r="AT251" i="27" s="1"/>
  <c r="AG1229" i="27"/>
  <c r="AN1229" i="27" s="1"/>
  <c r="AT1229" i="27" s="1"/>
  <c r="AG1240" i="27"/>
  <c r="AN1240" i="27" s="1"/>
  <c r="AT1240" i="27" s="1"/>
  <c r="AG1092" i="27"/>
  <c r="AN1092" i="27" s="1"/>
  <c r="AT1092" i="27" s="1"/>
  <c r="AG565" i="27"/>
  <c r="AN565" i="27" s="1"/>
  <c r="AT565" i="27" s="1"/>
  <c r="AG365" i="27"/>
  <c r="AN365" i="27" s="1"/>
  <c r="AT365" i="27" s="1"/>
  <c r="AG709" i="27"/>
  <c r="AN709" i="27" s="1"/>
  <c r="AT709" i="27" s="1"/>
  <c r="AG890" i="27"/>
  <c r="AN890" i="27" s="1"/>
  <c r="AT890" i="27" s="1"/>
  <c r="AG784" i="27"/>
  <c r="AN784" i="27" s="1"/>
  <c r="AT784" i="27" s="1"/>
  <c r="AG1247" i="27"/>
  <c r="AN1247" i="27" s="1"/>
  <c r="AT1247" i="27" s="1"/>
  <c r="AG970" i="27"/>
  <c r="AN970" i="27" s="1"/>
  <c r="AT970" i="27" s="1"/>
  <c r="AN296" i="27"/>
  <c r="AT296" i="27" s="1"/>
  <c r="AG749" i="27"/>
  <c r="AN749" i="27" s="1"/>
  <c r="AG894" i="27"/>
  <c r="AN894" i="27" s="1"/>
  <c r="AT894" i="27" s="1"/>
  <c r="AG842" i="27"/>
  <c r="AN842" i="27" s="1"/>
  <c r="AT842" i="27" s="1"/>
  <c r="AG892" i="27"/>
  <c r="AN892" i="27" s="1"/>
  <c r="AT892" i="27" s="1"/>
  <c r="AG1058" i="27"/>
  <c r="AN1058" i="27" s="1"/>
  <c r="AT1058" i="27" s="1"/>
  <c r="AG624" i="27"/>
  <c r="AN624" i="27" s="1"/>
  <c r="AT624" i="27" s="1"/>
  <c r="AG1161" i="27"/>
  <c r="AN1161" i="27" s="1"/>
  <c r="AT1161" i="27" s="1"/>
  <c r="AG1189" i="27"/>
  <c r="AN1189" i="27" s="1"/>
  <c r="AT1189" i="27" s="1"/>
  <c r="AG1230" i="27"/>
  <c r="AN1230" i="27" s="1"/>
  <c r="AT1230" i="27" s="1"/>
  <c r="AG1154" i="27"/>
  <c r="AN1154" i="27" s="1"/>
  <c r="AT1154" i="27" s="1"/>
  <c r="AG534" i="27"/>
  <c r="AN534" i="27" s="1"/>
  <c r="AT534" i="27" s="1"/>
  <c r="AG638" i="27"/>
  <c r="AN638" i="27" s="1"/>
  <c r="AT638" i="27" s="1"/>
  <c r="AG524" i="27"/>
  <c r="AN524" i="27" s="1"/>
  <c r="AT524" i="27" s="1"/>
  <c r="AG689" i="27"/>
  <c r="AN689" i="27" s="1"/>
  <c r="AT689" i="27" s="1"/>
  <c r="AG298" i="27"/>
  <c r="AG283" i="27"/>
  <c r="AN283" i="27" s="1"/>
  <c r="AT283" i="27" s="1"/>
  <c r="AG920" i="27"/>
  <c r="AN920" i="27" s="1"/>
  <c r="AT920" i="27" s="1"/>
  <c r="AG937" i="27"/>
  <c r="AN937" i="27" s="1"/>
  <c r="AT937" i="27" s="1"/>
  <c r="AG1055" i="27"/>
  <c r="AN1055" i="27" s="1"/>
  <c r="AT1055" i="27" s="1"/>
  <c r="AG307" i="27"/>
  <c r="AN307" i="27" s="1"/>
  <c r="AT307" i="27" s="1"/>
  <c r="AG1182" i="27"/>
  <c r="AN1182" i="27" s="1"/>
  <c r="AT1182" i="27" s="1"/>
  <c r="AG1213" i="27"/>
  <c r="AN1213" i="27" s="1"/>
  <c r="AT1213" i="27" s="1"/>
  <c r="AG1233" i="27"/>
  <c r="AN1233" i="27" s="1"/>
  <c r="AT1233" i="27" s="1"/>
  <c r="AG1237" i="27"/>
  <c r="AN1237" i="27" s="1"/>
  <c r="AT1237" i="27" s="1"/>
  <c r="AG1080" i="27"/>
  <c r="AN1080" i="27" s="1"/>
  <c r="AT1080" i="27" s="1"/>
  <c r="AG522" i="27"/>
  <c r="AN522" i="27" s="1"/>
  <c r="AT522" i="27" s="1"/>
  <c r="AG346" i="27"/>
  <c r="AN346" i="27" s="1"/>
  <c r="AT346" i="27" s="1"/>
  <c r="AG397" i="27"/>
  <c r="AN397" i="27" s="1"/>
  <c r="AT397" i="27" s="1"/>
  <c r="AG618" i="27"/>
  <c r="AN618" i="27" s="1"/>
  <c r="AT618" i="27" s="1"/>
  <c r="AG748" i="27"/>
  <c r="AN748" i="27" s="1"/>
  <c r="AG450" i="27"/>
  <c r="AN450" i="27" s="1"/>
  <c r="AT450" i="27" s="1"/>
  <c r="AG726" i="27"/>
  <c r="AN726" i="27" s="1"/>
  <c r="AT726" i="27" s="1"/>
  <c r="AG895" i="27"/>
  <c r="AN895" i="27" s="1"/>
  <c r="AT895" i="27" s="1"/>
  <c r="AG1239" i="27"/>
  <c r="AN1239" i="27" s="1"/>
  <c r="AT1239" i="27" s="1"/>
  <c r="AG1135" i="27"/>
  <c r="AN1135" i="27" s="1"/>
  <c r="AT1135" i="27" s="1"/>
  <c r="AG504" i="27"/>
  <c r="AN504" i="27" s="1"/>
  <c r="AT504" i="27" s="1"/>
  <c r="AG473" i="27"/>
  <c r="AN473" i="27" s="1"/>
  <c r="AT473" i="27" s="1"/>
  <c r="AG1061" i="27"/>
  <c r="AG961" i="27"/>
  <c r="AN961" i="27" s="1"/>
  <c r="AT961" i="27" s="1"/>
  <c r="AG836" i="27"/>
  <c r="AN836" i="27" s="1"/>
  <c r="AT836" i="27" s="1"/>
  <c r="AG796" i="27"/>
  <c r="AN796" i="27" s="1"/>
  <c r="AT796" i="27" s="1"/>
  <c r="AG541" i="27"/>
  <c r="AN541" i="27" s="1"/>
  <c r="AT541" i="27" s="1"/>
  <c r="AG511" i="27"/>
  <c r="AN511" i="27" s="1"/>
  <c r="AT511" i="27" s="1"/>
  <c r="AG347" i="27"/>
  <c r="AN347" i="27" s="1"/>
  <c r="AT347" i="27" s="1"/>
  <c r="AG883" i="27"/>
  <c r="AN883" i="27" s="1"/>
  <c r="AT883" i="27" s="1"/>
  <c r="AG774" i="27"/>
  <c r="AN774" i="27" s="1"/>
  <c r="AT774" i="27" s="1"/>
  <c r="AG969" i="27"/>
  <c r="AN969" i="27" s="1"/>
  <c r="AT969" i="27" s="1"/>
  <c r="AG575" i="27"/>
  <c r="AN575" i="27" s="1"/>
  <c r="AT575" i="27" s="1"/>
  <c r="AG696" i="27"/>
  <c r="AN696" i="27" s="1"/>
  <c r="AT696" i="27" s="1"/>
  <c r="AG289" i="27"/>
  <c r="AN289" i="27" s="1"/>
  <c r="AG1195" i="27"/>
  <c r="AN1195" i="27" s="1"/>
  <c r="AT1195" i="27" s="1"/>
  <c r="AG1217" i="27"/>
  <c r="AN1217" i="27" s="1"/>
  <c r="AT1217" i="27" s="1"/>
  <c r="AG543" i="27"/>
  <c r="AN543" i="27" s="1"/>
  <c r="AT543" i="27" s="1"/>
  <c r="AG372" i="27"/>
  <c r="AN372" i="27" s="1"/>
  <c r="AT372" i="27" s="1"/>
  <c r="AG985" i="27"/>
  <c r="AN985" i="27" s="1"/>
  <c r="AT985" i="27" s="1"/>
  <c r="AG907" i="27"/>
  <c r="AN907" i="27" s="1"/>
  <c r="AT907" i="27" s="1"/>
  <c r="AG665" i="27"/>
  <c r="AN665" i="27" s="1"/>
  <c r="AT665" i="27" s="1"/>
  <c r="AG862" i="27"/>
  <c r="AN862" i="27" s="1"/>
  <c r="AG771" i="27"/>
  <c r="AN771" i="27" s="1"/>
  <c r="AG694" i="27"/>
  <c r="AN694" i="27" s="1"/>
  <c r="AT694" i="27" s="1"/>
  <c r="AG827" i="27"/>
  <c r="AN827" i="27" s="1"/>
  <c r="AT827" i="27" s="1"/>
  <c r="AG412" i="27"/>
  <c r="AN412" i="27" s="1"/>
  <c r="AT412" i="27" s="1"/>
  <c r="AG469" i="27"/>
  <c r="AN469" i="27" s="1"/>
  <c r="AG795" i="27"/>
  <c r="AN795" i="27" s="1"/>
  <c r="AT795" i="27" s="1"/>
  <c r="AG960" i="27"/>
  <c r="AN960" i="27" s="1"/>
  <c r="AT960" i="27" s="1"/>
  <c r="AG978" i="27"/>
  <c r="AN978" i="27" s="1"/>
  <c r="AT978" i="27" s="1"/>
  <c r="AG822" i="27"/>
  <c r="AN822" i="27" s="1"/>
  <c r="AG308" i="27"/>
  <c r="AN308" i="27" s="1"/>
  <c r="AT308" i="27" s="1"/>
  <c r="AG621" i="27"/>
  <c r="AN621" i="27" s="1"/>
  <c r="AT621" i="27" s="1"/>
  <c r="AG714" i="27"/>
  <c r="AN714" i="27" s="1"/>
  <c r="AT714" i="27" s="1"/>
  <c r="AG975" i="27"/>
  <c r="AN975" i="27" s="1"/>
  <c r="AT975" i="27" s="1"/>
  <c r="AG1243" i="27"/>
  <c r="AN1243" i="27" s="1"/>
  <c r="AT1243" i="27" s="1"/>
  <c r="AG1208" i="27"/>
  <c r="AN1208" i="27" s="1"/>
  <c r="AT1208" i="27" s="1"/>
  <c r="AG454" i="27"/>
  <c r="AN454" i="27" s="1"/>
  <c r="AT454" i="27" s="1"/>
  <c r="AG514" i="27"/>
  <c r="AN514" i="27" s="1"/>
  <c r="AT514" i="27" s="1"/>
  <c r="AG563" i="27"/>
  <c r="AN563" i="27" s="1"/>
  <c r="AT563" i="27" s="1"/>
  <c r="AG1040" i="27"/>
  <c r="AN1040" i="27" s="1"/>
  <c r="AT1040" i="27" s="1"/>
  <c r="AG384" i="27"/>
  <c r="AN384" i="27" s="1"/>
  <c r="AT384" i="27" s="1"/>
  <c r="AG305" i="27"/>
  <c r="AN305" i="27" s="1"/>
  <c r="AT305" i="27" s="1"/>
  <c r="AG634" i="27"/>
  <c r="AN634" i="27" s="1"/>
  <c r="AT634" i="27" s="1"/>
  <c r="AG897" i="27"/>
  <c r="AN897" i="27" s="1"/>
  <c r="AT897" i="27" s="1"/>
  <c r="AG787" i="27"/>
  <c r="AN787" i="27" s="1"/>
  <c r="AT787" i="27" s="1"/>
  <c r="AG813" i="27"/>
  <c r="AN813" i="27" s="1"/>
  <c r="AT813" i="27" s="1"/>
  <c r="AG983" i="27"/>
  <c r="AN983" i="27" s="1"/>
  <c r="AT983" i="27" s="1"/>
  <c r="AG988" i="27"/>
  <c r="AN988" i="27" s="1"/>
  <c r="AT988" i="27" s="1"/>
  <c r="AG814" i="27"/>
  <c r="AG281" i="27"/>
  <c r="AN281" i="27" s="1"/>
  <c r="AT281" i="27" s="1"/>
  <c r="AG1173" i="27"/>
  <c r="AN1173" i="27" s="1"/>
  <c r="AT1173" i="27" s="1"/>
  <c r="AG1171" i="27"/>
  <c r="AN1171" i="27" s="1"/>
  <c r="AT1171" i="27" s="1"/>
  <c r="AG476" i="27"/>
  <c r="AN476" i="27" s="1"/>
  <c r="AT476" i="27" s="1"/>
  <c r="AG545" i="27"/>
  <c r="AN545" i="27" s="1"/>
  <c r="AT545" i="27" s="1"/>
  <c r="AG537" i="27"/>
  <c r="AN537" i="27" s="1"/>
  <c r="AT537" i="27" s="1"/>
  <c r="AG357" i="27"/>
  <c r="AN357" i="27" s="1"/>
  <c r="AT357" i="27" s="1"/>
  <c r="AG380" i="27"/>
  <c r="AN380" i="27" s="1"/>
  <c r="AT380" i="27" s="1"/>
  <c r="AG676" i="27"/>
  <c r="AG705" i="27"/>
  <c r="AN705" i="27" s="1"/>
  <c r="AG786" i="27"/>
  <c r="AN786" i="27" s="1"/>
  <c r="AT786" i="27" s="1"/>
  <c r="AG700" i="27"/>
  <c r="AN700" i="27" s="1"/>
  <c r="AT700" i="27" s="1"/>
  <c r="AG691" i="27"/>
  <c r="AN691" i="27" s="1"/>
  <c r="AT691" i="27" s="1"/>
  <c r="AG852" i="27"/>
  <c r="AN852" i="27" s="1"/>
  <c r="AT852" i="27" s="1"/>
  <c r="AG847" i="27"/>
  <c r="AN847" i="27" s="1"/>
  <c r="AT847" i="27" s="1"/>
  <c r="AG1170" i="27"/>
  <c r="AN1170" i="27" s="1"/>
  <c r="AT1170" i="27" s="1"/>
  <c r="AG364" i="27"/>
  <c r="AN364" i="27" s="1"/>
  <c r="AT364" i="27" s="1"/>
  <c r="AG535" i="27"/>
  <c r="AN535" i="27" s="1"/>
  <c r="AT535" i="27" s="1"/>
  <c r="AG1121" i="27"/>
  <c r="AN1121" i="27" s="1"/>
  <c r="AT1121" i="27" s="1"/>
  <c r="AG498" i="27"/>
  <c r="AN498" i="27" s="1"/>
  <c r="AT498" i="27" s="1"/>
  <c r="AG1138" i="27"/>
  <c r="AN1138" i="27" s="1"/>
  <c r="AT1138" i="27" s="1"/>
  <c r="AG520" i="27"/>
  <c r="AN520" i="27" s="1"/>
  <c r="AT520" i="27" s="1"/>
  <c r="AG429" i="27"/>
  <c r="AN429" i="27" s="1"/>
  <c r="AT429" i="27" s="1"/>
  <c r="AG915" i="27"/>
  <c r="AN915" i="27" s="1"/>
  <c r="AT915" i="27" s="1"/>
  <c r="AG881" i="27"/>
  <c r="AN881" i="27" s="1"/>
  <c r="AT881" i="27" s="1"/>
  <c r="AG967" i="27"/>
  <c r="AN967" i="27" s="1"/>
  <c r="AG468" i="27"/>
  <c r="AN468" i="27" s="1"/>
  <c r="AT468" i="27" s="1"/>
  <c r="AG1019" i="27"/>
  <c r="AN1019" i="27" s="1"/>
  <c r="AT1019" i="27" s="1"/>
  <c r="AG1115" i="27"/>
  <c r="AN1115" i="27" s="1"/>
  <c r="AT1115" i="27" s="1"/>
  <c r="AG463" i="27"/>
  <c r="AN463" i="27" s="1"/>
  <c r="AT463" i="27" s="1"/>
  <c r="AG758" i="27"/>
  <c r="AN758" i="27" s="1"/>
  <c r="AT758" i="27" s="1"/>
  <c r="AG425" i="27"/>
  <c r="AN425" i="27" s="1"/>
  <c r="AT425" i="27" s="1"/>
  <c r="AG360" i="27"/>
  <c r="AN360" i="27" s="1"/>
  <c r="AT360" i="27" s="1"/>
  <c r="AG605" i="27"/>
  <c r="AN605" i="27" s="1"/>
  <c r="AT605" i="27" s="1"/>
  <c r="AG816" i="27"/>
  <c r="AN816" i="27" s="1"/>
  <c r="AT816" i="27" s="1"/>
  <c r="AG989" i="27"/>
  <c r="AN989" i="27" s="1"/>
  <c r="AT989" i="27" s="1"/>
  <c r="AG1056" i="27"/>
  <c r="AN1056" i="27" s="1"/>
  <c r="AT1056" i="27" s="1"/>
  <c r="AG941" i="27"/>
  <c r="AN941" i="27" s="1"/>
  <c r="AT941" i="27" s="1"/>
  <c r="AG701" i="27"/>
  <c r="AN701" i="27" s="1"/>
  <c r="AT701" i="27" s="1"/>
  <c r="AG980" i="27"/>
  <c r="AN980" i="27" s="1"/>
  <c r="AT980" i="27" s="1"/>
  <c r="AG611" i="27"/>
  <c r="AN611" i="27" s="1"/>
  <c r="AT611" i="27" s="1"/>
  <c r="AG1254" i="27"/>
  <c r="AN1254" i="27" s="1"/>
  <c r="AT1254" i="27" s="1"/>
  <c r="AG456" i="27"/>
  <c r="AN456" i="27" s="1"/>
  <c r="AT456" i="27" s="1"/>
  <c r="AG809" i="27"/>
  <c r="AN809" i="27" s="1"/>
  <c r="AT809" i="27" s="1"/>
  <c r="AG486" i="27"/>
  <c r="AN486" i="27" s="1"/>
  <c r="AT486" i="27" s="1"/>
  <c r="AG953" i="27"/>
  <c r="AN953" i="27" s="1"/>
  <c r="AT953" i="27" s="1"/>
  <c r="AG451" i="27"/>
  <c r="AN451" i="27" s="1"/>
  <c r="AT451" i="27" s="1"/>
  <c r="AG361" i="27"/>
  <c r="AN361" i="27" s="1"/>
  <c r="AT361" i="27" s="1"/>
  <c r="AG326" i="27"/>
  <c r="AN326" i="27" s="1"/>
  <c r="AT326" i="27" s="1"/>
  <c r="AG848" i="27"/>
  <c r="AG300" i="27"/>
  <c r="AN300" i="27" s="1"/>
  <c r="AT300" i="27" s="1"/>
  <c r="AG781" i="27"/>
  <c r="AN781" i="27" s="1"/>
  <c r="AT781" i="27" s="1"/>
  <c r="AG918" i="27"/>
  <c r="AN918" i="27" s="1"/>
  <c r="AT918" i="27" s="1"/>
  <c r="AG889" i="27"/>
  <c r="AN889" i="27" s="1"/>
  <c r="AT889" i="27" s="1"/>
  <c r="AG330" i="27"/>
  <c r="AN330" i="27" s="1"/>
  <c r="AT330" i="27" s="1"/>
  <c r="AG866" i="27"/>
  <c r="AN866" i="27" s="1"/>
  <c r="AT866" i="27" s="1"/>
  <c r="AG663" i="27"/>
  <c r="AN663" i="27" s="1"/>
  <c r="AG656" i="27"/>
  <c r="AN656" i="27" s="1"/>
  <c r="AT656" i="27" s="1"/>
  <c r="AG1192" i="27"/>
  <c r="AN1192" i="27" s="1"/>
  <c r="AT1192" i="27" s="1"/>
  <c r="AG1255" i="27"/>
  <c r="AN1255" i="27" s="1"/>
  <c r="AT1255" i="27" s="1"/>
  <c r="AG854" i="27"/>
  <c r="AN854" i="27" s="1"/>
  <c r="AT854" i="27" s="1"/>
  <c r="AG551" i="27"/>
  <c r="AN551" i="27" s="1"/>
  <c r="AT551" i="27" s="1"/>
  <c r="AG582" i="27"/>
  <c r="AN582" i="27" s="1"/>
  <c r="AT582" i="27" s="1"/>
  <c r="AG1012" i="27"/>
  <c r="AN1012" i="27" s="1"/>
  <c r="AT1012" i="27" s="1"/>
  <c r="AG526" i="27"/>
  <c r="AN526" i="27" s="1"/>
  <c r="AT526" i="27" s="1"/>
  <c r="AG369" i="27"/>
  <c r="AN369" i="27" s="1"/>
  <c r="AT369" i="27" s="1"/>
  <c r="AG471" i="27"/>
  <c r="AN471" i="27" s="1"/>
  <c r="AT471" i="27" s="1"/>
  <c r="AG356" i="27"/>
  <c r="AN356" i="27" s="1"/>
  <c r="AT356" i="27" s="1"/>
  <c r="AG379" i="27"/>
  <c r="AN379" i="27" s="1"/>
  <c r="AT379" i="27" s="1"/>
  <c r="AG662" i="27"/>
  <c r="AN662" i="27" s="1"/>
  <c r="AG769" i="27"/>
  <c r="AN769" i="27" s="1"/>
  <c r="AG673" i="27"/>
  <c r="AN673" i="27" s="1"/>
  <c r="AT673" i="27" s="1"/>
  <c r="AG876" i="27"/>
  <c r="AN876" i="27" s="1"/>
  <c r="AT876" i="27" s="1"/>
  <c r="AG301" i="27"/>
  <c r="AN301" i="27" s="1"/>
  <c r="AT301" i="27" s="1"/>
  <c r="AG382" i="27"/>
  <c r="AN382" i="27" s="1"/>
  <c r="AT382" i="27" s="1"/>
  <c r="AG997" i="27"/>
  <c r="AN997" i="27" s="1"/>
  <c r="AT997" i="27" s="1"/>
  <c r="AG926" i="27"/>
  <c r="AN926" i="27" s="1"/>
  <c r="AT926" i="27" s="1"/>
  <c r="AG1007" i="27"/>
  <c r="AG420" i="27"/>
  <c r="AN420" i="27" s="1"/>
  <c r="AT420" i="27" s="1"/>
  <c r="AG882" i="27"/>
  <c r="AN882" i="27" s="1"/>
  <c r="AT882" i="27" s="1"/>
  <c r="AG804" i="27"/>
  <c r="AN804" i="27" s="1"/>
  <c r="AG811" i="27"/>
  <c r="AN811" i="27" s="1"/>
  <c r="AT811" i="27" s="1"/>
  <c r="AG1165" i="27"/>
  <c r="AN1165" i="27" s="1"/>
  <c r="AT1165" i="27" s="1"/>
  <c r="AG1185" i="27"/>
  <c r="AN1185" i="27" s="1"/>
  <c r="AT1185" i="27" s="1"/>
  <c r="AG1218" i="27"/>
  <c r="AN1218" i="27" s="1"/>
  <c r="AT1218" i="27" s="1"/>
  <c r="AG998" i="27"/>
  <c r="AN998" i="27" s="1"/>
  <c r="AT998" i="27" s="1"/>
  <c r="AG925" i="27"/>
  <c r="AN925" i="27" s="1"/>
  <c r="AT925" i="27" s="1"/>
  <c r="AG1139" i="27"/>
  <c r="AN1139" i="27" s="1"/>
  <c r="AT1139" i="27" s="1"/>
  <c r="AG1017" i="27"/>
  <c r="AN1017" i="27" s="1"/>
  <c r="AT1017" i="27" s="1"/>
  <c r="AG1134" i="27"/>
  <c r="AN1134" i="27" s="1"/>
  <c r="AT1134" i="27" s="1"/>
  <c r="AG480" i="27"/>
  <c r="AN480" i="27" s="1"/>
  <c r="AT480" i="27" s="1"/>
  <c r="AG392" i="27"/>
  <c r="AG612" i="27"/>
  <c r="AN612" i="27" s="1"/>
  <c r="AT612" i="27" s="1"/>
  <c r="AG591" i="27"/>
  <c r="AN591" i="27" s="1"/>
  <c r="AT591" i="27" s="1"/>
  <c r="AG338" i="27"/>
  <c r="AN338" i="27" s="1"/>
  <c r="AT338" i="27" s="1"/>
  <c r="AG730" i="27"/>
  <c r="AN730" i="27" s="1"/>
  <c r="AT730" i="27" s="1"/>
  <c r="AG631" i="27"/>
  <c r="AN631" i="27" s="1"/>
  <c r="AT631" i="27" s="1"/>
  <c r="AG706" i="27"/>
  <c r="AN706" i="27" s="1"/>
  <c r="AG1194" i="27"/>
  <c r="AN1194" i="27" s="1"/>
  <c r="AT1194" i="27" s="1"/>
  <c r="AG1096" i="27"/>
  <c r="AN1096" i="27" s="1"/>
  <c r="AT1096" i="27" s="1"/>
  <c r="AG1011" i="27"/>
  <c r="AN1011" i="27" s="1"/>
  <c r="AT1011" i="27" s="1"/>
  <c r="AG1001" i="27"/>
  <c r="AN1001" i="27" s="1"/>
  <c r="AT1001" i="27" s="1"/>
  <c r="AG928" i="27"/>
  <c r="AN928" i="27" s="1"/>
  <c r="AT928" i="27" s="1"/>
  <c r="AG427" i="27"/>
  <c r="AN427" i="27" s="1"/>
  <c r="AT427" i="27" s="1"/>
  <c r="AG801" i="27"/>
  <c r="AN801" i="27" s="1"/>
  <c r="AT801" i="27" s="1"/>
  <c r="AG686" i="27"/>
  <c r="AG805" i="27"/>
  <c r="AN805" i="27" s="1"/>
  <c r="AG831" i="27"/>
  <c r="AN831" i="27" s="1"/>
  <c r="AT831" i="27" s="1"/>
  <c r="AG760" i="27"/>
  <c r="AN760" i="27" s="1"/>
  <c r="AT760" i="27" s="1"/>
  <c r="AG708" i="27"/>
  <c r="AG1244" i="27"/>
  <c r="AN1244" i="27" s="1"/>
  <c r="AT1244" i="27" s="1"/>
  <c r="AG1103" i="27"/>
  <c r="AN1103" i="27" s="1"/>
  <c r="AT1103" i="27" s="1"/>
  <c r="AG1006" i="27"/>
  <c r="AN1006" i="27" s="1"/>
  <c r="AT1006" i="27" s="1"/>
  <c r="AG641" i="27"/>
  <c r="AN641" i="27" s="1"/>
  <c r="AT641" i="27" s="1"/>
  <c r="AG1083" i="27"/>
  <c r="AN1083" i="27" s="1"/>
  <c r="AG394" i="27"/>
  <c r="AN394" i="27" s="1"/>
  <c r="AT394" i="27" s="1"/>
  <c r="AG632" i="27"/>
  <c r="AN632" i="27" s="1"/>
  <c r="AT632" i="27" s="1"/>
  <c r="AG1104" i="27"/>
  <c r="AN1104" i="27" s="1"/>
  <c r="AT1104" i="27" s="1"/>
  <c r="AG757" i="27"/>
  <c r="AN757" i="27" s="1"/>
  <c r="AT757" i="27" s="1"/>
  <c r="AG808" i="27"/>
  <c r="AN808" i="27" s="1"/>
  <c r="AG904" i="27"/>
  <c r="AN904" i="27" s="1"/>
  <c r="AT904" i="27" s="1"/>
  <c r="AG282" i="27"/>
  <c r="AN282" i="27" s="1"/>
  <c r="AT282" i="27" s="1"/>
  <c r="AG724" i="27"/>
  <c r="AN724" i="27" s="1"/>
  <c r="AT724" i="27" s="1"/>
  <c r="AG751" i="27"/>
  <c r="AN751" i="27" s="1"/>
  <c r="AT751" i="27" s="1"/>
  <c r="AG602" i="27"/>
  <c r="AN602" i="27" s="1"/>
  <c r="AT602" i="27" s="1"/>
  <c r="AG1206" i="27"/>
  <c r="AN1206" i="27" s="1"/>
  <c r="AT1206" i="27" s="1"/>
  <c r="AG1178" i="27"/>
  <c r="AN1178" i="27" s="1"/>
  <c r="AT1178" i="27" s="1"/>
  <c r="AG1181" i="27"/>
  <c r="AN1181" i="27" s="1"/>
  <c r="AT1181" i="27" s="1"/>
  <c r="AG1157" i="27"/>
  <c r="AN1157" i="27" s="1"/>
  <c r="AT1157" i="27" s="1"/>
  <c r="AG931" i="27"/>
  <c r="AN931" i="27" s="1"/>
  <c r="AT931" i="27" s="1"/>
  <c r="AG832" i="27"/>
  <c r="AN832" i="27" s="1"/>
  <c r="AT832" i="27" s="1"/>
  <c r="AG404" i="27"/>
  <c r="AN404" i="27" s="1"/>
  <c r="AT404" i="27" s="1"/>
  <c r="AG409" i="27"/>
  <c r="AN409" i="27" s="1"/>
  <c r="AT409" i="27" s="1"/>
  <c r="AG655" i="27"/>
  <c r="AN655" i="27" s="1"/>
  <c r="AT655" i="27" s="1"/>
  <c r="AG893" i="27"/>
  <c r="AN893" i="27" s="1"/>
  <c r="AT893" i="27" s="1"/>
  <c r="AG773" i="27"/>
  <c r="AN773" i="27" s="1"/>
  <c r="AG299" i="27"/>
  <c r="AN299" i="27" s="1"/>
  <c r="AT299" i="27" s="1"/>
  <c r="AG815" i="27"/>
  <c r="AN815" i="27" s="1"/>
  <c r="AT815" i="27" s="1"/>
  <c r="AG628" i="27"/>
  <c r="AN628" i="27" s="1"/>
  <c r="AT628" i="27" s="1"/>
  <c r="AG825" i="27"/>
  <c r="AN825" i="27" s="1"/>
  <c r="AT825" i="27" s="1"/>
  <c r="AG863" i="27"/>
  <c r="AG779" i="27"/>
  <c r="AN779" i="27" s="1"/>
  <c r="AT779" i="27" s="1"/>
  <c r="AG810" i="27"/>
  <c r="AN810" i="27" s="1"/>
  <c r="AT810" i="27" s="1"/>
  <c r="AG1169" i="27"/>
  <c r="AN1169" i="27" s="1"/>
  <c r="AT1169" i="27" s="1"/>
  <c r="AG1207" i="27"/>
  <c r="AN1207" i="27" s="1"/>
  <c r="AT1207" i="27" s="1"/>
  <c r="AG733" i="27"/>
  <c r="AN733" i="27" s="1"/>
  <c r="AT733" i="27" s="1"/>
  <c r="AG1038" i="27"/>
  <c r="AN1038" i="27" s="1"/>
  <c r="AT1038" i="27" s="1"/>
  <c r="AG732" i="27"/>
  <c r="AN732" i="27" s="1"/>
  <c r="AT732" i="27" s="1"/>
  <c r="AG864" i="27"/>
  <c r="AN864" i="27" s="1"/>
  <c r="AG312" i="27"/>
  <c r="AN312" i="27" s="1"/>
  <c r="AT312" i="27" s="1"/>
  <c r="AG853" i="27"/>
  <c r="AN853" i="27" s="1"/>
  <c r="AT853" i="27" s="1"/>
  <c r="AG637" i="27"/>
  <c r="AN637" i="27" s="1"/>
  <c r="AT637" i="27" s="1"/>
  <c r="AG1202" i="27"/>
  <c r="AN1202" i="27" s="1"/>
  <c r="AT1202" i="27" s="1"/>
  <c r="AG1215" i="27"/>
  <c r="AN1215" i="27" s="1"/>
  <c r="AT1215" i="27" s="1"/>
  <c r="AG1098" i="27"/>
  <c r="AN1098" i="27" s="1"/>
  <c r="AT1098" i="27" s="1"/>
  <c r="AG1153" i="27"/>
  <c r="AN1153" i="27" s="1"/>
  <c r="AT1153" i="27" s="1"/>
  <c r="AG1041" i="27"/>
  <c r="AN1041" i="27" s="1"/>
  <c r="AT1041" i="27" s="1"/>
  <c r="AG490" i="27"/>
  <c r="AN490" i="27" s="1"/>
  <c r="AT490" i="27" s="1"/>
  <c r="AG556" i="27"/>
  <c r="AN556" i="27" s="1"/>
  <c r="AT556" i="27" s="1"/>
  <c r="AG378" i="27"/>
  <c r="AN378" i="27" s="1"/>
  <c r="AT378" i="27" s="1"/>
  <c r="AG588" i="27"/>
  <c r="AN588" i="27" s="1"/>
  <c r="AT588" i="27" s="1"/>
  <c r="AG713" i="27"/>
  <c r="AN713" i="27" s="1"/>
  <c r="AT713" i="27" s="1"/>
  <c r="AG857" i="27"/>
  <c r="AN857" i="27" s="1"/>
  <c r="AG598" i="27"/>
  <c r="AN598" i="27" s="1"/>
  <c r="AT598" i="27" s="1"/>
  <c r="AG681" i="27"/>
  <c r="AN681" i="27" s="1"/>
  <c r="AT681" i="27" s="1"/>
  <c r="AG1221" i="27"/>
  <c r="AN1221" i="27" s="1"/>
  <c r="AT1221" i="27" s="1"/>
  <c r="AG1094" i="27"/>
  <c r="AN1094" i="27" s="1"/>
  <c r="AT1094" i="27" s="1"/>
  <c r="AG482" i="27"/>
  <c r="AN482" i="27" s="1"/>
  <c r="AT482" i="27" s="1"/>
  <c r="AG1124" i="27"/>
  <c r="AN1124" i="27" s="1"/>
  <c r="AT1124" i="27" s="1"/>
  <c r="AG442" i="27"/>
  <c r="AN442" i="27" s="1"/>
  <c r="AT442" i="27" s="1"/>
  <c r="AG692" i="27"/>
  <c r="AN692" i="27" s="1"/>
  <c r="AT692" i="27" s="1"/>
  <c r="AG571" i="27"/>
  <c r="AN571" i="27" s="1"/>
  <c r="AT571" i="27" s="1"/>
  <c r="AG592" i="27"/>
  <c r="AN592" i="27" s="1"/>
  <c r="AT592" i="27" s="1"/>
  <c r="AG506" i="27"/>
  <c r="AN506" i="27" s="1"/>
  <c r="AT506" i="27" s="1"/>
  <c r="AG929" i="27"/>
  <c r="AN929" i="27" s="1"/>
  <c r="AT929" i="27" s="1"/>
  <c r="AG1016" i="27"/>
  <c r="AN1016" i="27" s="1"/>
  <c r="AT1016" i="27" s="1"/>
  <c r="AG544" i="27"/>
  <c r="AN544" i="27" s="1"/>
  <c r="AT544" i="27" s="1"/>
  <c r="AG558" i="27"/>
  <c r="AN558" i="27" s="1"/>
  <c r="AT558" i="27" s="1"/>
  <c r="AG844" i="27"/>
  <c r="AG737" i="27"/>
  <c r="AN737" i="27" s="1"/>
  <c r="AT737" i="27" s="1"/>
  <c r="AG938" i="27"/>
  <c r="AN938" i="27" s="1"/>
  <c r="AT938" i="27" s="1"/>
  <c r="AG613" i="27"/>
  <c r="AN613" i="27" s="1"/>
  <c r="AT613" i="27" s="1"/>
  <c r="AG570" i="27"/>
  <c r="AN570" i="27" s="1"/>
  <c r="AT570" i="27" s="1"/>
  <c r="AG746" i="27"/>
  <c r="AN746" i="27" s="1"/>
  <c r="AG680" i="27"/>
  <c r="AG678" i="27"/>
  <c r="AN678" i="27" s="1"/>
  <c r="AT678" i="27" s="1"/>
  <c r="AG1183" i="27"/>
  <c r="AN1183" i="27" s="1"/>
  <c r="AT1183" i="27" s="1"/>
  <c r="AG1228" i="27"/>
  <c r="AN1228" i="27" s="1"/>
  <c r="AT1228" i="27" s="1"/>
  <c r="AG1186" i="27"/>
  <c r="AN1186" i="27" s="1"/>
  <c r="AT1186" i="27" s="1"/>
  <c r="AG517" i="27"/>
  <c r="AN517" i="27" s="1"/>
  <c r="AT517" i="27" s="1"/>
  <c r="AG436" i="27"/>
  <c r="AN436" i="27" s="1"/>
  <c r="AT436" i="27" s="1"/>
  <c r="AG661" i="27"/>
  <c r="AN661" i="27" s="1"/>
  <c r="AG738" i="27"/>
  <c r="AN738" i="27" s="1"/>
  <c r="AT738" i="27" s="1"/>
  <c r="AG971" i="27"/>
  <c r="AN971" i="27" s="1"/>
  <c r="AT971" i="27" s="1"/>
  <c r="AG1238" i="27"/>
  <c r="AN1238" i="27" s="1"/>
  <c r="AT1238" i="27" s="1"/>
  <c r="AG387" i="27"/>
  <c r="AN387" i="27" s="1"/>
  <c r="AT387" i="27" s="1"/>
  <c r="AG406" i="27"/>
  <c r="AN406" i="27" s="1"/>
  <c r="AT406" i="27" s="1"/>
  <c r="AG386" i="27"/>
  <c r="AN386" i="27" s="1"/>
  <c r="AT386" i="27" s="1"/>
  <c r="AG287" i="27"/>
  <c r="AN287" i="27" s="1"/>
  <c r="AT287" i="27" s="1"/>
  <c r="AG865" i="27"/>
  <c r="AN865" i="27" s="1"/>
  <c r="AG775" i="27"/>
  <c r="AN775" i="27" s="1"/>
  <c r="AT775" i="27" s="1"/>
  <c r="AG984" i="27"/>
  <c r="AN984" i="27" s="1"/>
  <c r="AT984" i="27" s="1"/>
  <c r="AG911" i="27"/>
  <c r="AN911" i="27" s="1"/>
  <c r="AT911" i="27" s="1"/>
  <c r="AG734" i="27"/>
  <c r="AN734" i="27" s="1"/>
  <c r="AT734" i="27" s="1"/>
  <c r="AG606" i="27"/>
  <c r="AN606" i="27" s="1"/>
  <c r="AT606" i="27" s="1"/>
  <c r="AG819" i="27"/>
  <c r="AN819" i="27" s="1"/>
  <c r="AT819" i="27" s="1"/>
  <c r="AG314" i="27"/>
  <c r="AN314" i="27" s="1"/>
  <c r="AT314" i="27" s="1"/>
  <c r="AG1172" i="27"/>
  <c r="AN1172" i="27" s="1"/>
  <c r="AT1172" i="27" s="1"/>
  <c r="AG464" i="27"/>
  <c r="AN464" i="27" s="1"/>
  <c r="AT464" i="27" s="1"/>
  <c r="AG515" i="27"/>
  <c r="AG1116" i="27"/>
  <c r="AN1116" i="27" s="1"/>
  <c r="AT1116" i="27" s="1"/>
  <c r="AG954" i="27"/>
  <c r="AN954" i="27" s="1"/>
  <c r="AT954" i="27" s="1"/>
  <c r="AG1079" i="27"/>
  <c r="AG344" i="27"/>
  <c r="AN344" i="27" s="1"/>
  <c r="AT344" i="27" s="1"/>
  <c r="AG375" i="27"/>
  <c r="AN375" i="27" s="1"/>
  <c r="AT375" i="27" s="1"/>
  <c r="AG291" i="27"/>
  <c r="AN291" i="27" s="1"/>
  <c r="AT291" i="27" s="1"/>
  <c r="AG976" i="27"/>
  <c r="AN976" i="27" s="1"/>
  <c r="AT976" i="27" s="1"/>
  <c r="AG623" i="27"/>
  <c r="AN623" i="27" s="1"/>
  <c r="AT623" i="27" s="1"/>
  <c r="AG800" i="27"/>
  <c r="AN800" i="27" s="1"/>
  <c r="AT800" i="27" s="1"/>
  <c r="AG790" i="27"/>
  <c r="AN790" i="27" s="1"/>
  <c r="AT790" i="27" s="1"/>
  <c r="AG977" i="27"/>
  <c r="AN977" i="27" s="1"/>
  <c r="AT977" i="27" s="1"/>
  <c r="AG595" i="27"/>
  <c r="AN595" i="27" s="1"/>
  <c r="AT595" i="27" s="1"/>
  <c r="AG824" i="27"/>
  <c r="AN824" i="27" s="1"/>
  <c r="AT824" i="27" s="1"/>
  <c r="AG1168" i="27"/>
  <c r="AN1168" i="27" s="1"/>
  <c r="AT1168" i="27" s="1"/>
  <c r="AG1188" i="27"/>
  <c r="AN1188" i="27" s="1"/>
  <c r="AT1188" i="27" s="1"/>
  <c r="AG1102" i="27"/>
  <c r="AN1102" i="27" s="1"/>
  <c r="AT1102" i="27" s="1"/>
  <c r="AG362" i="27"/>
  <c r="AN362" i="27" s="1"/>
  <c r="AT362" i="27" s="1"/>
  <c r="AG1032" i="27"/>
  <c r="AG639" i="27"/>
  <c r="AN639" i="27" s="1"/>
  <c r="AT639" i="27" s="1"/>
  <c r="AG354" i="27"/>
  <c r="AN354" i="27" s="1"/>
  <c r="AT354" i="27" s="1"/>
  <c r="AG393" i="27"/>
  <c r="AN393" i="27" s="1"/>
  <c r="AT393" i="27" s="1"/>
  <c r="AG359" i="27"/>
  <c r="AN359" i="27" s="1"/>
  <c r="AT359" i="27" s="1"/>
  <c r="AG348" i="27"/>
  <c r="AN348" i="27" s="1"/>
  <c r="AT348" i="27" s="1"/>
  <c r="AG858" i="27"/>
  <c r="AN858" i="27" s="1"/>
  <c r="AG770" i="27"/>
  <c r="AN770" i="27" s="1"/>
  <c r="AG871" i="27"/>
  <c r="AN871" i="27" s="1"/>
  <c r="AT871" i="27" s="1"/>
  <c r="AG608" i="27"/>
  <c r="AN608" i="27" s="1"/>
  <c r="AT608" i="27" s="1"/>
  <c r="AG818" i="27"/>
  <c r="AN818" i="27" s="1"/>
  <c r="AT818" i="27" s="1"/>
  <c r="AG323" i="27"/>
  <c r="AN323" i="27" s="1"/>
  <c r="AT323" i="27" s="1"/>
  <c r="AG458" i="27"/>
  <c r="AN458" i="27" s="1"/>
  <c r="AT458" i="27" s="1"/>
  <c r="AG519" i="27"/>
  <c r="AN519" i="27" s="1"/>
  <c r="AT519" i="27" s="1"/>
  <c r="AG566" i="27"/>
  <c r="AN566" i="27" s="1"/>
  <c r="AT566" i="27" s="1"/>
  <c r="AG1084" i="27"/>
  <c r="AN1084" i="27" s="1"/>
  <c r="AT1084" i="27" s="1"/>
  <c r="AG1018" i="27"/>
  <c r="AN1018" i="27" s="1"/>
  <c r="AT1018" i="27" s="1"/>
  <c r="AG416" i="27"/>
  <c r="AN416" i="27" s="1"/>
  <c r="AT416" i="27" s="1"/>
  <c r="AG339" i="27"/>
  <c r="AN339" i="27" s="1"/>
  <c r="AT339" i="27" s="1"/>
  <c r="AG693" i="27"/>
  <c r="AN693" i="27" s="1"/>
  <c r="AT693" i="27" s="1"/>
  <c r="AG626" i="27"/>
  <c r="AN626" i="27" s="1"/>
  <c r="AT626" i="27" s="1"/>
  <c r="AG806" i="27"/>
  <c r="AN806" i="27" s="1"/>
  <c r="AG1159" i="27"/>
  <c r="AN1159" i="27" s="1"/>
  <c r="AT1159" i="27" s="1"/>
  <c r="AG539" i="27"/>
  <c r="AN539" i="27" s="1"/>
  <c r="AT539" i="27" s="1"/>
  <c r="AG499" i="27"/>
  <c r="AN499" i="27" s="1"/>
  <c r="AT499" i="27" s="1"/>
  <c r="AG533" i="27"/>
  <c r="AG345" i="27"/>
  <c r="AN345" i="27" s="1"/>
  <c r="AT345" i="27" s="1"/>
  <c r="AG381" i="27"/>
  <c r="AN381" i="27" s="1"/>
  <c r="AT381" i="27" s="1"/>
  <c r="AG434" i="27"/>
  <c r="AN434" i="27" s="1"/>
  <c r="AT434" i="27" s="1"/>
  <c r="AG644" i="27"/>
  <c r="AN644" i="27" s="1"/>
  <c r="AT644" i="27" s="1"/>
  <c r="AG887" i="27"/>
  <c r="AG785" i="27"/>
  <c r="AN785" i="27" s="1"/>
  <c r="AT785" i="27" s="1"/>
  <c r="AG1249" i="27"/>
  <c r="AN1249" i="27" s="1"/>
  <c r="AT1249" i="27" s="1"/>
  <c r="AG725" i="27"/>
  <c r="AG843" i="27"/>
  <c r="AN843" i="27" s="1"/>
  <c r="AT843" i="27" s="1"/>
  <c r="AG886" i="27"/>
  <c r="AN886" i="27" s="1"/>
  <c r="AT886" i="27" s="1"/>
  <c r="AG740" i="27"/>
  <c r="AN740" i="27" s="1"/>
  <c r="AT740" i="27" s="1"/>
  <c r="AG666" i="27"/>
  <c r="AN666" i="27" s="1"/>
  <c r="AT666" i="27" s="1"/>
  <c r="AG888" i="27"/>
  <c r="AN888" i="27" s="1"/>
  <c r="AT888" i="27" s="1"/>
  <c r="AG619" i="27"/>
  <c r="AN619" i="27" s="1"/>
  <c r="AT619" i="27" s="1"/>
  <c r="AG1226" i="27"/>
  <c r="AN1226" i="27" s="1"/>
  <c r="AT1226" i="27" s="1"/>
  <c r="AG1236" i="27"/>
  <c r="AN1236" i="27" s="1"/>
  <c r="AT1236" i="27" s="1"/>
  <c r="AG1099" i="27"/>
  <c r="AN1099" i="27" s="1"/>
  <c r="AT1099" i="27" s="1"/>
  <c r="AG484" i="27"/>
  <c r="AN484" i="27" s="1"/>
  <c r="AT484" i="27" s="1"/>
  <c r="AG830" i="27"/>
  <c r="AN830" i="27" s="1"/>
  <c r="AT830" i="27" s="1"/>
  <c r="AG996" i="27"/>
  <c r="AN996" i="27" s="1"/>
  <c r="AT996" i="27" s="1"/>
  <c r="AG927" i="27"/>
  <c r="AN927" i="27" s="1"/>
  <c r="AT927" i="27" s="1"/>
  <c r="AG707" i="27"/>
  <c r="AN707" i="27" s="1"/>
  <c r="AG433" i="27"/>
  <c r="AN433" i="27" s="1"/>
  <c r="AT433" i="27" s="1"/>
  <c r="AG682" i="27"/>
  <c r="AG826" i="27"/>
  <c r="AN826" i="27" s="1"/>
  <c r="AT826" i="27" s="1"/>
  <c r="AG1057" i="27"/>
  <c r="AN1057" i="27" s="1"/>
  <c r="AT1057" i="27" s="1"/>
  <c r="AG782" i="27"/>
  <c r="AN782" i="27" s="1"/>
  <c r="AT782" i="27" s="1"/>
  <c r="AG979" i="27"/>
  <c r="AN979" i="27" s="1"/>
  <c r="AT979" i="27" s="1"/>
  <c r="AG290" i="27"/>
  <c r="AN290" i="27" s="1"/>
  <c r="AT290" i="27" s="1"/>
  <c r="AG968" i="27"/>
  <c r="AN968" i="27" s="1"/>
  <c r="AT968" i="27" s="1"/>
  <c r="AG317" i="27"/>
  <c r="AN317" i="27" s="1"/>
  <c r="AT317" i="27" s="1"/>
  <c r="AG1163" i="27"/>
  <c r="AN1163" i="27" s="1"/>
  <c r="AT1163" i="27" s="1"/>
  <c r="AG1234" i="27"/>
  <c r="AN1234" i="27" s="1"/>
  <c r="AT1234" i="27" s="1"/>
  <c r="AG1203" i="27"/>
  <c r="AN1203" i="27" s="1"/>
  <c r="AT1203" i="27" s="1"/>
  <c r="AG405" i="27"/>
  <c r="AN405" i="27" s="1"/>
  <c r="AT405" i="27" s="1"/>
  <c r="AG428" i="27"/>
  <c r="AN428" i="27" s="1"/>
  <c r="AT428" i="27" s="1"/>
  <c r="AG674" i="27"/>
  <c r="AN674" i="27" s="1"/>
  <c r="AT674" i="27" s="1"/>
  <c r="AG466" i="27"/>
  <c r="AN466" i="27" s="1"/>
  <c r="AT466" i="27" s="1"/>
  <c r="AG1119" i="27"/>
  <c r="AN1119" i="27" s="1"/>
  <c r="AT1119" i="27" s="1"/>
  <c r="AG1136" i="27"/>
  <c r="AN1136" i="27" s="1"/>
  <c r="AT1136" i="27" s="1"/>
  <c r="AG398" i="27"/>
  <c r="AN398" i="27" s="1"/>
  <c r="AT398" i="27" s="1"/>
  <c r="AG366" i="27"/>
  <c r="AN366" i="27" s="1"/>
  <c r="AT366" i="27" s="1"/>
  <c r="AG396" i="27"/>
  <c r="AN396" i="27" s="1"/>
  <c r="AT396" i="27" s="1"/>
  <c r="AG615" i="27"/>
  <c r="AN615" i="27" s="1"/>
  <c r="AT615" i="27" s="1"/>
  <c r="AG861" i="27"/>
  <c r="AN861" i="27" s="1"/>
  <c r="AG604" i="27"/>
  <c r="AN604" i="27" s="1"/>
  <c r="AT604" i="27" s="1"/>
  <c r="AG672" i="27"/>
  <c r="AN672" i="27" s="1"/>
  <c r="AT672" i="27" s="1"/>
  <c r="AG744" i="27"/>
  <c r="AN744" i="27" s="1"/>
  <c r="AG1106" i="27"/>
  <c r="AN1106" i="27" s="1"/>
  <c r="AT1106" i="27" s="1"/>
  <c r="AG1112" i="27"/>
  <c r="AN1112" i="27" s="1"/>
  <c r="AT1112" i="27" s="1"/>
  <c r="AG493" i="27"/>
  <c r="AN493" i="27" s="1"/>
  <c r="AT493" i="27" s="1"/>
  <c r="AG1113" i="27"/>
  <c r="AN1113" i="27" s="1"/>
  <c r="AT1113" i="27" s="1"/>
  <c r="AN295" i="27"/>
  <c r="AT295" i="27" s="1"/>
  <c r="AG835" i="27"/>
  <c r="AN835" i="27" s="1"/>
  <c r="AT835" i="27" s="1"/>
  <c r="AG698" i="27"/>
  <c r="AG319" i="27"/>
  <c r="AN319" i="27" s="1"/>
  <c r="AT319" i="27" s="1"/>
  <c r="AG702" i="27"/>
  <c r="AN702" i="27" s="1"/>
  <c r="AG1180" i="27"/>
  <c r="AN1180" i="27" s="1"/>
  <c r="AT1180" i="27" s="1"/>
  <c r="AG1091" i="27"/>
  <c r="AN1091" i="27" s="1"/>
  <c r="AT1091" i="27" s="1"/>
  <c r="AG483" i="27"/>
  <c r="AG529" i="27"/>
  <c r="AN529" i="27" s="1"/>
  <c r="AT529" i="27" s="1"/>
  <c r="AG999" i="27"/>
  <c r="AN999" i="27" s="1"/>
  <c r="AT999" i="27" s="1"/>
  <c r="AG487" i="27"/>
  <c r="AN487" i="27" s="1"/>
  <c r="AT487" i="27" s="1"/>
  <c r="AG538" i="27"/>
  <c r="AN538" i="27" s="1"/>
  <c r="AT538" i="27" s="1"/>
  <c r="AG418" i="27"/>
  <c r="AN418" i="27" s="1"/>
  <c r="AT418" i="27" s="1"/>
  <c r="AG377" i="27"/>
  <c r="AN377" i="27" s="1"/>
  <c r="AT377" i="27" s="1"/>
  <c r="AG899" i="27"/>
  <c r="AN899" i="27" s="1"/>
  <c r="AT899" i="27" s="1"/>
  <c r="AG695" i="27"/>
  <c r="AN695" i="27" s="1"/>
  <c r="AT695" i="27" s="1"/>
  <c r="AG792" i="27"/>
  <c r="AN792" i="27" s="1"/>
  <c r="AT792" i="27" s="1"/>
  <c r="AG311" i="27"/>
  <c r="AN311" i="27" s="1"/>
  <c r="AT311" i="27" s="1"/>
  <c r="AG414" i="27"/>
  <c r="AN414" i="27" s="1"/>
  <c r="AT414" i="27" s="1"/>
  <c r="AG609" i="27"/>
  <c r="AN609" i="27" s="1"/>
  <c r="AT609" i="27" s="1"/>
  <c r="AG867" i="27"/>
  <c r="AN867" i="27" s="1"/>
  <c r="AT867" i="27" s="1"/>
  <c r="AG755" i="27"/>
  <c r="AN755" i="27" s="1"/>
  <c r="AT755" i="27" s="1"/>
  <c r="AG688" i="27"/>
  <c r="AN688" i="27" s="1"/>
  <c r="AT688" i="27" s="1"/>
  <c r="AG973" i="27"/>
  <c r="AN973" i="27" s="1"/>
  <c r="AT973" i="27" s="1"/>
  <c r="AG325" i="27"/>
  <c r="AN325" i="27" s="1"/>
  <c r="AT325" i="27" s="1"/>
  <c r="AG1059" i="27"/>
  <c r="AN1059" i="27" s="1"/>
  <c r="AT1059" i="27" s="1"/>
  <c r="AG440" i="27"/>
  <c r="AN440" i="27" s="1"/>
  <c r="AT440" i="27" s="1"/>
  <c r="AG288" i="27"/>
  <c r="AN288" i="27" s="1"/>
  <c r="AT288" i="27" s="1"/>
  <c r="AG1214" i="27"/>
  <c r="AN1214" i="27" s="1"/>
  <c r="AT1214" i="27" s="1"/>
  <c r="AG1225" i="27"/>
  <c r="AN1225" i="27" s="1"/>
  <c r="AT1225" i="27" s="1"/>
  <c r="AG531" i="27"/>
  <c r="AN531" i="27" s="1"/>
  <c r="AT531" i="27" s="1"/>
  <c r="AG1122" i="27"/>
  <c r="AN1122" i="27" s="1"/>
  <c r="AT1122" i="27" s="1"/>
  <c r="AG528" i="27"/>
  <c r="AN528" i="27" s="1"/>
  <c r="AT528" i="27" s="1"/>
  <c r="AG657" i="27"/>
  <c r="AG766" i="27"/>
  <c r="AN766" i="27" s="1"/>
  <c r="AG447" i="27"/>
  <c r="AN447" i="27" s="1"/>
  <c r="AT447" i="27" s="1"/>
  <c r="AG802" i="27"/>
  <c r="AN802" i="27" s="1"/>
  <c r="AT802" i="27" s="1"/>
  <c r="AG285" i="27"/>
  <c r="AN285" i="27" s="1"/>
  <c r="AT285" i="27" s="1"/>
  <c r="AG1248" i="27"/>
  <c r="AN1248" i="27" s="1"/>
  <c r="AT1248" i="27" s="1"/>
  <c r="AG431" i="27"/>
  <c r="AN431" i="27" s="1"/>
  <c r="AT431" i="27" s="1"/>
  <c r="AG603" i="27"/>
  <c r="AN603" i="27" s="1"/>
  <c r="AT603" i="27" s="1"/>
  <c r="AG1175" i="27"/>
  <c r="AN1175" i="27" s="1"/>
  <c r="AT1175" i="27" s="1"/>
  <c r="AG1200" i="27"/>
  <c r="AN1200" i="27" s="1"/>
  <c r="AT1200" i="27" s="1"/>
  <c r="AG532" i="27"/>
  <c r="AN532" i="27" s="1"/>
  <c r="AT532" i="27" s="1"/>
  <c r="AG358" i="27"/>
  <c r="AN358" i="27" s="1"/>
  <c r="AT358" i="27" s="1"/>
  <c r="AG452" i="27"/>
  <c r="AN452" i="27" s="1"/>
  <c r="AT452" i="27" s="1"/>
  <c r="AG424" i="27"/>
  <c r="AN424" i="27" s="1"/>
  <c r="AT424" i="27" s="1"/>
  <c r="AG309" i="27"/>
  <c r="AN309" i="27" s="1"/>
  <c r="AT309" i="27" s="1"/>
  <c r="AG627" i="27"/>
  <c r="AN627" i="27" s="1"/>
  <c r="AT627" i="27" s="1"/>
  <c r="AG860" i="27"/>
  <c r="AN860" i="27" s="1"/>
  <c r="AG720" i="27"/>
  <c r="AN720" i="27" s="1"/>
  <c r="AT720" i="27" s="1"/>
  <c r="AG444" i="27"/>
  <c r="AN444" i="27" s="1"/>
  <c r="AT444" i="27" s="1"/>
  <c r="AG580" i="27"/>
  <c r="AN580" i="27" s="1"/>
  <c r="AT580" i="27" s="1"/>
  <c r="AG875" i="27"/>
  <c r="AG736" i="27"/>
  <c r="AN736" i="27" s="1"/>
  <c r="AT736" i="27" s="1"/>
  <c r="AG715" i="27"/>
  <c r="AN715" i="27" s="1"/>
  <c r="AT715" i="27" s="1"/>
  <c r="AG731" i="27"/>
  <c r="AN731" i="27" s="1"/>
  <c r="AT731" i="27" s="1"/>
  <c r="AG607" i="27"/>
  <c r="AN607" i="27" s="1"/>
  <c r="AT607" i="27" s="1"/>
  <c r="AG475" i="27"/>
  <c r="AN475" i="27" s="1"/>
  <c r="AT475" i="27" s="1"/>
  <c r="AG1009" i="27"/>
  <c r="AN1009" i="27" s="1"/>
  <c r="AG923" i="27"/>
  <c r="AG407" i="27"/>
  <c r="AN407" i="27" s="1"/>
  <c r="AG426" i="27"/>
  <c r="AN426" i="27" s="1"/>
  <c r="AT426" i="27" s="1"/>
  <c r="AG849" i="27"/>
  <c r="AN849" i="27" s="1"/>
  <c r="AT849" i="27" s="1"/>
  <c r="AG718" i="27"/>
  <c r="AN718" i="27" s="1"/>
  <c r="AT718" i="27" s="1"/>
  <c r="AG729" i="27"/>
  <c r="AN729" i="27" s="1"/>
  <c r="AT729" i="27" s="1"/>
  <c r="AG1162" i="27"/>
  <c r="AN1162" i="27" s="1"/>
  <c r="AT1162" i="27" s="1"/>
  <c r="AG462" i="27"/>
  <c r="AN462" i="27" s="1"/>
  <c r="AT462" i="27" s="1"/>
  <c r="AG1010" i="27"/>
  <c r="AN1010" i="27" s="1"/>
  <c r="AT1010" i="27" s="1"/>
  <c r="AG1021" i="27"/>
  <c r="AN1021" i="27" s="1"/>
  <c r="AT1021" i="27" s="1"/>
  <c r="AG557" i="27"/>
  <c r="AG400" i="27"/>
  <c r="AN400" i="27" s="1"/>
  <c r="AT400" i="27" s="1"/>
  <c r="AG972" i="27"/>
  <c r="AN972" i="27" s="1"/>
  <c r="AT972" i="27" s="1"/>
  <c r="AG645" i="27"/>
  <c r="AN645" i="27" s="1"/>
  <c r="AT645" i="27" s="1"/>
  <c r="AG304" i="27"/>
  <c r="AN304" i="27" s="1"/>
  <c r="AT304" i="27" s="1"/>
  <c r="AG856" i="27"/>
  <c r="AG293" i="27"/>
  <c r="AN293" i="27" s="1"/>
  <c r="AT293" i="27" s="1"/>
  <c r="AG1199" i="27"/>
  <c r="AN1199" i="27" s="1"/>
  <c r="AT1199" i="27" s="1"/>
  <c r="AG1216" i="27"/>
  <c r="AN1216" i="27" s="1"/>
  <c r="AT1216" i="27" s="1"/>
  <c r="AG642" i="27"/>
  <c r="AN642" i="27" s="1"/>
  <c r="AT642" i="27" s="1"/>
  <c r="AG349" i="27"/>
  <c r="AN349" i="27" s="1"/>
  <c r="AT349" i="27" s="1"/>
  <c r="AG821" i="27"/>
  <c r="AN821" i="27" s="1"/>
  <c r="AT821" i="27" s="1"/>
  <c r="AG668" i="27"/>
  <c r="AG669" i="27"/>
  <c r="AG690" i="27"/>
  <c r="AN690" i="27" s="1"/>
  <c r="AT690" i="27" s="1"/>
  <c r="AG594" i="27"/>
  <c r="AN594" i="27" s="1"/>
  <c r="AT594" i="27" s="1"/>
  <c r="AG363" i="27"/>
  <c r="AN363" i="27" s="1"/>
  <c r="AT363" i="27" s="1"/>
  <c r="AG1034" i="27"/>
  <c r="AN1034" i="27" s="1"/>
  <c r="AT1034" i="27" s="1"/>
  <c r="AG525" i="27"/>
  <c r="AG512" i="27"/>
  <c r="AN512" i="27" s="1"/>
  <c r="AT512" i="27" s="1"/>
  <c r="AG559" i="27"/>
  <c r="AG324" i="27"/>
  <c r="AN324" i="27" s="1"/>
  <c r="AT324" i="27" s="1"/>
  <c r="AG829" i="27"/>
  <c r="AN829" i="27" s="1"/>
  <c r="AT829" i="27" s="1"/>
  <c r="AG855" i="27"/>
  <c r="AN855" i="27" s="1"/>
  <c r="AT855" i="27" s="1"/>
  <c r="AG783" i="27"/>
  <c r="AN783" i="27" s="1"/>
  <c r="AT783" i="27" s="1"/>
  <c r="AG670" i="27"/>
  <c r="AN670" i="27" s="1"/>
  <c r="AT670" i="27" s="1"/>
  <c r="AG318" i="27"/>
  <c r="AN318" i="27" s="1"/>
  <c r="AT318" i="27" s="1"/>
  <c r="AG917" i="27"/>
  <c r="AN917" i="27" s="1"/>
  <c r="AT917" i="27" s="1"/>
  <c r="AG1155" i="27"/>
  <c r="AN1155" i="27" s="1"/>
  <c r="AT1155" i="27" s="1"/>
  <c r="AG1241" i="27"/>
  <c r="AN1241" i="27" s="1"/>
  <c r="AT1241" i="27" s="1"/>
  <c r="AG1219" i="27"/>
  <c r="AN1219" i="27" s="1"/>
  <c r="AT1219" i="27" s="1"/>
  <c r="AG502" i="27"/>
  <c r="AN502" i="27" s="1"/>
  <c r="AT502" i="27" s="1"/>
  <c r="AG1037" i="27"/>
  <c r="AN1037" i="27" s="1"/>
  <c r="AT1037" i="27" s="1"/>
  <c r="AG408" i="27"/>
  <c r="AG596" i="27"/>
  <c r="AN596" i="27" s="1"/>
  <c r="AT596" i="27" s="1"/>
  <c r="AG742" i="27"/>
  <c r="AN742" i="27" s="1"/>
  <c r="AG1062" i="27"/>
  <c r="AN1062" i="27" s="1"/>
  <c r="AT1062" i="27" s="1"/>
  <c r="AG891" i="27"/>
  <c r="AN891" i="27" s="1"/>
  <c r="AT891" i="27" s="1"/>
  <c r="AG1224" i="27"/>
  <c r="AN1224" i="27" s="1"/>
  <c r="AT1224" i="27" s="1"/>
  <c r="AG509" i="27"/>
  <c r="AN509" i="27" s="1"/>
  <c r="AT509" i="27" s="1"/>
  <c r="AG495" i="27"/>
  <c r="AN495" i="27" s="1"/>
  <c r="AT495" i="27" s="1"/>
  <c r="AG351" i="27"/>
  <c r="AN351" i="27" s="1"/>
  <c r="AT351" i="27" s="1"/>
  <c r="AG685" i="27"/>
  <c r="AN685" i="27" s="1"/>
  <c r="AT685" i="27" s="1"/>
  <c r="AG581" i="27"/>
  <c r="AN581" i="27" s="1"/>
  <c r="AT581" i="27" s="1"/>
  <c r="AG753" i="27"/>
  <c r="AN753" i="27" s="1"/>
  <c r="AT753" i="27" s="1"/>
  <c r="AG913" i="27"/>
  <c r="AN913" i="27" s="1"/>
  <c r="AT913" i="27" s="1"/>
  <c r="AG664" i="27"/>
  <c r="AN664" i="27" s="1"/>
  <c r="AG585" i="27"/>
  <c r="AG576" i="27"/>
  <c r="AN576" i="27" s="1"/>
  <c r="AT576" i="27" s="1"/>
  <c r="AG880" i="27"/>
  <c r="AG332" i="27"/>
  <c r="AN332" i="27" s="1"/>
  <c r="AT332" i="27" s="1"/>
  <c r="AG1166" i="27"/>
  <c r="AN1166" i="27" s="1"/>
  <c r="AT1166" i="27" s="1"/>
  <c r="AG1222" i="27"/>
  <c r="AN1222" i="27" s="1"/>
  <c r="AT1222" i="27" s="1"/>
  <c r="AG1245" i="27"/>
  <c r="AN1245" i="27" s="1"/>
  <c r="AT1245" i="27" s="1"/>
  <c r="AG479" i="27"/>
  <c r="AG507" i="27"/>
  <c r="AN507" i="27" s="1"/>
  <c r="AT507" i="27" s="1"/>
  <c r="AG1005" i="27"/>
  <c r="AG924" i="27"/>
  <c r="AN924" i="27" s="1"/>
  <c r="AT924" i="27" s="1"/>
  <c r="AG1044" i="27"/>
  <c r="AN1044" i="27" s="1"/>
  <c r="AT1044" i="27" s="1"/>
  <c r="AG542" i="27"/>
  <c r="AN542" i="27" s="1"/>
  <c r="AT542" i="27" s="1"/>
  <c r="AG494" i="27"/>
  <c r="AN494" i="27" s="1"/>
  <c r="AT494" i="27" s="1"/>
  <c r="AG472" i="27"/>
  <c r="AN472" i="27" s="1"/>
  <c r="AT472" i="27" s="1"/>
  <c r="AG432" i="27"/>
  <c r="AN432" i="27" s="1"/>
  <c r="AT432" i="27" s="1"/>
  <c r="AG703" i="27"/>
  <c r="AG677" i="27"/>
  <c r="AN677" i="27" s="1"/>
  <c r="AT677" i="27" s="1"/>
  <c r="AG900" i="27"/>
  <c r="AN900" i="27" s="1"/>
  <c r="AT900" i="27" s="1"/>
  <c r="AG1174" i="27"/>
  <c r="AN1174" i="27" s="1"/>
  <c r="AT1174" i="27" s="1"/>
  <c r="AG455" i="27"/>
  <c r="AN455" i="27" s="1"/>
  <c r="AT455" i="27" s="1"/>
  <c r="AG518" i="27"/>
  <c r="AN518" i="27" s="1"/>
  <c r="AT518" i="27" s="1"/>
  <c r="AG500" i="27"/>
  <c r="AN500" i="27" s="1"/>
  <c r="AT500" i="27" s="1"/>
  <c r="AG513" i="27"/>
  <c r="AN513" i="27" s="1"/>
  <c r="AT513" i="27" s="1"/>
  <c r="AG550" i="27"/>
  <c r="AN550" i="27" s="1"/>
  <c r="AT550" i="27" s="1"/>
  <c r="AG415" i="27"/>
  <c r="AN415" i="27" s="1"/>
  <c r="AT415" i="27" s="1"/>
  <c r="AG297" i="27"/>
  <c r="AN297" i="27" s="1"/>
  <c r="AT297" i="27" s="1"/>
  <c r="AG367" i="27"/>
  <c r="AN367" i="27" s="1"/>
  <c r="AT367" i="27" s="1"/>
  <c r="AG940" i="27"/>
  <c r="AN940" i="27" s="1"/>
  <c r="AT940" i="27" s="1"/>
  <c r="AG292" i="27"/>
  <c r="AN292" i="27" s="1"/>
  <c r="AT292" i="27" s="1"/>
  <c r="AG885" i="27"/>
  <c r="AN885" i="27" s="1"/>
  <c r="AG711" i="27"/>
  <c r="AN711" i="27" s="1"/>
  <c r="AT711" i="27" s="1"/>
  <c r="AG872" i="27"/>
  <c r="AG921" i="27"/>
  <c r="AN921" i="27" s="1"/>
  <c r="AT921" i="27" s="1"/>
  <c r="AG1246" i="27"/>
  <c r="AN1246" i="27" s="1"/>
  <c r="AT1246" i="27" s="1"/>
  <c r="AG1209" i="27"/>
  <c r="AN1209" i="27" s="1"/>
  <c r="AT1209" i="27" s="1"/>
  <c r="AG459" i="27"/>
  <c r="AN459" i="27" s="1"/>
  <c r="AT459" i="27" s="1"/>
  <c r="AG503" i="27"/>
  <c r="AN503" i="27" s="1"/>
  <c r="AT503" i="27" s="1"/>
  <c r="AG1015" i="27"/>
  <c r="AN1015" i="27" s="1"/>
  <c r="AT1015" i="27" s="1"/>
  <c r="AG932" i="27"/>
  <c r="AN932" i="27" s="1"/>
  <c r="AG527" i="27"/>
  <c r="AN527" i="27" s="1"/>
  <c r="AT527" i="27" s="1"/>
  <c r="AG371" i="27"/>
  <c r="AN371" i="27" s="1"/>
  <c r="AT371" i="27" s="1"/>
  <c r="AG788" i="27"/>
  <c r="AN788" i="27" s="1"/>
  <c r="AT788" i="27" s="1"/>
  <c r="AG1105" i="27"/>
  <c r="AN1105" i="27" s="1"/>
  <c r="AT1105" i="27" s="1"/>
  <c r="AG593" i="27"/>
  <c r="AN593" i="27" s="1"/>
  <c r="AT593" i="27" s="1"/>
  <c r="AG280" i="27"/>
  <c r="AN280" i="27" s="1"/>
  <c r="AT280" i="27" s="1"/>
  <c r="AG1190" i="27"/>
  <c r="AN1190" i="27" s="1"/>
  <c r="AT1190" i="27" s="1"/>
  <c r="AG1232" i="27"/>
  <c r="AN1232" i="27" s="1"/>
  <c r="AT1232" i="27" s="1"/>
  <c r="AG1220" i="27"/>
  <c r="AN1220" i="27" s="1"/>
  <c r="AT1220" i="27" s="1"/>
  <c r="AG1097" i="27"/>
  <c r="AN1097" i="27" s="1"/>
  <c r="AT1097" i="27" s="1"/>
  <c r="AG505" i="27"/>
  <c r="AN505" i="27" s="1"/>
  <c r="AT505" i="27" s="1"/>
  <c r="AG933" i="27"/>
  <c r="AN933" i="27" s="1"/>
  <c r="AT933" i="27" s="1"/>
  <c r="AG1123" i="27"/>
  <c r="AN1123" i="27" s="1"/>
  <c r="AT1123" i="27" s="1"/>
  <c r="AG1117" i="27"/>
  <c r="AN1117" i="27" s="1"/>
  <c r="AT1117" i="27" s="1"/>
  <c r="AG355" i="27"/>
  <c r="AN355" i="27" s="1"/>
  <c r="AT355" i="27" s="1"/>
  <c r="AG370" i="27"/>
  <c r="AN370" i="27" s="1"/>
  <c r="AT370" i="27" s="1"/>
  <c r="AG368" i="27"/>
  <c r="AN368" i="27" s="1"/>
  <c r="AT368" i="27" s="1"/>
  <c r="AG901" i="27"/>
  <c r="AG762" i="27"/>
  <c r="AN762" i="27" s="1"/>
  <c r="AT762" i="27" s="1"/>
  <c r="AG739" i="27"/>
  <c r="AN739" i="27" s="1"/>
  <c r="AT739" i="27" s="1"/>
  <c r="AG838" i="27"/>
  <c r="AN838" i="27" s="1"/>
  <c r="AT838" i="27" s="1"/>
  <c r="AG869" i="27"/>
  <c r="AN869" i="27" s="1"/>
  <c r="AT869" i="27" s="1"/>
  <c r="AG791" i="27"/>
  <c r="AN791" i="27" s="1"/>
  <c r="AT791" i="27" s="1"/>
  <c r="AG647" i="27"/>
  <c r="AN647" i="27" s="1"/>
  <c r="AT647" i="27" s="1"/>
  <c r="AG1251" i="27"/>
  <c r="AN1251" i="27" s="1"/>
  <c r="AT1251" i="27" s="1"/>
  <c r="AG481" i="27"/>
  <c r="AN481" i="27" s="1"/>
  <c r="AT481" i="27" s="1"/>
  <c r="AG741" i="27"/>
  <c r="AN741" i="27" s="1"/>
  <c r="AG1013" i="27"/>
  <c r="AN1013" i="27" s="1"/>
  <c r="AT1013" i="27" s="1"/>
  <c r="AG640" i="27"/>
  <c r="AN640" i="27" s="1"/>
  <c r="AT640" i="27" s="1"/>
  <c r="AG553" i="27"/>
  <c r="AN553" i="27" s="1"/>
  <c r="AT553" i="27" s="1"/>
  <c r="AG549" i="27"/>
  <c r="AN549" i="27" s="1"/>
  <c r="AT549" i="27" s="1"/>
  <c r="AG884" i="27"/>
  <c r="AN884" i="27" s="1"/>
  <c r="AT884" i="27" s="1"/>
  <c r="AG763" i="27"/>
  <c r="AN763" i="27" s="1"/>
  <c r="AG601" i="27"/>
  <c r="AN601" i="27" s="1"/>
  <c r="AT601" i="27" s="1"/>
  <c r="AG579" i="27"/>
  <c r="AN579" i="27" s="1"/>
  <c r="AT579" i="27" s="1"/>
  <c r="AG448" i="27"/>
  <c r="AN448" i="27" s="1"/>
  <c r="AT448" i="27" s="1"/>
  <c r="AG1054" i="27"/>
  <c r="AG776" i="27"/>
  <c r="AG667" i="27"/>
  <c r="AN667" i="27" s="1"/>
  <c r="AT667" i="27" s="1"/>
  <c r="AG1227" i="27"/>
  <c r="AN1227" i="27" s="1"/>
  <c r="AT1227" i="27" s="1"/>
  <c r="AG467" i="27"/>
  <c r="AN467" i="27" s="1"/>
  <c r="AT467" i="27" s="1"/>
  <c r="AG402" i="27"/>
  <c r="AN402" i="27" s="1"/>
  <c r="AT402" i="27" s="1"/>
  <c r="AG704" i="27"/>
  <c r="AN704" i="27" s="1"/>
  <c r="AG614" i="27"/>
  <c r="AN614" i="27" s="1"/>
  <c r="AT614" i="27" s="1"/>
  <c r="AG840" i="27"/>
  <c r="AN840" i="27" s="1"/>
  <c r="AG546" i="27"/>
  <c r="AN546" i="27" s="1"/>
  <c r="AT546" i="27" s="1"/>
  <c r="AG501" i="27"/>
  <c r="AG401" i="27"/>
  <c r="AN401" i="27" s="1"/>
  <c r="AT401" i="27" s="1"/>
  <c r="AG334" i="27"/>
  <c r="AN334" i="27" s="1"/>
  <c r="AT334" i="27" s="1"/>
  <c r="AG716" i="27"/>
  <c r="AN716" i="27" s="1"/>
  <c r="AT716" i="27" s="1"/>
  <c r="AG898" i="27"/>
  <c r="AN898" i="27" s="1"/>
  <c r="AT898" i="27" s="1"/>
  <c r="AG817" i="27"/>
  <c r="AN817" i="27" s="1"/>
  <c r="AT817" i="27" s="1"/>
  <c r="AG443" i="27"/>
  <c r="AN443" i="27" s="1"/>
  <c r="AT443" i="27" s="1"/>
  <c r="AG914" i="27"/>
  <c r="AN914" i="27" s="1"/>
  <c r="AT914" i="27" s="1"/>
  <c r="AG982" i="27"/>
  <c r="AN982" i="27" s="1"/>
  <c r="AT982" i="27" s="1"/>
  <c r="AG778" i="27"/>
  <c r="AN778" i="27" s="1"/>
  <c r="AG803" i="27"/>
  <c r="AN803" i="27" s="1"/>
  <c r="AG1158" i="27"/>
  <c r="AN1158" i="27" s="1"/>
  <c r="AT1158" i="27" s="1"/>
  <c r="AG1095" i="27"/>
  <c r="AN1095" i="27" s="1"/>
  <c r="AT1095" i="27" s="1"/>
  <c r="AG547" i="27"/>
  <c r="AN547" i="27" s="1"/>
  <c r="AT547" i="27" s="1"/>
  <c r="AG554" i="27"/>
  <c r="AG727" i="27"/>
  <c r="AN727" i="27" s="1"/>
  <c r="AT727" i="27" s="1"/>
  <c r="AG874" i="27"/>
  <c r="AN874" i="27" s="1"/>
  <c r="AT874" i="27" s="1"/>
  <c r="AG322" i="27"/>
  <c r="AN322" i="27" s="1"/>
  <c r="AT322" i="27" s="1"/>
  <c r="AG313" i="27"/>
  <c r="AN313" i="27" s="1"/>
  <c r="AT313" i="27" s="1"/>
  <c r="AG1250" i="27"/>
  <c r="AN1250" i="27" s="1"/>
  <c r="AT1250" i="27" s="1"/>
  <c r="E1051" i="61" l="1"/>
  <c r="E251" i="61"/>
  <c r="E1096" i="61"/>
  <c r="F5" i="23"/>
  <c r="E937" i="61"/>
  <c r="E1056" i="61"/>
  <c r="E1112" i="61"/>
  <c r="F6" i="23"/>
  <c r="E1115" i="61"/>
  <c r="E1113" i="61"/>
  <c r="AT967" i="27"/>
  <c r="E963" i="61" s="1"/>
  <c r="F24" i="66"/>
  <c r="L24" i="66" s="1"/>
  <c r="F27" i="35"/>
  <c r="L27" i="35" s="1"/>
  <c r="M27" i="35" s="1"/>
  <c r="E1111" i="61"/>
  <c r="E1027" i="61"/>
  <c r="E1114" i="61"/>
  <c r="E1116" i="61"/>
  <c r="F8" i="23"/>
  <c r="E1092" i="61"/>
  <c r="Z14" i="60"/>
  <c r="Z15" i="60"/>
  <c r="AT769" i="27"/>
  <c r="AT660" i="27"/>
  <c r="AT643" i="27"/>
  <c r="AT764" i="27"/>
  <c r="AT859" i="27"/>
  <c r="AT812" i="27"/>
  <c r="AT778" i="27"/>
  <c r="E775" i="61" s="1"/>
  <c r="AT932" i="27"/>
  <c r="AT664" i="27"/>
  <c r="AT702" i="27"/>
  <c r="AT662" i="27"/>
  <c r="AT1009" i="27"/>
  <c r="E1003" i="61" s="1"/>
  <c r="AT744" i="27"/>
  <c r="AT864" i="27"/>
  <c r="E861" i="61" s="1"/>
  <c r="AT822" i="27"/>
  <c r="E819" i="61" s="1"/>
  <c r="AT771" i="27"/>
  <c r="AT794" i="27"/>
  <c r="AT833" i="27"/>
  <c r="AT743" i="27"/>
  <c r="AT766" i="27"/>
  <c r="AT862" i="27"/>
  <c r="AT807" i="27"/>
  <c r="E804" i="61" s="1"/>
  <c r="AT839" i="27"/>
  <c r="E836" i="61" s="1"/>
  <c r="AT858" i="27"/>
  <c r="AT803" i="27"/>
  <c r="AT763" i="27"/>
  <c r="AT840" i="27"/>
  <c r="AT742" i="27"/>
  <c r="AT860" i="27"/>
  <c r="AT707" i="27"/>
  <c r="AT770" i="27"/>
  <c r="AT857" i="27"/>
  <c r="AT805" i="27"/>
  <c r="E802" i="61" s="1"/>
  <c r="AT749" i="27"/>
  <c r="AT765" i="27"/>
  <c r="AT389" i="27"/>
  <c r="AT850" i="27"/>
  <c r="AT768" i="27"/>
  <c r="AT706" i="27"/>
  <c r="AT705" i="27"/>
  <c r="AT879" i="27"/>
  <c r="E875" i="61" s="1"/>
  <c r="AT704" i="27"/>
  <c r="AT741" i="27"/>
  <c r="E738" i="61" s="1"/>
  <c r="AT806" i="27"/>
  <c r="E803" i="61" s="1"/>
  <c r="AT804" i="27"/>
  <c r="AT663" i="27"/>
  <c r="AT878" i="27"/>
  <c r="AT772" i="27"/>
  <c r="AT841" i="27"/>
  <c r="E838" i="61" s="1"/>
  <c r="AT745" i="27"/>
  <c r="AT658" i="27"/>
  <c r="AT861" i="27"/>
  <c r="AT865" i="27"/>
  <c r="AT661" i="27"/>
  <c r="E659" i="61" s="1"/>
  <c r="AT746" i="27"/>
  <c r="AT773" i="27"/>
  <c r="AT808" i="27"/>
  <c r="AT748" i="27"/>
  <c r="F14" i="23"/>
  <c r="F9" i="23"/>
  <c r="F12" i="23"/>
  <c r="F11" i="23"/>
  <c r="F13" i="23"/>
  <c r="E1206" i="61"/>
  <c r="E1211" i="61"/>
  <c r="E1098" i="61"/>
  <c r="E1048" i="61"/>
  <c r="E922" i="61"/>
  <c r="E921" i="61"/>
  <c r="E616" i="61"/>
  <c r="E1049" i="61"/>
  <c r="E250" i="61"/>
  <c r="E1106" i="61"/>
  <c r="E1221" i="61"/>
  <c r="E1213" i="61"/>
  <c r="E1218" i="61"/>
  <c r="E1210" i="61"/>
  <c r="E1205" i="61"/>
  <c r="E1200" i="61"/>
  <c r="E1095" i="61"/>
  <c r="E1220" i="61"/>
  <c r="E1207" i="61"/>
  <c r="E1203" i="61"/>
  <c r="E1076" i="61"/>
  <c r="E249" i="61"/>
  <c r="E1209" i="61"/>
  <c r="E1225" i="61"/>
  <c r="E970" i="61"/>
  <c r="E1004" i="61"/>
  <c r="E1204" i="61"/>
  <c r="E1046" i="61"/>
  <c r="E1097" i="61"/>
  <c r="E292" i="61"/>
  <c r="E1217" i="61"/>
  <c r="E967" i="61"/>
  <c r="E1208" i="61"/>
  <c r="E1053" i="61"/>
  <c r="E472" i="61"/>
  <c r="E1212" i="61"/>
  <c r="E1011" i="61"/>
  <c r="E1214" i="61"/>
  <c r="E1223" i="61"/>
  <c r="E474" i="61"/>
  <c r="E896" i="61"/>
  <c r="E1198" i="61"/>
  <c r="E933" i="61"/>
  <c r="E1050" i="61"/>
  <c r="E1222" i="61"/>
  <c r="E1107" i="61"/>
  <c r="E1216" i="61"/>
  <c r="E1197" i="61"/>
  <c r="E1109" i="61"/>
  <c r="E926" i="61"/>
  <c r="E1094" i="61"/>
  <c r="E1035" i="61"/>
  <c r="E965" i="61"/>
  <c r="E920" i="61"/>
  <c r="E1201" i="61"/>
  <c r="E924" i="61"/>
  <c r="E1227" i="61"/>
  <c r="E1226" i="61"/>
  <c r="E1026" i="61"/>
  <c r="E1108" i="61"/>
  <c r="E966" i="61"/>
  <c r="E1099" i="61"/>
  <c r="E969" i="61"/>
  <c r="E1110" i="61"/>
  <c r="E999" i="61"/>
  <c r="E968" i="61"/>
  <c r="E1219" i="61"/>
  <c r="E1224" i="61"/>
  <c r="E979" i="61"/>
  <c r="E1084" i="61"/>
  <c r="E571" i="61"/>
  <c r="E1028" i="61"/>
  <c r="E1202" i="61"/>
  <c r="E1167" i="61"/>
  <c r="E1093" i="61"/>
  <c r="E1005" i="61"/>
  <c r="E1199" i="61"/>
  <c r="E1215" i="61"/>
  <c r="E923" i="61"/>
  <c r="E1091" i="61"/>
  <c r="AN657" i="27"/>
  <c r="AN814" i="27"/>
  <c r="AN298" i="27"/>
  <c r="F57" i="66" s="1"/>
  <c r="L57" i="66" s="1"/>
  <c r="F16" i="23"/>
  <c r="F15" i="23"/>
  <c r="E683" i="61"/>
  <c r="E560" i="61"/>
  <c r="E720" i="61"/>
  <c r="E487" i="61"/>
  <c r="E1243" i="61"/>
  <c r="E917" i="61"/>
  <c r="E438" i="61"/>
  <c r="E523" i="61"/>
  <c r="E1188" i="61"/>
  <c r="E732" i="61"/>
  <c r="E1037" i="61"/>
  <c r="E1121" i="61"/>
  <c r="E293" i="61"/>
  <c r="E1128" i="61"/>
  <c r="E458" i="61"/>
  <c r="E427" i="61"/>
  <c r="E513" i="61"/>
  <c r="E430" i="61"/>
  <c r="E1180" i="61"/>
  <c r="E401" i="61"/>
  <c r="E1072" i="61"/>
  <c r="E1231" i="61"/>
  <c r="E1065" i="61"/>
  <c r="E863" i="61"/>
  <c r="E366" i="61"/>
  <c r="E607" i="61"/>
  <c r="E441" i="61"/>
  <c r="E344" i="61"/>
  <c r="E1134" i="61"/>
  <c r="E281" i="61"/>
  <c r="E1259" i="61"/>
  <c r="E754" i="61"/>
  <c r="E717" i="61"/>
  <c r="E1090" i="61"/>
  <c r="E569" i="61"/>
  <c r="E1168" i="61"/>
  <c r="E1173" i="61"/>
  <c r="E1123" i="61"/>
  <c r="E784" i="61"/>
  <c r="E1160" i="61"/>
  <c r="E463" i="61"/>
  <c r="E1131" i="61"/>
  <c r="E367" i="61"/>
  <c r="E454" i="61"/>
  <c r="E1252" i="61"/>
  <c r="E760" i="61"/>
  <c r="E788" i="61"/>
  <c r="E964" i="61"/>
  <c r="E994" i="61"/>
  <c r="E459" i="61"/>
  <c r="E792" i="61"/>
  <c r="E496" i="61"/>
  <c r="E750" i="61"/>
  <c r="E1183" i="61"/>
  <c r="E333" i="61"/>
  <c r="E486" i="61"/>
  <c r="E382" i="61"/>
  <c r="E618" i="61"/>
  <c r="E869" i="61"/>
  <c r="E867" i="61"/>
  <c r="E413" i="61"/>
  <c r="E729" i="61"/>
  <c r="E541" i="61"/>
  <c r="E640" i="61"/>
  <c r="E962" i="61"/>
  <c r="E1253" i="61"/>
  <c r="E304" i="61"/>
  <c r="E432" i="61"/>
  <c r="E402" i="61"/>
  <c r="E440" i="61"/>
  <c r="E1126" i="61"/>
  <c r="E610" i="61"/>
  <c r="E327" i="61"/>
  <c r="E1163" i="61"/>
  <c r="E517" i="61"/>
  <c r="E829" i="61"/>
  <c r="E406" i="61"/>
  <c r="E1232" i="61"/>
  <c r="E791" i="61"/>
  <c r="E278" i="61"/>
  <c r="E1159" i="61"/>
  <c r="E492" i="61"/>
  <c r="E314" i="61"/>
  <c r="E457" i="61"/>
  <c r="E1247" i="61"/>
  <c r="E1124" i="61"/>
  <c r="E385" i="61"/>
  <c r="E582" i="61"/>
  <c r="E464" i="61"/>
  <c r="E1063" i="61"/>
  <c r="E356" i="61"/>
  <c r="E1261" i="61"/>
  <c r="E352" i="61"/>
  <c r="E1140" i="61"/>
  <c r="E1019" i="61"/>
  <c r="E1132" i="61"/>
  <c r="E562" i="61"/>
  <c r="E721" i="61"/>
  <c r="E494" i="61"/>
  <c r="E625" i="61"/>
  <c r="E708" i="61"/>
  <c r="E1269" i="61"/>
  <c r="E1166" i="61"/>
  <c r="E745" i="61"/>
  <c r="E590" i="61"/>
  <c r="E519" i="61"/>
  <c r="E307" i="61"/>
  <c r="E723" i="61"/>
  <c r="E1102" i="61"/>
  <c r="E1129" i="61"/>
  <c r="E1233" i="61"/>
  <c r="E821" i="61"/>
  <c r="E331" i="61"/>
  <c r="E673" i="61"/>
  <c r="E311" i="61"/>
  <c r="E378" i="61"/>
  <c r="E360" i="61"/>
  <c r="E1138" i="61"/>
  <c r="E843" i="61"/>
  <c r="E725" i="61"/>
  <c r="E991" i="61"/>
  <c r="E465" i="61"/>
  <c r="E363" i="61"/>
  <c r="E617" i="61"/>
  <c r="E1135" i="61"/>
  <c r="E752" i="61"/>
  <c r="E1147" i="61"/>
  <c r="E274" i="61"/>
  <c r="E621" i="61"/>
  <c r="E685" i="61"/>
  <c r="E1100" i="61"/>
  <c r="E790" i="61"/>
  <c r="E290" i="61"/>
  <c r="E354" i="61"/>
  <c r="E1158" i="61"/>
  <c r="E439" i="61"/>
  <c r="E795" i="61"/>
  <c r="E451" i="61"/>
  <c r="E1087" i="61"/>
  <c r="E1137" i="61"/>
  <c r="E437" i="61"/>
  <c r="E953" i="61"/>
  <c r="E840" i="61"/>
  <c r="E1161" i="61"/>
  <c r="E493" i="61"/>
  <c r="E1101" i="61"/>
  <c r="E332" i="61"/>
  <c r="E820" i="61"/>
  <c r="E688" i="61"/>
  <c r="E601" i="61"/>
  <c r="E1077" i="61"/>
  <c r="E276" i="61"/>
  <c r="E295" i="61"/>
  <c r="E338" i="61"/>
  <c r="E603" i="61"/>
  <c r="E714" i="61"/>
  <c r="E1264" i="61"/>
  <c r="E651" i="61"/>
  <c r="E751" i="61"/>
  <c r="E396" i="61"/>
  <c r="E1273" i="61"/>
  <c r="E502" i="61"/>
  <c r="E812" i="61"/>
  <c r="E376" i="61"/>
  <c r="E272" i="61"/>
  <c r="E244" i="61"/>
  <c r="E370" i="61"/>
  <c r="E598" i="61"/>
  <c r="E1008" i="61"/>
  <c r="E934" i="61"/>
  <c r="E1249" i="61"/>
  <c r="E567" i="61"/>
  <c r="E578" i="61"/>
  <c r="E1189" i="61"/>
  <c r="E299" i="61"/>
  <c r="E782" i="61"/>
  <c r="E450" i="61"/>
  <c r="E1248" i="61"/>
  <c r="E353" i="61"/>
  <c r="E1186" i="61"/>
  <c r="E508" i="61"/>
  <c r="E898" i="61"/>
  <c r="E877" i="61"/>
  <c r="E319" i="61"/>
  <c r="E665" i="61"/>
  <c r="E577" i="61"/>
  <c r="E306" i="61"/>
  <c r="E335" i="61"/>
  <c r="E588" i="61"/>
  <c r="E1141" i="61"/>
  <c r="E637" i="61"/>
  <c r="E423" i="61"/>
  <c r="E397" i="61"/>
  <c r="E470" i="61"/>
  <c r="E1085" i="61"/>
  <c r="E305" i="61"/>
  <c r="E416" i="61"/>
  <c r="E1278" i="61"/>
  <c r="E325" i="61"/>
  <c r="E797" i="61"/>
  <c r="E576" i="61"/>
  <c r="E330" i="61"/>
  <c r="E302" i="61"/>
  <c r="E279" i="61"/>
  <c r="E419" i="61"/>
  <c r="E551" i="61"/>
  <c r="E906" i="61"/>
  <c r="E537" i="61"/>
  <c r="E831" i="61"/>
  <c r="E789" i="61"/>
  <c r="E870" i="61"/>
  <c r="E1144" i="61"/>
  <c r="E981" i="61"/>
  <c r="E780" i="61"/>
  <c r="E612" i="61"/>
  <c r="E992" i="61"/>
  <c r="E783" i="61"/>
  <c r="E507" i="61"/>
  <c r="E636" i="61"/>
  <c r="E1251" i="61"/>
  <c r="E586" i="61"/>
  <c r="E942" i="61"/>
  <c r="E516" i="61"/>
  <c r="E684" i="61"/>
  <c r="E1260" i="61"/>
  <c r="E1174" i="61"/>
  <c r="E936" i="61"/>
  <c r="E645" i="61"/>
  <c r="E522" i="61"/>
  <c r="E1236" i="61"/>
  <c r="E503" i="61"/>
  <c r="E914" i="61"/>
  <c r="E1120" i="61"/>
  <c r="E350" i="61"/>
  <c r="E786" i="61"/>
  <c r="E542" i="61"/>
  <c r="E315" i="61"/>
  <c r="E1080" i="61"/>
  <c r="E1103" i="61"/>
  <c r="E1038" i="61"/>
  <c r="E633" i="61"/>
  <c r="E886" i="61"/>
  <c r="E907" i="61"/>
  <c r="E1145" i="61"/>
  <c r="E448" i="61"/>
  <c r="E1130" i="61"/>
  <c r="E284" i="61"/>
  <c r="E1164" i="61"/>
  <c r="E882" i="61"/>
  <c r="E1133" i="61"/>
  <c r="E436" i="61"/>
  <c r="E776" i="61"/>
  <c r="E1228" i="61"/>
  <c r="E949" i="61"/>
  <c r="E1271" i="61"/>
  <c r="E321" i="61"/>
  <c r="E310" i="61"/>
  <c r="E384" i="61"/>
  <c r="E1193" i="61"/>
  <c r="E627" i="61"/>
  <c r="E355" i="61"/>
  <c r="E1229" i="61"/>
  <c r="E398" i="61"/>
  <c r="E337" i="61"/>
  <c r="E650" i="61"/>
  <c r="E1009" i="61"/>
  <c r="E622" i="61"/>
  <c r="E383" i="61"/>
  <c r="E827" i="61"/>
  <c r="E710" i="61"/>
  <c r="E608" i="61"/>
  <c r="E509" i="61"/>
  <c r="E300" i="61"/>
  <c r="E974" i="61"/>
  <c r="E813" i="61"/>
  <c r="E585" i="61"/>
  <c r="E449" i="61"/>
  <c r="E943" i="61"/>
  <c r="E686" i="61"/>
  <c r="E1192" i="61"/>
  <c r="E1246" i="61"/>
  <c r="E481" i="61"/>
  <c r="E399" i="61"/>
  <c r="E589" i="61"/>
  <c r="E619" i="61"/>
  <c r="E952" i="61"/>
  <c r="E798" i="61"/>
  <c r="E371" i="61"/>
  <c r="E499" i="61"/>
  <c r="E594" i="61"/>
  <c r="E488" i="61"/>
  <c r="E1187" i="61"/>
  <c r="E473" i="61"/>
  <c r="E301" i="61"/>
  <c r="E758" i="61"/>
  <c r="E635" i="61"/>
  <c r="E1275" i="61"/>
  <c r="E787" i="61"/>
  <c r="E1069" i="61"/>
  <c r="E410" i="61"/>
  <c r="E709" i="61"/>
  <c r="E1105" i="61"/>
  <c r="E653" i="61"/>
  <c r="E987" i="61"/>
  <c r="E643" i="61"/>
  <c r="E592" i="61"/>
  <c r="E345" i="61"/>
  <c r="E349" i="61"/>
  <c r="E1139" i="61"/>
  <c r="E614" i="61"/>
  <c r="E1240" i="61"/>
  <c r="E774" i="61"/>
  <c r="E884" i="61"/>
  <c r="E676" i="61"/>
  <c r="E872" i="61"/>
  <c r="E1055" i="61"/>
  <c r="E1196" i="61"/>
  <c r="E728" i="61"/>
  <c r="E546" i="61"/>
  <c r="E420" i="61"/>
  <c r="E460" i="61"/>
  <c r="E931" i="61"/>
  <c r="E889" i="61"/>
  <c r="E394" i="61"/>
  <c r="E778" i="61"/>
  <c r="E1017" i="61"/>
  <c r="E613" i="61"/>
  <c r="E1142" i="61"/>
  <c r="E1276" i="61"/>
  <c r="E615" i="61"/>
  <c r="E421" i="61"/>
  <c r="E429" i="61"/>
  <c r="E581" i="61"/>
  <c r="E291" i="61"/>
  <c r="E271" i="61"/>
  <c r="E309" i="61"/>
  <c r="E1178" i="61"/>
  <c r="E956" i="61"/>
  <c r="E647" i="61"/>
  <c r="E340" i="61"/>
  <c r="E1156" i="61"/>
  <c r="E990" i="61"/>
  <c r="E690" i="61"/>
  <c r="E531" i="61"/>
  <c r="E489" i="61"/>
  <c r="E557" i="61"/>
  <c r="E477" i="61"/>
  <c r="E1012" i="61"/>
  <c r="E348" i="61"/>
  <c r="E1182" i="61"/>
  <c r="E409" i="61"/>
  <c r="E414" i="61"/>
  <c r="E1088" i="61"/>
  <c r="E313" i="61"/>
  <c r="E510" i="61"/>
  <c r="E285" i="61"/>
  <c r="E839" i="61"/>
  <c r="E280" i="61"/>
  <c r="E600" i="61"/>
  <c r="E520" i="61"/>
  <c r="E993" i="61"/>
  <c r="E930" i="61"/>
  <c r="E587" i="61"/>
  <c r="E1152" i="61"/>
  <c r="E915" i="61"/>
  <c r="E573" i="61"/>
  <c r="E661" i="61"/>
  <c r="E1016" i="61"/>
  <c r="E842" i="61"/>
  <c r="E1172" i="61"/>
  <c r="E1241" i="61"/>
  <c r="E905" i="61"/>
  <c r="E403" i="61"/>
  <c r="E748" i="61"/>
  <c r="E844" i="61"/>
  <c r="E346" i="61"/>
  <c r="E955" i="61"/>
  <c r="E892" i="61"/>
  <c r="E1136" i="61"/>
  <c r="E365" i="61"/>
  <c r="E294" i="61"/>
  <c r="E950" i="61"/>
  <c r="E960" i="61"/>
  <c r="E814" i="61"/>
  <c r="E1234" i="61"/>
  <c r="E275" i="61"/>
  <c r="E1155" i="61"/>
  <c r="E286" i="61"/>
  <c r="E824" i="61"/>
  <c r="E597" i="61"/>
  <c r="E471" i="61"/>
  <c r="E731" i="61"/>
  <c r="E1176" i="61"/>
  <c r="E490" i="61"/>
  <c r="E628" i="61"/>
  <c r="E308" i="61"/>
  <c r="E543" i="61"/>
  <c r="E358" i="61"/>
  <c r="E623" i="61"/>
  <c r="E591" i="61"/>
  <c r="E400" i="61"/>
  <c r="E1274" i="61"/>
  <c r="E393" i="61"/>
  <c r="E1177" i="61"/>
  <c r="E359" i="61"/>
  <c r="E828" i="61"/>
  <c r="E339" i="61"/>
  <c r="E361" i="61"/>
  <c r="E747" i="61"/>
  <c r="E1150" i="61"/>
  <c r="E606" i="61"/>
  <c r="E328" i="61"/>
  <c r="E1153" i="61"/>
  <c r="E426" i="61"/>
  <c r="E957" i="61"/>
  <c r="E706" i="61"/>
  <c r="E891" i="61"/>
  <c r="E527" i="61"/>
  <c r="E534" i="61"/>
  <c r="E1083" i="61"/>
  <c r="E273" i="61"/>
  <c r="E485" i="61"/>
  <c r="E495" i="61"/>
  <c r="E415" i="61"/>
  <c r="E491" i="61"/>
  <c r="E484" i="61"/>
  <c r="E833" i="61"/>
  <c r="E575" i="61"/>
  <c r="E1165" i="61"/>
  <c r="E996" i="61"/>
  <c r="E715" i="61"/>
  <c r="E1245" i="61"/>
  <c r="E512" i="61"/>
  <c r="E948" i="61"/>
  <c r="E1079" i="61"/>
  <c r="E596" i="61"/>
  <c r="E411" i="61"/>
  <c r="E954" i="61"/>
  <c r="E971" i="61"/>
  <c r="E1125" i="61"/>
  <c r="E749" i="61"/>
  <c r="E347" i="61"/>
  <c r="E779" i="61"/>
  <c r="E1082" i="61"/>
  <c r="E713" i="61"/>
  <c r="E372" i="61"/>
  <c r="E1194" i="61"/>
  <c r="E716" i="61"/>
  <c r="E1119" i="61"/>
  <c r="E711" i="61"/>
  <c r="E387" i="61"/>
  <c r="E1262" i="61"/>
  <c r="E976" i="61"/>
  <c r="E973" i="61"/>
  <c r="E642" i="61"/>
  <c r="E317" i="61"/>
  <c r="E434" i="61"/>
  <c r="E737" i="61"/>
  <c r="E412" i="61"/>
  <c r="E825" i="61"/>
  <c r="E342" i="61"/>
  <c r="E793" i="61"/>
  <c r="E369" i="61"/>
  <c r="E693" i="61"/>
  <c r="E395" i="61"/>
  <c r="E357" i="61"/>
  <c r="E433" i="61"/>
  <c r="E1230" i="61"/>
  <c r="E288" i="61"/>
  <c r="E1127" i="61"/>
  <c r="E945" i="61"/>
  <c r="E1237" i="61"/>
  <c r="E961" i="61"/>
  <c r="E1258" i="61"/>
  <c r="E1239" i="61"/>
  <c r="E1263" i="61"/>
  <c r="E938" i="61"/>
  <c r="E570" i="61"/>
  <c r="E1277" i="61"/>
  <c r="E983" i="61"/>
  <c r="E1266" i="61"/>
  <c r="E422" i="61"/>
  <c r="E1171" i="61"/>
  <c r="E548" i="61"/>
  <c r="E1010" i="61"/>
  <c r="E380" i="61"/>
  <c r="E733" i="61"/>
  <c r="E373" i="61"/>
  <c r="E630" i="61"/>
  <c r="E848" i="61"/>
  <c r="E326" i="61"/>
  <c r="E329" i="61"/>
  <c r="E303" i="61"/>
  <c r="E626" i="61"/>
  <c r="E818" i="61"/>
  <c r="E816" i="61"/>
  <c r="E574" i="61"/>
  <c r="E442" i="61"/>
  <c r="E282" i="61"/>
  <c r="E482" i="61"/>
  <c r="E455" i="61"/>
  <c r="E1242" i="61"/>
  <c r="E644" i="61"/>
  <c r="E1190" i="61"/>
  <c r="E1185" i="61"/>
  <c r="E808" i="61"/>
  <c r="E670" i="61"/>
  <c r="E283" i="61"/>
  <c r="E985" i="61"/>
  <c r="E435" i="61"/>
  <c r="E277" i="61"/>
  <c r="E1191" i="61"/>
  <c r="E668" i="61"/>
  <c r="E1061" i="61"/>
  <c r="E381" i="61"/>
  <c r="E388" i="61"/>
  <c r="E809" i="61"/>
  <c r="E646" i="61"/>
  <c r="E624" i="61"/>
  <c r="E547" i="61"/>
  <c r="E1068" i="61"/>
  <c r="E604" i="61"/>
  <c r="E888" i="61"/>
  <c r="E1235" i="61"/>
  <c r="E1149" i="61"/>
  <c r="E672" i="61"/>
  <c r="E835" i="61"/>
  <c r="E1064" i="61"/>
  <c r="E1013" i="61"/>
  <c r="E609" i="61"/>
  <c r="E986" i="61"/>
  <c r="E593" i="61"/>
  <c r="E1184" i="61"/>
  <c r="E903" i="61"/>
  <c r="E364" i="61"/>
  <c r="E532" i="61"/>
  <c r="E866" i="61"/>
  <c r="E918" i="61"/>
  <c r="E446" i="61"/>
  <c r="E830" i="61"/>
  <c r="E518" i="61"/>
  <c r="E1015" i="61"/>
  <c r="E602" i="61"/>
  <c r="E806" i="61"/>
  <c r="E524" i="61"/>
  <c r="E753" i="61"/>
  <c r="E727" i="61"/>
  <c r="E1179" i="61"/>
  <c r="E669" i="61"/>
  <c r="E605" i="61"/>
  <c r="E1244" i="61"/>
  <c r="E1195" i="61"/>
  <c r="E336" i="61"/>
  <c r="E1162" i="61"/>
  <c r="E318" i="61"/>
  <c r="E631" i="61"/>
  <c r="E817" i="61"/>
  <c r="E504" i="61"/>
  <c r="E611" i="61"/>
  <c r="E555" i="61"/>
  <c r="E478" i="61"/>
  <c r="E323" i="61"/>
  <c r="E879" i="61"/>
  <c r="E724" i="61"/>
  <c r="E368" i="61"/>
  <c r="E978" i="61"/>
  <c r="E777" i="61"/>
  <c r="E975" i="61"/>
  <c r="E911" i="61"/>
  <c r="E418" i="61"/>
  <c r="E629" i="61"/>
  <c r="E428" i="61"/>
  <c r="E620" i="61"/>
  <c r="E1089" i="61"/>
  <c r="E528" i="61"/>
  <c r="E796" i="61"/>
  <c r="E595" i="61"/>
  <c r="E431" i="61"/>
  <c r="E988" i="61"/>
  <c r="E718" i="61"/>
  <c r="E910" i="61"/>
  <c r="E1175" i="61"/>
  <c r="E1267" i="61"/>
  <c r="E500" i="61"/>
  <c r="E1272" i="61"/>
  <c r="E890" i="61"/>
  <c r="E1238" i="61"/>
  <c r="E312" i="61"/>
  <c r="E445" i="61"/>
  <c r="E984" i="61"/>
  <c r="E561" i="61"/>
  <c r="E343" i="61"/>
  <c r="E781" i="61"/>
  <c r="E1268" i="61"/>
  <c r="E734" i="61"/>
  <c r="E362" i="61"/>
  <c r="E1146" i="61"/>
  <c r="E1078" i="61"/>
  <c r="E351" i="61"/>
  <c r="E1169" i="61"/>
  <c r="E467" i="61"/>
  <c r="E417" i="61"/>
  <c r="E785" i="61"/>
  <c r="E334" i="61"/>
  <c r="E1154" i="61"/>
  <c r="E951" i="61"/>
  <c r="E447" i="61"/>
  <c r="E959" i="61"/>
  <c r="E946" i="61"/>
  <c r="E539" i="61"/>
  <c r="E425" i="61"/>
  <c r="E1181" i="61"/>
  <c r="E712" i="61"/>
  <c r="E794" i="61"/>
  <c r="E908" i="61"/>
  <c r="E730" i="61"/>
  <c r="E379" i="61"/>
  <c r="E810" i="61"/>
  <c r="E1062" i="61"/>
  <c r="E1151" i="61"/>
  <c r="E972" i="61"/>
  <c r="E341" i="61"/>
  <c r="E895" i="61"/>
  <c r="E1031" i="61"/>
  <c r="E1081" i="61"/>
  <c r="E1104" i="61"/>
  <c r="E958" i="61"/>
  <c r="E544" i="61"/>
  <c r="E297" i="61"/>
  <c r="E1270" i="61"/>
  <c r="E456" i="61"/>
  <c r="E599" i="61"/>
  <c r="E1148" i="61"/>
  <c r="E505" i="61"/>
  <c r="E1033" i="61"/>
  <c r="E245" i="61"/>
  <c r="E989" i="61"/>
  <c r="E935" i="61"/>
  <c r="E324" i="61"/>
  <c r="E444" i="61"/>
  <c r="E1157" i="61"/>
  <c r="E846" i="61"/>
  <c r="E453" i="61"/>
  <c r="E1170" i="61"/>
  <c r="E887" i="61"/>
  <c r="E375" i="61"/>
  <c r="E374" i="61"/>
  <c r="E746" i="61"/>
  <c r="E468" i="61"/>
  <c r="E424" i="61"/>
  <c r="E1058" i="61"/>
  <c r="E1086" i="61"/>
  <c r="E322" i="61"/>
  <c r="E1250" i="61"/>
  <c r="E320" i="61"/>
  <c r="E1122" i="61"/>
  <c r="E1066" i="61"/>
  <c r="E316" i="61"/>
  <c r="E461" i="61"/>
  <c r="E1143" i="61"/>
  <c r="E772" i="61"/>
  <c r="E632" i="61"/>
  <c r="E475" i="61"/>
  <c r="E823" i="61"/>
  <c r="E443" i="61"/>
  <c r="AT885" i="27"/>
  <c r="AT289" i="27"/>
  <c r="F111" i="66"/>
  <c r="L111" i="66" s="1"/>
  <c r="AN747" i="27"/>
  <c r="AN392" i="27"/>
  <c r="F68" i="66" s="1"/>
  <c r="L68" i="66" s="1"/>
  <c r="AN564" i="27"/>
  <c r="F63" i="66"/>
  <c r="L63" i="66" s="1"/>
  <c r="AT469" i="27"/>
  <c r="F40" i="66"/>
  <c r="L40" i="66" s="1"/>
  <c r="F29" i="66"/>
  <c r="L29" i="66" s="1"/>
  <c r="AT1083" i="27"/>
  <c r="F115" i="66"/>
  <c r="L115" i="66" s="1"/>
  <c r="AT407" i="27"/>
  <c r="F42" i="66"/>
  <c r="L42" i="66" s="1"/>
  <c r="F89" i="66"/>
  <c r="L89" i="66" s="1"/>
  <c r="F67" i="66"/>
  <c r="L67" i="66" s="1"/>
  <c r="F36" i="66"/>
  <c r="L36" i="66" s="1"/>
  <c r="F101" i="66"/>
  <c r="L101" i="66" s="1"/>
  <c r="F43" i="66"/>
  <c r="L43" i="66" s="1"/>
  <c r="F41" i="66"/>
  <c r="L41" i="66" s="1"/>
  <c r="F44" i="35"/>
  <c r="F41" i="35"/>
  <c r="F38" i="66"/>
  <c r="L38" i="66" s="1"/>
  <c r="F91" i="66"/>
  <c r="L91" i="66" s="1"/>
  <c r="F37" i="66"/>
  <c r="L37" i="66" s="1"/>
  <c r="F114" i="66"/>
  <c r="L114" i="66" s="1"/>
  <c r="F30" i="66"/>
  <c r="L30" i="66" s="1"/>
  <c r="F112" i="66"/>
  <c r="L112" i="66" s="1"/>
  <c r="F66" i="66"/>
  <c r="L66" i="66" s="1"/>
  <c r="F72" i="66"/>
  <c r="L72" i="66" s="1"/>
  <c r="F90" i="66"/>
  <c r="L90" i="66" s="1"/>
  <c r="AN584" i="27"/>
  <c r="AT584" i="27" s="1"/>
  <c r="F60" i="66"/>
  <c r="L60" i="66" s="1"/>
  <c r="AN776" i="27"/>
  <c r="F26" i="66"/>
  <c r="L26" i="66" s="1"/>
  <c r="F53" i="66"/>
  <c r="L53" i="66" s="1"/>
  <c r="F15" i="66"/>
  <c r="L15" i="66" s="1"/>
  <c r="F87" i="66"/>
  <c r="L87" i="66" s="1"/>
  <c r="F108" i="66"/>
  <c r="L108" i="66" s="1"/>
  <c r="AN408" i="27"/>
  <c r="F39" i="66"/>
  <c r="L39" i="66" s="1"/>
  <c r="F85" i="66"/>
  <c r="L85" i="66" s="1"/>
  <c r="F62" i="66"/>
  <c r="L62" i="66" s="1"/>
  <c r="F110" i="66"/>
  <c r="L110" i="66" s="1"/>
  <c r="AN936" i="27"/>
  <c r="F21" i="66" s="1"/>
  <c r="L21" i="66" s="1"/>
  <c r="F84" i="66"/>
  <c r="L84" i="66" s="1"/>
  <c r="F59" i="66"/>
  <c r="L59" i="66" s="1"/>
  <c r="F9" i="66"/>
  <c r="L9" i="66" s="1"/>
  <c r="F55" i="66"/>
  <c r="L55" i="66" s="1"/>
  <c r="F109" i="66"/>
  <c r="L109" i="66" s="1"/>
  <c r="F61" i="66"/>
  <c r="L61" i="66" s="1"/>
  <c r="F113" i="66"/>
  <c r="L113" i="66" s="1"/>
  <c r="F86" i="66"/>
  <c r="L86" i="66" s="1"/>
  <c r="F43" i="35"/>
  <c r="F42" i="35"/>
  <c r="AN483" i="27"/>
  <c r="AN659" i="27"/>
  <c r="F93" i="66" s="1"/>
  <c r="L93" i="66" s="1"/>
  <c r="AN848" i="27"/>
  <c r="AT848" i="27" s="1"/>
  <c r="AN1005" i="27"/>
  <c r="AT1005" i="27" s="1"/>
  <c r="AN479" i="27"/>
  <c r="AN654" i="27"/>
  <c r="AT654" i="27" s="1"/>
  <c r="AN680" i="27"/>
  <c r="AT680" i="27" s="1"/>
  <c r="AN501" i="27"/>
  <c r="AT501" i="27" s="1"/>
  <c r="AN863" i="27"/>
  <c r="F90" i="35"/>
  <c r="F89" i="35"/>
  <c r="F87" i="35"/>
  <c r="F83" i="35"/>
  <c r="F88" i="35"/>
  <c r="F86" i="35"/>
  <c r="F82" i="35"/>
  <c r="F84" i="35"/>
  <c r="F114" i="35"/>
  <c r="F116" i="35"/>
  <c r="F115" i="35"/>
  <c r="AN515" i="27"/>
  <c r="AN1002" i="27"/>
  <c r="AT1002" i="27" s="1"/>
  <c r="AN669" i="27"/>
  <c r="AT669" i="27" s="1"/>
  <c r="AN844" i="27"/>
  <c r="F113" i="35"/>
  <c r="F117" i="35"/>
  <c r="AN872" i="27"/>
  <c r="AT872" i="27" s="1"/>
  <c r="AN684" i="27"/>
  <c r="AT684" i="27" s="1"/>
  <c r="AN525" i="27"/>
  <c r="F75" i="35"/>
  <c r="AN1039" i="27"/>
  <c r="AT1039" i="27" s="1"/>
  <c r="AN533" i="27"/>
  <c r="AT533" i="27" s="1"/>
  <c r="AN682" i="27"/>
  <c r="AT682" i="27" s="1"/>
  <c r="AN887" i="27"/>
  <c r="AT887" i="27" s="1"/>
  <c r="F18" i="35"/>
  <c r="F66" i="35"/>
  <c r="AN875" i="27"/>
  <c r="AT875" i="27" s="1"/>
  <c r="AN1032" i="27"/>
  <c r="AT1032" i="27" s="1"/>
  <c r="AN676" i="27"/>
  <c r="AT676" i="27" s="1"/>
  <c r="F104" i="35"/>
  <c r="F70" i="35"/>
  <c r="F29" i="35"/>
  <c r="F94" i="35"/>
  <c r="F45" i="35"/>
  <c r="F40" i="35"/>
  <c r="F39" i="35"/>
  <c r="F32" i="35"/>
  <c r="F46" i="35"/>
  <c r="F92" i="35"/>
  <c r="F33" i="35"/>
  <c r="F93" i="35"/>
  <c r="AN1007" i="27"/>
  <c r="AT1007" i="27" s="1"/>
  <c r="AN530" i="27"/>
  <c r="AT530" i="27" s="1"/>
  <c r="AN668" i="27"/>
  <c r="AT668" i="27" s="1"/>
  <c r="AN856" i="27"/>
  <c r="AN1031" i="27"/>
  <c r="AN880" i="27"/>
  <c r="F16" i="66" s="1"/>
  <c r="L16" i="66" s="1"/>
  <c r="AN241" i="27"/>
  <c r="AT241" i="27" s="1"/>
  <c r="AN557" i="27"/>
  <c r="AN686" i="27"/>
  <c r="AT686" i="27" s="1"/>
  <c r="D6" i="49"/>
  <c r="F6" i="49" s="1"/>
  <c r="AN725" i="27"/>
  <c r="AN923" i="27"/>
  <c r="AN585" i="27"/>
  <c r="AT585" i="27" s="1"/>
  <c r="AN1079" i="27"/>
  <c r="AN1061" i="27"/>
  <c r="AN906" i="27"/>
  <c r="AT906" i="27" s="1"/>
  <c r="AN708" i="27"/>
  <c r="AT708" i="27" s="1"/>
  <c r="AN573" i="27"/>
  <c r="AT573" i="27" s="1"/>
  <c r="AN901" i="27"/>
  <c r="AN559" i="27"/>
  <c r="AT559" i="27" s="1"/>
  <c r="AN697" i="27"/>
  <c r="AT697" i="27" s="1"/>
  <c r="D7" i="49"/>
  <c r="F7" i="49" s="1"/>
  <c r="AN1043" i="27"/>
  <c r="AT1043" i="27" s="1"/>
  <c r="AN698" i="27"/>
  <c r="AT698" i="27" s="1"/>
  <c r="AN908" i="27"/>
  <c r="AT908" i="27" s="1"/>
  <c r="AN554" i="27"/>
  <c r="AT554" i="27" s="1"/>
  <c r="D3" i="49"/>
  <c r="F3" i="49" s="1"/>
  <c r="D11" i="49"/>
  <c r="F11" i="49" s="1"/>
  <c r="D12" i="49"/>
  <c r="F12" i="49" s="1"/>
  <c r="D13" i="49"/>
  <c r="F13" i="49" s="1"/>
  <c r="D9" i="49"/>
  <c r="F9" i="49" s="1"/>
  <c r="D4" i="49"/>
  <c r="F4" i="49" s="1"/>
  <c r="AN1054" i="27"/>
  <c r="AT1054" i="27" s="1"/>
  <c r="AN703" i="27"/>
  <c r="AN555" i="27"/>
  <c r="AT555" i="27" s="1"/>
  <c r="AN916" i="27"/>
  <c r="AT916" i="27" s="1"/>
  <c r="D2" i="49"/>
  <c r="F2" i="49" s="1"/>
  <c r="D5" i="49"/>
  <c r="F5" i="49" s="1"/>
  <c r="D17" i="49"/>
  <c r="F17" i="49" s="1"/>
  <c r="D14" i="49"/>
  <c r="F14" i="49" s="1"/>
  <c r="D10" i="49"/>
  <c r="F10" i="49" s="1"/>
  <c r="D8" i="49"/>
  <c r="AG569" i="27"/>
  <c r="AG951" i="27"/>
  <c r="Q315" i="60"/>
  <c r="Y1292" i="27"/>
  <c r="AG710" i="27"/>
  <c r="AG1082" i="27"/>
  <c r="I9" i="35"/>
  <c r="I12" i="35"/>
  <c r="I8" i="35"/>
  <c r="E695" i="61" l="1"/>
  <c r="E902" i="61"/>
  <c r="E241" i="61"/>
  <c r="E289" i="61"/>
  <c r="E742" i="61"/>
  <c r="E698" i="61"/>
  <c r="E735" i="61"/>
  <c r="E638" i="61"/>
  <c r="E680" i="61"/>
  <c r="E881" i="61"/>
  <c r="E641" i="61"/>
  <c r="E1075" i="61"/>
  <c r="E469" i="61"/>
  <c r="E501" i="61"/>
  <c r="E674" i="61"/>
  <c r="E1032" i="61"/>
  <c r="E667" i="61"/>
  <c r="E740" i="61"/>
  <c r="E874" i="61"/>
  <c r="E703" i="61"/>
  <c r="E763" i="61"/>
  <c r="E832" i="61"/>
  <c r="E815" i="61"/>
  <c r="E771" i="61"/>
  <c r="E845" i="61"/>
  <c r="E678" i="61"/>
  <c r="E1025" i="61"/>
  <c r="E997" i="61"/>
  <c r="E762" i="61"/>
  <c r="E658" i="61"/>
  <c r="E533" i="61"/>
  <c r="E912" i="61"/>
  <c r="E558" i="61"/>
  <c r="E553" i="61"/>
  <c r="E572" i="61"/>
  <c r="E530" i="61"/>
  <c r="E407" i="61"/>
  <c r="E768" i="61"/>
  <c r="E858" i="61"/>
  <c r="E847" i="61"/>
  <c r="E859" i="61"/>
  <c r="E694" i="61"/>
  <c r="E584" i="61"/>
  <c r="E583" i="61"/>
  <c r="E1047" i="61"/>
  <c r="E904" i="61"/>
  <c r="E705" i="61"/>
  <c r="F7" i="23"/>
  <c r="E1001" i="61"/>
  <c r="F10" i="23"/>
  <c r="E928" i="61"/>
  <c r="E855" i="61"/>
  <c r="E770" i="61"/>
  <c r="E801" i="61"/>
  <c r="E701" i="61"/>
  <c r="E767" i="61"/>
  <c r="E871" i="61"/>
  <c r="F11" i="66"/>
  <c r="L11" i="66" s="1"/>
  <c r="Z18" i="60"/>
  <c r="AG15" i="60"/>
  <c r="Z17" i="60"/>
  <c r="Z10" i="60" s="1"/>
  <c r="Z16" i="60"/>
  <c r="Z9" i="60" s="1"/>
  <c r="Z21" i="60"/>
  <c r="Z7" i="60"/>
  <c r="Z22" i="60"/>
  <c r="Z8" i="60"/>
  <c r="E696" i="61"/>
  <c r="E756" i="61"/>
  <c r="E805" i="61"/>
  <c r="E739" i="61"/>
  <c r="E800" i="61"/>
  <c r="E743" i="61"/>
  <c r="E761" i="61"/>
  <c r="E851" i="61"/>
  <c r="E736" i="61"/>
  <c r="E757" i="61"/>
  <c r="E766" i="61"/>
  <c r="E854" i="61"/>
  <c r="E765" i="61"/>
  <c r="E799" i="61"/>
  <c r="E699" i="61"/>
  <c r="E925" i="61"/>
  <c r="E759" i="61"/>
  <c r="E764" i="61"/>
  <c r="E1002" i="61"/>
  <c r="E386" i="61"/>
  <c r="F36" i="35"/>
  <c r="L36" i="35" s="1"/>
  <c r="M36" i="35" s="1"/>
  <c r="AT659" i="27"/>
  <c r="AT863" i="27"/>
  <c r="AT703" i="27"/>
  <c r="E1023" i="61"/>
  <c r="E899" i="61"/>
  <c r="E1034" i="61"/>
  <c r="E901" i="61"/>
  <c r="E702" i="61"/>
  <c r="E1045" i="61"/>
  <c r="E1000" i="61"/>
  <c r="E692" i="61"/>
  <c r="E663" i="61"/>
  <c r="E679" i="61"/>
  <c r="E998" i="61"/>
  <c r="E529" i="61"/>
  <c r="E287" i="61"/>
  <c r="E579" i="61"/>
  <c r="E681" i="61"/>
  <c r="E498" i="61"/>
  <c r="E675" i="61"/>
  <c r="E691" i="61"/>
  <c r="E1030" i="61"/>
  <c r="E404" i="61"/>
  <c r="E240" i="61"/>
  <c r="E580" i="61"/>
  <c r="E880" i="61"/>
  <c r="E909" i="61"/>
  <c r="E526" i="61"/>
  <c r="E868" i="61"/>
  <c r="E865" i="61"/>
  <c r="E995" i="61"/>
  <c r="E671" i="61"/>
  <c r="E549" i="61"/>
  <c r="F98" i="66"/>
  <c r="L98" i="66" s="1"/>
  <c r="F18" i="66"/>
  <c r="L18" i="66" s="1"/>
  <c r="F33" i="66"/>
  <c r="L33" i="66" s="1"/>
  <c r="F19" i="35"/>
  <c r="L19" i="35" s="1"/>
  <c r="M19" i="35" s="1"/>
  <c r="AT298" i="27"/>
  <c r="AT814" i="27"/>
  <c r="AT657" i="27"/>
  <c r="Z38" i="60"/>
  <c r="Z24" i="60"/>
  <c r="C10" i="51"/>
  <c r="F10" i="51" s="1"/>
  <c r="C13" i="51"/>
  <c r="F13" i="51" s="1"/>
  <c r="C9" i="51"/>
  <c r="F9" i="51" s="1"/>
  <c r="C11" i="51"/>
  <c r="F11" i="51" s="1"/>
  <c r="C14" i="51"/>
  <c r="F14" i="51" s="1"/>
  <c r="C15" i="51"/>
  <c r="F15" i="51" s="1"/>
  <c r="C7" i="51"/>
  <c r="F7" i="51" s="1"/>
  <c r="C8" i="51"/>
  <c r="F8" i="51" s="1"/>
  <c r="F17" i="23"/>
  <c r="C6" i="51" s="1"/>
  <c r="F6" i="51" s="1"/>
  <c r="E1018" i="61"/>
  <c r="E664" i="61"/>
  <c r="E980" i="61"/>
  <c r="E850" i="61"/>
  <c r="E826" i="61"/>
  <c r="E452" i="61"/>
  <c r="E864" i="61"/>
  <c r="E639" i="61"/>
  <c r="E662" i="61"/>
  <c r="E536" i="61"/>
  <c r="E648" i="61"/>
  <c r="E514" i="61"/>
  <c r="E390" i="61"/>
  <c r="E682" i="61"/>
  <c r="E535" i="61"/>
  <c r="E554" i="61"/>
  <c r="E656" i="61"/>
  <c r="E1014" i="61"/>
  <c r="E649" i="61"/>
  <c r="E660" i="61"/>
  <c r="E862" i="61"/>
  <c r="E677" i="61"/>
  <c r="E883" i="61"/>
  <c r="E235" i="61"/>
  <c r="E566" i="61"/>
  <c r="E893" i="61"/>
  <c r="E540" i="61"/>
  <c r="E1029" i="61"/>
  <c r="E885" i="61"/>
  <c r="E687" i="61"/>
  <c r="E666" i="61"/>
  <c r="E982" i="61"/>
  <c r="E1007" i="61"/>
  <c r="E977" i="61"/>
  <c r="E634" i="61"/>
  <c r="E852" i="61"/>
  <c r="E565" i="61"/>
  <c r="F31" i="66"/>
  <c r="L31" i="66" s="1"/>
  <c r="F46" i="66"/>
  <c r="L46" i="66" s="1"/>
  <c r="F34" i="35"/>
  <c r="L34" i="35" s="1"/>
  <c r="M34" i="35" s="1"/>
  <c r="F54" i="66"/>
  <c r="L54" i="66" s="1"/>
  <c r="F96" i="66"/>
  <c r="L96" i="66" s="1"/>
  <c r="F91" i="35"/>
  <c r="L91" i="35" s="1"/>
  <c r="M91" i="35" s="1"/>
  <c r="F88" i="66"/>
  <c r="L88" i="66" s="1"/>
  <c r="F94" i="66"/>
  <c r="L94" i="66" s="1"/>
  <c r="F95" i="66"/>
  <c r="L95" i="66" s="1"/>
  <c r="F34" i="66"/>
  <c r="L34" i="66" s="1"/>
  <c r="Z36" i="60"/>
  <c r="F13" i="66"/>
  <c r="L13" i="66" s="1"/>
  <c r="F37" i="35"/>
  <c r="L37" i="35" s="1"/>
  <c r="M37" i="35" s="1"/>
  <c r="F35" i="35"/>
  <c r="L35" i="35" s="1"/>
  <c r="M35" i="35" s="1"/>
  <c r="F32" i="66"/>
  <c r="L32" i="66" s="1"/>
  <c r="AT564" i="27"/>
  <c r="AT392" i="27"/>
  <c r="AT747" i="27"/>
  <c r="Z49" i="60"/>
  <c r="Z35" i="60"/>
  <c r="Z52" i="60"/>
  <c r="L75" i="35"/>
  <c r="M75" i="35" s="1"/>
  <c r="L86" i="35"/>
  <c r="M86" i="35" s="1"/>
  <c r="L88" i="35"/>
  <c r="M88" i="35" s="1"/>
  <c r="L45" i="35"/>
  <c r="M45" i="35" s="1"/>
  <c r="L46" i="35"/>
  <c r="M46" i="35" s="1"/>
  <c r="L94" i="35"/>
  <c r="M94" i="35" s="1"/>
  <c r="L66" i="35"/>
  <c r="M66" i="35" s="1"/>
  <c r="L115" i="35"/>
  <c r="M115" i="35" s="1"/>
  <c r="L83" i="35"/>
  <c r="M83" i="35" s="1"/>
  <c r="L32" i="35"/>
  <c r="M32" i="35" s="1"/>
  <c r="L18" i="35"/>
  <c r="M18" i="35" s="1"/>
  <c r="L116" i="35"/>
  <c r="M116" i="35" s="1"/>
  <c r="L87" i="35"/>
  <c r="M87" i="35" s="1"/>
  <c r="L29" i="35"/>
  <c r="M29" i="35" s="1"/>
  <c r="L117" i="35"/>
  <c r="M117" i="35" s="1"/>
  <c r="L114" i="35"/>
  <c r="M114" i="35" s="1"/>
  <c r="L89" i="35"/>
  <c r="M89" i="35" s="1"/>
  <c r="L41" i="35"/>
  <c r="M41" i="35" s="1"/>
  <c r="L70" i="35"/>
  <c r="M70" i="35" s="1"/>
  <c r="L113" i="35"/>
  <c r="M113" i="35" s="1"/>
  <c r="L84" i="35"/>
  <c r="M84" i="35" s="1"/>
  <c r="L90" i="35"/>
  <c r="M90" i="35" s="1"/>
  <c r="L44" i="35"/>
  <c r="M44" i="35" s="1"/>
  <c r="L39" i="35"/>
  <c r="M39" i="35" s="1"/>
  <c r="L40" i="35"/>
  <c r="M40" i="35" s="1"/>
  <c r="L104" i="35"/>
  <c r="M104" i="35" s="1"/>
  <c r="L82" i="35"/>
  <c r="M82" i="35" s="1"/>
  <c r="L92" i="35"/>
  <c r="M92" i="35" s="1"/>
  <c r="L93" i="35"/>
  <c r="M93" i="35" s="1"/>
  <c r="L33" i="35"/>
  <c r="M33" i="35" s="1"/>
  <c r="L42" i="35"/>
  <c r="M42" i="35" s="1"/>
  <c r="L43" i="35"/>
  <c r="M43" i="35" s="1"/>
  <c r="F76" i="66"/>
  <c r="L76" i="66" s="1"/>
  <c r="AT557" i="27"/>
  <c r="F10" i="66"/>
  <c r="L10" i="66" s="1"/>
  <c r="AT936" i="27"/>
  <c r="F24" i="35"/>
  <c r="AT1061" i="27"/>
  <c r="F64" i="66"/>
  <c r="L64" i="66" s="1"/>
  <c r="AT479" i="27"/>
  <c r="F58" i="66"/>
  <c r="L58" i="66" s="1"/>
  <c r="AT408" i="27"/>
  <c r="F30" i="35"/>
  <c r="AT1079" i="27"/>
  <c r="AT844" i="27"/>
  <c r="BH1297" i="27"/>
  <c r="BJ1305" i="27" s="1"/>
  <c r="AT923" i="27"/>
  <c r="F104" i="66"/>
  <c r="L104" i="66" s="1"/>
  <c r="AT901" i="27"/>
  <c r="F52" i="66"/>
  <c r="L52" i="66" s="1"/>
  <c r="AT725" i="27"/>
  <c r="F103" i="66"/>
  <c r="L103" i="66" s="1"/>
  <c r="AT856" i="27"/>
  <c r="AT776" i="27"/>
  <c r="F65" i="66"/>
  <c r="L65" i="66" s="1"/>
  <c r="AT483" i="27"/>
  <c r="F96" i="35"/>
  <c r="AT880" i="27"/>
  <c r="F19" i="66"/>
  <c r="L19" i="66" s="1"/>
  <c r="AT1031" i="27"/>
  <c r="F118" i="35"/>
  <c r="AT525" i="27"/>
  <c r="F70" i="66"/>
  <c r="L70" i="66" s="1"/>
  <c r="AT515" i="27"/>
  <c r="F6" i="66"/>
  <c r="L6" i="66" s="1"/>
  <c r="F25" i="66"/>
  <c r="L25" i="66" s="1"/>
  <c r="F107" i="66"/>
  <c r="L107" i="66" s="1"/>
  <c r="F27" i="66"/>
  <c r="L27" i="66" s="1"/>
  <c r="F71" i="66"/>
  <c r="L71" i="66" s="1"/>
  <c r="F106" i="66"/>
  <c r="L106" i="66" s="1"/>
  <c r="F73" i="66"/>
  <c r="L73" i="66" s="1"/>
  <c r="F28" i="35"/>
  <c r="F106" i="35"/>
  <c r="F8" i="66"/>
  <c r="L8" i="66" s="1"/>
  <c r="F109" i="35"/>
  <c r="F69" i="66"/>
  <c r="L69" i="66" s="1"/>
  <c r="F77" i="66"/>
  <c r="L77" i="66" s="1"/>
  <c r="F102" i="66"/>
  <c r="L102" i="66" s="1"/>
  <c r="F92" i="66"/>
  <c r="L92" i="66" s="1"/>
  <c r="F47" i="66"/>
  <c r="L47" i="66" s="1"/>
  <c r="F5" i="66"/>
  <c r="F23" i="35"/>
  <c r="F20" i="66"/>
  <c r="L20" i="66" s="1"/>
  <c r="F17" i="66"/>
  <c r="L17" i="66" s="1"/>
  <c r="F100" i="66"/>
  <c r="L100" i="66" s="1"/>
  <c r="F56" i="66"/>
  <c r="L56" i="66" s="1"/>
  <c r="F14" i="66"/>
  <c r="L14" i="66" s="1"/>
  <c r="F44" i="66"/>
  <c r="L44" i="66" s="1"/>
  <c r="F105" i="66"/>
  <c r="L105" i="66" s="1"/>
  <c r="F74" i="66"/>
  <c r="L74" i="66" s="1"/>
  <c r="F82" i="66"/>
  <c r="L82" i="66" s="1"/>
  <c r="AJ53" i="60"/>
  <c r="I22" i="35"/>
  <c r="F22" i="35"/>
  <c r="F76" i="35"/>
  <c r="F74" i="35"/>
  <c r="F85" i="35"/>
  <c r="F108" i="35"/>
  <c r="Z66" i="60"/>
  <c r="Z63" i="60"/>
  <c r="Z65" i="60"/>
  <c r="Z91" i="60"/>
  <c r="Z77" i="60"/>
  <c r="BI1296" i="27"/>
  <c r="BH1296" i="27"/>
  <c r="F61" i="35"/>
  <c r="F68" i="35"/>
  <c r="F73" i="35"/>
  <c r="Z95" i="60"/>
  <c r="F110" i="35"/>
  <c r="F55" i="35"/>
  <c r="Z108" i="60"/>
  <c r="Z106" i="60"/>
  <c r="Z117" i="60"/>
  <c r="Z119" i="60"/>
  <c r="Z105" i="60"/>
  <c r="AJ108" i="60"/>
  <c r="AQ1292" i="27"/>
  <c r="I95" i="35"/>
  <c r="F69" i="35"/>
  <c r="F62" i="35"/>
  <c r="F47" i="35"/>
  <c r="Z107" i="60"/>
  <c r="Z133" i="60"/>
  <c r="F14" i="35"/>
  <c r="F97" i="35"/>
  <c r="Z135" i="60"/>
  <c r="Z120" i="60"/>
  <c r="Z122" i="60"/>
  <c r="BB1297" i="27"/>
  <c r="F80" i="35"/>
  <c r="F101" i="35"/>
  <c r="F20" i="35"/>
  <c r="F58" i="35"/>
  <c r="Z149" i="60"/>
  <c r="Z148" i="60"/>
  <c r="Z161" i="60"/>
  <c r="Z147" i="60"/>
  <c r="F98" i="35"/>
  <c r="F56" i="35"/>
  <c r="F77" i="35"/>
  <c r="F60" i="35"/>
  <c r="F95" i="35"/>
  <c r="Z163" i="60"/>
  <c r="Z162" i="60"/>
  <c r="Z165" i="60"/>
  <c r="Z175" i="60"/>
  <c r="F107" i="35"/>
  <c r="F57" i="35"/>
  <c r="F79" i="35"/>
  <c r="F112" i="35"/>
  <c r="F111" i="35"/>
  <c r="F99" i="35"/>
  <c r="Z177" i="60"/>
  <c r="F59" i="35"/>
  <c r="Z187" i="60"/>
  <c r="F63" i="35"/>
  <c r="F11" i="35"/>
  <c r="Z191" i="60"/>
  <c r="Z176" i="60"/>
  <c r="Z203" i="60"/>
  <c r="Z189" i="60"/>
  <c r="Z215" i="60"/>
  <c r="Z204" i="60"/>
  <c r="Z206" i="60"/>
  <c r="Z233" i="60"/>
  <c r="Z217" i="60"/>
  <c r="Z246" i="60"/>
  <c r="Z234" i="60"/>
  <c r="Z247" i="60"/>
  <c r="Z261" i="60"/>
  <c r="Z262" i="60"/>
  <c r="Z275" i="60"/>
  <c r="Z276" i="60"/>
  <c r="D15" i="49"/>
  <c r="F15" i="49" s="1"/>
  <c r="Z288" i="60"/>
  <c r="Z302" i="60"/>
  <c r="Z327" i="60"/>
  <c r="Q330" i="60"/>
  <c r="Q316" i="60"/>
  <c r="Q332" i="60"/>
  <c r="Q318" i="60"/>
  <c r="Q331" i="60"/>
  <c r="Q317" i="60"/>
  <c r="Q333" i="60"/>
  <c r="Q319" i="60"/>
  <c r="AN951" i="27"/>
  <c r="AT951" i="27" s="1"/>
  <c r="Q341" i="60"/>
  <c r="Q329" i="60"/>
  <c r="AN710" i="27"/>
  <c r="F97" i="66" s="1"/>
  <c r="L97" i="66" s="1"/>
  <c r="AN1082" i="27"/>
  <c r="AN569" i="27"/>
  <c r="AG16" i="60" s="1"/>
  <c r="F8" i="49"/>
  <c r="AG1292" i="27"/>
  <c r="AN6" i="27"/>
  <c r="Z315" i="60"/>
  <c r="I11" i="35"/>
  <c r="I10" i="35"/>
  <c r="I13" i="35"/>
  <c r="E697" i="61" l="1"/>
  <c r="E853" i="61"/>
  <c r="E841" i="61"/>
  <c r="E744" i="61"/>
  <c r="E860" i="61"/>
  <c r="E1024" i="61"/>
  <c r="E1071" i="61"/>
  <c r="E932" i="61"/>
  <c r="E392" i="61"/>
  <c r="E657" i="61"/>
  <c r="E722" i="61"/>
  <c r="E563" i="61"/>
  <c r="E655" i="61"/>
  <c r="E947" i="61"/>
  <c r="E876" i="61"/>
  <c r="E408" i="61"/>
  <c r="E556" i="61"/>
  <c r="E811" i="61"/>
  <c r="E897" i="61"/>
  <c r="E298" i="61"/>
  <c r="E525" i="61"/>
  <c r="E773" i="61"/>
  <c r="E515" i="61"/>
  <c r="E483" i="61"/>
  <c r="E479" i="61"/>
  <c r="E919" i="61"/>
  <c r="C12" i="51"/>
  <c r="F12" i="51" s="1"/>
  <c r="E700" i="61"/>
  <c r="F52" i="35"/>
  <c r="F49" i="66"/>
  <c r="L49" i="66" s="1"/>
  <c r="AG17" i="60"/>
  <c r="AG10" i="60" s="1"/>
  <c r="AG14" i="60"/>
  <c r="Z19" i="60"/>
  <c r="AG9" i="60"/>
  <c r="AM15" i="60"/>
  <c r="AM8" i="60" s="1"/>
  <c r="AJ6" i="59"/>
  <c r="AG18" i="60"/>
  <c r="AG11" i="60" s="1"/>
  <c r="AG22" i="60"/>
  <c r="AG8" i="60"/>
  <c r="Z33" i="60"/>
  <c r="Z11" i="60"/>
  <c r="E654" i="61"/>
  <c r="E856" i="61"/>
  <c r="E480" i="61"/>
  <c r="E476" i="61"/>
  <c r="E916" i="61"/>
  <c r="E296" i="61"/>
  <c r="E944" i="61"/>
  <c r="E521" i="61"/>
  <c r="E769" i="61"/>
  <c r="E1052" i="61"/>
  <c r="E849" i="61"/>
  <c r="E837" i="61"/>
  <c r="E511" i="61"/>
  <c r="E1022" i="61"/>
  <c r="E1070" i="61"/>
  <c r="E929" i="61"/>
  <c r="E741" i="61"/>
  <c r="E719" i="61"/>
  <c r="E389" i="61"/>
  <c r="E873" i="61"/>
  <c r="E405" i="61"/>
  <c r="E552" i="61"/>
  <c r="E559" i="61"/>
  <c r="E652" i="61"/>
  <c r="E894" i="61"/>
  <c r="E807" i="61"/>
  <c r="Z25" i="60"/>
  <c r="F99" i="66"/>
  <c r="L99" i="66" s="1"/>
  <c r="AG23" i="60"/>
  <c r="AG36" i="60"/>
  <c r="Z37" i="60"/>
  <c r="Z23" i="60"/>
  <c r="E1006" i="61"/>
  <c r="E1054" i="61"/>
  <c r="E913" i="61"/>
  <c r="E857" i="61"/>
  <c r="E878" i="61"/>
  <c r="E391" i="61"/>
  <c r="E538" i="61"/>
  <c r="E726" i="61"/>
  <c r="E497" i="61"/>
  <c r="E466" i="61"/>
  <c r="E927" i="61"/>
  <c r="E900" i="61"/>
  <c r="E462" i="61"/>
  <c r="E377" i="61"/>
  <c r="E506" i="61"/>
  <c r="E755" i="61"/>
  <c r="E545" i="61"/>
  <c r="E834" i="61"/>
  <c r="E822" i="61"/>
  <c r="E1036" i="61"/>
  <c r="F48" i="66"/>
  <c r="L48" i="66" s="1"/>
  <c r="AT1082" i="27"/>
  <c r="F38" i="35"/>
  <c r="L38" i="35" s="1"/>
  <c r="M38" i="35" s="1"/>
  <c r="F51" i="35"/>
  <c r="L51" i="35" s="1"/>
  <c r="M51" i="35" s="1"/>
  <c r="F22" i="66"/>
  <c r="L22" i="66" s="1"/>
  <c r="F25" i="35"/>
  <c r="L25" i="35" s="1"/>
  <c r="M25" i="35" s="1"/>
  <c r="F100" i="35"/>
  <c r="L100" i="35" s="1"/>
  <c r="M100" i="35" s="1"/>
  <c r="Z47" i="60"/>
  <c r="AS12" i="59"/>
  <c r="F35" i="66"/>
  <c r="L35" i="66" s="1"/>
  <c r="AT6" i="27"/>
  <c r="AG21" i="60"/>
  <c r="Z53" i="60"/>
  <c r="Z39" i="60"/>
  <c r="L11" i="35"/>
  <c r="M11" i="35" s="1"/>
  <c r="L95" i="35"/>
  <c r="M95" i="35" s="1"/>
  <c r="L22" i="35"/>
  <c r="M22" i="35" s="1"/>
  <c r="L77" i="35"/>
  <c r="M77" i="35" s="1"/>
  <c r="L111" i="35"/>
  <c r="M111" i="35" s="1"/>
  <c r="L69" i="35"/>
  <c r="M69" i="35" s="1"/>
  <c r="L61" i="35"/>
  <c r="M61" i="35" s="1"/>
  <c r="L108" i="35"/>
  <c r="M108" i="35" s="1"/>
  <c r="L55" i="35"/>
  <c r="M55" i="35" s="1"/>
  <c r="L52" i="35"/>
  <c r="M52" i="35" s="1"/>
  <c r="L109" i="35"/>
  <c r="M109" i="35" s="1"/>
  <c r="L24" i="35"/>
  <c r="M24" i="35" s="1"/>
  <c r="L63" i="35"/>
  <c r="M63" i="35" s="1"/>
  <c r="L79" i="35"/>
  <c r="M79" i="35" s="1"/>
  <c r="L60" i="35"/>
  <c r="M60" i="35" s="1"/>
  <c r="L58" i="35"/>
  <c r="M58" i="35" s="1"/>
  <c r="L97" i="35"/>
  <c r="M97" i="35" s="1"/>
  <c r="L110" i="35"/>
  <c r="M110" i="35" s="1"/>
  <c r="L14" i="35"/>
  <c r="M14" i="35" s="1"/>
  <c r="L85" i="35"/>
  <c r="M85" i="35" s="1"/>
  <c r="L106" i="35"/>
  <c r="M106" i="35" s="1"/>
  <c r="L96" i="35"/>
  <c r="M96" i="35" s="1"/>
  <c r="L30" i="35"/>
  <c r="M30" i="35" s="1"/>
  <c r="L20" i="35"/>
  <c r="M20" i="35" s="1"/>
  <c r="L107" i="35"/>
  <c r="M107" i="35" s="1"/>
  <c r="L56" i="35"/>
  <c r="M56" i="35" s="1"/>
  <c r="L101" i="35"/>
  <c r="M101" i="35" s="1"/>
  <c r="L74" i="35"/>
  <c r="M74" i="35" s="1"/>
  <c r="L28" i="35"/>
  <c r="M28" i="35" s="1"/>
  <c r="L57" i="35"/>
  <c r="M57" i="35" s="1"/>
  <c r="L59" i="35"/>
  <c r="M59" i="35" s="1"/>
  <c r="L98" i="35"/>
  <c r="M98" i="35" s="1"/>
  <c r="L80" i="35"/>
  <c r="M80" i="35" s="1"/>
  <c r="L73" i="35"/>
  <c r="M73" i="35" s="1"/>
  <c r="L76" i="35"/>
  <c r="M76" i="35" s="1"/>
  <c r="L23" i="35"/>
  <c r="M23" i="35" s="1"/>
  <c r="L112" i="35"/>
  <c r="M112" i="35" s="1"/>
  <c r="L47" i="35"/>
  <c r="M47" i="35" s="1"/>
  <c r="L68" i="35"/>
  <c r="M68" i="35" s="1"/>
  <c r="L99" i="35"/>
  <c r="M99" i="35" s="1"/>
  <c r="L62" i="35"/>
  <c r="M62" i="35" s="1"/>
  <c r="L118" i="35"/>
  <c r="M118" i="35" s="1"/>
  <c r="AX12" i="59"/>
  <c r="AX8" i="59"/>
  <c r="AX6" i="59"/>
  <c r="Z61" i="60"/>
  <c r="BH1295" i="27"/>
  <c r="BB1295" i="27"/>
  <c r="BD1295" i="27" s="1"/>
  <c r="K18" i="64" s="1"/>
  <c r="BI1295" i="27"/>
  <c r="F45" i="66"/>
  <c r="L45" i="66" s="1"/>
  <c r="AT569" i="27"/>
  <c r="F49" i="35"/>
  <c r="AT710" i="27"/>
  <c r="F54" i="35"/>
  <c r="F48" i="35"/>
  <c r="F12" i="66"/>
  <c r="L12" i="66" s="1"/>
  <c r="F31" i="35"/>
  <c r="F28" i="66"/>
  <c r="L28" i="66" s="1"/>
  <c r="F51" i="66"/>
  <c r="L51" i="66" s="1"/>
  <c r="AG50" i="60"/>
  <c r="F75" i="66"/>
  <c r="L75" i="66" s="1"/>
  <c r="L5" i="66"/>
  <c r="F26" i="35"/>
  <c r="F23" i="66"/>
  <c r="L23" i="66" s="1"/>
  <c r="F105" i="35"/>
  <c r="F7" i="66"/>
  <c r="L7" i="66" s="1"/>
  <c r="AG37" i="60"/>
  <c r="F50" i="66"/>
  <c r="L50" i="66" s="1"/>
  <c r="Z51" i="60"/>
  <c r="F78" i="66"/>
  <c r="L78" i="66" s="1"/>
  <c r="Z64" i="60"/>
  <c r="Z50" i="60"/>
  <c r="AJ75" i="60"/>
  <c r="AJ67" i="60"/>
  <c r="BD1297" i="27"/>
  <c r="K9" i="64" s="1"/>
  <c r="K10" i="64" s="1"/>
  <c r="K11" i="64" s="1"/>
  <c r="F78" i="35"/>
  <c r="F53" i="35"/>
  <c r="Z75" i="60"/>
  <c r="Z54" i="60" s="1"/>
  <c r="Z81" i="60"/>
  <c r="Z67" i="60"/>
  <c r="Z34" i="63"/>
  <c r="F71" i="35"/>
  <c r="AG81" i="60"/>
  <c r="Z89" i="60"/>
  <c r="Z93" i="60"/>
  <c r="Z79" i="60"/>
  <c r="Z92" i="60"/>
  <c r="Z78" i="60"/>
  <c r="Z94" i="60"/>
  <c r="Z80" i="60"/>
  <c r="BI1294" i="27"/>
  <c r="BJ1303" i="27" s="1"/>
  <c r="BH1294" i="27"/>
  <c r="BH1293" i="27"/>
  <c r="E16" i="51"/>
  <c r="F67" i="35"/>
  <c r="F72" i="35"/>
  <c r="F50" i="35"/>
  <c r="BB1296" i="27"/>
  <c r="BD1296" i="27" s="1"/>
  <c r="K15" i="64" s="1"/>
  <c r="F81" i="35"/>
  <c r="Z123" i="60"/>
  <c r="Z109" i="60"/>
  <c r="AJ131" i="60"/>
  <c r="AJ122" i="60"/>
  <c r="Z131" i="60"/>
  <c r="Z110" i="60" s="1"/>
  <c r="Z121" i="60"/>
  <c r="AG123" i="60"/>
  <c r="Z136" i="60"/>
  <c r="Z134" i="60"/>
  <c r="F65" i="35"/>
  <c r="Z145" i="60"/>
  <c r="Z151" i="60"/>
  <c r="Z137" i="60"/>
  <c r="I119" i="35"/>
  <c r="F103" i="35"/>
  <c r="AG137" i="60"/>
  <c r="F21" i="35"/>
  <c r="Z159" i="60"/>
  <c r="AG133" i="60"/>
  <c r="Z164" i="60"/>
  <c r="Z150" i="60"/>
  <c r="G30" i="23"/>
  <c r="F17" i="35"/>
  <c r="Z173" i="60"/>
  <c r="AG162" i="60"/>
  <c r="F15" i="35"/>
  <c r="Z192" i="60"/>
  <c r="Z178" i="60"/>
  <c r="Z193" i="60"/>
  <c r="Z179" i="60"/>
  <c r="AG178" i="60"/>
  <c r="F102" i="35"/>
  <c r="F64" i="35"/>
  <c r="F16" i="35"/>
  <c r="Z201" i="60"/>
  <c r="Z190" i="60"/>
  <c r="AG219" i="60"/>
  <c r="AG205" i="60"/>
  <c r="Z219" i="60"/>
  <c r="Z205" i="60"/>
  <c r="Z221" i="60"/>
  <c r="Z207" i="60"/>
  <c r="D34" i="63"/>
  <c r="F9" i="35"/>
  <c r="Z229" i="60"/>
  <c r="Z208" i="60" s="1"/>
  <c r="Z220" i="60"/>
  <c r="AG203" i="60"/>
  <c r="Z232" i="60"/>
  <c r="Z218" i="60"/>
  <c r="Z243" i="60"/>
  <c r="Z231" i="60"/>
  <c r="Z249" i="60"/>
  <c r="Z235" i="60"/>
  <c r="Z257" i="60"/>
  <c r="AG234" i="60"/>
  <c r="Z248" i="60"/>
  <c r="AG233" i="60"/>
  <c r="Z271" i="60"/>
  <c r="Z245" i="60"/>
  <c r="F12" i="35"/>
  <c r="Z259" i="60"/>
  <c r="Z277" i="60"/>
  <c r="Z263" i="60"/>
  <c r="Z274" i="60"/>
  <c r="Z260" i="60"/>
  <c r="AG260" i="60"/>
  <c r="Z285" i="60"/>
  <c r="Z299" i="60"/>
  <c r="Z273" i="60"/>
  <c r="D18" i="49"/>
  <c r="F18" i="49"/>
  <c r="F10" i="35"/>
  <c r="AG273" i="60"/>
  <c r="Z305" i="60"/>
  <c r="Z291" i="60"/>
  <c r="Z303" i="60"/>
  <c r="Z289" i="60"/>
  <c r="Z301" i="60"/>
  <c r="Z287" i="60"/>
  <c r="Z304" i="60"/>
  <c r="Z290" i="60"/>
  <c r="Z313" i="60"/>
  <c r="AG302" i="60"/>
  <c r="F13" i="35"/>
  <c r="AG303" i="60"/>
  <c r="AG304" i="60"/>
  <c r="AG301" i="60"/>
  <c r="Z333" i="60"/>
  <c r="Z319" i="60"/>
  <c r="Z332" i="60"/>
  <c r="Z318" i="60"/>
  <c r="AJ330" i="60"/>
  <c r="AJ316" i="60"/>
  <c r="AJ333" i="60"/>
  <c r="AJ319" i="60"/>
  <c r="Z330" i="60"/>
  <c r="Z316" i="60"/>
  <c r="AJ332" i="60"/>
  <c r="AJ318" i="60"/>
  <c r="Z331" i="60"/>
  <c r="Z317" i="60"/>
  <c r="Q334" i="60"/>
  <c r="Q320" i="60"/>
  <c r="AJ331" i="60"/>
  <c r="AJ317" i="60"/>
  <c r="Z329" i="60"/>
  <c r="Z341" i="60"/>
  <c r="BB1294" i="27"/>
  <c r="BD1294" i="27" s="1"/>
  <c r="K6" i="64" s="1"/>
  <c r="BB1293" i="27"/>
  <c r="AN1292" i="27"/>
  <c r="F8" i="35"/>
  <c r="L8" i="35" s="1"/>
  <c r="Z40" i="60" l="1"/>
  <c r="Z26" i="60"/>
  <c r="AJ8" i="59"/>
  <c r="AK8" i="59" s="1"/>
  <c r="E707" i="61"/>
  <c r="AM18" i="60"/>
  <c r="E1074" i="61"/>
  <c r="AM16" i="60"/>
  <c r="AM9" i="60" s="1"/>
  <c r="E568" i="61"/>
  <c r="Z12" i="60"/>
  <c r="K16" i="64"/>
  <c r="K17" i="64" s="1"/>
  <c r="I10" i="63"/>
  <c r="AM17" i="60"/>
  <c r="AM10" i="60" s="1"/>
  <c r="I13" i="63"/>
  <c r="K19" i="64"/>
  <c r="K20" i="64" s="1"/>
  <c r="AL6" i="59"/>
  <c r="AK6" i="59"/>
  <c r="AJ7" i="59"/>
  <c r="AJ5" i="59"/>
  <c r="AM14" i="60"/>
  <c r="AJ12" i="59"/>
  <c r="AG19" i="60"/>
  <c r="K7" i="64"/>
  <c r="K8" i="64" s="1"/>
  <c r="AG7" i="60"/>
  <c r="E564" i="61"/>
  <c r="E704" i="61"/>
  <c r="E1073" i="61"/>
  <c r="G10" i="63"/>
  <c r="G12" i="63" s="1"/>
  <c r="G13" i="63"/>
  <c r="AG33" i="60"/>
  <c r="AP6" i="59"/>
  <c r="AM39" i="60"/>
  <c r="AG39" i="60"/>
  <c r="AG25" i="60"/>
  <c r="AG38" i="60"/>
  <c r="AG24" i="60"/>
  <c r="AM36" i="60"/>
  <c r="AM22" i="60"/>
  <c r="E689" i="61"/>
  <c r="E550" i="61"/>
  <c r="E13" i="63"/>
  <c r="E15" i="63" s="1"/>
  <c r="E10" i="63"/>
  <c r="E1057" i="61"/>
  <c r="E6" i="61"/>
  <c r="AG47" i="60"/>
  <c r="AT8" i="59"/>
  <c r="D40" i="59"/>
  <c r="E40" i="59" s="1"/>
  <c r="AS6" i="59"/>
  <c r="AT6" i="59"/>
  <c r="AT12" i="59"/>
  <c r="AR14" i="59"/>
  <c r="AS14" i="59"/>
  <c r="AS5" i="59"/>
  <c r="AG35" i="60"/>
  <c r="L21" i="35"/>
  <c r="M21" i="35" s="1"/>
  <c r="L105" i="35"/>
  <c r="M105" i="35" s="1"/>
  <c r="L31" i="35"/>
  <c r="M31" i="35" s="1"/>
  <c r="L53" i="35"/>
  <c r="M53" i="35" s="1"/>
  <c r="L102" i="35"/>
  <c r="M102" i="35" s="1"/>
  <c r="L78" i="35"/>
  <c r="M78" i="35" s="1"/>
  <c r="L64" i="35"/>
  <c r="M64" i="35" s="1"/>
  <c r="L81" i="35"/>
  <c r="M81" i="35" s="1"/>
  <c r="L26" i="35"/>
  <c r="M26" i="35" s="1"/>
  <c r="L10" i="35"/>
  <c r="M10" i="35" s="1"/>
  <c r="L103" i="35"/>
  <c r="M103" i="35" s="1"/>
  <c r="L71" i="35"/>
  <c r="M71" i="35" s="1"/>
  <c r="L48" i="35"/>
  <c r="M48" i="35" s="1"/>
  <c r="L12" i="35"/>
  <c r="M12" i="35" s="1"/>
  <c r="L50" i="35"/>
  <c r="M50" i="35" s="1"/>
  <c r="L54" i="35"/>
  <c r="M54" i="35" s="1"/>
  <c r="L16" i="35"/>
  <c r="M16" i="35" s="1"/>
  <c r="L13" i="35"/>
  <c r="M13" i="35" s="1"/>
  <c r="L9" i="35"/>
  <c r="M9" i="35" s="1"/>
  <c r="L72" i="35"/>
  <c r="M72" i="35" s="1"/>
  <c r="L17" i="35"/>
  <c r="M17" i="35" s="1"/>
  <c r="L67" i="35"/>
  <c r="M67" i="35" s="1"/>
  <c r="L49" i="35"/>
  <c r="M49" i="35" s="1"/>
  <c r="L15" i="35"/>
  <c r="M15" i="35" s="1"/>
  <c r="L65" i="35"/>
  <c r="M65" i="35" s="1"/>
  <c r="AW12" i="59"/>
  <c r="AW14" i="59" s="1"/>
  <c r="AW8" i="59"/>
  <c r="AW6" i="59"/>
  <c r="AX7" i="59"/>
  <c r="AW5" i="59"/>
  <c r="AV14" i="59"/>
  <c r="AE15" i="64"/>
  <c r="AC15" i="64"/>
  <c r="C10" i="63"/>
  <c r="AE6" i="64"/>
  <c r="AC6" i="64"/>
  <c r="AC9" i="64"/>
  <c r="AE18" i="64"/>
  <c r="AC18" i="64"/>
  <c r="C13" i="63"/>
  <c r="AG61" i="60"/>
  <c r="AG40" i="60" s="1"/>
  <c r="F116" i="66"/>
  <c r="L116" i="66"/>
  <c r="AG49" i="60"/>
  <c r="AJ68" i="60"/>
  <c r="AJ54" i="60"/>
  <c r="AG66" i="60"/>
  <c r="AG52" i="60"/>
  <c r="AG65" i="60"/>
  <c r="AG51" i="60"/>
  <c r="AG67" i="60"/>
  <c r="AG53" i="60"/>
  <c r="Z68" i="60"/>
  <c r="D39" i="59"/>
  <c r="D38" i="59"/>
  <c r="D44" i="59"/>
  <c r="D37" i="59"/>
  <c r="AG75" i="60"/>
  <c r="AG63" i="60"/>
  <c r="AG78" i="60"/>
  <c r="AG64" i="60"/>
  <c r="F18" i="23"/>
  <c r="X34" i="63"/>
  <c r="AG89" i="60"/>
  <c r="AG94" i="60"/>
  <c r="AG80" i="60"/>
  <c r="AG93" i="60"/>
  <c r="AG79" i="60"/>
  <c r="Z96" i="60"/>
  <c r="Z82" i="60"/>
  <c r="AG91" i="60"/>
  <c r="AG77" i="60"/>
  <c r="BJ1304" i="27"/>
  <c r="BH1298" i="27"/>
  <c r="BH1299" i="27" s="1"/>
  <c r="C5" i="51"/>
  <c r="F5" i="51" s="1"/>
  <c r="V34" i="63"/>
  <c r="V36" i="63"/>
  <c r="AG92" i="60"/>
  <c r="AG109" i="60"/>
  <c r="AG95" i="60"/>
  <c r="AG117" i="60"/>
  <c r="AG105" i="60"/>
  <c r="T36" i="63"/>
  <c r="T34" i="63"/>
  <c r="AG121" i="60"/>
  <c r="AG107" i="60"/>
  <c r="AG120" i="60"/>
  <c r="AG106" i="60"/>
  <c r="AJ124" i="60"/>
  <c r="AJ110" i="60"/>
  <c r="AG122" i="60"/>
  <c r="AG108" i="60"/>
  <c r="Z124" i="60"/>
  <c r="F119" i="35"/>
  <c r="I4" i="63" s="1"/>
  <c r="AG131" i="60"/>
  <c r="AG119" i="60"/>
  <c r="R36" i="63"/>
  <c r="R34" i="63"/>
  <c r="AG136" i="60"/>
  <c r="AG145" i="60"/>
  <c r="P34" i="63"/>
  <c r="N34" i="63"/>
  <c r="AG148" i="60"/>
  <c r="AG134" i="60"/>
  <c r="AG149" i="60"/>
  <c r="AG135" i="60"/>
  <c r="Z152" i="60"/>
  <c r="Z138" i="60"/>
  <c r="H34" i="63"/>
  <c r="BB1298" i="27"/>
  <c r="BB1299" i="27" s="1"/>
  <c r="AG159" i="60"/>
  <c r="AG147" i="60"/>
  <c r="Z166" i="60"/>
  <c r="AG165" i="60"/>
  <c r="AG151" i="60"/>
  <c r="AG164" i="60"/>
  <c r="AG150" i="60"/>
  <c r="G27" i="23"/>
  <c r="AG173" i="60"/>
  <c r="AG163" i="60"/>
  <c r="AG175" i="60"/>
  <c r="AG161" i="60"/>
  <c r="AK44" i="59"/>
  <c r="AK46" i="59" s="1"/>
  <c r="AK39" i="59"/>
  <c r="L34" i="63"/>
  <c r="AK37" i="59"/>
  <c r="AK40" i="59"/>
  <c r="AK38" i="59"/>
  <c r="AG187" i="60"/>
  <c r="AG192" i="60"/>
  <c r="Z194" i="60"/>
  <c r="Z180" i="60"/>
  <c r="AG190" i="60"/>
  <c r="AG176" i="60"/>
  <c r="AG191" i="60"/>
  <c r="AG177" i="60"/>
  <c r="AG193" i="60"/>
  <c r="AG179" i="60"/>
  <c r="AG201" i="60"/>
  <c r="AG189" i="60"/>
  <c r="Z222" i="60"/>
  <c r="BD1293" i="27"/>
  <c r="K3" i="64" s="1"/>
  <c r="K4" i="64" s="1"/>
  <c r="K5" i="64" s="1"/>
  <c r="AT37" i="59"/>
  <c r="AS40" i="59"/>
  <c r="AS39" i="59"/>
  <c r="AT44" i="59"/>
  <c r="AS38" i="59"/>
  <c r="D31" i="63"/>
  <c r="F34" i="63"/>
  <c r="AG215" i="60"/>
  <c r="AG220" i="60"/>
  <c r="AG206" i="60"/>
  <c r="AG218" i="60"/>
  <c r="AG204" i="60"/>
  <c r="AG221" i="60"/>
  <c r="AG207" i="60"/>
  <c r="D36" i="63"/>
  <c r="AT1292" i="27"/>
  <c r="AG229" i="60"/>
  <c r="AG217" i="60"/>
  <c r="Z250" i="60"/>
  <c r="Z264" i="60"/>
  <c r="AG243" i="60"/>
  <c r="Z236" i="60"/>
  <c r="AG245" i="60"/>
  <c r="AG231" i="60"/>
  <c r="AG249" i="60"/>
  <c r="AG235" i="60"/>
  <c r="AG246" i="60"/>
  <c r="AG232" i="60"/>
  <c r="AM233" i="60"/>
  <c r="AG257" i="60"/>
  <c r="AG262" i="60"/>
  <c r="AG248" i="60"/>
  <c r="AG261" i="60"/>
  <c r="AG247" i="60"/>
  <c r="AG271" i="60"/>
  <c r="AG259" i="60"/>
  <c r="AG277" i="60"/>
  <c r="AG263" i="60"/>
  <c r="AM260" i="60"/>
  <c r="Z278" i="60"/>
  <c r="AG285" i="60"/>
  <c r="AG288" i="60"/>
  <c r="AG274" i="60"/>
  <c r="AG290" i="60"/>
  <c r="AG276" i="60"/>
  <c r="AG289" i="60"/>
  <c r="AG275" i="60"/>
  <c r="AG299" i="60"/>
  <c r="AG287" i="60"/>
  <c r="AG313" i="60"/>
  <c r="AG291" i="60"/>
  <c r="Z306" i="60"/>
  <c r="Z292" i="60"/>
  <c r="AG305" i="60"/>
  <c r="AG327" i="60"/>
  <c r="AG315" i="60"/>
  <c r="AG332" i="60"/>
  <c r="AG318" i="60"/>
  <c r="AM331" i="60"/>
  <c r="AG330" i="60"/>
  <c r="AG316" i="60"/>
  <c r="Z334" i="60"/>
  <c r="Z320" i="60"/>
  <c r="AM330" i="60"/>
  <c r="AM332" i="60"/>
  <c r="AG333" i="60"/>
  <c r="AG319" i="60"/>
  <c r="AM333" i="60"/>
  <c r="AJ341" i="60"/>
  <c r="AJ315" i="60"/>
  <c r="AG331" i="60"/>
  <c r="AG317" i="60"/>
  <c r="AJ329" i="60"/>
  <c r="M8" i="35"/>
  <c r="AG329" i="60"/>
  <c r="AG341" i="60"/>
  <c r="J4" i="63" l="1"/>
  <c r="I6" i="63"/>
  <c r="I19" i="63"/>
  <c r="I21" i="63" s="1"/>
  <c r="AL8" i="59"/>
  <c r="AM19" i="60"/>
  <c r="AG12" i="60"/>
  <c r="K12" i="64"/>
  <c r="AJ14" i="59"/>
  <c r="AL12" i="59"/>
  <c r="AK12" i="59"/>
  <c r="AK14" i="59" s="1"/>
  <c r="I15" i="63"/>
  <c r="J13" i="63"/>
  <c r="AL5" i="59"/>
  <c r="AJ10" i="59"/>
  <c r="AK5" i="59"/>
  <c r="I12" i="63"/>
  <c r="J12" i="63" s="1"/>
  <c r="J10" i="63"/>
  <c r="I7" i="63"/>
  <c r="I9" i="63" s="1"/>
  <c r="AL7" i="59"/>
  <c r="AK7" i="59"/>
  <c r="AM7" i="60"/>
  <c r="AM25" i="60"/>
  <c r="AM11" i="60"/>
  <c r="AP12" i="59"/>
  <c r="AP7" i="59"/>
  <c r="AE9" i="64"/>
  <c r="AC3" i="64"/>
  <c r="H13" i="63"/>
  <c r="G15" i="63"/>
  <c r="F4" i="63"/>
  <c r="E12" i="63"/>
  <c r="H12" i="63" s="1"/>
  <c r="H10" i="63"/>
  <c r="AP8" i="59"/>
  <c r="AG26" i="60"/>
  <c r="AN14" i="59"/>
  <c r="AO14" i="59"/>
  <c r="AM33" i="60"/>
  <c r="AM12" i="60" s="1"/>
  <c r="AM21" i="60"/>
  <c r="AP5" i="59"/>
  <c r="AN10" i="59"/>
  <c r="AT14" i="59"/>
  <c r="AM38" i="60"/>
  <c r="AM24" i="60"/>
  <c r="AM37" i="60"/>
  <c r="AM23" i="60"/>
  <c r="E19" i="63"/>
  <c r="E6" i="63"/>
  <c r="E7" i="63"/>
  <c r="AS8" i="59"/>
  <c r="AM47" i="60"/>
  <c r="AS7" i="59"/>
  <c r="AT7" i="59"/>
  <c r="AM35" i="60"/>
  <c r="AT5" i="59"/>
  <c r="AR10" i="59"/>
  <c r="AG54" i="60"/>
  <c r="AW7" i="59"/>
  <c r="AW10" i="59" s="1"/>
  <c r="AV10" i="59"/>
  <c r="AV16" i="59" s="1"/>
  <c r="AV18" i="59" s="1"/>
  <c r="E1279" i="61"/>
  <c r="H1282" i="61" s="1"/>
  <c r="C15" i="63"/>
  <c r="D13" i="63"/>
  <c r="F13" i="63"/>
  <c r="AE7" i="64"/>
  <c r="AC7" i="64"/>
  <c r="AE19" i="64"/>
  <c r="AC19" i="64"/>
  <c r="AC16" i="64"/>
  <c r="AE16" i="64"/>
  <c r="AC10" i="64"/>
  <c r="AE10" i="64"/>
  <c r="C7" i="63"/>
  <c r="D7" i="63" s="1"/>
  <c r="C12" i="63"/>
  <c r="F10" i="63"/>
  <c r="D10" i="63"/>
  <c r="AM61" i="60"/>
  <c r="F37" i="59"/>
  <c r="E39" i="59"/>
  <c r="AM49" i="60"/>
  <c r="F44" i="59"/>
  <c r="E38" i="59"/>
  <c r="F38" i="59"/>
  <c r="AM67" i="60"/>
  <c r="AM53" i="60"/>
  <c r="AM65" i="60"/>
  <c r="AM51" i="60"/>
  <c r="AM64" i="60"/>
  <c r="AM50" i="60"/>
  <c r="AM66" i="60"/>
  <c r="AM52" i="60"/>
  <c r="Z31" i="63"/>
  <c r="D19" i="63"/>
  <c r="Z25" i="63"/>
  <c r="AM75" i="60"/>
  <c r="AM63" i="60"/>
  <c r="E44" i="59"/>
  <c r="E46" i="59" s="1"/>
  <c r="D46" i="59"/>
  <c r="AX14" i="59" s="1"/>
  <c r="D42" i="59"/>
  <c r="E37" i="59"/>
  <c r="I40" i="59"/>
  <c r="F40" i="59"/>
  <c r="I38" i="59"/>
  <c r="J37" i="59"/>
  <c r="I39" i="59"/>
  <c r="F39" i="59"/>
  <c r="X36" i="63"/>
  <c r="Z36" i="63"/>
  <c r="AG82" i="60"/>
  <c r="AG68" i="60"/>
  <c r="X25" i="63"/>
  <c r="X27" i="63"/>
  <c r="X31" i="63"/>
  <c r="AM89" i="60"/>
  <c r="I44" i="59"/>
  <c r="I46" i="59" s="1"/>
  <c r="H46" i="59"/>
  <c r="H42" i="59"/>
  <c r="I37" i="59"/>
  <c r="AM93" i="60"/>
  <c r="AM79" i="60"/>
  <c r="AM92" i="60"/>
  <c r="AM78" i="60"/>
  <c r="AM94" i="60"/>
  <c r="AM80" i="60"/>
  <c r="AM91" i="60"/>
  <c r="AM77" i="60"/>
  <c r="AM95" i="60"/>
  <c r="AM81" i="60"/>
  <c r="M38" i="59"/>
  <c r="J38" i="59"/>
  <c r="L46" i="59"/>
  <c r="J44" i="59"/>
  <c r="M39" i="59"/>
  <c r="J39" i="59"/>
  <c r="M40" i="59"/>
  <c r="J40" i="59"/>
  <c r="F16" i="51"/>
  <c r="V31" i="63"/>
  <c r="V33" i="63"/>
  <c r="AG96" i="60"/>
  <c r="V25" i="63"/>
  <c r="M44" i="59"/>
  <c r="M46" i="59" s="1"/>
  <c r="L42" i="59"/>
  <c r="M37" i="59"/>
  <c r="N37" i="59"/>
  <c r="P36" i="63"/>
  <c r="Q39" i="59"/>
  <c r="N39" i="59"/>
  <c r="P46" i="59"/>
  <c r="N44" i="59"/>
  <c r="Q38" i="59"/>
  <c r="N38" i="59"/>
  <c r="Q40" i="59"/>
  <c r="N40" i="59"/>
  <c r="R31" i="63"/>
  <c r="AG110" i="60"/>
  <c r="Q44" i="59"/>
  <c r="Q46" i="59" s="1"/>
  <c r="AM117" i="60"/>
  <c r="AM105" i="60"/>
  <c r="Q37" i="59"/>
  <c r="P42" i="59"/>
  <c r="U40" i="59"/>
  <c r="R40" i="59"/>
  <c r="R38" i="59"/>
  <c r="V37" i="59"/>
  <c r="R37" i="59"/>
  <c r="U39" i="59"/>
  <c r="R39" i="59"/>
  <c r="U44" i="59"/>
  <c r="U46" i="59" s="1"/>
  <c r="R44" i="59"/>
  <c r="T31" i="63"/>
  <c r="AM123" i="60"/>
  <c r="AM109" i="60"/>
  <c r="AM122" i="60"/>
  <c r="AM108" i="60"/>
  <c r="AM120" i="60"/>
  <c r="AM106" i="60"/>
  <c r="AM121" i="60"/>
  <c r="AM107" i="60"/>
  <c r="V44" i="59"/>
  <c r="R25" i="63"/>
  <c r="T46" i="59"/>
  <c r="AM131" i="60"/>
  <c r="T42" i="59"/>
  <c r="U37" i="59"/>
  <c r="AG124" i="60"/>
  <c r="AM119" i="60"/>
  <c r="AM134" i="60"/>
  <c r="AM135" i="60"/>
  <c r="AG166" i="60"/>
  <c r="AM133" i="60"/>
  <c r="Y39" i="59"/>
  <c r="V39" i="59"/>
  <c r="Y40" i="59"/>
  <c r="V40" i="59"/>
  <c r="Y38" i="59"/>
  <c r="V38" i="59"/>
  <c r="F1286" i="61"/>
  <c r="P25" i="63"/>
  <c r="P27" i="63"/>
  <c r="X46" i="59"/>
  <c r="Y44" i="59"/>
  <c r="Y46" i="59" s="1"/>
  <c r="X42" i="59"/>
  <c r="AM145" i="60"/>
  <c r="AD37" i="59"/>
  <c r="Z37" i="59"/>
  <c r="AC44" i="59"/>
  <c r="AC46" i="59" s="1"/>
  <c r="Z44" i="59"/>
  <c r="AC39" i="59"/>
  <c r="Z39" i="59"/>
  <c r="AC40" i="59"/>
  <c r="Z40" i="59"/>
  <c r="AC38" i="59"/>
  <c r="Z38" i="59"/>
  <c r="P31" i="63"/>
  <c r="AM150" i="60"/>
  <c r="AM136" i="60"/>
  <c r="AG152" i="60"/>
  <c r="AG138" i="60"/>
  <c r="AM151" i="60"/>
  <c r="AM137" i="60"/>
  <c r="AB46" i="59"/>
  <c r="AC37" i="59"/>
  <c r="AD39" i="59"/>
  <c r="N31" i="63"/>
  <c r="L119" i="35"/>
  <c r="AB42" i="59"/>
  <c r="AD40" i="59"/>
  <c r="AD38" i="59"/>
  <c r="N25" i="63"/>
  <c r="D33" i="63"/>
  <c r="AM159" i="60"/>
  <c r="AH44" i="59"/>
  <c r="AD44" i="59"/>
  <c r="N36" i="63"/>
  <c r="AM162" i="60"/>
  <c r="AM148" i="60"/>
  <c r="AM161" i="60"/>
  <c r="AM147" i="60"/>
  <c r="AM163" i="60"/>
  <c r="AM149" i="60"/>
  <c r="AG46" i="59"/>
  <c r="AF46" i="59"/>
  <c r="G5" i="65"/>
  <c r="AH38" i="59"/>
  <c r="AH40" i="59"/>
  <c r="AH39" i="59"/>
  <c r="AF42" i="59"/>
  <c r="AH37" i="59"/>
  <c r="L31" i="63"/>
  <c r="AM173" i="60"/>
  <c r="AM178" i="60"/>
  <c r="AM164" i="60"/>
  <c r="AM179" i="60"/>
  <c r="AM165" i="60"/>
  <c r="AL44" i="59"/>
  <c r="F1283" i="61"/>
  <c r="AJ46" i="59"/>
  <c r="AL38" i="59"/>
  <c r="AG180" i="60"/>
  <c r="J25" i="63"/>
  <c r="J36" i="63"/>
  <c r="J34" i="63"/>
  <c r="J31" i="63"/>
  <c r="AK42" i="59"/>
  <c r="AL37" i="59"/>
  <c r="AJ42" i="59"/>
  <c r="G29" i="23"/>
  <c r="AM187" i="60"/>
  <c r="AM175" i="60"/>
  <c r="AP40" i="59"/>
  <c r="AL40" i="59"/>
  <c r="AL39" i="59"/>
  <c r="AM190" i="60"/>
  <c r="AM176" i="60"/>
  <c r="AM191" i="60"/>
  <c r="AM177" i="60"/>
  <c r="AP39" i="59"/>
  <c r="H31" i="63"/>
  <c r="AP37" i="59"/>
  <c r="AN42" i="59"/>
  <c r="AP38" i="59"/>
  <c r="AP44" i="59"/>
  <c r="AO46" i="59"/>
  <c r="AN46" i="59"/>
  <c r="AG194" i="60"/>
  <c r="AM201" i="60"/>
  <c r="AM189" i="60"/>
  <c r="F36" i="63"/>
  <c r="H36" i="63"/>
  <c r="AM207" i="60"/>
  <c r="AM193" i="60"/>
  <c r="AM206" i="60"/>
  <c r="AM192" i="60"/>
  <c r="G28" i="23"/>
  <c r="AR42" i="59"/>
  <c r="AS37" i="59"/>
  <c r="AS42" i="59" s="1"/>
  <c r="AS44" i="59"/>
  <c r="AS46" i="59" s="1"/>
  <c r="AR46" i="59"/>
  <c r="AG208" i="60"/>
  <c r="AM215" i="60"/>
  <c r="AM203" i="60"/>
  <c r="AW39" i="59"/>
  <c r="AT39" i="59"/>
  <c r="AW38" i="59"/>
  <c r="AT38" i="59"/>
  <c r="AM218" i="60"/>
  <c r="AM204" i="60"/>
  <c r="AM219" i="60"/>
  <c r="AM205" i="60"/>
  <c r="D27" i="63"/>
  <c r="AG222" i="60"/>
  <c r="AM229" i="60"/>
  <c r="AW37" i="59"/>
  <c r="AV46" i="59"/>
  <c r="AX46" i="59" s="1"/>
  <c r="AW44" i="59"/>
  <c r="AW46" i="59" s="1"/>
  <c r="AM234" i="60"/>
  <c r="AM220" i="60"/>
  <c r="AM231" i="60"/>
  <c r="AM217" i="60"/>
  <c r="AM235" i="60"/>
  <c r="AM221" i="60"/>
  <c r="I120" i="35"/>
  <c r="I121" i="35" s="1"/>
  <c r="AG236" i="60"/>
  <c r="AM243" i="60"/>
  <c r="AM246" i="60"/>
  <c r="AM232" i="60"/>
  <c r="H1285" i="61"/>
  <c r="N104" i="48"/>
  <c r="AM257" i="60"/>
  <c r="AM245" i="60"/>
  <c r="AG250" i="60"/>
  <c r="AM261" i="60"/>
  <c r="AM247" i="60"/>
  <c r="AM263" i="60"/>
  <c r="AM249" i="60"/>
  <c r="AM262" i="60"/>
  <c r="AM248" i="60"/>
  <c r="AG264" i="60"/>
  <c r="AM271" i="60"/>
  <c r="AM259" i="60"/>
  <c r="AG278" i="60"/>
  <c r="AM285" i="60"/>
  <c r="AM273" i="60"/>
  <c r="AM289" i="60"/>
  <c r="AM275" i="60"/>
  <c r="AG306" i="60"/>
  <c r="AM291" i="60"/>
  <c r="AM277" i="60"/>
  <c r="AM290" i="60"/>
  <c r="AM276" i="60"/>
  <c r="AM288" i="60"/>
  <c r="AM274" i="60"/>
  <c r="F1285" i="61"/>
  <c r="AG292" i="60"/>
  <c r="AM299" i="60"/>
  <c r="AM287" i="60"/>
  <c r="AM313" i="60"/>
  <c r="F1284" i="61"/>
  <c r="AM301" i="60"/>
  <c r="AM317" i="60"/>
  <c r="AM303" i="60"/>
  <c r="AM318" i="60"/>
  <c r="AM304" i="60"/>
  <c r="AM319" i="60"/>
  <c r="AM305" i="60"/>
  <c r="AM316" i="60"/>
  <c r="AM302" i="60"/>
  <c r="AM327" i="60"/>
  <c r="AJ334" i="60"/>
  <c r="AJ320" i="60"/>
  <c r="AM341" i="60"/>
  <c r="AM315" i="60"/>
  <c r="AG334" i="60"/>
  <c r="AG320" i="60"/>
  <c r="AM329" i="60"/>
  <c r="F120" i="35"/>
  <c r="F121" i="35" s="1"/>
  <c r="AJ16" i="59" l="1"/>
  <c r="AJ19" i="59" s="1"/>
  <c r="L117" i="66"/>
  <c r="N119" i="35"/>
  <c r="L120" i="35"/>
  <c r="L121" i="35" s="1"/>
  <c r="AK10" i="59"/>
  <c r="AK16" i="59" s="1"/>
  <c r="AL14" i="59"/>
  <c r="AL10" i="59"/>
  <c r="K13" i="64"/>
  <c r="K14" i="64" s="1"/>
  <c r="K21" i="64"/>
  <c r="G101" i="62" s="1"/>
  <c r="G107" i="62" s="1"/>
  <c r="H15" i="63"/>
  <c r="J15" i="63"/>
  <c r="AW16" i="59"/>
  <c r="AW15" i="59" s="1"/>
  <c r="AP14" i="59"/>
  <c r="AX10" i="59"/>
  <c r="AM26" i="60"/>
  <c r="AO10" i="59"/>
  <c r="AO16" i="59" s="1"/>
  <c r="AO15" i="59" s="1"/>
  <c r="AE3" i="64"/>
  <c r="AE12" i="64"/>
  <c r="H4" i="63"/>
  <c r="G6" i="63"/>
  <c r="G7" i="63"/>
  <c r="G19" i="63"/>
  <c r="AN16" i="59"/>
  <c r="AP10" i="59"/>
  <c r="E9" i="63"/>
  <c r="E21" i="63"/>
  <c r="F6" i="63"/>
  <c r="AS10" i="59"/>
  <c r="AS16" i="59" s="1"/>
  <c r="AS15" i="59" s="1"/>
  <c r="F19" i="63"/>
  <c r="AM40" i="60"/>
  <c r="AT10" i="59"/>
  <c r="AR16" i="59"/>
  <c r="AX18" i="59"/>
  <c r="AW18" i="59"/>
  <c r="AW11" i="59"/>
  <c r="AV15" i="59"/>
  <c r="AV11" i="59"/>
  <c r="AC8" i="64"/>
  <c r="AE8" i="64"/>
  <c r="AM54" i="60"/>
  <c r="AC17" i="64"/>
  <c r="AE17" i="64"/>
  <c r="F12" i="63"/>
  <c r="D12" i="63"/>
  <c r="C9" i="63"/>
  <c r="F7" i="63"/>
  <c r="AC20" i="64"/>
  <c r="AE20" i="64"/>
  <c r="F15" i="63"/>
  <c r="D15" i="63"/>
  <c r="AC11" i="64"/>
  <c r="AE11" i="64"/>
  <c r="E42" i="59"/>
  <c r="Z27" i="63"/>
  <c r="D6" i="63"/>
  <c r="V27" i="63"/>
  <c r="Z28" i="63"/>
  <c r="O137" i="62"/>
  <c r="Z40" i="63"/>
  <c r="AM68" i="60"/>
  <c r="F42" i="59"/>
  <c r="F46" i="59"/>
  <c r="D48" i="59"/>
  <c r="AX16" i="59" s="1"/>
  <c r="N46" i="59"/>
  <c r="I42" i="59"/>
  <c r="V46" i="59"/>
  <c r="X33" i="63"/>
  <c r="Z33" i="63"/>
  <c r="X40" i="63"/>
  <c r="X28" i="63"/>
  <c r="J42" i="59"/>
  <c r="AM82" i="60"/>
  <c r="J46" i="59"/>
  <c r="H48" i="59"/>
  <c r="M42" i="59"/>
  <c r="N42" i="59"/>
  <c r="V40" i="63"/>
  <c r="V28" i="63"/>
  <c r="V30" i="63"/>
  <c r="AM96" i="60"/>
  <c r="L48" i="59"/>
  <c r="P48" i="59"/>
  <c r="Q48" i="59" s="1"/>
  <c r="Q42" i="59"/>
  <c r="R46" i="59"/>
  <c r="R33" i="63"/>
  <c r="T40" i="63"/>
  <c r="T33" i="63"/>
  <c r="AM110" i="60"/>
  <c r="R42" i="59"/>
  <c r="U42" i="59"/>
  <c r="R27" i="63"/>
  <c r="T27" i="63"/>
  <c r="T30" i="63"/>
  <c r="T28" i="63"/>
  <c r="G4" i="65"/>
  <c r="R28" i="63"/>
  <c r="T42" i="63"/>
  <c r="R40" i="63"/>
  <c r="AM124" i="60"/>
  <c r="V42" i="59"/>
  <c r="T48" i="59"/>
  <c r="Y42" i="59"/>
  <c r="Z46" i="59"/>
  <c r="P28" i="63"/>
  <c r="P40" i="63"/>
  <c r="P33" i="63"/>
  <c r="X48" i="59"/>
  <c r="AD46" i="59"/>
  <c r="AC42" i="59"/>
  <c r="AD42" i="59"/>
  <c r="Z42" i="59"/>
  <c r="AM152" i="60"/>
  <c r="AM138" i="60"/>
  <c r="N28" i="63"/>
  <c r="AB48" i="59"/>
  <c r="F8" i="65"/>
  <c r="F1287" i="61"/>
  <c r="L36" i="63"/>
  <c r="J33" i="63"/>
  <c r="H1283" i="61"/>
  <c r="L33" i="63"/>
  <c r="N33" i="63"/>
  <c r="AH46" i="59"/>
  <c r="L25" i="63"/>
  <c r="AH42" i="59"/>
  <c r="AF48" i="59"/>
  <c r="AG42" i="59"/>
  <c r="G31" i="23"/>
  <c r="AM166" i="60"/>
  <c r="L28" i="63"/>
  <c r="AL46" i="59"/>
  <c r="AJ48" i="59"/>
  <c r="J40" i="63"/>
  <c r="AL42" i="59"/>
  <c r="AM180" i="60"/>
  <c r="AO42" i="59"/>
  <c r="AP42" i="59"/>
  <c r="AN48" i="59"/>
  <c r="AP46" i="59"/>
  <c r="H25" i="63"/>
  <c r="H27" i="63"/>
  <c r="AM194" i="60"/>
  <c r="M119" i="35"/>
  <c r="M120" i="35" s="1"/>
  <c r="F27" i="63"/>
  <c r="C17" i="51"/>
  <c r="AR48" i="59"/>
  <c r="F31" i="63"/>
  <c r="D40" i="63"/>
  <c r="F40" i="63"/>
  <c r="D28" i="63"/>
  <c r="F28" i="63"/>
  <c r="AM208" i="60"/>
  <c r="AW40" i="59"/>
  <c r="AW42" i="59" s="1"/>
  <c r="AT40" i="59"/>
  <c r="AT46" i="59"/>
  <c r="D97" i="62"/>
  <c r="D99" i="62"/>
  <c r="AV42" i="59"/>
  <c r="AX42" i="59" s="1"/>
  <c r="AM222" i="60"/>
  <c r="O104" i="48"/>
  <c r="AM236" i="60"/>
  <c r="AM250" i="60"/>
  <c r="AM264" i="60"/>
  <c r="AM278" i="60"/>
  <c r="AM292" i="60"/>
  <c r="J104" i="48"/>
  <c r="AM306" i="60"/>
  <c r="I104" i="48"/>
  <c r="AM334" i="60"/>
  <c r="AM320" i="60"/>
  <c r="AL16" i="59" l="1"/>
  <c r="AJ11" i="59"/>
  <c r="AJ15" i="59"/>
  <c r="AK15" i="59"/>
  <c r="AK11" i="59"/>
  <c r="K23" i="64"/>
  <c r="K22" i="64"/>
  <c r="G102" i="62" s="1"/>
  <c r="G21" i="63"/>
  <c r="J21" i="63" s="1"/>
  <c r="J19" i="63"/>
  <c r="G9" i="63"/>
  <c r="J9" i="63" s="1"/>
  <c r="J7" i="63"/>
  <c r="H6" i="63"/>
  <c r="J6" i="63"/>
  <c r="AE4" i="64"/>
  <c r="AC4" i="64"/>
  <c r="AC12" i="64"/>
  <c r="H19" i="63"/>
  <c r="AN15" i="59"/>
  <c r="H21" i="63"/>
  <c r="H7" i="63"/>
  <c r="AN11" i="59"/>
  <c r="AL11" i="59" s="1"/>
  <c r="AC21" i="64"/>
  <c r="H9" i="63"/>
  <c r="F9" i="63"/>
  <c r="AO11" i="59"/>
  <c r="AP16" i="59"/>
  <c r="F21" i="63"/>
  <c r="AR11" i="59"/>
  <c r="E101" i="62"/>
  <c r="E102" i="62"/>
  <c r="AS11" i="59"/>
  <c r="AT16" i="59"/>
  <c r="AR15" i="59"/>
  <c r="D101" i="62"/>
  <c r="AE5" i="64"/>
  <c r="AC5" i="64"/>
  <c r="Q43" i="59"/>
  <c r="J27" i="63"/>
  <c r="Z42" i="63"/>
  <c r="D21" i="63"/>
  <c r="Z29" i="63"/>
  <c r="D43" i="59"/>
  <c r="AX11" i="59" s="1"/>
  <c r="E48" i="59"/>
  <c r="D47" i="59"/>
  <c r="AX15" i="59" s="1"/>
  <c r="P43" i="59"/>
  <c r="H43" i="59"/>
  <c r="F48" i="59"/>
  <c r="X30" i="63"/>
  <c r="N97" i="62"/>
  <c r="N99" i="62"/>
  <c r="X42" i="63"/>
  <c r="W43" i="63"/>
  <c r="J48" i="59"/>
  <c r="H47" i="59"/>
  <c r="I48" i="59"/>
  <c r="P47" i="59"/>
  <c r="R48" i="59"/>
  <c r="N48" i="59"/>
  <c r="L47" i="59"/>
  <c r="L43" i="59"/>
  <c r="V42" i="63"/>
  <c r="M48" i="59"/>
  <c r="R30" i="63"/>
  <c r="Q47" i="59"/>
  <c r="T43" i="59"/>
  <c r="S61" i="59"/>
  <c r="R42" i="63"/>
  <c r="Q43" i="63"/>
  <c r="U48" i="59"/>
  <c r="T47" i="59"/>
  <c r="V48" i="59"/>
  <c r="P30" i="63"/>
  <c r="X43" i="59"/>
  <c r="P42" i="63"/>
  <c r="Z48" i="59"/>
  <c r="X47" i="59"/>
  <c r="Y48" i="59"/>
  <c r="AB43" i="59"/>
  <c r="AD48" i="59"/>
  <c r="AB47" i="59"/>
  <c r="AC48" i="59"/>
  <c r="AC47" i="59" s="1"/>
  <c r="J28" i="63"/>
  <c r="J30" i="63"/>
  <c r="AF43" i="59"/>
  <c r="L30" i="63"/>
  <c r="N30" i="63"/>
  <c r="L40" i="63"/>
  <c r="N40" i="63"/>
  <c r="L27" i="63"/>
  <c r="N27" i="63"/>
  <c r="AG48" i="59"/>
  <c r="AF47" i="59"/>
  <c r="C16" i="51"/>
  <c r="F19" i="23"/>
  <c r="AK48" i="59"/>
  <c r="AK43" i="59" s="1"/>
  <c r="AH48" i="59"/>
  <c r="AL48" i="59"/>
  <c r="AJ43" i="59"/>
  <c r="AJ47" i="59"/>
  <c r="G99" i="62"/>
  <c r="G97" i="62"/>
  <c r="J42" i="63"/>
  <c r="I43" i="63"/>
  <c r="AN47" i="59"/>
  <c r="H40" i="63"/>
  <c r="H42" i="63"/>
  <c r="H30" i="63"/>
  <c r="H28" i="63"/>
  <c r="AN43" i="59"/>
  <c r="AP48" i="59"/>
  <c r="AO48" i="59"/>
  <c r="F33" i="63"/>
  <c r="H33" i="63"/>
  <c r="AR43" i="59"/>
  <c r="AR47" i="59"/>
  <c r="AS48" i="59"/>
  <c r="D30" i="63"/>
  <c r="F30" i="63"/>
  <c r="D42" i="63"/>
  <c r="F42" i="63"/>
  <c r="AT42" i="59"/>
  <c r="AV48" i="59"/>
  <c r="AX48" i="59" s="1"/>
  <c r="C43" i="63"/>
  <c r="O101" i="48"/>
  <c r="O191" i="48" s="1"/>
  <c r="O103" i="48"/>
  <c r="N101" i="48"/>
  <c r="N191" i="48" s="1"/>
  <c r="N103" i="48"/>
  <c r="M104" i="48"/>
  <c r="L103" i="48"/>
  <c r="L101" i="48"/>
  <c r="L191" i="48" s="1"/>
  <c r="L104" i="48"/>
  <c r="J103" i="48"/>
  <c r="J101" i="48"/>
  <c r="J191" i="48" s="1"/>
  <c r="H1284" i="61"/>
  <c r="H1287" i="61" s="1"/>
  <c r="I101" i="48"/>
  <c r="I191" i="48" s="1"/>
  <c r="I103" i="48"/>
  <c r="H104" i="48"/>
  <c r="AL15" i="59" l="1"/>
  <c r="G106" i="62"/>
  <c r="G104" i="62"/>
  <c r="K24" i="64"/>
  <c r="G23" i="62"/>
  <c r="I22" i="63"/>
  <c r="AE13" i="64"/>
  <c r="AC13" i="64"/>
  <c r="F101" i="62"/>
  <c r="F102" i="62"/>
  <c r="AE23" i="64"/>
  <c r="AE21" i="64"/>
  <c r="E22" i="63"/>
  <c r="E23" i="62"/>
  <c r="E24" i="62" s="1"/>
  <c r="AT11" i="59"/>
  <c r="AP11" i="59"/>
  <c r="AT15" i="59"/>
  <c r="AP15" i="59"/>
  <c r="E107" i="62"/>
  <c r="E104" i="62"/>
  <c r="E106" i="62"/>
  <c r="AC14" i="64"/>
  <c r="AE14" i="64"/>
  <c r="D102" i="62"/>
  <c r="D23" i="62"/>
  <c r="D24" i="62" s="1"/>
  <c r="C22" i="63"/>
  <c r="D107" i="62"/>
  <c r="Z30" i="63"/>
  <c r="D9" i="63"/>
  <c r="E47" i="59"/>
  <c r="E43" i="59"/>
  <c r="I43" i="59"/>
  <c r="I47" i="59"/>
  <c r="M43" i="59"/>
  <c r="M47" i="59"/>
  <c r="S43" i="63"/>
  <c r="L99" i="62"/>
  <c r="L97" i="62"/>
  <c r="K97" i="62"/>
  <c r="K99" i="62"/>
  <c r="T61" i="59"/>
  <c r="U47" i="59"/>
  <c r="U43" i="59"/>
  <c r="Y43" i="59"/>
  <c r="Y47" i="59"/>
  <c r="I99" i="62"/>
  <c r="I97" i="62"/>
  <c r="AC43" i="59"/>
  <c r="M43" i="63"/>
  <c r="AK47" i="59"/>
  <c r="L42" i="63"/>
  <c r="N42" i="63"/>
  <c r="AG47" i="59"/>
  <c r="AG43" i="59"/>
  <c r="AP43" i="59"/>
  <c r="AP47" i="59"/>
  <c r="AO43" i="59"/>
  <c r="AO47" i="59"/>
  <c r="E99" i="62"/>
  <c r="E97" i="62"/>
  <c r="E43" i="63"/>
  <c r="AS47" i="59"/>
  <c r="AS43" i="59"/>
  <c r="AV47" i="59"/>
  <c r="AT48" i="59"/>
  <c r="AW48" i="59"/>
  <c r="AV43" i="59"/>
  <c r="AX43" i="59" s="1"/>
  <c r="P99" i="48"/>
  <c r="Q99" i="48"/>
  <c r="P98" i="48"/>
  <c r="Q98" i="48"/>
  <c r="Q104" i="48" s="1"/>
  <c r="M103" i="48"/>
  <c r="M101" i="48"/>
  <c r="M191" i="48" s="1"/>
  <c r="K104" i="48"/>
  <c r="P104" i="48"/>
  <c r="K103" i="48"/>
  <c r="K101" i="48"/>
  <c r="K191" i="48" s="1"/>
  <c r="H101" i="48"/>
  <c r="H191" i="48" s="1"/>
  <c r="H103" i="48"/>
  <c r="P23" i="62" l="1"/>
  <c r="Q23" i="62"/>
  <c r="G24" i="62"/>
  <c r="Q102" i="62"/>
  <c r="P102" i="62"/>
  <c r="F107" i="62"/>
  <c r="Q101" i="62"/>
  <c r="Q107" i="62" s="1"/>
  <c r="P101" i="62"/>
  <c r="P107" i="62" s="1"/>
  <c r="AC22" i="64"/>
  <c r="AC23" i="64"/>
  <c r="AE22" i="64"/>
  <c r="AE24" i="64"/>
  <c r="F23" i="62"/>
  <c r="G22" i="63"/>
  <c r="F104" i="62"/>
  <c r="F106" i="62"/>
  <c r="D106" i="62"/>
  <c r="AT47" i="59"/>
  <c r="AX47" i="59"/>
  <c r="D104" i="62"/>
  <c r="O99" i="62"/>
  <c r="O97" i="62"/>
  <c r="Y43" i="63"/>
  <c r="U43" i="63"/>
  <c r="M99" i="62"/>
  <c r="M97" i="62"/>
  <c r="J97" i="62"/>
  <c r="J99" i="62"/>
  <c r="O43" i="63"/>
  <c r="H99" i="62"/>
  <c r="H97" i="62"/>
  <c r="K43" i="63"/>
  <c r="G43" i="63"/>
  <c r="AT43" i="59"/>
  <c r="AW43" i="59"/>
  <c r="AW47" i="59"/>
  <c r="P20" i="48"/>
  <c r="P22" i="48" s="1"/>
  <c r="Q20" i="48"/>
  <c r="Q22" i="48" s="1"/>
  <c r="Q101" i="48"/>
  <c r="Q103" i="48"/>
  <c r="P103" i="48"/>
  <c r="P101" i="48"/>
  <c r="Q24" i="62" l="1"/>
  <c r="P24" i="62"/>
  <c r="P106" i="62"/>
  <c r="P104" i="62"/>
  <c r="F24" i="62"/>
  <c r="Q106" i="62"/>
  <c r="Q104" i="62"/>
  <c r="AC24" i="64"/>
  <c r="Q181" i="62"/>
  <c r="F97" i="62"/>
  <c r="F99" i="62"/>
  <c r="Q97" i="62" l="1"/>
  <c r="P97" i="62"/>
  <c r="Q182" i="62"/>
  <c r="Q184" i="62" l="1"/>
  <c r="Q186" i="62" l="1"/>
  <c r="P186" i="62"/>
  <c r="K6" i="61" l="1"/>
  <c r="AE61" i="59" l="1"/>
  <c r="AF61" i="59"/>
  <c r="AB61" i="59" l="1"/>
  <c r="AA61" i="59"/>
  <c r="W61" i="59" l="1"/>
  <c r="X61" i="59"/>
  <c r="K1274" i="61" l="1"/>
  <c r="O61" i="59" l="1"/>
  <c r="P61" i="59"/>
  <c r="L61" i="59" l="1"/>
  <c r="K61" i="59"/>
  <c r="H61" i="59" l="1"/>
  <c r="G61" i="59"/>
  <c r="D61" i="59" l="1"/>
  <c r="C61" i="59"/>
  <c r="AV28" i="59" l="1"/>
  <c r="AV30" i="59" s="1"/>
  <c r="AU28" i="59"/>
  <c r="AU30" i="59" s="1"/>
  <c r="AR28" i="59" l="1"/>
  <c r="AR30" i="59" s="1"/>
  <c r="AQ28" i="59"/>
  <c r="AQ30" i="59" s="1"/>
  <c r="AQ31" i="59" s="1"/>
  <c r="AN28" i="59" l="1"/>
  <c r="AN30" i="59" s="1"/>
  <c r="AM28" i="59"/>
  <c r="AM30" i="59" s="1"/>
  <c r="AM31" i="59" s="1"/>
  <c r="AJ27" i="59" l="1"/>
  <c r="AI28" i="59" l="1"/>
  <c r="AI30" i="59" s="1"/>
  <c r="AI31" i="59" s="1"/>
  <c r="AJ26" i="59"/>
  <c r="AJ28" i="59" s="1"/>
  <c r="AJ30" i="59" s="1"/>
  <c r="AJ31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</authors>
  <commentList>
    <comment ref="H10" authorId="0" shapeId="0" xr:uid="{D2A28AB8-9C8E-417F-BC92-E6E495649C56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Sick: 01 Apr 2025 
(No Salary)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  <author>James</author>
    <author>Missthao</author>
  </authors>
  <commentList>
    <comment ref="Y45" authorId="0" shapeId="0" xr:uid="{F2D91353-5F30-4481-B852-BE7798E07C5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No production, Goes to assist Fb+D</t>
        </r>
      </text>
    </comment>
    <comment ref="M117" authorId="0" shapeId="0" xr:uid="{DD88D17A-2DE8-4304-BAD4-D4D9F4F0FADE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có 2 nhân sự mới làm không đủ tháng</t>
        </r>
      </text>
    </comment>
    <comment ref="O117" authorId="0" shapeId="0" xr:uid="{30093356-44A8-4F4D-A78A-78A5832C1DA7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2 New main office (Im/Ex + Purchacsing)</t>
        </r>
      </text>
    </comment>
    <comment ref="Q117" authorId="0" shapeId="0" xr:uid="{2AB8B734-1F41-47D3-9DAF-40F869732DBD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Hani + Win Quit</t>
        </r>
      </text>
    </comment>
    <comment ref="K119" authorId="0" shapeId="0" xr:uid="{B3DF9230-F1ED-415C-91C8-10122CA528D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 - Feb : we have lunar holiday - less working days
 - Mar: total 27 days but many staffs Covid and WFH salary 
 - Apr : normal working days and enough then higher-</t>
        </r>
      </text>
    </comment>
    <comment ref="O120" authorId="0" shapeId="0" xr:uid="{15770E48-0FAA-4FC4-B523-D99639487F0E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New Manager: Mr Jack (Salary gross 65mil)</t>
        </r>
      </text>
    </comment>
    <comment ref="Q120" authorId="0" shapeId="0" xr:uid="{4D77B995-F538-4999-8765-40A01527E31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Mr Jack working 23 day</t>
        </r>
      </text>
    </comment>
    <comment ref="W142" authorId="1" shapeId="0" xr:uid="{D390BB6E-AEFC-4E35-B0DE-1BC070394F2A}">
      <text>
        <r>
          <rPr>
            <b/>
            <sz val="9"/>
            <color indexed="81"/>
            <rFont val="Tahoma"/>
            <family val="2"/>
          </rPr>
          <t>James: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격리로</t>
        </r>
        <r>
          <rPr>
            <sz val="9"/>
            <color indexed="81"/>
            <rFont val="Tahoma"/>
            <family val="2"/>
          </rPr>
          <t xml:space="preserve"> %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?
</t>
        </r>
      </text>
    </comment>
    <comment ref="D153" authorId="0" shapeId="0" xr:uid="{39087036-C12B-4EA4-8A54-7A04E7FBD09D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3" authorId="0" shapeId="0" xr:uid="{66A9BCEA-6094-4BFD-BFC5-52646D8E1384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11" authorId="2" shapeId="0" xr:uid="{9EC3461F-6E8F-4D8E-896A-8900B612B196}">
      <text>
        <r>
          <rPr>
            <sz val="9"/>
            <color indexed="81"/>
            <rFont val="Tahoma"/>
            <family val="2"/>
          </rPr>
          <t xml:space="preserve"> 100%&amp;150%: 8.563.397.849
-200% - 210%: 418.243.697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  <author>Missthao</author>
  </authors>
  <commentList>
    <comment ref="Q79" authorId="0" shapeId="0" xr:uid="{095F39E7-02FA-4698-9081-665C83EEA1D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Mr Happy off 15~31 Sept 
22</t>
        </r>
      </text>
    </comment>
    <comment ref="G158" authorId="1" shapeId="0" xr:uid="{06D2A32A-1519-464E-B91A-CF91387A149D}">
      <text>
        <r>
          <rPr>
            <b/>
            <sz val="9"/>
            <color indexed="81"/>
            <rFont val="Tahoma"/>
            <family val="2"/>
          </rPr>
          <t>*New: Japan Staff
* Ms.Nghĩa cooking "cleaning to office"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8" authorId="1" shapeId="0" xr:uid="{80D4EFCC-B41C-4B69-8CA2-9AB6DAE913B8}">
      <text>
        <r>
          <rPr>
            <sz val="9"/>
            <color indexed="81"/>
            <rFont val="Tahoma"/>
            <family val="2"/>
          </rPr>
          <t xml:space="preserve">-100% &amp; 150%: 7.794.983
- 200%&amp;210%: 429.850
</t>
        </r>
      </text>
    </comment>
    <comment ref="S173" authorId="1" shapeId="0" xr:uid="{D7EFA9F2-8A5D-444E-B1F6-08AD3B8D36D4}">
      <text>
        <r>
          <rPr>
            <sz val="9"/>
            <color indexed="81"/>
            <rFont val="Tahoma"/>
            <family val="2"/>
          </rPr>
          <t xml:space="preserve">- 100%&amp;150%: 8.563.397.849
- 200% &amp; 210%: 418.243.697
</t>
        </r>
      </text>
    </comment>
    <comment ref="S176" authorId="1" shapeId="0" xr:uid="{2004728F-32FE-40E0-B56D-AC04460AF1DB}">
      <text>
        <r>
          <rPr>
            <sz val="9"/>
            <color indexed="81"/>
            <rFont val="Tahoma"/>
            <family val="2"/>
          </rPr>
          <t>-100% &amp; 150%: 7.119.591.418
-200% &amp; 210%: 402.388.580</t>
        </r>
      </text>
    </comment>
    <comment ref="S182" authorId="1" shapeId="0" xr:uid="{91338E0E-4942-4BD2-85EA-F41CA9DD8725}">
      <text>
        <r>
          <rPr>
            <sz val="9"/>
            <color indexed="81"/>
            <rFont val="Tahoma"/>
            <family val="2"/>
          </rPr>
          <t xml:space="preserve">-100%&amp;150%: 117.645.156
-200%&amp;210%: 15.855.117
</t>
        </r>
      </text>
    </comment>
    <comment ref="S190" authorId="1" shapeId="0" xr:uid="{F92427A4-1582-470F-B336-AA525E4C6D6E}">
      <text>
        <r>
          <rPr>
            <sz val="9"/>
            <color indexed="81"/>
            <rFont val="Tahoma"/>
            <family val="2"/>
          </rPr>
          <t xml:space="preserve">-100% &amp; 150%: 7.794.983
- 200%&amp;210%: 429.850
</t>
        </r>
      </text>
    </comment>
    <comment ref="U190" authorId="1" shapeId="0" xr:uid="{A6BD996E-9A24-431F-AA76-61F165BB5D56}">
      <text>
        <r>
          <rPr>
            <sz val="9"/>
            <color indexed="81"/>
            <rFont val="Tahoma"/>
            <family val="2"/>
          </rPr>
          <t xml:space="preserve">-100% &amp; 150%: 7.794.983
- 200%&amp;210%: 429.850
</t>
        </r>
      </text>
    </comment>
    <comment ref="W190" authorId="1" shapeId="0" xr:uid="{A306740E-23E8-42EB-B6EC-C23CE268CE65}">
      <text>
        <r>
          <rPr>
            <sz val="9"/>
            <color indexed="81"/>
            <rFont val="Tahoma"/>
            <family val="2"/>
          </rPr>
          <t xml:space="preserve">-100% &amp; 150%: 7.794.983
- 200%&amp;210%: 429.850
</t>
        </r>
      </text>
    </comment>
    <comment ref="Y190" authorId="1" shapeId="0" xr:uid="{94F69CD8-7FCA-45DD-BFAE-3E935C57F7C5}">
      <text>
        <r>
          <rPr>
            <sz val="9"/>
            <color indexed="81"/>
            <rFont val="Tahoma"/>
            <family val="2"/>
          </rPr>
          <t xml:space="preserve">-100% &amp; 150%: 7.794.983
- 200%&amp;210%: 429.850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  <author>Dory</author>
  </authors>
  <commentList>
    <comment ref="D18" authorId="0" shapeId="0" xr:uid="{1CA9904F-F576-45A5-900A-600CF122A51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150%: 93.741 giờ
200% : 2430
210% : 3179</t>
        </r>
      </text>
    </comment>
    <comment ref="E18" authorId="0" shapeId="0" xr:uid="{AC0DA007-22D3-42E3-9FD1-6DA23DA5E74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Holiday: 6 ngày+ công thực tế 14 ngày</t>
        </r>
      </text>
    </comment>
    <comment ref="H18" authorId="0" shapeId="0" xr:uid="{B56915CD-9558-4789-BC9A-DACDDE24B61B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hơn 2000 công nhân</t>
        </r>
      </text>
    </comment>
    <comment ref="D19" authorId="0" shapeId="0" xr:uid="{7EA3E72A-7FB5-4F9D-92DB-96B007A7EBFE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 53.907
200%: 1186
210%: 274  
làm 24 công + 3 ngày lễ là trả đủ công</t>
        </r>
      </text>
    </comment>
    <comment ref="E19" authorId="0" shapeId="0" xr:uid="{B0E593DA-8111-42B4-B714-F17393FD72E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tết 5 ngày+ công thực tế 19 ngày</t>
        </r>
      </text>
    </comment>
    <comment ref="D20" authorId="0" shapeId="0" xr:uid="{CC7F9C15-1E62-4B26-B555-D0DCA310061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công nhân giảm, ngày công thực tế từ ngày 1-14/01, tăng ca giảm</t>
        </r>
      </text>
    </comment>
    <comment ref="E20" authorId="0" shapeId="0" xr:uid="{86F0278B-9F3F-4A59-A9EE-FFA4B24C3BD3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ngỉ tết tới ngày 6/02 nhưng rất nhiều bộ phận đi làm từ đầu tháng
lương trách nhiệm và cơ bản tăng</t>
        </r>
      </text>
    </comment>
    <comment ref="E6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0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7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8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84" authorId="0" shapeId="0" xr:uid="{E0CCA27D-2FDB-417E-A8C0-0C4159AD016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86" authorId="0" shapeId="0" xr:uid="{4B0A6835-4F04-4944-8433-B2769DD47EE6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91" authorId="0" shapeId="0" xr:uid="{99F11CEE-E3BF-431F-BED4-E3CCF4399A6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92" authorId="0" shapeId="0" xr:uid="{87732FE8-7B2C-4910-AB47-3261E9A2D67D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94" authorId="0" shapeId="0" xr:uid="{BFB8D911-19A3-4E36-B384-26819EEFE25F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99" authorId="0" shapeId="0" xr:uid="{79D83639-3CC0-4618-A5CD-12249A65259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100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102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F121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5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9" authorId="1" shapeId="0" xr:uid="{52DDE1EE-79EB-4F8A-BE9D-32069DCE3518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3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7" authorId="1" shapeId="0" xr:uid="{D455B2C3-1D07-47F3-BC8F-34CDD77A574A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56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0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4" authorId="1" shapeId="0" xr:uid="{F3883D80-C3B3-4787-92DF-7701CB32D9C8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8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  <author>Dory</author>
  </authors>
  <commentList>
    <comment ref="D19" authorId="0" shapeId="0" xr:uid="{A67CF73F-F54D-49C7-9C5B-DB73223876D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150%: 93.741 giờ
200% : 2430
210% : 3179</t>
        </r>
      </text>
    </comment>
    <comment ref="E19" authorId="0" shapeId="0" xr:uid="{434A09F2-822B-4391-9C0B-6A47E3282FD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Holiday: 6 ngày+ công thực tế 14 ngày</t>
        </r>
      </text>
    </comment>
    <comment ref="H19" authorId="0" shapeId="0" xr:uid="{066A97F1-4F0D-4A4A-A8DB-11FB27F32B9F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hơn 2000 công nhân</t>
        </r>
      </text>
    </comment>
    <comment ref="D20" authorId="0" shapeId="0" xr:uid="{DCF0638A-9D11-4D11-900C-5D4D240DF8A3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 53.907
200%: 1186
210%: 274  
làm 24 công + 3 ngày lễ là trả đủ công</t>
        </r>
      </text>
    </comment>
    <comment ref="E20" authorId="0" shapeId="0" xr:uid="{CC4EED99-EC26-4F4E-8578-C0F047DA0CFC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tết 5 ngày+ công thực tế 19 ngày</t>
        </r>
      </text>
    </comment>
    <comment ref="D21" authorId="0" shapeId="0" xr:uid="{30ABD2A0-E5F1-4701-A687-B3732AF9488B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công nhân giảm, ngày công thực tế từ ngày 1-14/01, tăng ca giảm</t>
        </r>
      </text>
    </comment>
    <comment ref="E21" authorId="0" shapeId="0" xr:uid="{E2505154-FD3A-46DF-B355-9D32BAC7CC4B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ngỉ tết tới ngày 6/02 nhưng rất nhiều bộ phận đi làm từ đầu tháng
lương trách nhiệm và cơ bản tăng</t>
        </r>
      </text>
    </comment>
    <comment ref="E68" authorId="0" shapeId="0" xr:uid="{7D10F2E2-1F8E-4DBB-ADB9-18E06F018D84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0" authorId="0" shapeId="0" xr:uid="{7B1B32DF-F948-46DA-9803-D5FF90A38C73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75" authorId="0" shapeId="0" xr:uid="{F3C114A6-B79B-411D-8E2F-ACBA7DA78E4F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7" authorId="0" shapeId="0" xr:uid="{6FC719AD-BF5F-4561-B7F1-69CD87EF39DE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82" authorId="0" shapeId="0" xr:uid="{F75B2294-39F3-44AD-8EE8-314FC14D0555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84" authorId="0" shapeId="0" xr:uid="{C7810992-B815-4B38-9ABF-15DE2D8AC545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88" authorId="0" shapeId="0" xr:uid="{53D22B24-70CB-46BF-8A2D-12FD862AC574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89" authorId="0" shapeId="0" xr:uid="{A0CC9F56-BFFB-4420-A60F-5EE42D947AA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91" authorId="0" shapeId="0" xr:uid="{6652ADC0-02E5-4A85-9C82-313A98D28B1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95" authorId="0" shapeId="0" xr:uid="{76299E73-2460-492D-84A2-1A54465967A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96" authorId="0" shapeId="0" xr:uid="{C37C2360-F99D-4F75-97BB-141212820FC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98" authorId="0" shapeId="0" xr:uid="{BC992504-4789-4574-AC47-D5F0EAD263CD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F121" authorId="1" shapeId="0" xr:uid="{54D32BF1-8576-47F6-8FD4-55E96CFC6E99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4" authorId="1" shapeId="0" xr:uid="{8128D3E6-964E-4CB7-8AC5-B4F8A99F879A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7" authorId="1" shapeId="0" xr:uid="{E0656E9C-C1C4-42E8-B328-2ACDD1B4DA2B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0" authorId="1" shapeId="0" xr:uid="{663D8194-7449-4E06-9133-CDE3F42330ED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3" authorId="1" shapeId="0" xr:uid="{52C539D3-D309-4187-A5E4-E318152870D3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52" authorId="1" shapeId="0" xr:uid="{36EA5CDB-700F-4E9F-8032-F4E65A7F4DE4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55" authorId="1" shapeId="0" xr:uid="{B20C6A01-30DE-4907-A7B2-93EFDA4BBA2D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58" authorId="1" shapeId="0" xr:uid="{69A9EFC1-0752-44F0-93AE-4963851CA7E1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1" authorId="1" shapeId="0" xr:uid="{7CC2EB62-F960-481A-8359-54093BB9B78C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4" authorId="1" shapeId="0" xr:uid="{C7B1825C-8836-4339-9AC7-A486FA481959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</commentList>
</comments>
</file>

<file path=xl/sharedStrings.xml><?xml version="1.0" encoding="utf-8"?>
<sst xmlns="http://schemas.openxmlformats.org/spreadsheetml/2006/main" count="16239" uniqueCount="5921">
  <si>
    <t>TỔNG CỘNG</t>
  </si>
  <si>
    <t>Office</t>
  </si>
  <si>
    <t>Người kiểm tra</t>
  </si>
  <si>
    <t>Checked by</t>
  </si>
  <si>
    <t>Người Lập</t>
  </si>
  <si>
    <t>Korean</t>
  </si>
  <si>
    <t>TOTAL</t>
  </si>
  <si>
    <t>Bộ phận
Dept</t>
  </si>
  <si>
    <t>Họ và tên
Full Name</t>
  </si>
  <si>
    <t>Thực lãnh
Amount</t>
  </si>
  <si>
    <t>TT
No.</t>
  </si>
  <si>
    <t>Họ và tên
Name</t>
  </si>
  <si>
    <t>Mã thẻ
Code</t>
  </si>
  <si>
    <t>Ngày vào
Entry day</t>
  </si>
  <si>
    <t>Phép năm
year leave</t>
  </si>
  <si>
    <t>Cộng
Total</t>
  </si>
  <si>
    <t>Tăng ca
Overtime</t>
  </si>
  <si>
    <t>Khấu trừ
Reduction</t>
  </si>
  <si>
    <t>Ký nhận
Signature</t>
  </si>
  <si>
    <t>KPCĐ
Union Dues</t>
  </si>
  <si>
    <t>Personal Income Tax
Thuế TNCN</t>
  </si>
  <si>
    <t>BHXH&amp;BHYT, BHTN
Social &amp; Health Ins, Unempl-oyment Benefit</t>
  </si>
  <si>
    <t>STT</t>
  </si>
  <si>
    <t>MST</t>
  </si>
  <si>
    <t>KIM DONG WOO</t>
  </si>
  <si>
    <t>Công ty TNHH Bao Bì Cao Cấp S&amp;K Vina</t>
  </si>
  <si>
    <t>Lô B1 -B4 KCn Minh Hưng - Hàn Quốc</t>
  </si>
  <si>
    <t>H. Chơn Thành - Bình Phước</t>
  </si>
  <si>
    <t>Stt
No.</t>
  </si>
  <si>
    <t>Tên người thụ hưởng
Beneficiary Name</t>
  </si>
  <si>
    <t>Lương cơ bản
Basic Salary
(USD)</t>
  </si>
  <si>
    <t>Ngày công
thực tế
Actual Workday</t>
  </si>
  <si>
    <t>Nha o</t>
  </si>
  <si>
    <t>TNTT</t>
  </si>
  <si>
    <t>Thuế TNCN
Personal income Tax</t>
  </si>
  <si>
    <t>Người lập / Prepare by</t>
  </si>
  <si>
    <t># of worker</t>
  </si>
  <si>
    <t>Lương hợp đồng
Contract salary</t>
  </si>
  <si>
    <t>Ngày công
Day</t>
  </si>
  <si>
    <t>Nghỉ có hưởng lương
Paid leave</t>
  </si>
  <si>
    <t>Ca đêm
extra pay for night work + 30%)</t>
  </si>
  <si>
    <t>Lương, thưởng và các khoản hỗ trợ
Salary, bonus, support fee</t>
  </si>
  <si>
    <t xml:space="preserve">Lương CB + trách nhiệm
Basic salary + Responsibility </t>
  </si>
  <si>
    <t>Thưởng chuyên cần
Diligent
Bonus</t>
  </si>
  <si>
    <t>Thưởng ABC
ABC Bonus</t>
  </si>
  <si>
    <t>Thưởng năng suất
Production bonus</t>
  </si>
  <si>
    <t>Tổng tiền
Amount</t>
  </si>
  <si>
    <t>Đồng phục
Uniform</t>
  </si>
  <si>
    <t>BHXH +YT, +TN
Insurance</t>
  </si>
  <si>
    <t>Điện thoại, Telephone fee</t>
  </si>
  <si>
    <t>Lương CB + trách nhiệm
Basic Salary + Responsibility</t>
  </si>
  <si>
    <t>Giờ công
Hour</t>
  </si>
  <si>
    <t>C5841</t>
  </si>
  <si>
    <t>Trần Văn Nhân</t>
  </si>
  <si>
    <t>V004</t>
  </si>
  <si>
    <t>C0020</t>
  </si>
  <si>
    <t>Phan Tuấn Khanh</t>
  </si>
  <si>
    <t>C3465</t>
  </si>
  <si>
    <t>C6068</t>
  </si>
  <si>
    <t>C5107</t>
  </si>
  <si>
    <t>C6347</t>
  </si>
  <si>
    <t>C5097</t>
  </si>
  <si>
    <t>C6407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</si>
  <si>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</si>
  <si>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</si>
  <si>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</si>
  <si>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</si>
  <si>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</si>
  <si>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</si>
  <si>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</si>
  <si>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</si>
  <si>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</si>
  <si>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</si>
  <si>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</si>
  <si>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</si>
  <si>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VND</t>
  </si>
  <si>
    <t>USD</t>
  </si>
  <si>
    <t>Factory</t>
  </si>
  <si>
    <t>Manager</t>
  </si>
  <si>
    <t>Total</t>
  </si>
  <si>
    <t>CONTENT</t>
  </si>
  <si>
    <t>TOTAL  Salary
(Including Korean)</t>
  </si>
  <si>
    <t>Salary</t>
  </si>
  <si>
    <t>No of Person</t>
  </si>
  <si>
    <t>Salary/person</t>
  </si>
  <si>
    <t>TOTAL  Salary
(Excluding Korean)</t>
  </si>
  <si>
    <t>%</t>
  </si>
  <si>
    <t>COMPARISON SUMMARY</t>
  </si>
  <si>
    <t>Currency</t>
  </si>
  <si>
    <t>Average</t>
  </si>
  <si>
    <t>Total employee</t>
  </si>
  <si>
    <t xml:space="preserve">2016 Salary vs Shipping amount </t>
  </si>
  <si>
    <t>Total salary</t>
  </si>
  <si>
    <t>Total shipping amount</t>
  </si>
  <si>
    <t>Percentage</t>
  </si>
  <si>
    <t>Total Vina amount</t>
  </si>
  <si>
    <t xml:space="preserve">2017 Salary vs Shipping amount </t>
  </si>
  <si>
    <t>Total salary 2017 vs 2016</t>
  </si>
  <si>
    <t>2016 Person vs Production Q'ty</t>
  </si>
  <si>
    <t>Total Production Q'ty</t>
  </si>
  <si>
    <t>Q'ty / Person</t>
  </si>
  <si>
    <t>2017 Person vs Production Q'ty</t>
  </si>
  <si>
    <t>Q'ty / Person (2017 vs 2016)</t>
  </si>
  <si>
    <t>2)</t>
  </si>
  <si>
    <t>2016 Person vs Production Amount</t>
  </si>
  <si>
    <t>Total Production Amount</t>
  </si>
  <si>
    <t>Amount / Person</t>
  </si>
  <si>
    <t>2017 Person vs Production Amount</t>
  </si>
  <si>
    <t>Production Amount / Person (2017 vs 2016)</t>
  </si>
  <si>
    <t>3)</t>
  </si>
  <si>
    <t>2016 Vina shipping amount/ person</t>
  </si>
  <si>
    <t>2017 Vina shipping amount/ person</t>
  </si>
  <si>
    <t>4)</t>
  </si>
  <si>
    <t>2016 Master Sales amount/ person</t>
  </si>
  <si>
    <t>2017 Master Sales amount/ person</t>
  </si>
  <si>
    <t>KIM JE MIN</t>
  </si>
  <si>
    <t>Đồng Phục
Uniform</t>
  </si>
  <si>
    <t xml:space="preserve">      Checked by</t>
  </si>
  <si>
    <t>STT
No.</t>
  </si>
  <si>
    <t>Thuế TNCN
Personal Income Tax</t>
  </si>
  <si>
    <t>Ngày
phép</t>
  </si>
  <si>
    <t>Remark</t>
  </si>
  <si>
    <t>Working day</t>
  </si>
  <si>
    <t>Paid leave</t>
  </si>
  <si>
    <t>Overtime 150%</t>
  </si>
  <si>
    <t>Overtime 200%</t>
  </si>
  <si>
    <t>Overtime 210%</t>
  </si>
  <si>
    <t>2017 Monthly Average</t>
    <phoneticPr fontId="61" type="noConversion"/>
  </si>
  <si>
    <t>Sep/Aug</t>
  </si>
  <si>
    <t xml:space="preserve">2018 Salary vs Shipping amount </t>
  </si>
  <si>
    <t>Total salary 2018 vs 2017</t>
  </si>
  <si>
    <t>2018 Person vs Production Q'ty</t>
  </si>
  <si>
    <t>Q'ty / Person (2018 vs 2017)</t>
  </si>
  <si>
    <t>2018 Vina shipping amount/ person</t>
  </si>
  <si>
    <t>2018 Master Sales amount/ person</t>
  </si>
  <si>
    <t>Jan/Dec</t>
  </si>
  <si>
    <t>Total 2018</t>
  </si>
  <si>
    <t>2018 Monthly Average</t>
  </si>
  <si>
    <t>Total 2017</t>
  </si>
  <si>
    <t>Hình thức thanh toán: Tiền mặt/Cashing</t>
  </si>
  <si>
    <t>Phụ cấp NNĐH
Hazadouse allowance (&gt;=5% of basic salary)</t>
  </si>
  <si>
    <t>Production Amount / Person
 (2018 vs 2017)</t>
  </si>
  <si>
    <t>Average salary</t>
    <phoneticPr fontId="46" type="noConversion"/>
  </si>
  <si>
    <t>USD</t>
    <phoneticPr fontId="61" type="noConversion"/>
  </si>
  <si>
    <t>2018 Person vs Production Amount</t>
    <phoneticPr fontId="61" type="noConversion"/>
  </si>
  <si>
    <t>Trách nhiệm
Responsibility</t>
  </si>
  <si>
    <t>Exchange rate:2017</t>
  </si>
  <si>
    <t>Exchange rate:2018</t>
  </si>
  <si>
    <t>Bộ phận
Dep</t>
  </si>
  <si>
    <t>Phụ cấp PCCC
PCCC / ATVSV allowance (30% of government basic salary and safety - hygency team)</t>
  </si>
  <si>
    <t>C3402</t>
  </si>
  <si>
    <t>Exchange rate:2019</t>
  </si>
  <si>
    <t xml:space="preserve">2019 Salary vs Shipping amount </t>
  </si>
  <si>
    <t>Total salary 2019 vs 2018</t>
  </si>
  <si>
    <t>2019 Person vs Production Q'ty</t>
  </si>
  <si>
    <t>2019 Person vs Production Amount</t>
  </si>
  <si>
    <t>2019 Vina shipping amount/ person</t>
  </si>
  <si>
    <t>2019 Master Sales amount/ person</t>
  </si>
  <si>
    <t>Q'ty / Person (2019 vs 2018)</t>
  </si>
  <si>
    <t>Total 2019</t>
  </si>
  <si>
    <t>2019 Monthly Average</t>
  </si>
  <si>
    <t>Nguyễn Thị Hà</t>
  </si>
  <si>
    <t>Đoàn Thị Hiếu Loan</t>
  </si>
  <si>
    <t>Lê Văn Khỏe</t>
  </si>
  <si>
    <t>Kiều Quốc Minh</t>
  </si>
  <si>
    <t>Hồ Mạnh Hoàng</t>
  </si>
  <si>
    <t>Điểu Dũng</t>
  </si>
  <si>
    <t>Roãn Văn Hòa</t>
  </si>
  <si>
    <t>Trần Thị Cẩm Linh</t>
  </si>
  <si>
    <t>Đỗ Thị Thanh Tú</t>
  </si>
  <si>
    <t>Ngày làm việc thực tế
Actual Working day</t>
    <phoneticPr fontId="12" type="noConversion"/>
  </si>
  <si>
    <t>Phụ cấp 
Phụ Nữ
Menstruation allowance</t>
  </si>
  <si>
    <t>Overtime 270%</t>
  </si>
  <si>
    <t>Overtime 300%</t>
  </si>
  <si>
    <t>Con nhỏ
Support for baby (1-6)</t>
  </si>
  <si>
    <t>Bảo hiểm, thất nghiệp
 Additional salary , insurance, Unempl-oyment Benefit, Bù Lương, Công Tác phí</t>
  </si>
  <si>
    <t>1)</t>
  </si>
  <si>
    <t>C11234</t>
  </si>
  <si>
    <t>Trần Phạm Tuấn Anh</t>
  </si>
  <si>
    <t>V054</t>
  </si>
  <si>
    <t>Huỳnh Ngọc Thảo</t>
  </si>
  <si>
    <t>Lương cơ bản
Basic Salary
(VND)</t>
  </si>
  <si>
    <t>Đỗ Thị Vân</t>
  </si>
  <si>
    <t>Cơ bản
Basic salary</t>
  </si>
  <si>
    <t>July</t>
  </si>
  <si>
    <t>Total 2020</t>
  </si>
  <si>
    <t>2020 Monthly Average</t>
  </si>
  <si>
    <t xml:space="preserve">2020Salary vs Shipping amount </t>
  </si>
  <si>
    <t>Total salary 2020 vs 2019</t>
  </si>
  <si>
    <t>Exchange rate:2020</t>
  </si>
  <si>
    <t>2020 Person vs Production Amount</t>
  </si>
  <si>
    <t>2020Person vs Production Q'ty</t>
  </si>
  <si>
    <t>Q'ty / Person (2020 vs 2019)</t>
  </si>
  <si>
    <t>2020 Master Sales amount/ person</t>
  </si>
  <si>
    <t>Production Amount / Person
 (2020 vs 2019)</t>
  </si>
  <si>
    <t>Title/
Chức danh</t>
  </si>
  <si>
    <t>Phụ cấp chức danh/Title Allowance</t>
  </si>
  <si>
    <t>Tiền cơm
Meal Allowance</t>
  </si>
  <si>
    <t>Hỗ trợ xăng + nhà trọ,
Mileage, house</t>
  </si>
  <si>
    <t>Content</t>
  </si>
  <si>
    <t>Noted</t>
  </si>
  <si>
    <t>Night work + 30%</t>
  </si>
  <si>
    <t xml:space="preserve">After Corona epidemic situation - Normal overtime </t>
  </si>
  <si>
    <t>Jun-May</t>
  </si>
  <si>
    <t>YUE FAMENG</t>
  </si>
  <si>
    <t>Dep new</t>
  </si>
  <si>
    <t>Working: Jun.2020: 26 days - May.2020: 24 days</t>
  </si>
  <si>
    <t>After Corona epidemic situationm,After Transportation of machinery SK1: Box - SK2: Bag - Normal working</t>
  </si>
  <si>
    <t>SO TAI KHOAN
(Format kieu text)</t>
  </si>
  <si>
    <t>SO TIEN
(Format kieu Number, 
khong dau phan cach)</t>
  </si>
  <si>
    <t>NOI DUNG THANH TOAN
(Tieng viet khong dau, khong ky 
tu dac biet, toi da 100 ky tu)</t>
  </si>
  <si>
    <t>Ghi chú</t>
  </si>
  <si>
    <t>Danh sách số:……………………………..</t>
  </si>
  <si>
    <t xml:space="preserve">Ngày : </t>
  </si>
  <si>
    <t>Giám đốc</t>
  </si>
  <si>
    <t>Fac</t>
  </si>
  <si>
    <t>FACTORY A</t>
  </si>
  <si>
    <t>FACTORY B</t>
  </si>
  <si>
    <t>FACTORY D</t>
  </si>
  <si>
    <t>FACTORY H</t>
  </si>
  <si>
    <t>FACTORY O</t>
  </si>
  <si>
    <t>SK2</t>
  </si>
  <si>
    <t>Kiểm tra/ Checked by</t>
  </si>
  <si>
    <t>Giám Đốc /Director</t>
  </si>
  <si>
    <t>Kim Dong Woo</t>
  </si>
  <si>
    <t>Tổng thu nhập
Total Gross Salary</t>
  </si>
  <si>
    <t>Tiền thực lãnh
Net Salary</t>
  </si>
  <si>
    <t>Tổng thu nhập
Total gross salary</t>
  </si>
  <si>
    <t>Số Tiền (VND)
Net salary</t>
  </si>
  <si>
    <t>Lương CB
Gross Salary
VND</t>
  </si>
  <si>
    <t>Tiền thực lãnh
Net salary
VND</t>
  </si>
  <si>
    <t>BOX</t>
  </si>
  <si>
    <t xml:space="preserve">Average </t>
  </si>
  <si>
    <t>BAG</t>
  </si>
  <si>
    <t>BOX &amp; BAG</t>
  </si>
  <si>
    <r>
      <t xml:space="preserve">HO TEN
</t>
    </r>
    <r>
      <rPr>
        <sz val="9"/>
        <color theme="1"/>
        <rFont val="Arial"/>
        <family val="2"/>
      </rPr>
      <t>(Tieng viet khong dau)</t>
    </r>
  </si>
  <si>
    <t>G. Total</t>
  </si>
  <si>
    <t>P6 - Cleaning</t>
  </si>
  <si>
    <t>P6 - Glue Mixing</t>
  </si>
  <si>
    <t>P5 - Cleaning</t>
  </si>
  <si>
    <t>P4 - Cleaning</t>
  </si>
  <si>
    <t>P0 - Cleaning</t>
  </si>
  <si>
    <t>P0 - Design</t>
  </si>
  <si>
    <t>P0 - Development</t>
  </si>
  <si>
    <t>P0 - FG Warehouse</t>
  </si>
  <si>
    <t>P0 - Material Warehouse</t>
  </si>
  <si>
    <t>P0 - Planning</t>
  </si>
  <si>
    <t>P0 - QMS</t>
  </si>
  <si>
    <t>P1 - Lami</t>
  </si>
  <si>
    <t>P1 - Production Office</t>
  </si>
  <si>
    <t>P2 - CT / Regular</t>
  </si>
  <si>
    <t>P2 - Cutting</t>
  </si>
  <si>
    <t>P2 - Glitter</t>
  </si>
  <si>
    <t>P2 - Production Office</t>
  </si>
  <si>
    <t>P2 - TL - SC, HS</t>
  </si>
  <si>
    <t>P2 - WIP</t>
  </si>
  <si>
    <t>P3 - Assembly 2A</t>
  </si>
  <si>
    <t>P3 - Assembly 2B</t>
  </si>
  <si>
    <t>P3 - Inspection</t>
  </si>
  <si>
    <t>P3 - Packing</t>
  </si>
  <si>
    <t>P3 - Production Office</t>
  </si>
  <si>
    <t>P3 - QC</t>
  </si>
  <si>
    <t>P3 - WIP</t>
  </si>
  <si>
    <t>P7 - Car driver</t>
  </si>
  <si>
    <t>P7 - Cleaning</t>
  </si>
  <si>
    <t>P7 - Development</t>
  </si>
  <si>
    <t>P7 - FG Warehouse</t>
  </si>
  <si>
    <t>P7 - Material Warehouse</t>
  </si>
  <si>
    <t>P7 - Planning</t>
  </si>
  <si>
    <t>P7 - QMS</t>
  </si>
  <si>
    <t>Dep Code</t>
  </si>
  <si>
    <t>Total 2021</t>
  </si>
  <si>
    <t>2021 Monthly Average</t>
  </si>
  <si>
    <t xml:space="preserve">2021Salary vs Shipping amount </t>
  </si>
  <si>
    <t>Total salary 2021 vs 2020</t>
  </si>
  <si>
    <t>2021Person vs Production Q'ty</t>
  </si>
  <si>
    <t>2021 Person vs Production Amount</t>
  </si>
  <si>
    <t>2021 Master Sales amount/ person</t>
  </si>
  <si>
    <t>2020 Vina shipping amount/ person</t>
  </si>
  <si>
    <t>2021 Vina shipping amount/ person</t>
  </si>
  <si>
    <t>Tiền thực lãnh
Net salary
USD (Paid)</t>
  </si>
  <si>
    <t>x</t>
  </si>
  <si>
    <t>P3 - Assembly 1A</t>
  </si>
  <si>
    <t>SK</t>
  </si>
  <si>
    <t>P7 - Mold</t>
  </si>
  <si>
    <t>C14098</t>
  </si>
  <si>
    <t xml:space="preserve">Bùi Khắc Đức </t>
  </si>
  <si>
    <t>SK1 Box</t>
  </si>
  <si>
    <t>SK1 Bag</t>
  </si>
  <si>
    <t>P3 - Auto machine</t>
  </si>
  <si>
    <t>Code</t>
  </si>
  <si>
    <t>Name</t>
  </si>
  <si>
    <t>Phụ cấp Phụ Nữ
Menstruation allowance</t>
  </si>
  <si>
    <t>katie</t>
  </si>
  <si>
    <t>Analys - Bảo</t>
  </si>
  <si>
    <t>Advance</t>
  </si>
  <si>
    <t>Mr DW</t>
  </si>
  <si>
    <t>Mr JM</t>
  </si>
  <si>
    <t>Mr Happy</t>
  </si>
  <si>
    <t>English name</t>
  </si>
  <si>
    <t>Contract salary</t>
  </si>
  <si>
    <t>Note</t>
  </si>
  <si>
    <t>Tên TK</t>
  </si>
  <si>
    <t>Số TK</t>
  </si>
  <si>
    <t>Exchange rate:2021</t>
  </si>
  <si>
    <t>Oct.2021 No overtime 300%</t>
  </si>
  <si>
    <t>Not Include Korean</t>
    <phoneticPr fontId="61" type="noConversion"/>
  </si>
  <si>
    <t>Production Amount / Person (2021 vs 2020)</t>
    <phoneticPr fontId="61" type="noConversion"/>
  </si>
  <si>
    <t>Paid Leave</t>
    <phoneticPr fontId="61" type="noConversion"/>
  </si>
  <si>
    <t>Annual Leave</t>
    <phoneticPr fontId="61" type="noConversion"/>
  </si>
  <si>
    <t>extra pay for night work + 30%</t>
    <phoneticPr fontId="61" type="noConversion"/>
  </si>
  <si>
    <t>Overtime 150%</t>
    <phoneticPr fontId="61" type="noConversion"/>
  </si>
  <si>
    <t>Overtime 200%</t>
    <phoneticPr fontId="61" type="noConversion"/>
  </si>
  <si>
    <t>Overtime 210%</t>
    <phoneticPr fontId="61" type="noConversion"/>
  </si>
  <si>
    <t>SK1 Bag/Box</t>
  </si>
  <si>
    <t>Working Day</t>
  </si>
  <si>
    <t>Paid Leave</t>
  </si>
  <si>
    <t>Annual Leave</t>
  </si>
  <si>
    <t>extra pay for night work + 30%</t>
  </si>
  <si>
    <t>Dec: Isolate (7 day) working day 27 day (Total 35.366 day/ 1681 Preson)</t>
  </si>
  <si>
    <t>Dec: Working day 27 day &amp;Night work 2872 Hour</t>
  </si>
  <si>
    <t>Dec: Working day 27 day (Overtime 64.852 hour)</t>
  </si>
  <si>
    <t>Dec: Overtime Sunday 34 Hour</t>
  </si>
  <si>
    <t>Dec: Working day 27 day (525 Hour)</t>
  </si>
  <si>
    <t>용역비용 포함? /용역인원 포함 여부?</t>
    <phoneticPr fontId="61" type="noConversion"/>
  </si>
  <si>
    <t>외가공 생산분이 비나 생산수량에 포함, 외가공 생산인원 포함해서 계산?외가공 생산 인원의 합산 분석 방법,(외가공 생산인원,생산수량)</t>
    <phoneticPr fontId="61" type="noConversion"/>
  </si>
  <si>
    <t>==&gt;</t>
  </si>
  <si>
    <t>Box</t>
  </si>
  <si>
    <t>Bag</t>
  </si>
  <si>
    <t>Năm 2020</t>
  </si>
  <si>
    <t>FA+FB+50%FO</t>
  </si>
  <si>
    <t>FC+D+50%O+H</t>
  </si>
  <si>
    <t>Năm 2021</t>
  </si>
  <si>
    <t>Sheet Average</t>
  </si>
  <si>
    <t>Trung bình lương năm 2021 bag cao hơn box 10%</t>
  </si>
  <si>
    <t>FA+ 50% FB+ 35%O</t>
  </si>
  <si>
    <t>FD+ 50%FB + 65%FO+ SK2</t>
  </si>
  <si>
    <t>Tháng 10.2021</t>
  </si>
  <si>
    <t xml:space="preserve">Hàng Bag cao hơn hàng box 53% do </t>
  </si>
  <si>
    <t>Sep Vs Aug</t>
  </si>
  <si>
    <t>Oct Vs Sep</t>
  </si>
  <si>
    <t>Nov Vs Oct</t>
  </si>
  <si>
    <t>Nov Vs Sep</t>
  </si>
  <si>
    <t>Average Aug+Sep</t>
  </si>
  <si>
    <t>Average Oct+Nov</t>
  </si>
  <si>
    <t>Worker Q'ty</t>
  </si>
  <si>
    <t>Amount</t>
  </si>
  <si>
    <t>X</t>
  </si>
  <si>
    <t>Sai công thức/ đã sửa lại</t>
  </si>
  <si>
    <t>Do cách chia lương theo Bag và Box có thay đổi cho năm 2020 và 2021</t>
  </si>
  <si>
    <t xml:space="preserve">==&gt; </t>
  </si>
  <si>
    <t xml:space="preserve">Box gồm FB và 50% FO </t>
  </si>
  <si>
    <t>Box chỉ có 50% FB và 35% FO</t>
  </si>
  <si>
    <t>Average salary Box decrease</t>
  </si>
  <si>
    <t>Oct: wrong formula, revised</t>
  </si>
  <si>
    <t>Bag higher than Box 11%</t>
  </si>
  <si>
    <t>Reason for Average salary Bag is higher than Box 10%</t>
  </si>
  <si>
    <t>2020 Box included FB and 50% FO</t>
  </si>
  <si>
    <t>2021 Box only included 50% FB and 35% FO</t>
  </si>
  <si>
    <t>So, the average salary of Box decrease</t>
  </si>
  <si>
    <t>The formula of average salary Oct was wrong, already revised, Average salary Bag is higher than Box 11%</t>
  </si>
  <si>
    <t>*)</t>
  </si>
  <si>
    <t>**)</t>
  </si>
  <si>
    <t>Due to change at the way separate salary expense of Bag and Box between 2020 and 2021</t>
  </si>
  <si>
    <t xml:space="preserve"> -Why did the salary decrease sharply by more than 50% between Oct and Nov after Aug and Sep?</t>
  </si>
  <si>
    <t>Isolation bonus of Aug and Sep higher than Oct and Nov:</t>
  </si>
  <si>
    <t>Over time at Oct and Nov much lower than Aug and Sep</t>
  </si>
  <si>
    <t>Production amount excluded GC production</t>
  </si>
  <si>
    <t>Salary expense at this sheet is included: basic + responsibility, allowances, incentive, isolation bonus,… and excluded: salary for workers stop working, Christmas bonus and insurance, and GC expense, Time worker expense</t>
  </si>
  <si>
    <t>Already revised:</t>
  </si>
  <si>
    <t>** "급여"sheet</t>
  </si>
  <si>
    <t>**"Comparison summary" sheet</t>
  </si>
  <si>
    <t>2.Sheet average:</t>
  </si>
  <si>
    <t xml:space="preserve"> Average</t>
  </si>
  <si>
    <t>Total 2022</t>
  </si>
  <si>
    <t>2022 Monthly Average</t>
  </si>
  <si>
    <t>Exchange rate:2022</t>
  </si>
  <si>
    <t xml:space="preserve">2022 Salary vs Shipping amount </t>
  </si>
  <si>
    <t>Total salary 2022 vs 2021</t>
  </si>
  <si>
    <t>2022 Person vs Production Q'ty</t>
  </si>
  <si>
    <t>Q'ty / Person (2022 vs 2021)</t>
  </si>
  <si>
    <t>Q'ty / Person (2021 vs 2020)</t>
  </si>
  <si>
    <t>2022 Person vs Production Amount</t>
  </si>
  <si>
    <t>Production Amount / Person (2022 vs 2021)</t>
  </si>
  <si>
    <t>2022 Vina shipping amount/ person</t>
  </si>
  <si>
    <t>2022 Master Sales amount/ person</t>
  </si>
  <si>
    <t>BHXH,YT (9.5%)
Insurance</t>
  </si>
  <si>
    <t>\</t>
  </si>
  <si>
    <t xml:space="preserve"> SK1 Box</t>
  </si>
  <si>
    <t>katie-J</t>
  </si>
  <si>
    <t>katie-K</t>
  </si>
  <si>
    <t>Jan-Dec</t>
  </si>
  <si>
    <t xml:space="preserve">Jan.22:  working day 22 day </t>
  </si>
  <si>
    <t>Jan.2022 Holiday 2 day (01+31/Jan/2022)</t>
  </si>
  <si>
    <t>Dec: No holiday</t>
  </si>
  <si>
    <t>Jan.2022: Working day 22 day (274 Hour)</t>
  </si>
  <si>
    <t>Jan.2022: Overtime Sunday 1186 Hour</t>
  </si>
  <si>
    <t>P0 - Production Office</t>
  </si>
  <si>
    <t>C6332</t>
  </si>
  <si>
    <t>Đỗ Văn Thái</t>
  </si>
  <si>
    <t>P2 - Inspection</t>
  </si>
  <si>
    <t>C14623</t>
  </si>
  <si>
    <t xml:space="preserve">Trần Văn Hoài </t>
  </si>
  <si>
    <t>Tet Holiday &amp; Working Day :19 day</t>
  </si>
  <si>
    <t>Working Day : 27 Day</t>
  </si>
  <si>
    <t>Not included GC</t>
  </si>
  <si>
    <t>Working Day : 24 Day 
Holiday: 2 day</t>
  </si>
  <si>
    <t xml:space="preserve">Working Day : 25 Day 
Holiday: 1 day
New worker: 133 </t>
  </si>
  <si>
    <t>Workers qty</t>
  </si>
  <si>
    <t>Total Salary VN</t>
  </si>
  <si>
    <t>Payment</t>
  </si>
  <si>
    <t>Total SK1</t>
  </si>
  <si>
    <t>Total SK2</t>
  </si>
  <si>
    <t>G. Total SNK</t>
  </si>
  <si>
    <t>Amount (vnd)</t>
  </si>
  <si>
    <t>Amount (usd)</t>
  </si>
  <si>
    <t>Exchange Rate :</t>
  </si>
  <si>
    <t>Month</t>
  </si>
  <si>
    <t>May/ Apr</t>
  </si>
  <si>
    <t>Mar/ Feb</t>
  </si>
  <si>
    <t>Feb/Jan</t>
  </si>
  <si>
    <t>Actual working days</t>
  </si>
  <si>
    <t>Salary - Net</t>
  </si>
  <si>
    <t>Foreign Salary SK1</t>
  </si>
  <si>
    <t>%/ Total SNK</t>
  </si>
  <si>
    <t>Foreign Salary SK2</t>
  </si>
  <si>
    <t>Working Day : 26 Day 
New worker: 117</t>
  </si>
  <si>
    <t>Working day: 24 day &amp; Holiday: 1 day</t>
  </si>
  <si>
    <t>Day</t>
  </si>
  <si>
    <t>Hour</t>
  </si>
  <si>
    <t>Working Day : 26 Day 
New worker: 34</t>
  </si>
  <si>
    <t>Aug/ Jul</t>
  </si>
  <si>
    <t>C15134</t>
  </si>
  <si>
    <t xml:space="preserve">Lâm Triều Châu </t>
  </si>
  <si>
    <t>Working Day : 27 Day 
New worker: 76</t>
  </si>
  <si>
    <t>Số công nhân
Worker Q'ty</t>
  </si>
  <si>
    <t>Working Day : 24 Day 
Holiday : 2 day</t>
  </si>
  <si>
    <t>Working Day : 26 Day 
Office: Andy + Alice quit</t>
  </si>
  <si>
    <t>Foreigners</t>
  </si>
  <si>
    <t>P1-LA-1-01</t>
  </si>
  <si>
    <t>P1-PR-1-01</t>
  </si>
  <si>
    <t>P1-PO-1-01</t>
  </si>
  <si>
    <t>P2-HS-1-01</t>
  </si>
  <si>
    <t>P2-CT-1-01</t>
  </si>
  <si>
    <t>P2-CU-1-01</t>
  </si>
  <si>
    <t>P2-GL-1-01</t>
  </si>
  <si>
    <t>P2-JC-1-01</t>
  </si>
  <si>
    <t>P2-PO-1-01</t>
  </si>
  <si>
    <t>P2-HS-2-01</t>
  </si>
  <si>
    <t>P2-SC-2-01</t>
  </si>
  <si>
    <t>P2-TL-1-01</t>
  </si>
  <si>
    <t>P2-TT-1-01</t>
  </si>
  <si>
    <t>P2-WI-1-01</t>
  </si>
  <si>
    <t>P3-PH-1-01</t>
  </si>
  <si>
    <t>P3-IN-1-01</t>
  </si>
  <si>
    <t>P3-PA-1-01</t>
  </si>
  <si>
    <t>P3-PO-1-01</t>
  </si>
  <si>
    <t>P3-QC-1-01</t>
  </si>
  <si>
    <t>P3-WI-1-01</t>
  </si>
  <si>
    <t>P4-CL-1-01</t>
  </si>
  <si>
    <t>P4-AS-1-01</t>
  </si>
  <si>
    <t>P4-IN-1-01</t>
  </si>
  <si>
    <t>P4-PA-1-01</t>
  </si>
  <si>
    <t>P4-PO-1-01</t>
  </si>
  <si>
    <t>P4-QC-1-01</t>
  </si>
  <si>
    <t>P4-WI-1-01</t>
  </si>
  <si>
    <t>P5-CL-1-01</t>
  </si>
  <si>
    <t>P5-PO-1-01</t>
  </si>
  <si>
    <t>P5-QC-1-01</t>
  </si>
  <si>
    <t>P6-CL-1-01</t>
  </si>
  <si>
    <t>P6-DM-1-02</t>
  </si>
  <si>
    <t>P6-GM-1-01</t>
  </si>
  <si>
    <t>P6-PO-1-01</t>
  </si>
  <si>
    <t>P6-QC-1-01</t>
  </si>
  <si>
    <t>P6-CM-1-02</t>
  </si>
  <si>
    <t>P6-WI-1-01</t>
  </si>
  <si>
    <t>P0-PO-1-01</t>
  </si>
  <si>
    <t>P2-IN-1-01</t>
  </si>
  <si>
    <t>VND %</t>
  </si>
  <si>
    <t>Working Day : 22 Day 
Office: Julia (Maketing) Quit</t>
  </si>
  <si>
    <t xml:space="preserve">Working Day : 23 Day
balance annual leave (hazardouse + experience workers) 
Manager: Mr Jack  Quit
</t>
  </si>
  <si>
    <t>Mar/Feb</t>
  </si>
  <si>
    <t>Apr/Mar</t>
  </si>
  <si>
    <t>May/Apr</t>
  </si>
  <si>
    <t>Jun/May</t>
  </si>
  <si>
    <t>July/Jun</t>
  </si>
  <si>
    <t>Aug/July</t>
  </si>
  <si>
    <t>Oct/Sep</t>
  </si>
  <si>
    <t>Nov/Oct</t>
  </si>
  <si>
    <t>Dec/Nov</t>
  </si>
  <si>
    <t>Total 2023</t>
  </si>
  <si>
    <t>2023 Monthly Average</t>
  </si>
  <si>
    <t xml:space="preserve">2023 Salary vs Shipping amount </t>
  </si>
  <si>
    <t>Total salary 2023 vs 2022</t>
  </si>
  <si>
    <t>2023 Person vs Production Q'ty</t>
  </si>
  <si>
    <t>Q'ty / Person (2023 vs 2022)</t>
  </si>
  <si>
    <t>2023 Person vs Production Amount</t>
  </si>
  <si>
    <t>Production Amount / Person (2023 vs 2022)</t>
  </si>
  <si>
    <t>2023 Vina shipping amount/ person</t>
  </si>
  <si>
    <t>2023 Master Sales amount/ person</t>
  </si>
  <si>
    <t>Amount / Person (2023 vs 2022)</t>
  </si>
  <si>
    <t>Exchange rate:2023</t>
  </si>
  <si>
    <t>Bonus 13th month</t>
  </si>
  <si>
    <t>Jan vs Dec.2022</t>
  </si>
  <si>
    <t>New Manager: Tony
New office: Gemmer</t>
  </si>
  <si>
    <t xml:space="preserve">Advance
Tạm ứng
Paid </t>
  </si>
  <si>
    <t>Audit - Transfer</t>
  </si>
  <si>
    <t>Audit - Cash</t>
  </si>
  <si>
    <t>Outside - Transfer</t>
  </si>
  <si>
    <t>Outside - Cash</t>
  </si>
  <si>
    <t xml:space="preserve">Ứng Lương 
Advance
</t>
  </si>
  <si>
    <t>P6 - Production Office</t>
  </si>
  <si>
    <t>P6 - QC</t>
  </si>
  <si>
    <t>P6 - WIP</t>
  </si>
  <si>
    <t>P5 - Production Office</t>
  </si>
  <si>
    <t>P5 - QC</t>
  </si>
  <si>
    <t>P4 - FB2-1</t>
  </si>
  <si>
    <t>P4 - FB2-2</t>
  </si>
  <si>
    <t>P4 - FB2-3</t>
  </si>
  <si>
    <t>P4 - FB2-4</t>
  </si>
  <si>
    <t>P4 - FB2-5</t>
  </si>
  <si>
    <t>P4 - FB2-6</t>
  </si>
  <si>
    <t>P4 - Inspection</t>
  </si>
  <si>
    <t>P4 - Packing Bag</t>
  </si>
  <si>
    <t>P4 - Production Office</t>
  </si>
  <si>
    <t>P4 - QC</t>
  </si>
  <si>
    <t>P4 - WIP</t>
  </si>
  <si>
    <t>P7 - ERP</t>
  </si>
  <si>
    <t>P7 - GC WIP</t>
  </si>
  <si>
    <t>P7 - IQC</t>
  </si>
  <si>
    <t>P7 - Maintenance</t>
  </si>
  <si>
    <t>P0 - GC WIP</t>
  </si>
  <si>
    <t>P0 - Maintenance</t>
  </si>
  <si>
    <t>P1 - Printing</t>
  </si>
  <si>
    <t>P2 - Auto HS</t>
  </si>
  <si>
    <t>P2 - J cut</t>
  </si>
  <si>
    <t>P2 - Semi HS</t>
  </si>
  <si>
    <t>P2 - Semi SC</t>
  </si>
  <si>
    <t>P2 - Turn Top</t>
  </si>
  <si>
    <t>Foreign</t>
  </si>
  <si>
    <t>Total Slary
VN &amp; Foreign</t>
  </si>
  <si>
    <t>P7 - Accountant</t>
  </si>
  <si>
    <t>P7 - GA-HR</t>
  </si>
  <si>
    <t>P7 - Import Export</t>
  </si>
  <si>
    <t>P7 - Marketing</t>
  </si>
  <si>
    <t>P7 - Purchasing</t>
  </si>
  <si>
    <t>P0 - GA-HR</t>
  </si>
  <si>
    <t>P0 - Marketing</t>
  </si>
  <si>
    <t>P0 - Purchasing</t>
  </si>
  <si>
    <t>Mr Bảo =&gt; Manager
Working day 27 day
Tứ hết thai sản vaod làm lại</t>
  </si>
  <si>
    <t>Ms Yến Anh, Summer Quit
Working day 27</t>
  </si>
  <si>
    <t>Mr Tony Manager quit
Working day 25</t>
  </si>
  <si>
    <t>Ms Alex Quit</t>
  </si>
  <si>
    <t>New staff (Trading )
1. Mina
2.  Annie
3. Cornor 
Mr Eric Trading =&gt; Production office</t>
  </si>
  <si>
    <t>New worker</t>
  </si>
  <si>
    <t>Jul/Jun</t>
  </si>
  <si>
    <t>Working day: 27  
Ms Lan Anh HR maternity leave</t>
  </si>
  <si>
    <t>Sept</t>
  </si>
  <si>
    <t>Sept/ Aug</t>
  </si>
  <si>
    <t>Working day: 24
Holiday: 2
Mr Hoàng Manager =&gt; Leader</t>
  </si>
  <si>
    <t>Working day : 26
Ms Sally (maternity) go back to work</t>
  </si>
  <si>
    <t>Oct/ Sep</t>
  </si>
  <si>
    <t>Working day : 26
Manager:
+  Mr Khỏe =&gt; Vice manager
+ Mr David quit
Office : New
+ Nurse Staff: Ms Mơ
+ Marketing Staff: Ms Ayumi</t>
  </si>
  <si>
    <t>Nov/ Oct</t>
  </si>
  <si>
    <t>P5 -  Auto Paper lami Box</t>
  </si>
  <si>
    <t>P5 - Auto HS Bag</t>
  </si>
  <si>
    <t>P5 - Auto HS Box</t>
  </si>
  <si>
    <t>P5 - Auto SC Bag</t>
  </si>
  <si>
    <t>P5 - Auto SC Box</t>
  </si>
  <si>
    <t>P5 - Auto Turn Top Bag</t>
  </si>
  <si>
    <t>P5 - Box Scrape</t>
  </si>
  <si>
    <t>P5 - Cutting Bag</t>
  </si>
  <si>
    <t>P5 - Cutting Box</t>
  </si>
  <si>
    <t>P5 - Printing Machine Bag</t>
  </si>
  <si>
    <t>P5 - Printing Machine Box</t>
  </si>
  <si>
    <t>P5 - Semi HS Bag</t>
  </si>
  <si>
    <t>P5 - Semi HS Box</t>
  </si>
  <si>
    <t>P5 - Semi SC Bag</t>
  </si>
  <si>
    <t>P5 - Semi SC Box</t>
  </si>
  <si>
    <t>P5 - Semi Turn Top Bag</t>
  </si>
  <si>
    <t>P5 - WIP Bag</t>
  </si>
  <si>
    <t>P5 - WIP Box</t>
  </si>
  <si>
    <t>P0-DS-1-01</t>
  </si>
  <si>
    <t>P0-DE-1-01</t>
  </si>
  <si>
    <t>P0-FG-1-01</t>
  </si>
  <si>
    <t>P0-HR-1-01</t>
  </si>
  <si>
    <t>P0-WP-1-01</t>
  </si>
  <si>
    <t>P0-MA-1-01</t>
  </si>
  <si>
    <t>P0-MK-1-01</t>
  </si>
  <si>
    <t>P0-MW-1-01</t>
  </si>
  <si>
    <t>P0-PL-1-01</t>
  </si>
  <si>
    <t>P0-PU-1-01</t>
  </si>
  <si>
    <t>P0-QM-1-01</t>
  </si>
  <si>
    <t>P3 - AS TB 1</t>
  </si>
  <si>
    <t>P4-AS-4-04</t>
  </si>
  <si>
    <t>P5-BO-PL-1-01</t>
  </si>
  <si>
    <t>P5-BO-PL-2-01</t>
  </si>
  <si>
    <t>P5-BA-HS-1-01</t>
  </si>
  <si>
    <t>P5-BO-HS-1-01</t>
  </si>
  <si>
    <t>P5-BA-SC-1-01</t>
  </si>
  <si>
    <t>P5-BO-SC-1-01</t>
  </si>
  <si>
    <t>P5-BA-TT-1-01</t>
  </si>
  <si>
    <t>P5-BO-BS-1-01</t>
  </si>
  <si>
    <t>P5-BA-CU-1-01</t>
  </si>
  <si>
    <t>P5-BO-CU-1-01</t>
  </si>
  <si>
    <t>P5-BA-PR-1-01</t>
  </si>
  <si>
    <t>P5-BO-PR-1-01</t>
  </si>
  <si>
    <t>P5-BA-HS-2-01</t>
  </si>
  <si>
    <t>P5-BO-HS-2-01</t>
  </si>
  <si>
    <t>P5-BA-SC-2-01</t>
  </si>
  <si>
    <t>P5-BO-SC-2-01</t>
  </si>
  <si>
    <t>P5-BA-TT-2-01</t>
  </si>
  <si>
    <t>P5-BA-WI-1-01</t>
  </si>
  <si>
    <t>P5-BO-WI-1-01</t>
  </si>
  <si>
    <t>P7-AC-1-01</t>
  </si>
  <si>
    <t>P7-CA-1-01</t>
  </si>
  <si>
    <t>P7-DE-1-01</t>
  </si>
  <si>
    <t>P7-EM-1-01</t>
  </si>
  <si>
    <t>P7-FG-1-01</t>
  </si>
  <si>
    <t>P7-HR-1-01</t>
  </si>
  <si>
    <t>P7-WP-1-01</t>
  </si>
  <si>
    <t>P7-IE-1-01</t>
  </si>
  <si>
    <t>P7-QC-1-01</t>
  </si>
  <si>
    <t>P7-MA-1-01</t>
  </si>
  <si>
    <t>P7-MK-1-01</t>
  </si>
  <si>
    <t>P7-MW-1-01</t>
  </si>
  <si>
    <t>P7-MO-1-01</t>
  </si>
  <si>
    <t>P7-PU-1-01</t>
  </si>
  <si>
    <t>Remark: Dec pay balance annual leave 2023 for 68,893 USD (Include : 39 Pregnant workers + Mr Michel + Lâm Lý Cỏn (Sick))</t>
  </si>
  <si>
    <t>Working day : 25 + Annual leave 1 day (30 Dec 23)
Pay balance annual leave 2023: 5518 day ~ 68,893 USD</t>
  </si>
  <si>
    <t>Exchange rate:2024</t>
  </si>
  <si>
    <t>Comparison 2024/2023</t>
  </si>
  <si>
    <t xml:space="preserve">2024 Salary vs Shipping amount </t>
  </si>
  <si>
    <t>Total salary 2024 vs 2023</t>
  </si>
  <si>
    <t>2024 Person vs Production Q'ty</t>
  </si>
  <si>
    <t>Q'ty / Person (2024 vs 2023)</t>
  </si>
  <si>
    <t>2024 Master Sales amount/ person</t>
  </si>
  <si>
    <t>2024 Vina shipping amount/ person</t>
  </si>
  <si>
    <t>2024 Person vs Production Amount</t>
  </si>
  <si>
    <t>CONTENT 2023</t>
  </si>
  <si>
    <t>CONTENT 2017</t>
  </si>
  <si>
    <t>CONTENT 2018</t>
  </si>
  <si>
    <t>CONTENT 2019</t>
  </si>
  <si>
    <t>CONTENT 2020</t>
  </si>
  <si>
    <t>CONTENT 2021</t>
  </si>
  <si>
    <t>CONTENT 2022</t>
  </si>
  <si>
    <t>CONTENT 2024</t>
  </si>
  <si>
    <t>Total 2024</t>
  </si>
  <si>
    <t>2024 Monthly Average</t>
  </si>
  <si>
    <t>Exchange rate</t>
  </si>
  <si>
    <t>Jan vs Dec.2023</t>
  </si>
  <si>
    <t>Jan/Dec 23</t>
  </si>
  <si>
    <t>13Th month bonus</t>
  </si>
  <si>
    <t>13Th Month Bonus</t>
  </si>
  <si>
    <t>Advance
Chênh lệch HĐ/ Biên bản
Paid</t>
  </si>
  <si>
    <t>Paid :
1. 13Th month bonus (Transfer 02 Feb): 315,534.52 Usd
2. 1ST -  Salary Jan (Transfer 05 Feb): 325,644.39 Usd
3. Balance: 111,688.02 Usd (Transfer 23 Feb)</t>
  </si>
  <si>
    <t>Marriage leave, labor accidents leave, funeral</t>
  </si>
  <si>
    <t>P5 - Semi Paper lami Box</t>
  </si>
  <si>
    <t>P7 - OQC</t>
  </si>
  <si>
    <t>P2 - QC</t>
  </si>
  <si>
    <t>Working day : 26 day
New worker: 110
Maternity leave: Sunny, Gemma
Maternity returns: Cindy
Quit : Tuấn, Mai, Lan Anh
New staff: Yu, Tài (Im-Ex)</t>
  </si>
  <si>
    <t>P2-QC-1-01</t>
  </si>
  <si>
    <t>P7-QC-1-02</t>
  </si>
  <si>
    <t>P8 - Lami</t>
  </si>
  <si>
    <t>P8 - Production Office</t>
  </si>
  <si>
    <t>P8-PO-1-01</t>
  </si>
  <si>
    <t>P8-LA-1-01</t>
  </si>
  <si>
    <t>Working day : 23 day
Holiday: 2 day (18 &amp; 30 Apr)
Annual leave: 1 day (29 Apr)
New worker: 55
New staff: Richard (Marketing)</t>
  </si>
  <si>
    <t xml:space="preserve">Working day : 15 day
Holiday: 5 day (08-13Feb)
Annual leave: 3 day (14-16 Feb)
New worker: 66
</t>
  </si>
  <si>
    <t xml:space="preserve">Working day : 25 day
Holiday: 1 day (01/01)
Annual leave: 1 day (20/01)
</t>
  </si>
  <si>
    <t>Working day : 26 day
Holiday: 1 day (01 May)
New staff: Alisa (Marketing)
New manager: Nolan (Seaman)
New worker: 40</t>
  </si>
  <si>
    <t>Seaman</t>
  </si>
  <si>
    <t>Inside</t>
  </si>
  <si>
    <t>Outside</t>
  </si>
  <si>
    <t>Payment Transfer</t>
  </si>
  <si>
    <t>Payment Cash</t>
  </si>
  <si>
    <t>Payment cash - Ms Quyên Nurse Staff</t>
  </si>
  <si>
    <r>
      <t xml:space="preserve">Payment Transfer - </t>
    </r>
    <r>
      <rPr>
        <b/>
        <sz val="11"/>
        <color theme="1"/>
        <rFont val="Arial"/>
        <family val="2"/>
      </rPr>
      <t>Foreign</t>
    </r>
  </si>
  <si>
    <t>P8 - QC</t>
  </si>
  <si>
    <t>P8 - Sheeter</t>
  </si>
  <si>
    <t>P8 - Slitter</t>
  </si>
  <si>
    <t>SEAMAN</t>
  </si>
  <si>
    <t>BOX &amp; BAG &amp; SEAMAN</t>
  </si>
  <si>
    <t>Working day : 25 day
New staff: Esther (HR) 
New worker: 43</t>
  </si>
  <si>
    <t>P8-QC-1-01</t>
  </si>
  <si>
    <t>P8-CU-1-02</t>
  </si>
  <si>
    <t>P8-CU-1-01</t>
  </si>
  <si>
    <t>P8 - Packing</t>
  </si>
  <si>
    <t>P8-PA-1-01</t>
  </si>
  <si>
    <t>Working day : 27 day
New worker: 45
Increase salary (5%) for worker</t>
  </si>
  <si>
    <t>Aug/Jul</t>
  </si>
  <si>
    <t>P6 - C.Box Assembly</t>
  </si>
  <si>
    <t>P6 - C.Box Auto Machine</t>
  </si>
  <si>
    <t>P6 - C.Box Body</t>
  </si>
  <si>
    <t>P6 - C.Box Semi machine</t>
  </si>
  <si>
    <t>P6 - C.Box Wing/Locking</t>
  </si>
  <si>
    <t>P6 - DR/Rigid Assembly</t>
  </si>
  <si>
    <t>P6 - DR/Rigid Auto Machine</t>
  </si>
  <si>
    <t>P6 - DR/Rigid Pulltab</t>
  </si>
  <si>
    <t>P6 - Packing Box</t>
  </si>
  <si>
    <t>Working day : 27 day
New worker: 45
Ms Gemma (maternity) go back to work
Ms Kelly quit
New manager: Evans</t>
  </si>
  <si>
    <t>P0-CL-1-01</t>
  </si>
  <si>
    <t>P3-AS-1A-01</t>
  </si>
  <si>
    <t>P3-AS-2A-05</t>
  </si>
  <si>
    <t>P4-AS-2-01</t>
  </si>
  <si>
    <t>P4-AS-3-03</t>
  </si>
  <si>
    <t>P4-AS-5-04</t>
  </si>
  <si>
    <t>P4-AS-6-01</t>
  </si>
  <si>
    <t>P6-CA-1-02</t>
  </si>
  <si>
    <t>P6-BD-1-02</t>
  </si>
  <si>
    <t>P6-CM-2-01</t>
  </si>
  <si>
    <t>P6-WL-1-01</t>
  </si>
  <si>
    <t>P6-DA-1-01</t>
  </si>
  <si>
    <t>P6-PT-1-01</t>
  </si>
  <si>
    <t>P6-PA-1-02</t>
  </si>
  <si>
    <t>P7-CL-1-01</t>
  </si>
  <si>
    <t>P7-QM-1-01</t>
  </si>
  <si>
    <t>Số công nhân</t>
  </si>
  <si>
    <t>Tổng thu nhập</t>
  </si>
  <si>
    <t>Ko tính quản lí và office</t>
  </si>
  <si>
    <t>Working day : 25 day
Holiday: 02 Sep 2024: 2 Day
New worker: 76
Ms Sunny (maternity) go back to work
Ms Sydney quit
New staff: Ms Julie (Marketing)</t>
  </si>
  <si>
    <t>Giờ làm việc thực tế + giờ tăng ca</t>
  </si>
  <si>
    <t>- Working day : 27  day
- New worker: 63
- Leave maternity: Ms Windy (Marketing) &amp; Ms Katie (Manager)</t>
  </si>
  <si>
    <t>Giữ lại</t>
  </si>
  <si>
    <t>ĐK 1 Người phụ thuộc từ tháng 10/2024</t>
  </si>
  <si>
    <t>Oct 2024</t>
  </si>
  <si>
    <t>Sep 2024</t>
  </si>
  <si>
    <t>Aug 2024</t>
  </si>
  <si>
    <t>Jul 2024</t>
  </si>
  <si>
    <t>Jun 2024</t>
  </si>
  <si>
    <t>May 2024</t>
  </si>
  <si>
    <t>Giờ HC+TC SK2</t>
  </si>
  <si>
    <t>Số người</t>
  </si>
  <si>
    <t>SK1</t>
  </si>
  <si>
    <t>Nov 2024</t>
  </si>
  <si>
    <t xml:space="preserve">Working day : 26 day
New worker: 29
Seaman: goes to assist FacB&amp;D
</t>
  </si>
  <si>
    <t>Chi ngày 10</t>
  </si>
  <si>
    <t>Dec 2024</t>
  </si>
  <si>
    <t>Phép năm
Annual Leave</t>
  </si>
  <si>
    <t>Remark:
1. Dec salary: $ 509,979
2. Balance annual leave: $ 68,497
(including maternity leave workers)
Total pay: $ 578,476</t>
  </si>
  <si>
    <t xml:space="preserve">Working day : 26 day
New worker: 10
Dec pay balance annual leave 2024L 5583 day ~$ 68,497 </t>
  </si>
  <si>
    <t>Balance annual leave 2024</t>
  </si>
  <si>
    <t>Jan 2025</t>
  </si>
  <si>
    <t>Exchange rate:2025</t>
  </si>
  <si>
    <t>Comparison 2025/2024</t>
  </si>
  <si>
    <t xml:space="preserve">2025 Salary vs Shipping amount </t>
  </si>
  <si>
    <t>2025 Person vs Production Q'ty</t>
  </si>
  <si>
    <t>2025 Master Sales amount/ person</t>
  </si>
  <si>
    <t>Amount / Person (2025 vs 2024)</t>
  </si>
  <si>
    <t>2025 Vina shipping amount/ person</t>
  </si>
  <si>
    <t>2025 Person vs Production Amount</t>
  </si>
  <si>
    <t>Production Amount / Person (2025 vs 2024)</t>
  </si>
  <si>
    <t>Q'ty / Person (2025 vs 2024)</t>
  </si>
  <si>
    <t>Total salary (2025 vs 2024)</t>
  </si>
  <si>
    <t>CONTENT 2025</t>
  </si>
  <si>
    <t>Jan vs Dec.2024</t>
  </si>
  <si>
    <t>Bình Phước, Ngày   tháng  năm 2025</t>
  </si>
  <si>
    <t>Jan/Dec 24</t>
  </si>
  <si>
    <t>Dec 2025</t>
  </si>
  <si>
    <t>Nov 2025</t>
  </si>
  <si>
    <t>Oct 2025</t>
  </si>
  <si>
    <t>Sep 2025</t>
  </si>
  <si>
    <t>Ngày làm việc thực tế
Actual Working day</t>
  </si>
  <si>
    <t>Actual Working day</t>
  </si>
  <si>
    <t>O</t>
  </si>
  <si>
    <t>Q</t>
  </si>
  <si>
    <t>AA</t>
  </si>
  <si>
    <t>AH</t>
  </si>
  <si>
    <t>AI</t>
  </si>
  <si>
    <t>AJ</t>
  </si>
  <si>
    <t>AK</t>
  </si>
  <si>
    <t>AL</t>
  </si>
  <si>
    <t>1st advance Jan 2025</t>
  </si>
  <si>
    <t>Total Salary (net) Jan 2025</t>
  </si>
  <si>
    <r>
      <t xml:space="preserve">Paid :
1. 13Th month bonus (Transfer 20 Jan):320,410 Usd </t>
    </r>
    <r>
      <rPr>
        <sz val="10"/>
        <color rgb="FFFF0000"/>
        <rFont val="Arial"/>
        <family val="2"/>
      </rPr>
      <t>(Including : Working: $292,479 + Quit $6,216 + Maternity ;$ 6,924 + Foreign $ 14,791)</t>
    </r>
    <r>
      <rPr>
        <b/>
        <sz val="10"/>
        <color rgb="FFFF0000"/>
        <rFont val="Arial"/>
        <family val="2"/>
      </rPr>
      <t xml:space="preserve">
2. 1ST -  Salary Jan (Transfer 20 Jan): 135,906 Usd </t>
    </r>
    <r>
      <rPr>
        <sz val="10"/>
        <color rgb="FFFF0000"/>
        <rFont val="Arial"/>
        <family val="2"/>
      </rPr>
      <t>(Including : Working: $134,677 + Quit $1,229)</t>
    </r>
    <r>
      <rPr>
        <b/>
        <sz val="10"/>
        <color rgb="FFFF0000"/>
        <rFont val="Arial"/>
        <family val="2"/>
      </rPr>
      <t xml:space="preserve">
3. Balance: 354,973 Usd (Transfer 10 Feb)
4. Total: 811,289 Usd.</t>
    </r>
  </si>
  <si>
    <t xml:space="preserve">Overtime Sunday </t>
  </si>
  <si>
    <t>Feb 2025</t>
  </si>
  <si>
    <t>Bình Phước, Ngày     tháng      năm 2025</t>
  </si>
  <si>
    <t>ID card need update new</t>
  </si>
  <si>
    <t>Increased night working hours (due to higher actual working days than last month)</t>
  </si>
  <si>
    <t xml:space="preserve">Increased night working hours (due to higher actual working days than last month)
</t>
  </si>
  <si>
    <t>Working day: 20
Tet Holiday: 5 (28~31/01 + 01/01)
Annual leave: 2 (25+27/01)
Mr Kai Vice=&gt; Manager</t>
  </si>
  <si>
    <t xml:space="preserve">Working day: 22
Tet Holiday: 1 (01/02)
Annual leave: 1 (03/02)
</t>
  </si>
  <si>
    <t>Mar 2025</t>
  </si>
  <si>
    <t>C0873</t>
  </si>
  <si>
    <t>Trần Thị Kim Phấn</t>
  </si>
  <si>
    <t>Box Positioning worker</t>
  </si>
  <si>
    <t>C1007</t>
  </si>
  <si>
    <t>Nguyễn Thị Hướng</t>
  </si>
  <si>
    <t>C1009</t>
  </si>
  <si>
    <t>Hồ Thị Nga</t>
  </si>
  <si>
    <t>C10454</t>
  </si>
  <si>
    <t>Trần Thị Liên</t>
  </si>
  <si>
    <t>C10664</t>
  </si>
  <si>
    <t>Nguyễn Hoài Hận</t>
  </si>
  <si>
    <t>C10665</t>
  </si>
  <si>
    <t>Lê Thị Kiều Loan</t>
  </si>
  <si>
    <t>Normal worker</t>
  </si>
  <si>
    <t>C1074</t>
  </si>
  <si>
    <t>Phan Thị Thanh Tâm</t>
  </si>
  <si>
    <t>C11208</t>
  </si>
  <si>
    <t>Lê Thị Bích Linh</t>
  </si>
  <si>
    <t>C11863</t>
  </si>
  <si>
    <t>Trần Hải Nam</t>
  </si>
  <si>
    <t xml:space="preserve"> Stickers Box worker</t>
  </si>
  <si>
    <t>C1271</t>
  </si>
  <si>
    <t>C12741</t>
  </si>
  <si>
    <t>Nguyễn Thị Trúc Ly</t>
  </si>
  <si>
    <t>C12781</t>
  </si>
  <si>
    <t>Lê Thị Ánh Thương</t>
  </si>
  <si>
    <t>Technician worker</t>
  </si>
  <si>
    <t>C13009</t>
  </si>
  <si>
    <t>Huỳnh Thị Kiều Linh</t>
  </si>
  <si>
    <t>C13208</t>
  </si>
  <si>
    <t>Thạch Thị Diễm My</t>
  </si>
  <si>
    <t>C13602</t>
  </si>
  <si>
    <t>Dương Thị Bích Hạnh</t>
  </si>
  <si>
    <t>C14065</t>
  </si>
  <si>
    <t>Phạm Thị Xuân</t>
  </si>
  <si>
    <t>C14134</t>
  </si>
  <si>
    <t>Nguyễn Thị Thanh Huyền</t>
  </si>
  <si>
    <t>C14757</t>
  </si>
  <si>
    <t>Đỗ Út Nhánh</t>
  </si>
  <si>
    <t>C14790</t>
  </si>
  <si>
    <t>Nguyễn Thị Hằng</t>
  </si>
  <si>
    <t>C14998</t>
  </si>
  <si>
    <t>Bùi Thị Bảo Ngọc</t>
  </si>
  <si>
    <t>C15141</t>
  </si>
  <si>
    <t>Mai Thị Nhung</t>
  </si>
  <si>
    <t>C15425</t>
  </si>
  <si>
    <t>Phạm Thị Ngọc Thùy</t>
  </si>
  <si>
    <t>C15451</t>
  </si>
  <si>
    <t>Sơn Thị Cô Láp</t>
  </si>
  <si>
    <t>C15528</t>
  </si>
  <si>
    <t>Nguyễn Thị Hải</t>
  </si>
  <si>
    <t>C15830</t>
  </si>
  <si>
    <t>C16230</t>
  </si>
  <si>
    <t>Nguyễn Thị Thanh Hoa</t>
  </si>
  <si>
    <t>C16240</t>
  </si>
  <si>
    <t>Thị Sưng Ly</t>
  </si>
  <si>
    <t>C16292</t>
  </si>
  <si>
    <t>Nguyễn Thị Hoài Nhớ</t>
  </si>
  <si>
    <t>C16295</t>
  </si>
  <si>
    <t>Lê Thị Minh Trang</t>
  </si>
  <si>
    <t>C16423</t>
  </si>
  <si>
    <t>Nguyễn Thị Đào</t>
  </si>
  <si>
    <t>C16492</t>
  </si>
  <si>
    <t>Rlan Kyin</t>
  </si>
  <si>
    <t>C2317</t>
  </si>
  <si>
    <t>Trần Thị Chuyên</t>
  </si>
  <si>
    <t>Box team leader</t>
  </si>
  <si>
    <t>C2434</t>
  </si>
  <si>
    <t>Trần Thị Thu Hằng</t>
  </si>
  <si>
    <t>C3381</t>
  </si>
  <si>
    <t>Dương Phi Hùng</t>
  </si>
  <si>
    <t>C4973</t>
  </si>
  <si>
    <t>Lê Thị Kim Chi</t>
  </si>
  <si>
    <t>C6231</t>
  </si>
  <si>
    <t>Hồ Thị Là</t>
  </si>
  <si>
    <t>C6557</t>
  </si>
  <si>
    <t>C7269</t>
  </si>
  <si>
    <t>Ngô Thị Minh Hiếu</t>
  </si>
  <si>
    <t>C7706</t>
  </si>
  <si>
    <t>Lê Thị Dung</t>
  </si>
  <si>
    <t>C8049</t>
  </si>
  <si>
    <t>Đỗ Thị Ngọc Trầm</t>
  </si>
  <si>
    <t>C8444</t>
  </si>
  <si>
    <t>Nguyễn Thị Hồng Nhung</t>
  </si>
  <si>
    <t>C8994</t>
  </si>
  <si>
    <t>Nguyễn Thị Ninh</t>
  </si>
  <si>
    <t>C10851</t>
  </si>
  <si>
    <t>Trần Văn Vinh</t>
  </si>
  <si>
    <t>Auto Machine operator-B</t>
  </si>
  <si>
    <t>C11605</t>
  </si>
  <si>
    <t>Đỗ Văn Khuyến</t>
  </si>
  <si>
    <t>Auto Machine leader-A</t>
  </si>
  <si>
    <t>C11634</t>
  </si>
  <si>
    <t>Trần Văn Hoan</t>
  </si>
  <si>
    <t>Auto machine operator-B</t>
  </si>
  <si>
    <t>C12759</t>
  </si>
  <si>
    <t>Võ Văn Thành</t>
  </si>
  <si>
    <t>C13710</t>
  </si>
  <si>
    <t>Nguyễn Tiến Kỳ</t>
  </si>
  <si>
    <t>C14022</t>
  </si>
  <si>
    <t>Nguyễn Thăng Cương</t>
  </si>
  <si>
    <t>Auto Machine operator-A</t>
  </si>
  <si>
    <t>C14223</t>
  </si>
  <si>
    <t>Dương Hoàng Nam</t>
  </si>
  <si>
    <t>C14233</t>
  </si>
  <si>
    <t>Đặng Hồng Trang</t>
  </si>
  <si>
    <t>C14234</t>
  </si>
  <si>
    <t>Đỗ Văn Tâm</t>
  </si>
  <si>
    <t>C14767</t>
  </si>
  <si>
    <t>Trương Đình Sỹ</t>
  </si>
  <si>
    <t>Auto Machine sub-operator-B</t>
  </si>
  <si>
    <t>C15678</t>
  </si>
  <si>
    <t>Kiều Thị Ngọc Anh</t>
  </si>
  <si>
    <t>C15785</t>
  </si>
  <si>
    <t>Nguyễn Hữu Anh</t>
  </si>
  <si>
    <t>Auto Machine assistant-A</t>
  </si>
  <si>
    <t>C16319</t>
  </si>
  <si>
    <t>Nguyễn Thị Huệ</t>
  </si>
  <si>
    <t>C16386</t>
  </si>
  <si>
    <t>Nguyễn Thị Hồng Thắm</t>
  </si>
  <si>
    <t>C16389</t>
  </si>
  <si>
    <t>Niêng Thị Tẹ</t>
  </si>
  <si>
    <t>C16452</t>
  </si>
  <si>
    <t>Lý Thị Som</t>
  </si>
  <si>
    <t>C16478</t>
  </si>
  <si>
    <t>Nguyễn Thị Quỳnh Như</t>
  </si>
  <si>
    <t>C3818</t>
  </si>
  <si>
    <t>Đặng Tân Xuyên</t>
  </si>
  <si>
    <t>C5862</t>
  </si>
  <si>
    <t>Hồ Thị Đặng Hồng Tươi</t>
  </si>
  <si>
    <t>C6572</t>
  </si>
  <si>
    <t>Đỗ Thị Thùy Giang</t>
  </si>
  <si>
    <t>C9525</t>
  </si>
  <si>
    <t>Phạm Hồng Phong</t>
  </si>
  <si>
    <t>C10662</t>
  </si>
  <si>
    <t>Nguyễn Thị Long</t>
  </si>
  <si>
    <t>Normal Worker</t>
  </si>
  <si>
    <t>C11070</t>
  </si>
  <si>
    <t>Rah Lan Xiên</t>
  </si>
  <si>
    <t>C11698</t>
  </si>
  <si>
    <t>Nguyễn Thị Kim Loan</t>
  </si>
  <si>
    <t>C11773</t>
  </si>
  <si>
    <t>Lê Thị Kim Oanh</t>
  </si>
  <si>
    <t>C13324</t>
  </si>
  <si>
    <t>Hồ Thị Nghĩa</t>
  </si>
  <si>
    <t>C14511</t>
  </si>
  <si>
    <t>Thị Thư</t>
  </si>
  <si>
    <t>C14792</t>
  </si>
  <si>
    <t>Lâm Chưa</t>
  </si>
  <si>
    <t>C15223</t>
  </si>
  <si>
    <t>Phạm Thị Tình</t>
  </si>
  <si>
    <t>C15224</t>
  </si>
  <si>
    <t>Đỗ Thị Kim Hòa</t>
  </si>
  <si>
    <t>C15452</t>
  </si>
  <si>
    <t>Nguyễn Ngọc Ngà</t>
  </si>
  <si>
    <t>C15766</t>
  </si>
  <si>
    <t>Hồ Đức Tường</t>
  </si>
  <si>
    <t>C16097</t>
  </si>
  <si>
    <t>Lê Thị Lan</t>
  </si>
  <si>
    <t>C16234</t>
  </si>
  <si>
    <t>Đỗ Đặng Hiền Hoà</t>
  </si>
  <si>
    <t>C16293</t>
  </si>
  <si>
    <t>Thị Thia</t>
  </si>
  <si>
    <t>C16320</t>
  </si>
  <si>
    <t>Nguyễn Thị Châu</t>
  </si>
  <si>
    <t>C16367</t>
  </si>
  <si>
    <t>Nguyễn Phạm Thanh Hân</t>
  </si>
  <si>
    <t>C2669</t>
  </si>
  <si>
    <t>Trần Thị Kim Lộc</t>
  </si>
  <si>
    <t>C3082</t>
  </si>
  <si>
    <t>Ngô Thị Chi</t>
  </si>
  <si>
    <t>C3930</t>
  </si>
  <si>
    <t>Võ Thị Thanh Mai</t>
  </si>
  <si>
    <t>C5339</t>
  </si>
  <si>
    <t>Trần Thị Bạch Yến</t>
  </si>
  <si>
    <t>C5595</t>
  </si>
  <si>
    <t>Trần Văn Năng</t>
  </si>
  <si>
    <t>C5603</t>
  </si>
  <si>
    <t>Đặng Thị Thùy Dương</t>
  </si>
  <si>
    <t>C5774</t>
  </si>
  <si>
    <t>Nguyễn Thị Ngọc Tiên</t>
  </si>
  <si>
    <t>C6924</t>
  </si>
  <si>
    <t>Huỳnh Thị Tuyết Hạnh</t>
  </si>
  <si>
    <t>C7301</t>
  </si>
  <si>
    <t>Phan Kim Lư</t>
  </si>
  <si>
    <t>C9447</t>
  </si>
  <si>
    <t>Đoàn Ngọc Hồng</t>
  </si>
  <si>
    <t>C11797</t>
  </si>
  <si>
    <t>Thạch Hoàng Em</t>
  </si>
  <si>
    <t>Auto Machine operator-C</t>
  </si>
  <si>
    <t>C11814</t>
  </si>
  <si>
    <t>Điểu Nam</t>
  </si>
  <si>
    <t>C12747</t>
  </si>
  <si>
    <t>Vũ Thị Hồng Nhung</t>
  </si>
  <si>
    <t>CBox 502 worker</t>
  </si>
  <si>
    <t>C12799</t>
  </si>
  <si>
    <t>Thị Ti</t>
  </si>
  <si>
    <t>C12826</t>
  </si>
  <si>
    <t>Vũ Thị Thắm</t>
  </si>
  <si>
    <t>C13204</t>
  </si>
  <si>
    <t>Nguyễn Thị Thu Hiền</t>
  </si>
  <si>
    <t>C13320</t>
  </si>
  <si>
    <t>Lê Thị Quynh</t>
  </si>
  <si>
    <t>Semi Machine sub-operator</t>
  </si>
  <si>
    <t>C1362</t>
  </si>
  <si>
    <t>Thái Thị Thắng</t>
  </si>
  <si>
    <t>C14126</t>
  </si>
  <si>
    <t>Nguyễn Tiến Cường</t>
  </si>
  <si>
    <t>Semi Machine operator</t>
  </si>
  <si>
    <t>C14513</t>
  </si>
  <si>
    <t>Thị Trâm</t>
  </si>
  <si>
    <t>C14793</t>
  </si>
  <si>
    <t>Nguyễn Khắc Thanh</t>
  </si>
  <si>
    <t>C15379</t>
  </si>
  <si>
    <t>Cao Thị Huỳnh Như</t>
  </si>
  <si>
    <t>C15395</t>
  </si>
  <si>
    <t>Phạm Thị Quỳnh Anh</t>
  </si>
  <si>
    <t>C15624</t>
  </si>
  <si>
    <t>Lê Thị Mai</t>
  </si>
  <si>
    <t>C15713</t>
  </si>
  <si>
    <t>Hoàng Lâm Tới</t>
  </si>
  <si>
    <t>C16267</t>
  </si>
  <si>
    <t>Đỗ Cao Sơn</t>
  </si>
  <si>
    <t>C16343</t>
  </si>
  <si>
    <t>Lê Xuân Huynh</t>
  </si>
  <si>
    <t>C16396</t>
  </si>
  <si>
    <t>Nguyễn Hoàng Anh</t>
  </si>
  <si>
    <t>C16422</t>
  </si>
  <si>
    <t>Phạm Ngọc Thuý</t>
  </si>
  <si>
    <t>C16451</t>
  </si>
  <si>
    <t>Nguyễn Thị Thanh Nga</t>
  </si>
  <si>
    <t>C5825</t>
  </si>
  <si>
    <t>Nguyễn Thị Vàng</t>
  </si>
  <si>
    <t>C6375</t>
  </si>
  <si>
    <t>Nguyễn Thị Ngà</t>
  </si>
  <si>
    <t>C6382</t>
  </si>
  <si>
    <t>Trần Thị Văn</t>
  </si>
  <si>
    <t>C7844</t>
  </si>
  <si>
    <t>Thị Hạnh</t>
  </si>
  <si>
    <t>C1038</t>
  </si>
  <si>
    <t>Nguyễn Thị Thảo</t>
  </si>
  <si>
    <t>C11778</t>
  </si>
  <si>
    <t>Vũ Thị Kim Yến</t>
  </si>
  <si>
    <t>C13319</t>
  </si>
  <si>
    <t>Trịnh Thị Tỵ</t>
  </si>
  <si>
    <t>C15455</t>
  </si>
  <si>
    <t>Vũ Thị Luyến</t>
  </si>
  <si>
    <t>C15459</t>
  </si>
  <si>
    <t>Bùi Thị Bảo Nguyên</t>
  </si>
  <si>
    <t>C15460</t>
  </si>
  <si>
    <t>Đỗ Thị Ngọc Nhi</t>
  </si>
  <si>
    <t>C15483</t>
  </si>
  <si>
    <t>Lê Thị Hồng Thảo</t>
  </si>
  <si>
    <t>C15484</t>
  </si>
  <si>
    <t>Nguyễn Thị Bích Nguyệt</t>
  </si>
  <si>
    <t>C15507</t>
  </si>
  <si>
    <t>Ngũ Huệ Nhi</t>
  </si>
  <si>
    <t>C16390</t>
  </si>
  <si>
    <t>Lâm Svay</t>
  </si>
  <si>
    <t>C1837</t>
  </si>
  <si>
    <t>Võ Thị Phương Trúc</t>
  </si>
  <si>
    <t>C2382</t>
  </si>
  <si>
    <t>Lê Hoài Phương</t>
  </si>
  <si>
    <t>C3409</t>
  </si>
  <si>
    <t>Trần Thị Tùng</t>
  </si>
  <si>
    <t>C4056</t>
  </si>
  <si>
    <t>Trịnh Thị Thúy</t>
  </si>
  <si>
    <t>C5448</t>
  </si>
  <si>
    <t>Nguyễn Văn Chí</t>
  </si>
  <si>
    <t>C5494</t>
  </si>
  <si>
    <t>Vũ Thị Thanh</t>
  </si>
  <si>
    <t>C6156</t>
  </si>
  <si>
    <t>Lê Thị Nghi</t>
  </si>
  <si>
    <t>C6181</t>
  </si>
  <si>
    <t>Nguyễn Thị Trang</t>
  </si>
  <si>
    <t>C6219</t>
  </si>
  <si>
    <t>Nguyễn Thị Duyên</t>
  </si>
  <si>
    <t>C6821</t>
  </si>
  <si>
    <t>Nguyễn Thị Thu Phương</t>
  </si>
  <si>
    <t>C7265</t>
  </si>
  <si>
    <t>Ngô Thị Mỹ Nhân</t>
  </si>
  <si>
    <t>C7540</t>
  </si>
  <si>
    <t>Nguyễn Thị Lý</t>
  </si>
  <si>
    <t>C9506</t>
  </si>
  <si>
    <t>Lê Thị Lộc</t>
  </si>
  <si>
    <t>C16426</t>
  </si>
  <si>
    <t>Trần Thị Thu</t>
  </si>
  <si>
    <t>C0415</t>
  </si>
  <si>
    <t>Thân Thị Hồng Thắm</t>
  </si>
  <si>
    <t>C0880</t>
  </si>
  <si>
    <t>Tô Thị Xuân</t>
  </si>
  <si>
    <t>C10507</t>
  </si>
  <si>
    <t>Hồ Thị Hiền</t>
  </si>
  <si>
    <t>C12033</t>
  </si>
  <si>
    <t>Văn Thị Huỳnh Yến</t>
  </si>
  <si>
    <t>C12597</t>
  </si>
  <si>
    <t>Trần Thị Thu Thiện</t>
  </si>
  <si>
    <t>Inspection worker</t>
  </si>
  <si>
    <t>C12817</t>
  </si>
  <si>
    <t>Thị Hen</t>
  </si>
  <si>
    <t>C13887</t>
  </si>
  <si>
    <t>Nguyễn Đình Chuyển</t>
  </si>
  <si>
    <t>C14424</t>
  </si>
  <si>
    <t>Lê Minh Minh</t>
  </si>
  <si>
    <t>C14514</t>
  </si>
  <si>
    <t>Hồng Thị Thúy Hoa</t>
  </si>
  <si>
    <t>C15478</t>
  </si>
  <si>
    <t>Nguyễn Thanh Hằng</t>
  </si>
  <si>
    <t>C15499</t>
  </si>
  <si>
    <t>Nguyễn Quốc Thuần</t>
  </si>
  <si>
    <t>C15512</t>
  </si>
  <si>
    <t>Huỳnh Thị Tú Bình</t>
  </si>
  <si>
    <t>C15518</t>
  </si>
  <si>
    <t>Mai Ngọc Chăm</t>
  </si>
  <si>
    <t>C15623</t>
  </si>
  <si>
    <t>Nguyễn Thị Phương Thảo</t>
  </si>
  <si>
    <t>C15634</t>
  </si>
  <si>
    <t>Ngô Thị Giàu</t>
  </si>
  <si>
    <t>C15707</t>
  </si>
  <si>
    <t>Lê Thị Hồng Trang</t>
  </si>
  <si>
    <t>C16376</t>
  </si>
  <si>
    <t>Thị Minh</t>
  </si>
  <si>
    <t>C16397</t>
  </si>
  <si>
    <t>Nguyễn Thị Ngọc Lý</t>
  </si>
  <si>
    <t>Box Scrape worker</t>
  </si>
  <si>
    <t>C16425</t>
  </si>
  <si>
    <t>Điểu Hy</t>
  </si>
  <si>
    <t>C16461</t>
  </si>
  <si>
    <t>Phạm Thị Hồng Thư</t>
  </si>
  <si>
    <t>C16462</t>
  </si>
  <si>
    <t>Nguyễn Hoàng Phương Thảo</t>
  </si>
  <si>
    <t>C16480</t>
  </si>
  <si>
    <t>Thị P Lướt</t>
  </si>
  <si>
    <t>C16518</t>
  </si>
  <si>
    <t>Nguyễn Thị Thu Thủy</t>
  </si>
  <si>
    <t>C16521</t>
  </si>
  <si>
    <t>Nguyễn Ngọc Hạnh</t>
  </si>
  <si>
    <t>C16567</t>
  </si>
  <si>
    <t>Thị Trinh</t>
  </si>
  <si>
    <t>C16569</t>
  </si>
  <si>
    <t>Điểu Thị Đăng Ly</t>
  </si>
  <si>
    <t>C2007</t>
  </si>
  <si>
    <t>Chu Thị Lan Hương</t>
  </si>
  <si>
    <t>C2328</t>
  </si>
  <si>
    <t>Trần Thị Thanh Tâm</t>
  </si>
  <si>
    <t>C3425</t>
  </si>
  <si>
    <t>Nguyễn Thị Phương</t>
  </si>
  <si>
    <t>C5164</t>
  </si>
  <si>
    <t>Ngô Thị Luyến</t>
  </si>
  <si>
    <t>C5337</t>
  </si>
  <si>
    <t>Nguyễn Thị Lượng</t>
  </si>
  <si>
    <t>C5619</t>
  </si>
  <si>
    <t>Lê Thị Hiên</t>
  </si>
  <si>
    <t>C5625</t>
  </si>
  <si>
    <t>Nguyễn Thị Ngọc Lụa</t>
  </si>
  <si>
    <t>C5790</t>
  </si>
  <si>
    <t>Trần Thanh Thảo</t>
  </si>
  <si>
    <t>C6372</t>
  </si>
  <si>
    <t>Phạm Thị Thanh Trang</t>
  </si>
  <si>
    <t>C6763</t>
  </si>
  <si>
    <t>Nguyễn Thị Diệp Trinh</t>
  </si>
  <si>
    <t>C6889</t>
  </si>
  <si>
    <t>Thị Yến</t>
  </si>
  <si>
    <t>C7256</t>
  </si>
  <si>
    <t>Trần Văn Tưởng</t>
  </si>
  <si>
    <t>C7757</t>
  </si>
  <si>
    <t>Lê Thị Kim Tuyền</t>
  </si>
  <si>
    <t>C0871</t>
  </si>
  <si>
    <t>Vũ Thị Lũng</t>
  </si>
  <si>
    <t>C10608</t>
  </si>
  <si>
    <t>Nguyễn Thị Phượng</t>
  </si>
  <si>
    <t>C11011</t>
  </si>
  <si>
    <t>Kiều Minh Tâm</t>
  </si>
  <si>
    <t>C11167</t>
  </si>
  <si>
    <t>Trần Thị Hải Vân</t>
  </si>
  <si>
    <t>C11168</t>
  </si>
  <si>
    <t>Tăng Văn Trưởng</t>
  </si>
  <si>
    <t>C12698</t>
  </si>
  <si>
    <t>Kim Việt</t>
  </si>
  <si>
    <t>Auto Machine assistant-AA</t>
  </si>
  <si>
    <t>C13367</t>
  </si>
  <si>
    <t>Vũ Ngọc Bé</t>
  </si>
  <si>
    <t>C14224</t>
  </si>
  <si>
    <t>Lê Ngọc Diễm</t>
  </si>
  <si>
    <t>C14496</t>
  </si>
  <si>
    <t>Huỳnh Minh Toàn</t>
  </si>
  <si>
    <t>C14525</t>
  </si>
  <si>
    <t>Lâm Hồng Phước</t>
  </si>
  <si>
    <t>Packing worker</t>
  </si>
  <si>
    <t>C2372</t>
  </si>
  <si>
    <t>Trần Thị Bắc</t>
  </si>
  <si>
    <t>C3320</t>
  </si>
  <si>
    <t>Vũ Thị Khuyên</t>
  </si>
  <si>
    <t>C3815</t>
  </si>
  <si>
    <t>Lường Thị Thức</t>
  </si>
  <si>
    <t>C4471</t>
  </si>
  <si>
    <t>Lưu Thị Thanh Nga</t>
  </si>
  <si>
    <t>C4552</t>
  </si>
  <si>
    <t>Bùi Mai Ngọc Phương</t>
  </si>
  <si>
    <t>C4662</t>
  </si>
  <si>
    <t>Thân Thị Tiếng</t>
  </si>
  <si>
    <t>C5010</t>
  </si>
  <si>
    <t>Nguyễn Thị Hồng Thi</t>
  </si>
  <si>
    <t>C5314</t>
  </si>
  <si>
    <t>Trần Thị Lan</t>
  </si>
  <si>
    <t>C5738</t>
  </si>
  <si>
    <t>Lê Tiến Thành</t>
  </si>
  <si>
    <t>Auto Machine leader-AA</t>
  </si>
  <si>
    <t>C5950</t>
  </si>
  <si>
    <t>Trần Thị Mỹ Châu</t>
  </si>
  <si>
    <t>C6075</t>
  </si>
  <si>
    <t>Nguyễn Văn Hậu</t>
  </si>
  <si>
    <t>C6615</t>
  </si>
  <si>
    <t>Nguyễn Văn Hải</t>
  </si>
  <si>
    <t>C7984</t>
  </si>
  <si>
    <t>Nguyễn Văn Hồng Hiếu</t>
  </si>
  <si>
    <t>C0823</t>
  </si>
  <si>
    <t>Nguyễn Thị Sen</t>
  </si>
  <si>
    <t>DRBox 502 worker</t>
  </si>
  <si>
    <t>C13076</t>
  </si>
  <si>
    <t>Lê Quang Long</t>
  </si>
  <si>
    <t>C13318</t>
  </si>
  <si>
    <t>C1441</t>
  </si>
  <si>
    <t>Dư Thị Hà</t>
  </si>
  <si>
    <t>C14510</t>
  </si>
  <si>
    <t>Võ Thị Thanh Thúy</t>
  </si>
  <si>
    <t>C15247</t>
  </si>
  <si>
    <t>Phạm Tú Anh</t>
  </si>
  <si>
    <t>C15248</t>
  </si>
  <si>
    <t>Phạm Thị Trâm Anh</t>
  </si>
  <si>
    <t>C15454</t>
  </si>
  <si>
    <t>Phạm Thị Bông</t>
  </si>
  <si>
    <t>C16358</t>
  </si>
  <si>
    <t>Lê Thị Hằng</t>
  </si>
  <si>
    <t>C2426</t>
  </si>
  <si>
    <t>Tô Mỹ Trang</t>
  </si>
  <si>
    <t>C3942</t>
  </si>
  <si>
    <t>Đỗ Thị Hạnh Phúc</t>
  </si>
  <si>
    <t>C4642</t>
  </si>
  <si>
    <t>Nguyễn Thụy Vũ Thảo</t>
  </si>
  <si>
    <t>C5408</t>
  </si>
  <si>
    <t>La Thị Huệ</t>
  </si>
  <si>
    <t>C5587</t>
  </si>
  <si>
    <t>Nguyễn Thị Lệ Hằng</t>
  </si>
  <si>
    <t>C5621</t>
  </si>
  <si>
    <t>Lê Thị Liên</t>
  </si>
  <si>
    <t>C6142</t>
  </si>
  <si>
    <t>Võ Thị Hồng Tiên</t>
  </si>
  <si>
    <t>Drill worker</t>
  </si>
  <si>
    <t>C7538</t>
  </si>
  <si>
    <t>Trần Thị Hoàng Oanh</t>
  </si>
  <si>
    <t>C7693</t>
  </si>
  <si>
    <t>Lê Thị Phượng</t>
  </si>
  <si>
    <t>C14791</t>
  </si>
  <si>
    <t>Nguyễn Thanh Sang</t>
  </si>
  <si>
    <t>C6119</t>
  </si>
  <si>
    <t>Phạm Trường Giang</t>
  </si>
  <si>
    <t>C10587</t>
  </si>
  <si>
    <t>Nguyễn Văn Tài</t>
  </si>
  <si>
    <t>C10660</t>
  </si>
  <si>
    <t>Đoàn Văn Minh</t>
  </si>
  <si>
    <t>C10823</t>
  </si>
  <si>
    <t>Phan Thị Hến</t>
  </si>
  <si>
    <t>C10984</t>
  </si>
  <si>
    <t>Phan Đại Học</t>
  </si>
  <si>
    <t>C11323</t>
  </si>
  <si>
    <t>Nguyễn Thị Thu Dung</t>
  </si>
  <si>
    <t>C11552</t>
  </si>
  <si>
    <t>Thạch Thị Xà Qui</t>
  </si>
  <si>
    <t>C11647</t>
  </si>
  <si>
    <t>Đặng Thị Kim Liên</t>
  </si>
  <si>
    <t>Box Packing leader</t>
  </si>
  <si>
    <t>C11865</t>
  </si>
  <si>
    <t>Điểu Thị Hồng Uyên</t>
  </si>
  <si>
    <t>C11904</t>
  </si>
  <si>
    <t>Bùi Văn Sinh</t>
  </si>
  <si>
    <t>C11909</t>
  </si>
  <si>
    <t>Nguyễn Thị Phùng</t>
  </si>
  <si>
    <t>C12035</t>
  </si>
  <si>
    <t>Điểu Bang</t>
  </si>
  <si>
    <t>C12081</t>
  </si>
  <si>
    <t>Nguyễn Thị Kim Yến</t>
  </si>
  <si>
    <t>C13790</t>
  </si>
  <si>
    <t>Ngô Văn Khả</t>
  </si>
  <si>
    <t>C13815</t>
  </si>
  <si>
    <t>Kiều Minh Chí</t>
  </si>
  <si>
    <t>C14239</t>
  </si>
  <si>
    <t>Huỳnh Ngọc Tuấn</t>
  </si>
  <si>
    <t>C14240</t>
  </si>
  <si>
    <t>Phan Thị Oanh</t>
  </si>
  <si>
    <t>C14982</t>
  </si>
  <si>
    <t>Phạm Thị Ngọc Anh</t>
  </si>
  <si>
    <t>C15449</t>
  </si>
  <si>
    <t>Nguyễn Thị Kim Mỵ</t>
  </si>
  <si>
    <t>C15506</t>
  </si>
  <si>
    <t>Trần Thị Hoàng Thương</t>
  </si>
  <si>
    <t>C15603</t>
  </si>
  <si>
    <t>Thạch Thị Thuỷ Tiên</t>
  </si>
  <si>
    <t>C15637</t>
  </si>
  <si>
    <t>Dư Văn Quang</t>
  </si>
  <si>
    <t>C16096</t>
  </si>
  <si>
    <t>Phan Phi Long</t>
  </si>
  <si>
    <t>C16136</t>
  </si>
  <si>
    <t>Nguyễn Thị Kim Tuyền</t>
  </si>
  <si>
    <t>C16235</t>
  </si>
  <si>
    <t>Lâm Thị Như Quỳnh</t>
  </si>
  <si>
    <t>C16459</t>
  </si>
  <si>
    <t>Huỳnh Văn Hội</t>
  </si>
  <si>
    <t>C16479</t>
  </si>
  <si>
    <t>Trần Thị Bích Phượng</t>
  </si>
  <si>
    <t>C4644</t>
  </si>
  <si>
    <t>Phạm Thị Phương Dung</t>
  </si>
  <si>
    <t>C5776</t>
  </si>
  <si>
    <t>Lê Thị Lưu</t>
  </si>
  <si>
    <t>C6325</t>
  </si>
  <si>
    <t>Nguyễn Thị Hồng</t>
  </si>
  <si>
    <t>C6820</t>
  </si>
  <si>
    <t>Nguyễn Bá Chất</t>
  </si>
  <si>
    <t>C7626</t>
  </si>
  <si>
    <t>Nguyễn Kim Tho</t>
  </si>
  <si>
    <t>C8050</t>
  </si>
  <si>
    <t>Trần Thị Bé</t>
  </si>
  <si>
    <t>C8278</t>
  </si>
  <si>
    <t>Nguyễn Minh Linh</t>
  </si>
  <si>
    <t>C11922</t>
  </si>
  <si>
    <t>Nguyễn Thị Hồng Thuận</t>
  </si>
  <si>
    <t>Factory vice manager</t>
  </si>
  <si>
    <t>Factory manager</t>
  </si>
  <si>
    <t>C5606</t>
  </si>
  <si>
    <t>Nguyễn Thị Liên</t>
  </si>
  <si>
    <t xml:space="preserve">Factory assistant </t>
  </si>
  <si>
    <t>C6063</t>
  </si>
  <si>
    <t>Đồng Thị Thu Hiền</t>
  </si>
  <si>
    <t>C13547</t>
  </si>
  <si>
    <t>Nguyễn Thị Cẩm Tiên</t>
  </si>
  <si>
    <t>QC Worker</t>
  </si>
  <si>
    <t>C13762</t>
  </si>
  <si>
    <t>Nguyễn Thị Tuyết Ngân</t>
  </si>
  <si>
    <t>QC worker</t>
  </si>
  <si>
    <t>C15453</t>
  </si>
  <si>
    <t>Đặng Vũ Thảo Huyền</t>
  </si>
  <si>
    <t>C15906</t>
  </si>
  <si>
    <t>Phạm Thị Thu Thương</t>
  </si>
  <si>
    <t>C15959</t>
  </si>
  <si>
    <t>Khiếu Thị Hoàng Vân</t>
  </si>
  <si>
    <t>C16460</t>
  </si>
  <si>
    <t>Hà Nguyễn Tấn Trung</t>
  </si>
  <si>
    <t>C2982</t>
  </si>
  <si>
    <t>Đỗ Thị Nga</t>
  </si>
  <si>
    <t>C6248</t>
  </si>
  <si>
    <t>Huỳnh Văn Mẫu Tám</t>
  </si>
  <si>
    <t>Box QC leader</t>
  </si>
  <si>
    <t>C14461</t>
  </si>
  <si>
    <t>Nguyễn Ngọc Tùng</t>
  </si>
  <si>
    <t>WIP worker</t>
  </si>
  <si>
    <t>C15431</t>
  </si>
  <si>
    <t>Lê Thanh Hiền</t>
  </si>
  <si>
    <t>Auto Machine sub-operator-A</t>
  </si>
  <si>
    <t>C15564</t>
  </si>
  <si>
    <t>Lê Văn Nhớ</t>
  </si>
  <si>
    <t>Auto Machine Assistant-A</t>
  </si>
  <si>
    <t>C15953</t>
  </si>
  <si>
    <t>Nguyễn Lương Thành</t>
  </si>
  <si>
    <t>Gravure Printing operator</t>
  </si>
  <si>
    <t>C16455</t>
  </si>
  <si>
    <t>Keo Đinh Thành</t>
  </si>
  <si>
    <t>C14632</t>
  </si>
  <si>
    <t>Nguyễn Chính Tín</t>
  </si>
  <si>
    <t>C15912</t>
  </si>
  <si>
    <t>Dương Kim Đỗ</t>
  </si>
  <si>
    <t>C13485</t>
  </si>
  <si>
    <t>Hồ Vĩnh Bình</t>
  </si>
  <si>
    <t>Lab Staff</t>
  </si>
  <si>
    <t>C16068</t>
  </si>
  <si>
    <t>Trần Thị Thảo Sương</t>
  </si>
  <si>
    <t>C10711</t>
  </si>
  <si>
    <t>Nguyễn Mạnh Hùng</t>
  </si>
  <si>
    <t>C15964</t>
  </si>
  <si>
    <t>Võ Thị Thanh Vân</t>
  </si>
  <si>
    <t>Auto Machine sub-operator-C</t>
  </si>
  <si>
    <t>C15998</t>
  </si>
  <si>
    <t>Lưu Thị Thu Hà</t>
  </si>
  <si>
    <t>C16066</t>
  </si>
  <si>
    <t>Đàm Văn Long</t>
  </si>
  <si>
    <t>C16436</t>
  </si>
  <si>
    <t>Châu Khắc Cường</t>
  </si>
  <si>
    <t>C16123</t>
  </si>
  <si>
    <t>Quách Văn Hiền</t>
  </si>
  <si>
    <t>C13358</t>
  </si>
  <si>
    <t>Phan Hồ Hải</t>
  </si>
  <si>
    <t>Auto Machine Operator-C</t>
  </si>
  <si>
    <t>C2287</t>
  </si>
  <si>
    <t>Trần Văn Dũng</t>
  </si>
  <si>
    <t>Auto Machine leader-C</t>
  </si>
  <si>
    <t>C7226</t>
  </si>
  <si>
    <t>Võ Minh Thủ</t>
  </si>
  <si>
    <t>C7344</t>
  </si>
  <si>
    <t>Lê Văn Mạnh</t>
  </si>
  <si>
    <t>Auto machine operator-C</t>
  </si>
  <si>
    <t>C13934</t>
  </si>
  <si>
    <t>Mai Đình Toàn</t>
  </si>
  <si>
    <t>C14085</t>
  </si>
  <si>
    <t>Đỗ Minh Trí</t>
  </si>
  <si>
    <t>C14556</t>
  </si>
  <si>
    <t>Lê Thanh Hải</t>
  </si>
  <si>
    <t>C15876</t>
  </si>
  <si>
    <t>Nguyễn Lê Lai</t>
  </si>
  <si>
    <t>C15948</t>
  </si>
  <si>
    <t>Nguyễn Thanh Tuấn</t>
  </si>
  <si>
    <t>C16091</t>
  </si>
  <si>
    <t>Lâm Văn Xom</t>
  </si>
  <si>
    <t>Auto Machine assistant-B</t>
  </si>
  <si>
    <t>C16152</t>
  </si>
  <si>
    <t>Nguyễn Thanh Tâm</t>
  </si>
  <si>
    <t>C16418</t>
  </si>
  <si>
    <t>Phan Minh Thành</t>
  </si>
  <si>
    <t>C16427</t>
  </si>
  <si>
    <t>Lê Tiến Phúc</t>
  </si>
  <si>
    <t>C16428</t>
  </si>
  <si>
    <t>Lê Văn Định</t>
  </si>
  <si>
    <t>C5842</t>
  </si>
  <si>
    <t>Dương Quốc Huỳnh</t>
  </si>
  <si>
    <t>Auto Machine leader-B</t>
  </si>
  <si>
    <t>C6004</t>
  </si>
  <si>
    <t>Điểu Đông</t>
  </si>
  <si>
    <t>C7190</t>
  </si>
  <si>
    <t>Lê Hữu Nhân</t>
  </si>
  <si>
    <t>C0718</t>
  </si>
  <si>
    <t>Mai Thị Bưởi</t>
  </si>
  <si>
    <t>Auto Machine vice leader-C</t>
  </si>
  <si>
    <t>C13306</t>
  </si>
  <si>
    <t>Nguyễn Quang Linh</t>
  </si>
  <si>
    <t>C15575</t>
  </si>
  <si>
    <t>Điểu Trung Thành</t>
  </si>
  <si>
    <t>C4480</t>
  </si>
  <si>
    <t>Nguyễn Thị Kim</t>
  </si>
  <si>
    <t>Auto machine leader-C</t>
  </si>
  <si>
    <t>C15330</t>
  </si>
  <si>
    <t>Bùi Văn Hải</t>
  </si>
  <si>
    <t>C15372</t>
  </si>
  <si>
    <t>Lê Văn Hưng</t>
  </si>
  <si>
    <t>C15633</t>
  </si>
  <si>
    <t>Đỗ Minh Tâm</t>
  </si>
  <si>
    <t>C16365</t>
  </si>
  <si>
    <t>Trần Phước Bình</t>
  </si>
  <si>
    <t>C7142</t>
  </si>
  <si>
    <t>Nguyễn Văn Nguyên</t>
  </si>
  <si>
    <t>C12454</t>
  </si>
  <si>
    <t>Đỗ Thành Công</t>
  </si>
  <si>
    <t>C12592</t>
  </si>
  <si>
    <t>Nguyễn Phương Bình</t>
  </si>
  <si>
    <t>C12615</t>
  </si>
  <si>
    <t>Bùi Văn Có</t>
  </si>
  <si>
    <t>C12639</t>
  </si>
  <si>
    <t>Nguyễn Văn Hưng</t>
  </si>
  <si>
    <t>C14370</t>
  </si>
  <si>
    <t>Dương Quốc Anh</t>
  </si>
  <si>
    <t>C14591</t>
  </si>
  <si>
    <t>Phan Quốc Hưng</t>
  </si>
  <si>
    <t>C16074</t>
  </si>
  <si>
    <t>Lâm Điểu Dương</t>
  </si>
  <si>
    <t>C16420</t>
  </si>
  <si>
    <t>Lý Tiết Thắng</t>
  </si>
  <si>
    <t>C16448</t>
  </si>
  <si>
    <t>Đỗ Văn Nam</t>
  </si>
  <si>
    <t>C16481</t>
  </si>
  <si>
    <t>Trần Thiện Tâm</t>
  </si>
  <si>
    <t>C16496</t>
  </si>
  <si>
    <t>Nguyễn Thành Luân</t>
  </si>
  <si>
    <t>C16545</t>
  </si>
  <si>
    <t>Tạ Khánh Duy</t>
  </si>
  <si>
    <t>C6000</t>
  </si>
  <si>
    <t>Lê Văn Thụ</t>
  </si>
  <si>
    <t>C7219</t>
  </si>
  <si>
    <t>Điểu Thanh Hải</t>
  </si>
  <si>
    <t>C8054</t>
  </si>
  <si>
    <t>Trương Mạnh Hùng</t>
  </si>
  <si>
    <t>C10963</t>
  </si>
  <si>
    <t>Phạm Văn Tuấn</t>
  </si>
  <si>
    <t>C14529</t>
  </si>
  <si>
    <t>Lê Quốc Việt</t>
  </si>
  <si>
    <t>C15628</t>
  </si>
  <si>
    <t>Lê Văn An Toàn</t>
  </si>
  <si>
    <t>C15629</t>
  </si>
  <si>
    <t>Nguyễn Hoàng Huy</t>
  </si>
  <si>
    <t>C15630</t>
  </si>
  <si>
    <t>Điểu Trung Nghĩa</t>
  </si>
  <si>
    <t>C15910</t>
  </si>
  <si>
    <t>Vũ Văn Kỳ</t>
  </si>
  <si>
    <t>C15921</t>
  </si>
  <si>
    <t>Bùi Hữu Thương</t>
  </si>
  <si>
    <t>Auto Machine assistant-C</t>
  </si>
  <si>
    <t>C15932</t>
  </si>
  <si>
    <t>Hoàng Văn Hà</t>
  </si>
  <si>
    <t>C16137</t>
  </si>
  <si>
    <t>Nguyễn Văn Chất</t>
  </si>
  <si>
    <t>C16434</t>
  </si>
  <si>
    <t>A Lại</t>
  </si>
  <si>
    <t>C16435</t>
  </si>
  <si>
    <t>Nguyễn Văn Cường</t>
  </si>
  <si>
    <t>C16483</t>
  </si>
  <si>
    <t>Điểu Bơ</t>
  </si>
  <si>
    <t>C7149</t>
  </si>
  <si>
    <t>Hồ Minh Hảo</t>
  </si>
  <si>
    <t>C12452</t>
  </si>
  <si>
    <t>Mai Văn Thọ</t>
  </si>
  <si>
    <t>C15241</t>
  </si>
  <si>
    <t>Phan Thành Phong</t>
  </si>
  <si>
    <t>C15523</t>
  </si>
  <si>
    <t>Nguyễn Xuân Ngọ</t>
  </si>
  <si>
    <t>C15577</t>
  </si>
  <si>
    <t>Vũ Thị Xuân</t>
  </si>
  <si>
    <t>C16078</t>
  </si>
  <si>
    <t>Thị Kim Tiên</t>
  </si>
  <si>
    <t>C16206</t>
  </si>
  <si>
    <t>Nguyễn Lâm Hào</t>
  </si>
  <si>
    <t>C16229</t>
  </si>
  <si>
    <t>Trần Văn Tân</t>
  </si>
  <si>
    <t>C16237</t>
  </si>
  <si>
    <t>Điểu Cảnh</t>
  </si>
  <si>
    <t>C16291</t>
  </si>
  <si>
    <t>Sơn Thanh</t>
  </si>
  <si>
    <t>C16430</t>
  </si>
  <si>
    <t>Trần Thị Kim Loan</t>
  </si>
  <si>
    <t>C16431</t>
  </si>
  <si>
    <t>Trần Anh Tài</t>
  </si>
  <si>
    <t>C1315</t>
  </si>
  <si>
    <t>Lưu Thị Làn</t>
  </si>
  <si>
    <t>Factory cleaner</t>
  </si>
  <si>
    <t>C13714</t>
  </si>
  <si>
    <t>Đỗ Minh Hiếu</t>
  </si>
  <si>
    <t>C14432</t>
  </si>
  <si>
    <t>Ngô Văn Kiệt</t>
  </si>
  <si>
    <t>C14640</t>
  </si>
  <si>
    <t>Nguyễn Minh Hoàng</t>
  </si>
  <si>
    <t>C15716</t>
  </si>
  <si>
    <t>Trần Huy Sơn</t>
  </si>
  <si>
    <t>C15909</t>
  </si>
  <si>
    <t>Nguyễn Hoàng Phi</t>
  </si>
  <si>
    <t>C15933</t>
  </si>
  <si>
    <t>Lê Nguyễn Anh Tuấn</t>
  </si>
  <si>
    <t>C16081</t>
  </si>
  <si>
    <t>Lâm Xam Bô</t>
  </si>
  <si>
    <t>C16218</t>
  </si>
  <si>
    <t>Nguyễn Văn Quý</t>
  </si>
  <si>
    <t>C6164</t>
  </si>
  <si>
    <t>Trần Việt Hùng</t>
  </si>
  <si>
    <t>C7152</t>
  </si>
  <si>
    <t>Nguyễn Hồng Phong</t>
  </si>
  <si>
    <t>C14433</t>
  </si>
  <si>
    <t>Phan Thành Tài</t>
  </si>
  <si>
    <t>C15215</t>
  </si>
  <si>
    <t>Phan Thanh Tùng</t>
  </si>
  <si>
    <t>C15705</t>
  </si>
  <si>
    <t>Lê Bình Đông</t>
  </si>
  <si>
    <t>C15750</t>
  </si>
  <si>
    <t>Đỗ Nhật Minh</t>
  </si>
  <si>
    <t>C16495</t>
  </si>
  <si>
    <t>Phan Văn Tuấn</t>
  </si>
  <si>
    <t>C16546</t>
  </si>
  <si>
    <t>Hoàng Văn Chánh</t>
  </si>
  <si>
    <t>C2236</t>
  </si>
  <si>
    <t>Nguyễn Văn Tiến</t>
  </si>
  <si>
    <t>C6794</t>
  </si>
  <si>
    <t>Lê Văn Điểm</t>
  </si>
  <si>
    <t>C13990</t>
  </si>
  <si>
    <t>Nguyễn Anh Tài</t>
  </si>
  <si>
    <t>Printing machine operator - L2</t>
  </si>
  <si>
    <t>C13113</t>
  </si>
  <si>
    <t>Phạm Minh Trí</t>
  </si>
  <si>
    <t>Printing machine sub operator - L2</t>
  </si>
  <si>
    <t>C15409</t>
  </si>
  <si>
    <t>Nguyễn Văn Hiếu</t>
  </si>
  <si>
    <t>Printing machine operator - Flexo</t>
  </si>
  <si>
    <t>C15987</t>
  </si>
  <si>
    <t>Lưu Thanh Minh</t>
  </si>
  <si>
    <t>Printing machine sub operator - Flexo</t>
  </si>
  <si>
    <t>C1306</t>
  </si>
  <si>
    <t>Nguyễn Thị Thanh Mỹ</t>
  </si>
  <si>
    <t>Plan staff</t>
  </si>
  <si>
    <t>Trần Văn Hoài</t>
  </si>
  <si>
    <t>C14762</t>
  </si>
  <si>
    <t>Bùi Thị Yến Thu</t>
  </si>
  <si>
    <t>C4110</t>
  </si>
  <si>
    <t>Đàm Thị Thủy</t>
  </si>
  <si>
    <t>C15710</t>
  </si>
  <si>
    <t>Văn Thị Vũ Thường</t>
  </si>
  <si>
    <t>Bag QC vice leader</t>
  </si>
  <si>
    <t>C15937</t>
  </si>
  <si>
    <t>Lê Thị Cẩm Nhung</t>
  </si>
  <si>
    <t>C16417</t>
  </si>
  <si>
    <t>Huỳnh Thị Thu Hương</t>
  </si>
  <si>
    <t>C16447</t>
  </si>
  <si>
    <t>Võ Thị Bích Ngọc</t>
  </si>
  <si>
    <t>C2079</t>
  </si>
  <si>
    <t>Huỳnh Mẫu Bảy</t>
  </si>
  <si>
    <t>Bag QC leader</t>
  </si>
  <si>
    <t>C5204</t>
  </si>
  <si>
    <t>Lê Mộng Hằng</t>
  </si>
  <si>
    <t>C5531</t>
  </si>
  <si>
    <t>Vũ Thị Phương</t>
  </si>
  <si>
    <t>C13967</t>
  </si>
  <si>
    <t>Lê Thị Huỳnh Như</t>
  </si>
  <si>
    <t>C1478</t>
  </si>
  <si>
    <t>Nguyễn Thị Ngọc Lan</t>
  </si>
  <si>
    <t>Semi machine operator</t>
  </si>
  <si>
    <t>C15232</t>
  </si>
  <si>
    <t>Nguyễn Thị Thu</t>
  </si>
  <si>
    <t>C15625</t>
  </si>
  <si>
    <t>Phan Ngọc Hương</t>
  </si>
  <si>
    <t>C15715</t>
  </si>
  <si>
    <t>Thị Kim Chi</t>
  </si>
  <si>
    <t>C15842</t>
  </si>
  <si>
    <t>Trần Thị Mỹ Xuyên</t>
  </si>
  <si>
    <t>C15843</t>
  </si>
  <si>
    <t>Huỳnh Thị Cẩm Tiên</t>
  </si>
  <si>
    <t>C15845</t>
  </si>
  <si>
    <t>Phạm Văn Giào</t>
  </si>
  <si>
    <t>C15955</t>
  </si>
  <si>
    <t>C16075</t>
  </si>
  <si>
    <t>Điểu Phước</t>
  </si>
  <si>
    <t>C16202</t>
  </si>
  <si>
    <t>C16457</t>
  </si>
  <si>
    <t>Lê Thị Kiều Oanh</t>
  </si>
  <si>
    <t>C5432</t>
  </si>
  <si>
    <t>Phạm Thị Minh Hiền</t>
  </si>
  <si>
    <t>C5433</t>
  </si>
  <si>
    <t>Trần Thị Trinh Tùy</t>
  </si>
  <si>
    <t>C7968</t>
  </si>
  <si>
    <t>Phạm Thị Phương Thảo</t>
  </si>
  <si>
    <t>C9333</t>
  </si>
  <si>
    <t>Lê Thị Thêm</t>
  </si>
  <si>
    <t>C11871</t>
  </si>
  <si>
    <t>Lê Thị Thanh Giàu</t>
  </si>
  <si>
    <t>C13251</t>
  </si>
  <si>
    <t>Nguyễn Thị Thu Trang</t>
  </si>
  <si>
    <t>C13274</t>
  </si>
  <si>
    <t>Lê Thị Trang</t>
  </si>
  <si>
    <t>C13357</t>
  </si>
  <si>
    <t>Trần Thị Thúy Quyên</t>
  </si>
  <si>
    <t>C13909</t>
  </si>
  <si>
    <t>Dư Thị Nhung</t>
  </si>
  <si>
    <t>C15826</t>
  </si>
  <si>
    <t>Lê Thị Ngọc Thảo</t>
  </si>
  <si>
    <t>C15829</t>
  </si>
  <si>
    <t>Đặng Thị ALyNa</t>
  </si>
  <si>
    <t>C15994</t>
  </si>
  <si>
    <t>Nguyễn Thị Thanh Hiên</t>
  </si>
  <si>
    <t>C16022</t>
  </si>
  <si>
    <t>Trần Thị Tuyền Trinh</t>
  </si>
  <si>
    <t>C16089</t>
  </si>
  <si>
    <t>Lương Thị Kim Huệ</t>
  </si>
  <si>
    <t>C16256</t>
  </si>
  <si>
    <t>Trần Thị Thoa</t>
  </si>
  <si>
    <t>C2832</t>
  </si>
  <si>
    <t>Trần Thị Vân Chi</t>
  </si>
  <si>
    <t>C3894</t>
  </si>
  <si>
    <t>Nguyễn Thị Thanh</t>
  </si>
  <si>
    <t>C5156</t>
  </si>
  <si>
    <t>Trần Thị Vân Phương</t>
  </si>
  <si>
    <t>C6482</t>
  </si>
  <si>
    <t>Hoàng Thị Cúc</t>
  </si>
  <si>
    <t>C9048</t>
  </si>
  <si>
    <t>THỊ THẮM</t>
  </si>
  <si>
    <t>C10515</t>
  </si>
  <si>
    <t>Trần Thị Nhung</t>
  </si>
  <si>
    <t>C14430</t>
  </si>
  <si>
    <t>Nguyễn Thủy Tiên</t>
  </si>
  <si>
    <t>C15417</t>
  </si>
  <si>
    <t>Võ Thị Mỹ Dung</t>
  </si>
  <si>
    <t>C15418</t>
  </si>
  <si>
    <t>Trần Minh Phát</t>
  </si>
  <si>
    <t>C15919</t>
  </si>
  <si>
    <t>Lê Thị Yên</t>
  </si>
  <si>
    <t>C16004</t>
  </si>
  <si>
    <t>Nguyễn Thị Ngọc Xuân</t>
  </si>
  <si>
    <t>C16419</t>
  </si>
  <si>
    <t>Đặng Thị Kim Hoa</t>
  </si>
  <si>
    <t>C16429</t>
  </si>
  <si>
    <t>Đặng Thị Thu Truyền</t>
  </si>
  <si>
    <t>C13884</t>
  </si>
  <si>
    <t>Ngô Thị Bảo Châu</t>
  </si>
  <si>
    <t>C14086</t>
  </si>
  <si>
    <t>Võ Anh Quân</t>
  </si>
  <si>
    <t>C15368</t>
  </si>
  <si>
    <t>Nguyễn Văn Toàn</t>
  </si>
  <si>
    <t>C15918</t>
  </si>
  <si>
    <t>Lâm Văn Ron</t>
  </si>
  <si>
    <t>C15938</t>
  </si>
  <si>
    <t>Đỗ Thanh Hải</t>
  </si>
  <si>
    <t>C15986</t>
  </si>
  <si>
    <t>Trần Thị Hoàng Yến</t>
  </si>
  <si>
    <t>C16021</t>
  </si>
  <si>
    <t>Nguyễn Văn Nghiệp</t>
  </si>
  <si>
    <t>C16204</t>
  </si>
  <si>
    <t>C16432</t>
  </si>
  <si>
    <t>Vũ Thành Chung</t>
  </si>
  <si>
    <t>C16433</t>
  </si>
  <si>
    <t>C8051</t>
  </si>
  <si>
    <t>Nguyễn Văn Kiên</t>
  </si>
  <si>
    <t>C8055</t>
  </si>
  <si>
    <t>Lê Thị Anh Thư</t>
  </si>
  <si>
    <t>Semi Machine leader</t>
  </si>
  <si>
    <t>C13709</t>
  </si>
  <si>
    <t>Nguyễn Quang Đức</t>
  </si>
  <si>
    <t>C15522</t>
  </si>
  <si>
    <t>Nguyễn Tuấn Kiệt</t>
  </si>
  <si>
    <t>C15570</t>
  </si>
  <si>
    <t>Quách Ngọc Kim Thư</t>
  </si>
  <si>
    <t>C15626</t>
  </si>
  <si>
    <t>Nguyễn Trọng Nghĩa</t>
  </si>
  <si>
    <t>C15704</t>
  </si>
  <si>
    <t>Võ Thị Thanh Ngân</t>
  </si>
  <si>
    <t>C15770</t>
  </si>
  <si>
    <t>Lê Thanh Sang</t>
  </si>
  <si>
    <t>C16153</t>
  </si>
  <si>
    <t>Hoàng Thị Ca</t>
  </si>
  <si>
    <t>C16238</t>
  </si>
  <si>
    <t>Hoàng Thị Sang</t>
  </si>
  <si>
    <t>C16449</t>
  </si>
  <si>
    <t>Thị Phương</t>
  </si>
  <si>
    <t>C16450</t>
  </si>
  <si>
    <t>Châu Thị Hồng Yến</t>
  </si>
  <si>
    <t>C4042</t>
  </si>
  <si>
    <t>Lê Sỹ Hóa</t>
  </si>
  <si>
    <t>C11673</t>
  </si>
  <si>
    <t>Phạm Thị Cẩm Châu</t>
  </si>
  <si>
    <t>C1730</t>
  </si>
  <si>
    <t>Trần Thị Thủy</t>
  </si>
  <si>
    <t>C2963</t>
  </si>
  <si>
    <t>Phạm Thúy Hồng</t>
  </si>
  <si>
    <t>C3518</t>
  </si>
  <si>
    <t>Hồ Thị Vân</t>
  </si>
  <si>
    <t>Semi machine vice leader</t>
  </si>
  <si>
    <t>C4275</t>
  </si>
  <si>
    <t>Lê Thị Thúy Hằng</t>
  </si>
  <si>
    <t>C4641</t>
  </si>
  <si>
    <t>Trần Thị Thư</t>
  </si>
  <si>
    <t>C6149</t>
  </si>
  <si>
    <t>Hoàng Thị Ngọc Bình</t>
  </si>
  <si>
    <t>C6757</t>
  </si>
  <si>
    <t>Thị Tuyết</t>
  </si>
  <si>
    <t>C6923</t>
  </si>
  <si>
    <t>Châu Thị Bạch Tuyết</t>
  </si>
  <si>
    <t>C15285</t>
  </si>
  <si>
    <t>Võ Thị Dung My</t>
  </si>
  <si>
    <t>C15908</t>
  </si>
  <si>
    <t>Nguyễn Minh Luân</t>
  </si>
  <si>
    <t>C4669</t>
  </si>
  <si>
    <t>Nguyễn Thị Chung</t>
  </si>
  <si>
    <t>C11379</t>
  </si>
  <si>
    <t>Lâm Sa Nến</t>
  </si>
  <si>
    <t>Wip worker</t>
  </si>
  <si>
    <t>C15917</t>
  </si>
  <si>
    <t>Nguyễn Ngọc Lâm</t>
  </si>
  <si>
    <t>C15950</t>
  </si>
  <si>
    <t>Nguyễn Thị Thu Hòa</t>
  </si>
  <si>
    <t>C16203</t>
  </si>
  <si>
    <t>Nguyễn Lê Thúy Vy</t>
  </si>
  <si>
    <t>C4100</t>
  </si>
  <si>
    <t>Võ Thị Sang</t>
  </si>
  <si>
    <t>C0585</t>
  </si>
  <si>
    <t>Lê Thị Thiện</t>
  </si>
  <si>
    <t>Bag team leader</t>
  </si>
  <si>
    <t>C0816</t>
  </si>
  <si>
    <t>Nguyễn Thị Thúy</t>
  </si>
  <si>
    <t>C1030</t>
  </si>
  <si>
    <t>Vũ Thị Liên</t>
  </si>
  <si>
    <t>C13192</t>
  </si>
  <si>
    <t>Trần Văn Lượng</t>
  </si>
  <si>
    <t>C13605</t>
  </si>
  <si>
    <t>Võ Thị Nguyên</t>
  </si>
  <si>
    <t>C15178</t>
  </si>
  <si>
    <t>C15220</t>
  </si>
  <si>
    <t>Thị Svin</t>
  </si>
  <si>
    <t>C15957</t>
  </si>
  <si>
    <t>Trương Thị Hậu</t>
  </si>
  <si>
    <t>C1640</t>
  </si>
  <si>
    <t>Vũ Thị Thu Hà</t>
  </si>
  <si>
    <t>C2783</t>
  </si>
  <si>
    <t>Võ Thị Hồng Gấm</t>
  </si>
  <si>
    <t>C4389</t>
  </si>
  <si>
    <t>Hồ Thị Liên</t>
  </si>
  <si>
    <t>C4392</t>
  </si>
  <si>
    <t>Lê Thị Thu Hằng</t>
  </si>
  <si>
    <t>C4506</t>
  </si>
  <si>
    <t>Vũ Thị Thảo</t>
  </si>
  <si>
    <t>C5061</t>
  </si>
  <si>
    <t>Hồ Thị Nguyệt</t>
  </si>
  <si>
    <t>C6656</t>
  </si>
  <si>
    <t>Vũ Thị Hậu</t>
  </si>
  <si>
    <t>C6978</t>
  </si>
  <si>
    <t>Phan Thị Bích Thúy</t>
  </si>
  <si>
    <t>C7165</t>
  </si>
  <si>
    <t>Nguyễn Hoài Bảo</t>
  </si>
  <si>
    <t>C7272</t>
  </si>
  <si>
    <t>Thị Út Hoa</t>
  </si>
  <si>
    <t>C7273</t>
  </si>
  <si>
    <t>Thị Thảo</t>
  </si>
  <si>
    <t>C7396</t>
  </si>
  <si>
    <t>Phạm Minh Hiếu</t>
  </si>
  <si>
    <t>C7441</t>
  </si>
  <si>
    <t>Lê Trung Hòa</t>
  </si>
  <si>
    <t>C8307</t>
  </si>
  <si>
    <t>Nguyễn Mạnh Tiến</t>
  </si>
  <si>
    <t>C10829</t>
  </si>
  <si>
    <t>Vũ Thị Trà My</t>
  </si>
  <si>
    <t>C13662</t>
  </si>
  <si>
    <t>Lê Nguyễn Thùy Dung</t>
  </si>
  <si>
    <t>C13819</t>
  </si>
  <si>
    <t>Nguyễn Thị Tâm</t>
  </si>
  <si>
    <t>C16219</t>
  </si>
  <si>
    <t>Nguyễn Minh Tâm</t>
  </si>
  <si>
    <t>C16341</t>
  </si>
  <si>
    <t>Nguyễn Lan Vy</t>
  </si>
  <si>
    <t>C16342</t>
  </si>
  <si>
    <t>Cao Thị Từ</t>
  </si>
  <si>
    <t>C16464</t>
  </si>
  <si>
    <t>Trương Minh Khải</t>
  </si>
  <si>
    <t>C16465</t>
  </si>
  <si>
    <t>Triệu Văn Tâm</t>
  </si>
  <si>
    <t>C16540</t>
  </si>
  <si>
    <t>Vũ Thị Thu Thảo</t>
  </si>
  <si>
    <t>C16563</t>
  </si>
  <si>
    <t>Điểu Giăng</t>
  </si>
  <si>
    <t>C1708</t>
  </si>
  <si>
    <t>Dương Thị Thanh Nhi</t>
  </si>
  <si>
    <t>C2564</t>
  </si>
  <si>
    <t>Trần Thị Hồng Hạnh</t>
  </si>
  <si>
    <t>C5322</t>
  </si>
  <si>
    <t>C5955</t>
  </si>
  <si>
    <t>Lưu Thị Thanh Mỹ</t>
  </si>
  <si>
    <t>C6086</t>
  </si>
  <si>
    <t>Nhỉn Đỗ Ngọc Tiên</t>
  </si>
  <si>
    <t>C6368</t>
  </si>
  <si>
    <t>C7138</t>
  </si>
  <si>
    <t>Thị Hằng</t>
  </si>
  <si>
    <t>C7785</t>
  </si>
  <si>
    <t>Phan Trúc Linh</t>
  </si>
  <si>
    <t>C7897</t>
  </si>
  <si>
    <t>Thị Ngân</t>
  </si>
  <si>
    <t>C8290</t>
  </si>
  <si>
    <t>Hoàng Phước Thắng</t>
  </si>
  <si>
    <t>C8294</t>
  </si>
  <si>
    <t>Quách Thị Hoa</t>
  </si>
  <si>
    <t>C8815</t>
  </si>
  <si>
    <t>Thị Thanh Nga</t>
  </si>
  <si>
    <t>C10461</t>
  </si>
  <si>
    <t>Đỗ Thị Thái</t>
  </si>
  <si>
    <t>C13115</t>
  </si>
  <si>
    <t>Võ Hoài Thư</t>
  </si>
  <si>
    <t>C13331</t>
  </si>
  <si>
    <t>Võ Thị Ngọc Cúc</t>
  </si>
  <si>
    <t>C14118</t>
  </si>
  <si>
    <t>Lê Hữu Phú</t>
  </si>
  <si>
    <t>C14206</t>
  </si>
  <si>
    <t>Hoàng Văn Thủy</t>
  </si>
  <si>
    <t>C14312</t>
  </si>
  <si>
    <t>Nguyễn Thị Ngân Thanh</t>
  </si>
  <si>
    <t>C15228</t>
  </si>
  <si>
    <t>Đỗ Quang Trực</t>
  </si>
  <si>
    <t>C15331</t>
  </si>
  <si>
    <t>Nguyễn Đình Cường</t>
  </si>
  <si>
    <t>C15543</t>
  </si>
  <si>
    <t>Châu Thị Hồng Nhiên</t>
  </si>
  <si>
    <t>C15604</t>
  </si>
  <si>
    <t>Đặng Thị Hoài Thương</t>
  </si>
  <si>
    <t>C15823</t>
  </si>
  <si>
    <t>Huỳnh Thị Thanh Hằng</t>
  </si>
  <si>
    <t>C16220</t>
  </si>
  <si>
    <t>Huỳnh Thị Ngọc Thư</t>
  </si>
  <si>
    <t>C16221</t>
  </si>
  <si>
    <t>Huỳnh Thị Hương</t>
  </si>
  <si>
    <t>C16566</t>
  </si>
  <si>
    <t>Nguyễn Văn Nhớ</t>
  </si>
  <si>
    <t>C1782</t>
  </si>
  <si>
    <t>Đặng Thị Dũng</t>
  </si>
  <si>
    <t>C3812</t>
  </si>
  <si>
    <t>Huỳnh Thị Nhung</t>
  </si>
  <si>
    <t>C3823</t>
  </si>
  <si>
    <t>Trương Thị Thái</t>
  </si>
  <si>
    <t>C3910</t>
  </si>
  <si>
    <t>Bùi Thị Ánh Hồng</t>
  </si>
  <si>
    <t>C4951</t>
  </si>
  <si>
    <t>Đỗ Thị Thắm</t>
  </si>
  <si>
    <t>C5323</t>
  </si>
  <si>
    <t>Võ Thị Nhã Phương</t>
  </si>
  <si>
    <t>C5719</t>
  </si>
  <si>
    <t>Bùi Thị Thảo</t>
  </si>
  <si>
    <t>C7300</t>
  </si>
  <si>
    <t>Đặng Phan Hồng Vân</t>
  </si>
  <si>
    <t>C0730</t>
  </si>
  <si>
    <t>Nguyễn Thị Tý</t>
  </si>
  <si>
    <t>C11713</t>
  </si>
  <si>
    <t>Trần Thị Sa</t>
  </si>
  <si>
    <t>C12559</t>
  </si>
  <si>
    <t>Nguyễn Thị Thanh Nhàn</t>
  </si>
  <si>
    <t>C14354</t>
  </si>
  <si>
    <t>Lê Ngọc Lụa</t>
  </si>
  <si>
    <t>C1451</t>
  </si>
  <si>
    <t>Viên Thị Ngọc</t>
  </si>
  <si>
    <t>C15035</t>
  </si>
  <si>
    <t>Ksor Buih</t>
  </si>
  <si>
    <t>C15930</t>
  </si>
  <si>
    <t>Mai Thành Tài</t>
  </si>
  <si>
    <t>C15931</t>
  </si>
  <si>
    <t>Trần Văn Long</t>
  </si>
  <si>
    <t>C16542</t>
  </si>
  <si>
    <t>Tô Thị Cúc Mai</t>
  </si>
  <si>
    <t>C16543</t>
  </si>
  <si>
    <t>Đỗ Hoài Hận</t>
  </si>
  <si>
    <t>C4213</t>
  </si>
  <si>
    <t>Thị Liên</t>
  </si>
  <si>
    <t>C5326</t>
  </si>
  <si>
    <t>Lê Thị Đào</t>
  </si>
  <si>
    <t>C6879</t>
  </si>
  <si>
    <t>Phan Thị Bích</t>
  </si>
  <si>
    <t>C7197</t>
  </si>
  <si>
    <t>Thị Thu</t>
  </si>
  <si>
    <t>C7288</t>
  </si>
  <si>
    <t>Hồ Thị Bông</t>
  </si>
  <si>
    <t>C7818</t>
  </si>
  <si>
    <t>Nguyễn Ngọc Anh</t>
  </si>
  <si>
    <t>C8002</t>
  </si>
  <si>
    <t>C8063</t>
  </si>
  <si>
    <t>Điểu Sơn</t>
  </si>
  <si>
    <t>C8064</t>
  </si>
  <si>
    <t>Hồ Thị Nhạ</t>
  </si>
  <si>
    <t>C8293</t>
  </si>
  <si>
    <t>Phan Nhật Hoàng</t>
  </si>
  <si>
    <t>C10604</t>
  </si>
  <si>
    <t>Lê Anh Vũ</t>
  </si>
  <si>
    <t>C13707</t>
  </si>
  <si>
    <t>Nguyễn Thị Hoàng</t>
  </si>
  <si>
    <t>C1418</t>
  </si>
  <si>
    <t>Hồ Thị Thiết</t>
  </si>
  <si>
    <t>C14678</t>
  </si>
  <si>
    <t>Dương Tấn Phước</t>
  </si>
  <si>
    <t>C15119</t>
  </si>
  <si>
    <t>Nguyễn Thanh Hải</t>
  </si>
  <si>
    <t>C15321</t>
  </si>
  <si>
    <t>Nguyễn Thị Kim Phượng</t>
  </si>
  <si>
    <t>C15322</t>
  </si>
  <si>
    <t>Nguyễn Thị Mỹ Thu</t>
  </si>
  <si>
    <t>C15466</t>
  </si>
  <si>
    <t>Võ Trần Tấn Lộc</t>
  </si>
  <si>
    <t>C15475</t>
  </si>
  <si>
    <t>Nguyễn Thị Mỹ Duyên</t>
  </si>
  <si>
    <t>C15492</t>
  </si>
  <si>
    <t>Nguyễn Cà Thi</t>
  </si>
  <si>
    <t>C15606</t>
  </si>
  <si>
    <t>Điểu Linh Em</t>
  </si>
  <si>
    <t>C15846</t>
  </si>
  <si>
    <t>Huỳnh Thị Mộng Thu</t>
  </si>
  <si>
    <t>C15984</t>
  </si>
  <si>
    <t>Lưu Thị Thúy Hà</t>
  </si>
  <si>
    <t>C16357</t>
  </si>
  <si>
    <t>Trần Văn Xuân</t>
  </si>
  <si>
    <t>C16366</t>
  </si>
  <si>
    <t>Lê Thị Cẩm Tú</t>
  </si>
  <si>
    <t>C16544</t>
  </si>
  <si>
    <t>Trần Thị Phương Huyền</t>
  </si>
  <si>
    <t>C16561</t>
  </si>
  <si>
    <t>Vũ Thị Minh</t>
  </si>
  <si>
    <t>C16565</t>
  </si>
  <si>
    <t>Đào Tấn Hùng</t>
  </si>
  <si>
    <t>C5187</t>
  </si>
  <si>
    <t>Hà Thị Thủy</t>
  </si>
  <si>
    <t>C5516</t>
  </si>
  <si>
    <t>Trần Thị Thùy Dương</t>
  </si>
  <si>
    <t>C5959</t>
  </si>
  <si>
    <t>Bùi Thị Mùi</t>
  </si>
  <si>
    <t>C7901</t>
  </si>
  <si>
    <t>Trương Vũ Phong</t>
  </si>
  <si>
    <t>C8814</t>
  </si>
  <si>
    <t>Lê Thị Hà</t>
  </si>
  <si>
    <t>C10618</t>
  </si>
  <si>
    <t>Phan Vũ Khắc</t>
  </si>
  <si>
    <t>C10882</t>
  </si>
  <si>
    <t>Siu H Bơn</t>
  </si>
  <si>
    <t>C10883</t>
  </si>
  <si>
    <t>Nay Quang</t>
  </si>
  <si>
    <t>C1435</t>
  </si>
  <si>
    <t>Phạm Thị Hoa</t>
  </si>
  <si>
    <t>C15120</t>
  </si>
  <si>
    <t>Nguyễn Thanh Hùng</t>
  </si>
  <si>
    <t>C15190</t>
  </si>
  <si>
    <t>Trần Thị Nhanh</t>
  </si>
  <si>
    <t>C15777</t>
  </si>
  <si>
    <t>Phan Thị Như Quỳnh</t>
  </si>
  <si>
    <t>C1602</t>
  </si>
  <si>
    <t>Dư Thị Mộng Ngân</t>
  </si>
  <si>
    <t>C16178</t>
  </si>
  <si>
    <t>Bùi Thị Hoàn</t>
  </si>
  <si>
    <t>C16228</t>
  </si>
  <si>
    <t>Y Thanh Hiền</t>
  </si>
  <si>
    <t>C16378</t>
  </si>
  <si>
    <t>C16381</t>
  </si>
  <si>
    <t>Nguyễn Thùy Linh</t>
  </si>
  <si>
    <t>C16562</t>
  </si>
  <si>
    <t>Ngô Si Tha</t>
  </si>
  <si>
    <t>C16564</t>
  </si>
  <si>
    <t>Bùi Anh Khang</t>
  </si>
  <si>
    <t>C2649</t>
  </si>
  <si>
    <t>Trần Thị Dung</t>
  </si>
  <si>
    <t>C2843</t>
  </si>
  <si>
    <t>Thị Nguyệt</t>
  </si>
  <si>
    <t>C3093</t>
  </si>
  <si>
    <t>Trần Thị Dưõng</t>
  </si>
  <si>
    <t>C5834</t>
  </si>
  <si>
    <t>Bùi Thị Thanh</t>
  </si>
  <si>
    <t>C6274</t>
  </si>
  <si>
    <t>Hồ Thị Tình</t>
  </si>
  <si>
    <t>C6693</t>
  </si>
  <si>
    <t>Võ Thị Mỹ Lệ</t>
  </si>
  <si>
    <t>C6834</t>
  </si>
  <si>
    <t>Điểu Thị Mỹ</t>
  </si>
  <si>
    <t>C7207</t>
  </si>
  <si>
    <t>Điểu Thị Yến</t>
  </si>
  <si>
    <t>C7387</t>
  </si>
  <si>
    <t>C7560</t>
  </si>
  <si>
    <t>Nguyễn Thị Kim Phụng</t>
  </si>
  <si>
    <t>C9396</t>
  </si>
  <si>
    <t>Lê Khắc Bốn</t>
  </si>
  <si>
    <t>C11067</t>
  </si>
  <si>
    <t>Phạm Thị Bích Trang</t>
  </si>
  <si>
    <t>C11217</t>
  </si>
  <si>
    <t>Lý Thị Ngọc Lan</t>
  </si>
  <si>
    <t>C13575</t>
  </si>
  <si>
    <t>Niêng Thị Cly</t>
  </si>
  <si>
    <t>C14808</t>
  </si>
  <si>
    <t>Thị Nương</t>
  </si>
  <si>
    <t>C15064</t>
  </si>
  <si>
    <t>Nguyễn Thị Thanh Thảo</t>
  </si>
  <si>
    <t>C15958</t>
  </si>
  <si>
    <t>Thị Mỹ</t>
  </si>
  <si>
    <t>C16467</t>
  </si>
  <si>
    <t>Phùng Huệ Như</t>
  </si>
  <si>
    <t>C3716</t>
  </si>
  <si>
    <t>Bùi Thị Ngọc Yến</t>
  </si>
  <si>
    <t>Bag Inspection leader</t>
  </si>
  <si>
    <t>C6605</t>
  </si>
  <si>
    <t>Trương Thị Cư</t>
  </si>
  <si>
    <t>C7264</t>
  </si>
  <si>
    <t>Nguyễn Thị Xuân</t>
  </si>
  <si>
    <t>C8000</t>
  </si>
  <si>
    <t>Nguyễn Thị Ngọc Hồng Thắm</t>
  </si>
  <si>
    <t>C8468</t>
  </si>
  <si>
    <t>Võ Thị Kim Chi</t>
  </si>
  <si>
    <t>C15744</t>
  </si>
  <si>
    <t>Lê Văn Tấn</t>
  </si>
  <si>
    <t>C3163</t>
  </si>
  <si>
    <t>Dư Quốc An</t>
  </si>
  <si>
    <t>Bag Packing leader</t>
  </si>
  <si>
    <t>C7168</t>
  </si>
  <si>
    <t>Điểu Dẹn</t>
  </si>
  <si>
    <t>C7211</t>
  </si>
  <si>
    <t>Hồ Thanh Tấn</t>
  </si>
  <si>
    <t>C7212</t>
  </si>
  <si>
    <t>Điểu My</t>
  </si>
  <si>
    <t>C7335</t>
  </si>
  <si>
    <t>Điểu Út Bê</t>
  </si>
  <si>
    <t>C7528</t>
  </si>
  <si>
    <t>Huỳnh Tiểu Bảo</t>
  </si>
  <si>
    <t>Bag Packing vice leader</t>
  </si>
  <si>
    <t>C7714</t>
  </si>
  <si>
    <t>Bùi Tấn Tài</t>
  </si>
  <si>
    <t>C7987</t>
  </si>
  <si>
    <t>Nguyễn Chí Công</t>
  </si>
  <si>
    <t>C8194</t>
  </si>
  <si>
    <t>Tạ Tuấn Anh</t>
  </si>
  <si>
    <t>C8812</t>
  </si>
  <si>
    <t>Đỗ Văn Hồng Phong</t>
  </si>
  <si>
    <t>C5310</t>
  </si>
  <si>
    <t>Thái Thị Tuyết Đào</t>
  </si>
  <si>
    <t>C5817</t>
  </si>
  <si>
    <t>Lý Thị Kim Chi</t>
  </si>
  <si>
    <t>C6348</t>
  </si>
  <si>
    <t>Võ Ngọc Minh</t>
  </si>
  <si>
    <t>C13576</t>
  </si>
  <si>
    <t>Đoàn Thị Thúy Vy</t>
  </si>
  <si>
    <t>C14152</t>
  </si>
  <si>
    <t>Hà Thị Mộng Bình</t>
  </si>
  <si>
    <t>C14158</t>
  </si>
  <si>
    <t>Nguyễn Hiến Chương</t>
  </si>
  <si>
    <t>C14256</t>
  </si>
  <si>
    <t>Trần Tuấn Bảo</t>
  </si>
  <si>
    <t>C14270</t>
  </si>
  <si>
    <t>Nguyễn Thị Hạ</t>
  </si>
  <si>
    <t>C14436</t>
  </si>
  <si>
    <t>Nguyễn Thị Ngọc Huỳnh</t>
  </si>
  <si>
    <t>C14811</t>
  </si>
  <si>
    <t>Kpă H Mai Ly</t>
  </si>
  <si>
    <t>C15396</t>
  </si>
  <si>
    <t>Nguyễn Thị Ánh Nguyệt</t>
  </si>
  <si>
    <t>C1655</t>
  </si>
  <si>
    <t>Phạm Thị Khánh</t>
  </si>
  <si>
    <t>C7792</t>
  </si>
  <si>
    <t>Lê Thị Thanh Xuân</t>
  </si>
  <si>
    <t>C7617</t>
  </si>
  <si>
    <t>Nguyễn Thanh Liêm</t>
  </si>
  <si>
    <t>C11692</t>
  </si>
  <si>
    <t>Accountant staff</t>
  </si>
  <si>
    <t>C13175</t>
  </si>
  <si>
    <t>Nguyễn Xuân Đăng</t>
  </si>
  <si>
    <t>C14117</t>
  </si>
  <si>
    <t>Nguyễn Thị Thiên Kiều</t>
  </si>
  <si>
    <t>C16112</t>
  </si>
  <si>
    <t>Ngô Thị Tâm</t>
  </si>
  <si>
    <t>V036</t>
  </si>
  <si>
    <t>Accountant manager</t>
  </si>
  <si>
    <t>V085</t>
  </si>
  <si>
    <t>Trần Thị Thùy Trang</t>
  </si>
  <si>
    <t>C6508</t>
  </si>
  <si>
    <t>Bùi Trần Chín</t>
  </si>
  <si>
    <t>Car driver</t>
  </si>
  <si>
    <t>V003</t>
  </si>
  <si>
    <t>Vũ Văn Luận</t>
  </si>
  <si>
    <t>C11694</t>
  </si>
  <si>
    <t>Mai Văn Bội</t>
  </si>
  <si>
    <t>Gardener</t>
  </si>
  <si>
    <t>C15443</t>
  </si>
  <si>
    <t>Lê Thị Hảo</t>
  </si>
  <si>
    <t>Office cleaner</t>
  </si>
  <si>
    <t>C3408</t>
  </si>
  <si>
    <t>Lê Thọ Thiết</t>
  </si>
  <si>
    <t>C6533</t>
  </si>
  <si>
    <t>Phạm Vũ Hoàng Long</t>
  </si>
  <si>
    <t>Waste water treatment worker</t>
  </si>
  <si>
    <t>C6697</t>
  </si>
  <si>
    <t>Hoàng Thị Dân</t>
  </si>
  <si>
    <t>C7259</t>
  </si>
  <si>
    <t>Nguyễn Thị Hạnh</t>
  </si>
  <si>
    <t>C15923</t>
  </si>
  <si>
    <t>Lưu Thị Mỹ Dung</t>
  </si>
  <si>
    <t>Development worker</t>
  </si>
  <si>
    <t>C2666</t>
  </si>
  <si>
    <t>Đỗ Thị Trinh</t>
  </si>
  <si>
    <t>C2867</t>
  </si>
  <si>
    <t>Nguyễn Thị Ngọc Loan</t>
  </si>
  <si>
    <t>C5397</t>
  </si>
  <si>
    <t>Kiều Thị Phượng</t>
  </si>
  <si>
    <t xml:space="preserve">Development technician  </t>
  </si>
  <si>
    <t>C6390</t>
  </si>
  <si>
    <t>Bùi Khắc Thọ</t>
  </si>
  <si>
    <t>Development leader</t>
  </si>
  <si>
    <t>C9431</t>
  </si>
  <si>
    <t>Lê Ngọc Đức</t>
  </si>
  <si>
    <t>C12764</t>
  </si>
  <si>
    <t>Lê Thành Lộc</t>
  </si>
  <si>
    <t>ERP Leader</t>
  </si>
  <si>
    <t>ERP Staff</t>
  </si>
  <si>
    <t>C14573</t>
  </si>
  <si>
    <t>Lê Thị Hồng Bước</t>
  </si>
  <si>
    <t>C15903</t>
  </si>
  <si>
    <t>Ngô Thị Thanh Nguyên</t>
  </si>
  <si>
    <t>C0681</t>
  </si>
  <si>
    <t>Dương Văn Khánh</t>
  </si>
  <si>
    <t>Loading vice team leader</t>
  </si>
  <si>
    <t>C10707</t>
  </si>
  <si>
    <t>Lê Mạnh Hà</t>
  </si>
  <si>
    <t>FG Leader</t>
  </si>
  <si>
    <t>C1079</t>
  </si>
  <si>
    <t>Đỗ Văn Tuấn</t>
  </si>
  <si>
    <t>Forklift driver</t>
  </si>
  <si>
    <t>C14375</t>
  </si>
  <si>
    <t>Nguyễn Hoàng Hùng</t>
  </si>
  <si>
    <t>Loading worker</t>
  </si>
  <si>
    <t>C14654</t>
  </si>
  <si>
    <t>Hoàng Tùng Lâm</t>
  </si>
  <si>
    <t>FG Staff</t>
  </si>
  <si>
    <t>C15569</t>
  </si>
  <si>
    <t>Kiều Viết Yên</t>
  </si>
  <si>
    <t>C16456</t>
  </si>
  <si>
    <t>Điểu Khang</t>
  </si>
  <si>
    <t>C16560</t>
  </si>
  <si>
    <t>Phan Duy Mạnh</t>
  </si>
  <si>
    <t>C1681</t>
  </si>
  <si>
    <t>Lường Tài Hiếu</t>
  </si>
  <si>
    <t>Loading team leader</t>
  </si>
  <si>
    <t>C2275</t>
  </si>
  <si>
    <t>Nguyễn Minh Cảnh</t>
  </si>
  <si>
    <t>C3399</t>
  </si>
  <si>
    <t>Phan Thị Khánh Hòa</t>
  </si>
  <si>
    <t>C3656</t>
  </si>
  <si>
    <t>Hồ Trọng Thủy</t>
  </si>
  <si>
    <t>C4373</t>
  </si>
  <si>
    <t>Phạm Văn Kỳ</t>
  </si>
  <si>
    <t>FG staff</t>
  </si>
  <si>
    <t>C5303</t>
  </si>
  <si>
    <t>Đặng Văn Trung</t>
  </si>
  <si>
    <t>C5600</t>
  </si>
  <si>
    <t>Lê Tấn Bảo</t>
  </si>
  <si>
    <t>C5650</t>
  </si>
  <si>
    <t>Nguyễn Thị Hiền</t>
  </si>
  <si>
    <t>C6487</t>
  </si>
  <si>
    <t>Nguyễn Minh Tòng</t>
  </si>
  <si>
    <t>C7022</t>
  </si>
  <si>
    <t>Trần Thăng Long</t>
  </si>
  <si>
    <t>C7208</t>
  </si>
  <si>
    <t>Lâm Lầy</t>
  </si>
  <si>
    <t>C7464</t>
  </si>
  <si>
    <t>Nguyễn Hoài Nam</t>
  </si>
  <si>
    <t>C7854</t>
  </si>
  <si>
    <t>Nguyễn Thị Diệu Hiền</t>
  </si>
  <si>
    <t>Label staff</t>
  </si>
  <si>
    <t>C14908</t>
  </si>
  <si>
    <t>Võ Thị Ngọc Hà</t>
  </si>
  <si>
    <t>HR staff</t>
  </si>
  <si>
    <t>C14909</t>
  </si>
  <si>
    <t>Lê Thị Mỹ Linh</t>
  </si>
  <si>
    <t>C15521</t>
  </si>
  <si>
    <t>Lê Thị Mơ</t>
  </si>
  <si>
    <t>Nurse Staff</t>
  </si>
  <si>
    <t>C15977</t>
  </si>
  <si>
    <t>Đinh Thùy Dung</t>
  </si>
  <si>
    <t>C6745</t>
  </si>
  <si>
    <t>Phạm Thị Ngọc Bích</t>
  </si>
  <si>
    <t>HR-GA Manager</t>
  </si>
  <si>
    <t>C7689</t>
  </si>
  <si>
    <t>Nguyễn Tấn Tài</t>
  </si>
  <si>
    <t>GA Staff</t>
  </si>
  <si>
    <t>C10597</t>
  </si>
  <si>
    <t>Điểu Dịu</t>
  </si>
  <si>
    <t>GC Wip Worker</t>
  </si>
  <si>
    <t>C11027</t>
  </si>
  <si>
    <t>Phạm Văn Khởi</t>
  </si>
  <si>
    <t>Truck driver</t>
  </si>
  <si>
    <t>C11670</t>
  </si>
  <si>
    <t>Nguyễn Thị Ngoan</t>
  </si>
  <si>
    <t>C12403</t>
  </si>
  <si>
    <t>Lê Thị Mỹ Duyên</t>
  </si>
  <si>
    <t>GC WIP Staffs</t>
  </si>
  <si>
    <t>C12557</t>
  </si>
  <si>
    <t>Đặng Thị Thúy</t>
  </si>
  <si>
    <t>C13911</t>
  </si>
  <si>
    <t>Hoàng Minh Côn</t>
  </si>
  <si>
    <t>C13921</t>
  </si>
  <si>
    <t>Phan Lâm Tưởng</t>
  </si>
  <si>
    <t>C13976</t>
  </si>
  <si>
    <t>Lê Vũ Bảo Tuyền</t>
  </si>
  <si>
    <t>C14027</t>
  </si>
  <si>
    <t>Nguyễn Thảo Ngân</t>
  </si>
  <si>
    <t>C14057</t>
  </si>
  <si>
    <t>Huỳnh Anh Thương</t>
  </si>
  <si>
    <t>C14058</t>
  </si>
  <si>
    <t>Đào Thị Diễm Chi</t>
  </si>
  <si>
    <t>C15297</t>
  </si>
  <si>
    <t>Hoàng Thị Nhật Linh</t>
  </si>
  <si>
    <t>C15298</t>
  </si>
  <si>
    <t>Nông Thị Nga</t>
  </si>
  <si>
    <t>C15320</t>
  </si>
  <si>
    <t>Dương Ngọc Trọng</t>
  </si>
  <si>
    <t>C15462</t>
  </si>
  <si>
    <t>Nguyễn Thị Thu Thảo</t>
  </si>
  <si>
    <t>C15463</t>
  </si>
  <si>
    <t>Hoàng Thị Cảnh</t>
  </si>
  <si>
    <t>GC WIP worker</t>
  </si>
  <si>
    <t>C15803</t>
  </si>
  <si>
    <t>Lâm Em</t>
  </si>
  <si>
    <t>C16057</t>
  </si>
  <si>
    <t>Thị Thé</t>
  </si>
  <si>
    <t>C16058</t>
  </si>
  <si>
    <t>Phạm Thị Tâm</t>
  </si>
  <si>
    <t>C16201</t>
  </si>
  <si>
    <t>Đoàn Trường Đại</t>
  </si>
  <si>
    <t>C2076</t>
  </si>
  <si>
    <t>Phan Văn Dương</t>
  </si>
  <si>
    <t>C3199</t>
  </si>
  <si>
    <t>Nguyễn Thị Hoài Thu</t>
  </si>
  <si>
    <t>GC Wip Controller</t>
  </si>
  <si>
    <t>C4463</t>
  </si>
  <si>
    <t>Lâm Thị Thu</t>
  </si>
  <si>
    <t>GC Wip Staffs</t>
  </si>
  <si>
    <t>C4766</t>
  </si>
  <si>
    <t>Đoàn Văn Nam</t>
  </si>
  <si>
    <t>C5021</t>
  </si>
  <si>
    <t>Trần Thị Tâm</t>
  </si>
  <si>
    <t>C5036</t>
  </si>
  <si>
    <t>Lê Thị Nga</t>
  </si>
  <si>
    <t>GC Wip worker</t>
  </si>
  <si>
    <t>C5370</t>
  </si>
  <si>
    <t>Đỗ Thị Kim Ánh</t>
  </si>
  <si>
    <t>C7632</t>
  </si>
  <si>
    <t>Phan Tấn Vinh</t>
  </si>
  <si>
    <t>C8243</t>
  </si>
  <si>
    <t>Phạm Ngọc Tấn</t>
  </si>
  <si>
    <t>C8274</t>
  </si>
  <si>
    <t>Lưu Thị Diệu Trinh</t>
  </si>
  <si>
    <t>C8291</t>
  </si>
  <si>
    <t>Hoàng Văn Toán</t>
  </si>
  <si>
    <t>C12728</t>
  </si>
  <si>
    <t>Nguyễn Thị Thủy</t>
  </si>
  <si>
    <t>Im-Ex Staff</t>
  </si>
  <si>
    <t>C15157</t>
  </si>
  <si>
    <t>Nguyễn Ngọc Như Ý</t>
  </si>
  <si>
    <t>C15702</t>
  </si>
  <si>
    <t>Trần Văn Tài</t>
  </si>
  <si>
    <t>C15741</t>
  </si>
  <si>
    <t>Thượng Thị Thanh Trúc</t>
  </si>
  <si>
    <t>Im-Ex staff</t>
  </si>
  <si>
    <t>C5739</t>
  </si>
  <si>
    <t>Hoàng Thị Kim Phượng</t>
  </si>
  <si>
    <t>V044</t>
  </si>
  <si>
    <t>Võ Thị Hường</t>
  </si>
  <si>
    <t>Shipping Manager</t>
  </si>
  <si>
    <t>V046</t>
  </si>
  <si>
    <t>Nguyễn Hùng Thấm</t>
  </si>
  <si>
    <t>Im-Ex Manager</t>
  </si>
  <si>
    <t>V081</t>
  </si>
  <si>
    <t>Phan Thành Tựu</t>
  </si>
  <si>
    <t>V088</t>
  </si>
  <si>
    <t>Đoàn Thị Kim Nhung</t>
  </si>
  <si>
    <t>C14046</t>
  </si>
  <si>
    <t>Nguyễn Văn Lực</t>
  </si>
  <si>
    <t>C0253</t>
  </si>
  <si>
    <t>Hoàng Văn Hoàn</t>
  </si>
  <si>
    <t>Maintenance team vice leader</t>
  </si>
  <si>
    <t>C11665</t>
  </si>
  <si>
    <t>Phạm Khắc Trung</t>
  </si>
  <si>
    <t>Construction Leader</t>
  </si>
  <si>
    <t>C12820</t>
  </si>
  <si>
    <t>Nguyễn Thị Hồng Yến</t>
  </si>
  <si>
    <t>Maintenance assistant</t>
  </si>
  <si>
    <t>C14063</t>
  </si>
  <si>
    <t>Châu Ngọc Anh Duy</t>
  </si>
  <si>
    <t>Maintenance office assistant</t>
  </si>
  <si>
    <t>C15361</t>
  </si>
  <si>
    <t>Vi Văn Tuấn</t>
  </si>
  <si>
    <t>Construction Staffs</t>
  </si>
  <si>
    <t>C15550</t>
  </si>
  <si>
    <t>Phạm Duy Quang</t>
  </si>
  <si>
    <t>Maintenance staffs</t>
  </si>
  <si>
    <t>C2208</t>
  </si>
  <si>
    <t>Lê Văn Hùng</t>
  </si>
  <si>
    <t>Structure staffs</t>
  </si>
  <si>
    <t>C4902</t>
  </si>
  <si>
    <t>Tô Duy Hùng</t>
  </si>
  <si>
    <t>C5228</t>
  </si>
  <si>
    <t>Dương Văn Uy</t>
  </si>
  <si>
    <t>C7764</t>
  </si>
  <si>
    <t>Lê Hoàng</t>
  </si>
  <si>
    <t>C8311</t>
  </si>
  <si>
    <t>Phạm Thanh Bằng</t>
  </si>
  <si>
    <t>Maintenance manager</t>
  </si>
  <si>
    <t>C10631</t>
  </si>
  <si>
    <t>Bùi Thị Nga</t>
  </si>
  <si>
    <t>Marketing Account Manager</t>
  </si>
  <si>
    <t>C10642</t>
  </si>
  <si>
    <t>Hồ Thị Vinh</t>
  </si>
  <si>
    <t>Marketing Staff</t>
  </si>
  <si>
    <t>C11642</t>
  </si>
  <si>
    <t>Trần Thị Thu Thủy</t>
  </si>
  <si>
    <t>C12364</t>
  </si>
  <si>
    <t>C14758</t>
  </si>
  <si>
    <t>Võ Thị Xuân Anh</t>
  </si>
  <si>
    <t>C15447</t>
  </si>
  <si>
    <t>Hồ Thị Thanh Tâm</t>
  </si>
  <si>
    <t>C15928</t>
  </si>
  <si>
    <t>Phan Thị Ngọc Ánh</t>
  </si>
  <si>
    <t>C5922</t>
  </si>
  <si>
    <t>Nguyễn Thị Thu Giang</t>
  </si>
  <si>
    <t>V057</t>
  </si>
  <si>
    <t>Hà Thị Lương</t>
  </si>
  <si>
    <t>V075</t>
  </si>
  <si>
    <t>Trần Thị Tứ</t>
  </si>
  <si>
    <t>C0760</t>
  </si>
  <si>
    <t>Trần Thị Diệu Hiền</t>
  </si>
  <si>
    <t>Material Warehouse staff</t>
  </si>
  <si>
    <t>C10799</t>
  </si>
  <si>
    <t>Đỗ Tiến Tiến</t>
  </si>
  <si>
    <t>Material Warehouse worker</t>
  </si>
  <si>
    <t>C15547</t>
  </si>
  <si>
    <t>Trịnh Ngọc Bình</t>
  </si>
  <si>
    <t>C16076</t>
  </si>
  <si>
    <t>Trương Thế Thông</t>
  </si>
  <si>
    <t>Material Warehouse manager</t>
  </si>
  <si>
    <t>C16368</t>
  </si>
  <si>
    <t>Trần Hoàng Hiệp</t>
  </si>
  <si>
    <t>C2521</t>
  </si>
  <si>
    <t>Phạm Hữu Trung</t>
  </si>
  <si>
    <t>C4494</t>
  </si>
  <si>
    <t>Huỳnh Duy Quốc</t>
  </si>
  <si>
    <t>C7381</t>
  </si>
  <si>
    <t>C7691</t>
  </si>
  <si>
    <t>Nguyễn Văn Linh</t>
  </si>
  <si>
    <t>C8217</t>
  </si>
  <si>
    <t>Võ Thanh Toàn</t>
  </si>
  <si>
    <t>C9424</t>
  </si>
  <si>
    <t>Huỳnh Thị Tường Vy</t>
  </si>
  <si>
    <t>C3439</t>
  </si>
  <si>
    <t>Trần Văn Tiến</t>
  </si>
  <si>
    <t>Mold technican</t>
  </si>
  <si>
    <t>C4999</t>
  </si>
  <si>
    <t>Lê Ngọc Hùng</t>
  </si>
  <si>
    <t>C13991</t>
  </si>
  <si>
    <t>C15439</t>
  </si>
  <si>
    <t>Sơn Anh Đô</t>
  </si>
  <si>
    <t>Lê Thị Thu Hiền</t>
  </si>
  <si>
    <t>C8048</t>
  </si>
  <si>
    <t>Nguyễn Thị Hồng Hoa</t>
  </si>
  <si>
    <t>C0298</t>
  </si>
  <si>
    <t>Planning staff</t>
  </si>
  <si>
    <t>C10468</t>
  </si>
  <si>
    <t>Lê Thị Lan Hương</t>
  </si>
  <si>
    <t>Planning Staff</t>
  </si>
  <si>
    <t>Planning Manager</t>
  </si>
  <si>
    <t>C11550</t>
  </si>
  <si>
    <t>Nguyễn Thị Kim Trang</t>
  </si>
  <si>
    <t>Incentive team Leader</t>
  </si>
  <si>
    <t>C12941</t>
  </si>
  <si>
    <t>Vũ Thị Hạnh</t>
  </si>
  <si>
    <t>Incentive Staff</t>
  </si>
  <si>
    <t>C14417</t>
  </si>
  <si>
    <t>Vũ Thị Mỹ Hạnh</t>
  </si>
  <si>
    <t>C14421</t>
  </si>
  <si>
    <t>C16200</t>
  </si>
  <si>
    <t>Phạm Ngọc Dung</t>
  </si>
  <si>
    <t>C16400</t>
  </si>
  <si>
    <t>Nguyễn Nhật Trung</t>
  </si>
  <si>
    <t>C3196</t>
  </si>
  <si>
    <t>Lê Thị Ngọc Nga</t>
  </si>
  <si>
    <t>C7644</t>
  </si>
  <si>
    <t>Nguyễn Hoàng Minh Thư</t>
  </si>
  <si>
    <t>C15363</t>
  </si>
  <si>
    <t>Võ Hồng Ngọc</t>
  </si>
  <si>
    <t>Purchasing staff</t>
  </si>
  <si>
    <t>C5702</t>
  </si>
  <si>
    <t>Lê Thị Thanh Hoài</t>
  </si>
  <si>
    <t>Purchasing Staff</t>
  </si>
  <si>
    <t>C6854</t>
  </si>
  <si>
    <t>Nguyễn Thái Quốc</t>
  </si>
  <si>
    <t>C6997</t>
  </si>
  <si>
    <t>Trương Thị Ngọc Dung</t>
  </si>
  <si>
    <t>C7411</t>
  </si>
  <si>
    <t>Hồ Thị Thu Thảo</t>
  </si>
  <si>
    <t>V068</t>
  </si>
  <si>
    <t>Nguyễn Đình Quân</t>
  </si>
  <si>
    <t>Purchasing  Manager</t>
  </si>
  <si>
    <t>C11710</t>
  </si>
  <si>
    <t>Trần Thị Thanh Lam</t>
  </si>
  <si>
    <t>QMS Staff</t>
  </si>
  <si>
    <t>C12337</t>
  </si>
  <si>
    <t>Nguyễn Thị Mộng Cầm</t>
  </si>
  <si>
    <t>QMS Leader</t>
  </si>
  <si>
    <t>C14474</t>
  </si>
  <si>
    <t>Nguyễn Công Tài</t>
  </si>
  <si>
    <t>C14561</t>
  </si>
  <si>
    <t>Trần Thị Hương</t>
  </si>
  <si>
    <t>QC Manager</t>
  </si>
  <si>
    <t>C16271</t>
  </si>
  <si>
    <t>Trịnh Nguyễn Anh Khoa</t>
  </si>
  <si>
    <t>C10474</t>
  </si>
  <si>
    <t>Nguyễn Thị Sinh</t>
  </si>
  <si>
    <t>C14059</t>
  </si>
  <si>
    <t>Ngô Doãn Thụy</t>
  </si>
  <si>
    <t>C15437</t>
  </si>
  <si>
    <t>Lê Thị Xoan</t>
  </si>
  <si>
    <t>C16044</t>
  </si>
  <si>
    <t>Trịnh Hữu Đức</t>
  </si>
  <si>
    <t>C10718</t>
  </si>
  <si>
    <t>Hồ Thị Thanh Thoa</t>
  </si>
  <si>
    <t>Design staff</t>
  </si>
  <si>
    <t>C12365</t>
  </si>
  <si>
    <t>Ngô Phú Cường</t>
  </si>
  <si>
    <t>C15519</t>
  </si>
  <si>
    <t>Nguyễn Châu Thịnh</t>
  </si>
  <si>
    <t>Design manager</t>
  </si>
  <si>
    <t>C0827</t>
  </si>
  <si>
    <t>Hoàng Thị Sen</t>
  </si>
  <si>
    <t>C12585</t>
  </si>
  <si>
    <t>Điểu thị Thu</t>
  </si>
  <si>
    <t>C13146</t>
  </si>
  <si>
    <t>Phạm Ngọc Khang</t>
  </si>
  <si>
    <t>C14140</t>
  </si>
  <si>
    <t>Hà Thị Thu Hà</t>
  </si>
  <si>
    <t>C15988</t>
  </si>
  <si>
    <t>Võ Niên Thảo</t>
  </si>
  <si>
    <t>C16401</t>
  </si>
  <si>
    <t>Bùi Duy Tiên</t>
  </si>
  <si>
    <t>C4542</t>
  </si>
  <si>
    <t>C5000</t>
  </si>
  <si>
    <t>C6059</t>
  </si>
  <si>
    <t>Đào Thị Trâm</t>
  </si>
  <si>
    <t>C6060</t>
  </si>
  <si>
    <t>Lê Thị Nhã Ca</t>
  </si>
  <si>
    <t>Development manager</t>
  </si>
  <si>
    <t>C6701</t>
  </si>
  <si>
    <t>Nguyễn Thị Bảo Quyên</t>
  </si>
  <si>
    <t>C7598</t>
  </si>
  <si>
    <t>Phạm Thị Hoài</t>
  </si>
  <si>
    <t>C11772</t>
  </si>
  <si>
    <t>C15125</t>
  </si>
  <si>
    <t>Hoàng Lê Minh Khánh</t>
  </si>
  <si>
    <t>C7608</t>
  </si>
  <si>
    <t>Lê Văn Thọ</t>
  </si>
  <si>
    <t>C10537</t>
  </si>
  <si>
    <t>Lê Thị Hiệp</t>
  </si>
  <si>
    <t>HR Staff</t>
  </si>
  <si>
    <t>C11663</t>
  </si>
  <si>
    <t>Hoàng Thị Thu Hằng</t>
  </si>
  <si>
    <t>C13780</t>
  </si>
  <si>
    <t>Vũ Thị Ngọc Huyền</t>
  </si>
  <si>
    <t>C12624</t>
  </si>
  <si>
    <t>Vũ thị Thanh</t>
  </si>
  <si>
    <t>C13257</t>
  </si>
  <si>
    <t>Nguyễn Thanh Long</t>
  </si>
  <si>
    <t>C14062</t>
  </si>
  <si>
    <t>Hồng Thị Thu Thủy</t>
  </si>
  <si>
    <t>C14459</t>
  </si>
  <si>
    <t>Lê Văn Đà</t>
  </si>
  <si>
    <t>C1462</t>
  </si>
  <si>
    <t>Nguyễn Đức Lương</t>
  </si>
  <si>
    <t>C15335</t>
  </si>
  <si>
    <t>Phạm Thị Thanh Thanh</t>
  </si>
  <si>
    <t>C16177</t>
  </si>
  <si>
    <t>Trần Đăng Hào</t>
  </si>
  <si>
    <t>C4283</t>
  </si>
  <si>
    <t>Hồ Thị Thanh Trúc</t>
  </si>
  <si>
    <t>GC WIP Manager</t>
  </si>
  <si>
    <t>C7978</t>
  </si>
  <si>
    <t>Phan Văn Đốc</t>
  </si>
  <si>
    <t>C11457</t>
  </si>
  <si>
    <t>Nguyễn Đăng Hoàng</t>
  </si>
  <si>
    <t>C14260</t>
  </si>
  <si>
    <t>Nguyễn Đình Bảo</t>
  </si>
  <si>
    <t>C14422</t>
  </si>
  <si>
    <t>Đoàn Minh Tâm</t>
  </si>
  <si>
    <t>C16070</t>
  </si>
  <si>
    <t>Nguyễn Văn Phúc</t>
  </si>
  <si>
    <t>Maintenance Leader</t>
  </si>
  <si>
    <t>C12169</t>
  </si>
  <si>
    <t>Quan Hồng Vân</t>
  </si>
  <si>
    <t>C15365</t>
  </si>
  <si>
    <t>C15446</t>
  </si>
  <si>
    <t>Võ Thị Thanh Loan</t>
  </si>
  <si>
    <t>Marketing staff</t>
  </si>
  <si>
    <t>C16167</t>
  </si>
  <si>
    <t>Lê Thị Thu Hòa</t>
  </si>
  <si>
    <t>C5715</t>
  </si>
  <si>
    <t>Nguyễn Thị Lê</t>
  </si>
  <si>
    <t>C7281</t>
  </si>
  <si>
    <t>Nguyễn Thị Thúy Hằng</t>
  </si>
  <si>
    <t>C7293</t>
  </si>
  <si>
    <t>Nguyễn Thành Sơn</t>
  </si>
  <si>
    <t>C7392</t>
  </si>
  <si>
    <t>Nguyễn Ngọc Sơn</t>
  </si>
  <si>
    <t>C7624</t>
  </si>
  <si>
    <t>Trần Thị Thu Hiền</t>
  </si>
  <si>
    <t>C14731</t>
  </si>
  <si>
    <t>Châu Thanh Tùng</t>
  </si>
  <si>
    <t>C15075</t>
  </si>
  <si>
    <t>Phạm Thị Kiều Oanh</t>
  </si>
  <si>
    <t>C16402</t>
  </si>
  <si>
    <t>Nguyễn Thị Ngọc Thủy</t>
  </si>
  <si>
    <t>C16454</t>
  </si>
  <si>
    <t>Đoàn Văn Vàng</t>
  </si>
  <si>
    <t>C7100</t>
  </si>
  <si>
    <t>Võ Văn Thanh</t>
  </si>
  <si>
    <t>C12561</t>
  </si>
  <si>
    <t>Nguyễn Thị Thu Hồng</t>
  </si>
  <si>
    <t>C13254</t>
  </si>
  <si>
    <t>Phạm Thị Tú</t>
  </si>
  <si>
    <t>C13256</t>
  </si>
  <si>
    <t>Hồ Thị Hoài</t>
  </si>
  <si>
    <t>C16143</t>
  </si>
  <si>
    <t>Trần Văn Vụ</t>
  </si>
  <si>
    <t>C4387</t>
  </si>
  <si>
    <t>Nguyễn Thị Mai Lan</t>
  </si>
  <si>
    <t>C6101</t>
  </si>
  <si>
    <t>Lê Văn Tùng</t>
  </si>
  <si>
    <t>C6677</t>
  </si>
  <si>
    <t>Trần Thị Bích</t>
  </si>
  <si>
    <t>C7743</t>
  </si>
  <si>
    <t>Đỗ Quốc Bảo</t>
  </si>
  <si>
    <t>Production Manager</t>
  </si>
  <si>
    <t>C14816</t>
  </si>
  <si>
    <t>Trần Thị Thanh Thảo</t>
  </si>
  <si>
    <t>C13539</t>
  </si>
  <si>
    <t>Trần Văn Nhật</t>
  </si>
  <si>
    <t>Lab staff</t>
  </si>
  <si>
    <t>C15362</t>
  </si>
  <si>
    <t>Vũ Văn Dũng</t>
  </si>
  <si>
    <t>C5851</t>
  </si>
  <si>
    <t>Phan Ngọc Tuyền</t>
  </si>
  <si>
    <t>QC vice Manager</t>
  </si>
  <si>
    <t>C5887</t>
  </si>
  <si>
    <t>Lê Thị Trang Lý</t>
  </si>
  <si>
    <t>C8137</t>
  </si>
  <si>
    <t>Nguyễn Thị Kim Ngân</t>
  </si>
  <si>
    <t>Customer QC</t>
  </si>
  <si>
    <t>C11720</t>
  </si>
  <si>
    <t>Từ Phong Nhã</t>
  </si>
  <si>
    <t>Auto machine operator-A</t>
  </si>
  <si>
    <t>C11762</t>
  </si>
  <si>
    <t>Trần Trọng Nghĩa</t>
  </si>
  <si>
    <t>C13252</t>
  </si>
  <si>
    <t>Đỗ Thiện Tâm</t>
  </si>
  <si>
    <t>C14656</t>
  </si>
  <si>
    <t>Phạm Văn Hùng</t>
  </si>
  <si>
    <t>C15376</t>
  </si>
  <si>
    <t>Điểu Nghênh</t>
  </si>
  <si>
    <t>Auto machine sub-operator-A</t>
  </si>
  <si>
    <t>C15387</t>
  </si>
  <si>
    <t>Trương Văn Thuyết</t>
  </si>
  <si>
    <t>C16485</t>
  </si>
  <si>
    <t>Lâm Bửng</t>
  </si>
  <si>
    <t>C16555</t>
  </si>
  <si>
    <t>Phạm Chung Kiên</t>
  </si>
  <si>
    <t>C5138</t>
  </si>
  <si>
    <t>Đặng Văn Út</t>
  </si>
  <si>
    <t>C7889</t>
  </si>
  <si>
    <t>Nguyễn Thanh Hồng</t>
  </si>
  <si>
    <t>C10864</t>
  </si>
  <si>
    <t>Phạm Trung Thành</t>
  </si>
  <si>
    <t>Printing Team Leader - L1</t>
  </si>
  <si>
    <t>C11602</t>
  </si>
  <si>
    <t>Nguyễn Bá Tâm</t>
  </si>
  <si>
    <t>Printing machine sub operator - L1</t>
  </si>
  <si>
    <t>C11690</t>
  </si>
  <si>
    <t>Trần Thanh Phong</t>
  </si>
  <si>
    <t xml:space="preserve">Printing machine assistant - L1 </t>
  </si>
  <si>
    <t>C11749</t>
  </si>
  <si>
    <t>Lê Văn Ga</t>
  </si>
  <si>
    <t>Printing machine operator - L1</t>
  </si>
  <si>
    <t>C11750</t>
  </si>
  <si>
    <t>Phạm Đức Lịch</t>
  </si>
  <si>
    <t>C12005</t>
  </si>
  <si>
    <t>Lê Thành Thông</t>
  </si>
  <si>
    <t>C12400</t>
  </si>
  <si>
    <t>Hoàng Văn Anh</t>
  </si>
  <si>
    <t>C13356</t>
  </si>
  <si>
    <t>Trương Nguyên Điểm</t>
  </si>
  <si>
    <t>C13411</t>
  </si>
  <si>
    <t>Mao Hùng Hưng</t>
  </si>
  <si>
    <t>C14019</t>
  </si>
  <si>
    <t>Nguyễn Đình Hoài</t>
  </si>
  <si>
    <t>C14280</t>
  </si>
  <si>
    <t>Phạm Quang Đức</t>
  </si>
  <si>
    <t>C14476</t>
  </si>
  <si>
    <t>Ngô Quốc Dũng</t>
  </si>
  <si>
    <t>C14699</t>
  </si>
  <si>
    <t>Dương Thái Tân</t>
  </si>
  <si>
    <t>C15423</t>
  </si>
  <si>
    <t>Hoàng Văn Thanh</t>
  </si>
  <si>
    <t>C15435</t>
  </si>
  <si>
    <t>Phan Trọng Tiến</t>
  </si>
  <si>
    <t>C15789</t>
  </si>
  <si>
    <t>Lê Văn Cường</t>
  </si>
  <si>
    <t>C15968</t>
  </si>
  <si>
    <t>Lê Minh Hiếu</t>
  </si>
  <si>
    <t>C16069</t>
  </si>
  <si>
    <t>Tưởng Văn Lâm</t>
  </si>
  <si>
    <t>C16100</t>
  </si>
  <si>
    <t>Nguyễn Hoàng Linh</t>
  </si>
  <si>
    <t>C16101</t>
  </si>
  <si>
    <t>Lê Văn Linh</t>
  </si>
  <si>
    <t>C16106</t>
  </si>
  <si>
    <t>Lâm Văn Phối Dân</t>
  </si>
  <si>
    <t>C16107</t>
  </si>
  <si>
    <t>Nguyễn Văn Được</t>
  </si>
  <si>
    <t>C16388</t>
  </si>
  <si>
    <t>Nguyễn Minh Toàn</t>
  </si>
  <si>
    <t>C16508</t>
  </si>
  <si>
    <t>Hồ Hoài Dương</t>
  </si>
  <si>
    <t>C4464</t>
  </si>
  <si>
    <t>Ngô Văn Lịch</t>
  </si>
  <si>
    <t>C5597</t>
  </si>
  <si>
    <t>Hồ Nam Khánh</t>
  </si>
  <si>
    <t>C7025</t>
  </si>
  <si>
    <t>Nguyễn Trọng Hải</t>
  </si>
  <si>
    <t>C7448</t>
  </si>
  <si>
    <t>Mao Hùng Hiệp</t>
  </si>
  <si>
    <t>C7451</t>
  </si>
  <si>
    <t>Nguyễn Văn Thành</t>
  </si>
  <si>
    <t>C7642</t>
  </si>
  <si>
    <t>Phạm Thế Đông</t>
  </si>
  <si>
    <t>C7956</t>
  </si>
  <si>
    <t>Nguyễn Công Trứ</t>
  </si>
  <si>
    <t>C8101</t>
  </si>
  <si>
    <t>Lê Anh Sự</t>
  </si>
  <si>
    <t>C8436</t>
  </si>
  <si>
    <t>Lê Vũ Dương</t>
  </si>
  <si>
    <t>C10790</t>
  </si>
  <si>
    <t>Nguyễn Văn Lành</t>
  </si>
  <si>
    <t>CTP Staff</t>
  </si>
  <si>
    <t>C10564</t>
  </si>
  <si>
    <t>Trần Tấn Đạt</t>
  </si>
  <si>
    <t>C12577</t>
  </si>
  <si>
    <t>Nguyễn Trọng Chiêu</t>
  </si>
  <si>
    <t>C13229</t>
  </si>
  <si>
    <t>Lê Văn Nhí</t>
  </si>
  <si>
    <t>C13835</t>
  </si>
  <si>
    <t>Dương Quang Huy</t>
  </si>
  <si>
    <t>C15392</t>
  </si>
  <si>
    <t>La Hồng Thi</t>
  </si>
  <si>
    <t>Auto Machine Operator-B</t>
  </si>
  <si>
    <t>C15588</t>
  </si>
  <si>
    <t>Huỳnh Văn Hậu</t>
  </si>
  <si>
    <t>Auto Machine sub-Operator-B</t>
  </si>
  <si>
    <t>C15989</t>
  </si>
  <si>
    <t>Phan Quang Huy</t>
  </si>
  <si>
    <t>C16037</t>
  </si>
  <si>
    <t>Thăng Văn Tệt</t>
  </si>
  <si>
    <t>C16053</t>
  </si>
  <si>
    <t>Lê Giang Vĩ Khanh</t>
  </si>
  <si>
    <t>C16405</t>
  </si>
  <si>
    <t>Trần Ngọc Khánh</t>
  </si>
  <si>
    <t>Auto machine assistant-B</t>
  </si>
  <si>
    <t>C16406</t>
  </si>
  <si>
    <t>Lê Chí Lịnh</t>
  </si>
  <si>
    <t>C16444</t>
  </si>
  <si>
    <t>Nguyễn Chí Cường</t>
  </si>
  <si>
    <t>C6333</t>
  </si>
  <si>
    <t>Kiều Quốc Tuấn</t>
  </si>
  <si>
    <t>C7189</t>
  </si>
  <si>
    <t>Cao Đình Khánh</t>
  </si>
  <si>
    <t>C7966</t>
  </si>
  <si>
    <t>Nguyễn Ngọc Thắng</t>
  </si>
  <si>
    <t>C12498</t>
  </si>
  <si>
    <t>Phạm Hoàng Vũ</t>
  </si>
  <si>
    <t>C12505</t>
  </si>
  <si>
    <t>Mai Thanh Hải</t>
  </si>
  <si>
    <t>C13310</t>
  </si>
  <si>
    <t>Võ Minh Khang</t>
  </si>
  <si>
    <t>C13311</t>
  </si>
  <si>
    <t>Mai Long Hải</t>
  </si>
  <si>
    <t>C15087</t>
  </si>
  <si>
    <t>Nguyễn Ngọc Phước</t>
  </si>
  <si>
    <t>C15405</t>
  </si>
  <si>
    <t>Nguyễn Ngọc Liên</t>
  </si>
  <si>
    <t>C15608</t>
  </si>
  <si>
    <t>C15665</t>
  </si>
  <si>
    <t>Siu Ê Sai</t>
  </si>
  <si>
    <t>C16272</t>
  </si>
  <si>
    <t>Phan Anh Đức</t>
  </si>
  <si>
    <t>C16407</t>
  </si>
  <si>
    <t>Cao Minh Nhựt</t>
  </si>
  <si>
    <t>Auto machine assistant-A</t>
  </si>
  <si>
    <t>C16415</t>
  </si>
  <si>
    <t>Nguyễn Duy Bảo</t>
  </si>
  <si>
    <t>C16439</t>
  </si>
  <si>
    <t>Nguyễn Công Danh</t>
  </si>
  <si>
    <t>C16443</t>
  </si>
  <si>
    <t>Nguyễn Thanh Minh Nghĩa</t>
  </si>
  <si>
    <t>C8922</t>
  </si>
  <si>
    <t>Hoàng Thành Đô</t>
  </si>
  <si>
    <t>C11481</t>
  </si>
  <si>
    <t>C11649</t>
  </si>
  <si>
    <t>Trần Xuân Hùng</t>
  </si>
  <si>
    <t>C12340</t>
  </si>
  <si>
    <t>Nguyễn Nhật Duy</t>
  </si>
  <si>
    <t>C13303</t>
  </si>
  <si>
    <t>Vũ Văn Tú</t>
  </si>
  <si>
    <t>C15585</t>
  </si>
  <si>
    <t>Điểu Nhật</t>
  </si>
  <si>
    <t>C15791</t>
  </si>
  <si>
    <t>Trịnh Văn Thắng</t>
  </si>
  <si>
    <t>C15990</t>
  </si>
  <si>
    <t>Phạm Anh Tùng</t>
  </si>
  <si>
    <t>C16404</t>
  </si>
  <si>
    <t>Thăng Quyền Anh</t>
  </si>
  <si>
    <t>C3746</t>
  </si>
  <si>
    <t>Mai Phi Thể</t>
  </si>
  <si>
    <t>Semi Machine vice leader</t>
  </si>
  <si>
    <t>C11501</t>
  </si>
  <si>
    <t>Ngô Văn Hiếu</t>
  </si>
  <si>
    <t>C11969</t>
  </si>
  <si>
    <t>C15393</t>
  </si>
  <si>
    <t>Phạm Thanh Phong</t>
  </si>
  <si>
    <t>C15590</t>
  </si>
  <si>
    <t>Phạm Như Khánh</t>
  </si>
  <si>
    <t>C15792</t>
  </si>
  <si>
    <t>Nguyễn Quốc Thắng</t>
  </si>
  <si>
    <t>C15871</t>
  </si>
  <si>
    <t>Lâm Trang</t>
  </si>
  <si>
    <t>C15980</t>
  </si>
  <si>
    <t>Lưu Kỳ Minh</t>
  </si>
  <si>
    <t>C16474</t>
  </si>
  <si>
    <t>Nguyễn Văn Minh</t>
  </si>
  <si>
    <t>C16475</t>
  </si>
  <si>
    <t>Ngô Văn Dự</t>
  </si>
  <si>
    <t>C16498</t>
  </si>
  <si>
    <t>Điểu Ngọc</t>
  </si>
  <si>
    <t>C16507</t>
  </si>
  <si>
    <t>Nguyễn Anh Kiệt</t>
  </si>
  <si>
    <t>C3442</t>
  </si>
  <si>
    <t>Võ Thị Thanh Kiều</t>
  </si>
  <si>
    <t>C3459</t>
  </si>
  <si>
    <t>Nguyễn Chí Tâm</t>
  </si>
  <si>
    <t>C6071</t>
  </si>
  <si>
    <t>Nguyễn Đặng Quốc</t>
  </si>
  <si>
    <t>C7032</t>
  </si>
  <si>
    <t>Đoàn Chí Công</t>
  </si>
  <si>
    <t>C7232</t>
  </si>
  <si>
    <t>Nguyễn Văn Bé Sáu</t>
  </si>
  <si>
    <t>C7395</t>
  </si>
  <si>
    <t>Nguyễn Hoàng Khải</t>
  </si>
  <si>
    <t>C7563</t>
  </si>
  <si>
    <t>Phan Quốc Tới</t>
  </si>
  <si>
    <t>C7587</t>
  </si>
  <si>
    <t>Nguyễn Hữu Trung</t>
  </si>
  <si>
    <t>C11502</t>
  </si>
  <si>
    <t>Trần Thị Thúy Hằng</t>
  </si>
  <si>
    <t>C16531</t>
  </si>
  <si>
    <t>Phạm Thị Thu Thanh</t>
  </si>
  <si>
    <t>C4673</t>
  </si>
  <si>
    <t>C0445</t>
  </si>
  <si>
    <t>Vũ Xuân Hiếu</t>
  </si>
  <si>
    <t>C12381</t>
  </si>
  <si>
    <t>C13451</t>
  </si>
  <si>
    <t>Võ Hùng Long</t>
  </si>
  <si>
    <t>C13486</t>
  </si>
  <si>
    <t>Nguyễn Văn Sinh</t>
  </si>
  <si>
    <t>C13890</t>
  </si>
  <si>
    <t>Phạm Thanh Song</t>
  </si>
  <si>
    <t>C14218</t>
  </si>
  <si>
    <t>Điểu Phụng</t>
  </si>
  <si>
    <t>C14967</t>
  </si>
  <si>
    <t>Nguyễn Văn Bảo</t>
  </si>
  <si>
    <t>C15682</t>
  </si>
  <si>
    <t>Kiều Ngọc Tuấn</t>
  </si>
  <si>
    <t>C15717</t>
  </si>
  <si>
    <t>Huỳnh Hữu Đức</t>
  </si>
  <si>
    <t>C4549</t>
  </si>
  <si>
    <t>Huỳnh Minh Tâm</t>
  </si>
  <si>
    <t>C7148</t>
  </si>
  <si>
    <t>Hồ Minh Luân</t>
  </si>
  <si>
    <t>C7388</t>
  </si>
  <si>
    <t>Trần Văn Nghĩa</t>
  </si>
  <si>
    <t>C7822</t>
  </si>
  <si>
    <t>Thạch Quí</t>
  </si>
  <si>
    <t>C5371</t>
  </si>
  <si>
    <t>Hoàng Văn Phúc</t>
  </si>
  <si>
    <t>C5551</t>
  </si>
  <si>
    <t>Hoàng Thị Thảo</t>
  </si>
  <si>
    <t>C14773</t>
  </si>
  <si>
    <t>Võ Thị Liên</t>
  </si>
  <si>
    <t>C15383</t>
  </si>
  <si>
    <t>Nguyễn Thị Hoài Lan</t>
  </si>
  <si>
    <t>C15905</t>
  </si>
  <si>
    <t>Nguyễn Thị Phượng Mai</t>
  </si>
  <si>
    <t>C8126</t>
  </si>
  <si>
    <t>Trần Thị Loan</t>
  </si>
  <si>
    <t>C0102</t>
  </si>
  <si>
    <t>Nguyễn Thị Thanh Dung</t>
  </si>
  <si>
    <t>C12851</t>
  </si>
  <si>
    <t>La Hồng Nhi</t>
  </si>
  <si>
    <t>C1459</t>
  </si>
  <si>
    <t>Thị Lý</t>
  </si>
  <si>
    <t>C14698</t>
  </si>
  <si>
    <t>Trần Thị Phương</t>
  </si>
  <si>
    <t>C1475</t>
  </si>
  <si>
    <t>C16408</t>
  </si>
  <si>
    <t>Dương Duy Khánh</t>
  </si>
  <si>
    <t>C16556</t>
  </si>
  <si>
    <t>C3651</t>
  </si>
  <si>
    <t>Dương Thị Nga</t>
  </si>
  <si>
    <t>C5353</t>
  </si>
  <si>
    <t>Phạm Thị Thanh Bình</t>
  </si>
  <si>
    <t>C6720</t>
  </si>
  <si>
    <t>Nguyễn Thị Mai</t>
  </si>
  <si>
    <t>C7973</t>
  </si>
  <si>
    <t>Nguyễn Thị Minh Phượng</t>
  </si>
  <si>
    <t>C0808</t>
  </si>
  <si>
    <t>Trương Thị Mơ</t>
  </si>
  <si>
    <t>C10951</t>
  </si>
  <si>
    <t>Điểu Quan</t>
  </si>
  <si>
    <t>C11527</t>
  </si>
  <si>
    <t>Trịnh Thị Mai Huyền</t>
  </si>
  <si>
    <t>C11983</t>
  </si>
  <si>
    <t>Điểu Đôm</t>
  </si>
  <si>
    <t>C16416</t>
  </si>
  <si>
    <t>Điểu Khỏe</t>
  </si>
  <si>
    <t>C16548</t>
  </si>
  <si>
    <t>Huỳnh Ngọc Huyền Trân</t>
  </si>
  <si>
    <t>C3349</t>
  </si>
  <si>
    <t>Mai Văn Tiến</t>
  </si>
  <si>
    <t>C6212</t>
  </si>
  <si>
    <t>Nguyễn Thị Tuyết Nhung</t>
  </si>
  <si>
    <t>C7912</t>
  </si>
  <si>
    <t>Bùi Quang Thiện</t>
  </si>
  <si>
    <t>C8061</t>
  </si>
  <si>
    <t>Nguyễn Trường Chinh</t>
  </si>
  <si>
    <t>C12410</t>
  </si>
  <si>
    <t>Điểu Tặng</t>
  </si>
  <si>
    <t>C12427</t>
  </si>
  <si>
    <t>Mai Văn Hoàng</t>
  </si>
  <si>
    <t>C13230</t>
  </si>
  <si>
    <t>Bùi Văn Tân</t>
  </si>
  <si>
    <t>C13747</t>
  </si>
  <si>
    <t>Lê Đức Trọng</t>
  </si>
  <si>
    <t>C14536</t>
  </si>
  <si>
    <t>Nguyễn Hồng Phúc</t>
  </si>
  <si>
    <t>C14725</t>
  </si>
  <si>
    <t>Nguyễn Hoàng Quân</t>
  </si>
  <si>
    <t>C14770</t>
  </si>
  <si>
    <t>Lê Đức Sỹ</t>
  </si>
  <si>
    <t>C16530</t>
  </si>
  <si>
    <t>Trần Minh Hiếu</t>
  </si>
  <si>
    <t>C5424</t>
  </si>
  <si>
    <t>Huỳnh Văn Tính</t>
  </si>
  <si>
    <t>C7380</t>
  </si>
  <si>
    <t>Lê Đức Ánh</t>
  </si>
  <si>
    <t>C10967</t>
  </si>
  <si>
    <t>Phạm Văn Vũ</t>
  </si>
  <si>
    <t>C12378</t>
  </si>
  <si>
    <t>Trương Đình Tâm</t>
  </si>
  <si>
    <t>C12584</t>
  </si>
  <si>
    <t>Nguyễn Bá Hải</t>
  </si>
  <si>
    <t>C13468</t>
  </si>
  <si>
    <t>Bùi Hữu Minh Thiện</t>
  </si>
  <si>
    <t>C16279</t>
  </si>
  <si>
    <t>Nguyễn Cao Cường</t>
  </si>
  <si>
    <t>C16473</t>
  </si>
  <si>
    <t>C16523</t>
  </si>
  <si>
    <t>Dương Hoài Nam</t>
  </si>
  <si>
    <t>C11679</t>
  </si>
  <si>
    <t>Điểu Thành</t>
  </si>
  <si>
    <t>Box/ Bag WIP leader</t>
  </si>
  <si>
    <t>C14479</t>
  </si>
  <si>
    <t>Vũ Thị Hải Yến</t>
  </si>
  <si>
    <t>C16533</t>
  </si>
  <si>
    <t>Nguyễn Thị Thu Hương</t>
  </si>
  <si>
    <t>C10491</t>
  </si>
  <si>
    <t>Lê Thanh Bình</t>
  </si>
  <si>
    <t>C10696</t>
  </si>
  <si>
    <t>Vũ Thị Ngọc Thanh</t>
  </si>
  <si>
    <t>C11033</t>
  </si>
  <si>
    <t>Nguyễn Thị Bích Thủy</t>
  </si>
  <si>
    <t>C11449</t>
  </si>
  <si>
    <t>Nguyễn Minh Tân</t>
  </si>
  <si>
    <t>C11756</t>
  </si>
  <si>
    <t>Lâm Tý</t>
  </si>
  <si>
    <t>C11770</t>
  </si>
  <si>
    <t>Điểu Tấn Thịnh</t>
  </si>
  <si>
    <t>C12690</t>
  </si>
  <si>
    <t>Phạm Thị Thu Hoa</t>
  </si>
  <si>
    <t>C12920</t>
  </si>
  <si>
    <t>Lê Ngọc Anh</t>
  </si>
  <si>
    <t>C13182</t>
  </si>
  <si>
    <t>Vũ Thị Thủy Tiên</t>
  </si>
  <si>
    <t>C13700</t>
  </si>
  <si>
    <t>Điểu Trung</t>
  </si>
  <si>
    <t>C14200</t>
  </si>
  <si>
    <t>Phạm Thị Hạnh Nguyên</t>
  </si>
  <si>
    <t>C15115</t>
  </si>
  <si>
    <t>Nguyễn Thị Thanh Thúy</t>
  </si>
  <si>
    <t>C15126</t>
  </si>
  <si>
    <t>Lê Ngọc Yến</t>
  </si>
  <si>
    <t>C15673</t>
  </si>
  <si>
    <t>Nguyễn Thị Giầu</t>
  </si>
  <si>
    <t>C15675</t>
  </si>
  <si>
    <t>Lê Thị Ánh</t>
  </si>
  <si>
    <t>C15690</t>
  </si>
  <si>
    <t>Điểu Hùng</t>
  </si>
  <si>
    <t>C15729</t>
  </si>
  <si>
    <t>C15757</t>
  </si>
  <si>
    <t>Bùi Thị Minh Tâm</t>
  </si>
  <si>
    <t>C16033</t>
  </si>
  <si>
    <t>Hồ Thị Ngọc Hân</t>
  </si>
  <si>
    <t>C16170</t>
  </si>
  <si>
    <t>Nguyễn Thị Hường</t>
  </si>
  <si>
    <t>C16171</t>
  </si>
  <si>
    <t>Trần Thị Kim Linh</t>
  </si>
  <si>
    <t>C16195</t>
  </si>
  <si>
    <t>Nguyễn Thị Thương</t>
  </si>
  <si>
    <t>C16207</t>
  </si>
  <si>
    <t>Trần Thị Lụa</t>
  </si>
  <si>
    <t>C16276</t>
  </si>
  <si>
    <t>Nang Thị Bưởi</t>
  </si>
  <si>
    <t>C16351</t>
  </si>
  <si>
    <t>Thị Thắm</t>
  </si>
  <si>
    <t>C16352</t>
  </si>
  <si>
    <t>Điểu Thị Huỳnh</t>
  </si>
  <si>
    <t>C16409</t>
  </si>
  <si>
    <t>Nguyễn Thị Út</t>
  </si>
  <si>
    <t>C16410</t>
  </si>
  <si>
    <t>Phạm Diễm Thúy</t>
  </si>
  <si>
    <t>C16411</t>
  </si>
  <si>
    <t>Nguyễn Thị Huyền Trân</t>
  </si>
  <si>
    <t>C16412</t>
  </si>
  <si>
    <t>Thị Ngọc</t>
  </si>
  <si>
    <t>C16414</t>
  </si>
  <si>
    <t>C16421</t>
  </si>
  <si>
    <t>Lê Thị Duy</t>
  </si>
  <si>
    <t>C16441</t>
  </si>
  <si>
    <t>C16445</t>
  </si>
  <si>
    <t>Nguyễn Thị Châu Hương</t>
  </si>
  <si>
    <t>C16472</t>
  </si>
  <si>
    <t>Thị Thơm</t>
  </si>
  <si>
    <t>C16486</t>
  </si>
  <si>
    <t>Võ Thanh Tra</t>
  </si>
  <si>
    <t>C16488</t>
  </si>
  <si>
    <t>Phan Hoàng Châu Giang</t>
  </si>
  <si>
    <t>C16490</t>
  </si>
  <si>
    <t>Ngô Xuân Vinh</t>
  </si>
  <si>
    <t>C16501</t>
  </si>
  <si>
    <t>Nguyễn Thị Kim Nhanh</t>
  </si>
  <si>
    <t>C16502</t>
  </si>
  <si>
    <t>Thị Vân</t>
  </si>
  <si>
    <t>C16503</t>
  </si>
  <si>
    <t>Thị Bé Trâm</t>
  </si>
  <si>
    <t>C16504</t>
  </si>
  <si>
    <t>Điểu Sang</t>
  </si>
  <si>
    <t>C16524</t>
  </si>
  <si>
    <t>Đỗ Hồng Minh Quân</t>
  </si>
  <si>
    <t>C16534</t>
  </si>
  <si>
    <t>Võ Thị Phượng</t>
  </si>
  <si>
    <t>C2525</t>
  </si>
  <si>
    <t>Thị Anh</t>
  </si>
  <si>
    <t>C3731</t>
  </si>
  <si>
    <t>Nguyễn Thị Cẩm Vân</t>
  </si>
  <si>
    <t>C6719</t>
  </si>
  <si>
    <t>Lê Thị Bích Đào</t>
  </si>
  <si>
    <t>C7619</t>
  </si>
  <si>
    <t>Triệu Thị Yến</t>
  </si>
  <si>
    <t>C7862</t>
  </si>
  <si>
    <t>Nguyễn Thị Mộng</t>
  </si>
  <si>
    <t>C8016</t>
  </si>
  <si>
    <t>Nguyễn Thị Ngọc Bích</t>
  </si>
  <si>
    <t>C8348</t>
  </si>
  <si>
    <t>Lữ Thị Phương</t>
  </si>
  <si>
    <t>C10565</t>
  </si>
  <si>
    <t>Đặng Thành Thuận</t>
  </si>
  <si>
    <t>C10675</t>
  </si>
  <si>
    <t>Lê Thị Giang</t>
  </si>
  <si>
    <t>C11186</t>
  </si>
  <si>
    <t>Nguyễn Trung Hiếu</t>
  </si>
  <si>
    <t>C11188</t>
  </si>
  <si>
    <t>Ngô Hiếu Thảo</t>
  </si>
  <si>
    <t>C11258</t>
  </si>
  <si>
    <t>Lâm Chương</t>
  </si>
  <si>
    <t>C11272</t>
  </si>
  <si>
    <t>Lâm Rứch</t>
  </si>
  <si>
    <t>C11274</t>
  </si>
  <si>
    <t>Lâm Bốc</t>
  </si>
  <si>
    <t>C11541</t>
  </si>
  <si>
    <t>Trần Thị Hằng</t>
  </si>
  <si>
    <t>C11732</t>
  </si>
  <si>
    <t>Lâm Văn Phanh</t>
  </si>
  <si>
    <t>C11735</t>
  </si>
  <si>
    <t>Lâm Đức Nhuận</t>
  </si>
  <si>
    <t>C11753</t>
  </si>
  <si>
    <t>Nguyễn Thị Mèo</t>
  </si>
  <si>
    <t>C11951</t>
  </si>
  <si>
    <t>C12003</t>
  </si>
  <si>
    <t>Mai Thị Ngọc Bích</t>
  </si>
  <si>
    <t>C12013</t>
  </si>
  <si>
    <t>Nguyễn Văn Thái</t>
  </si>
  <si>
    <t>C12110</t>
  </si>
  <si>
    <t>Nguyễn Thị Diễm</t>
  </si>
  <si>
    <t>C13296</t>
  </si>
  <si>
    <t>Hồ Thị Linh</t>
  </si>
  <si>
    <t>C13420</t>
  </si>
  <si>
    <t>Nguyễn Thị Phấn</t>
  </si>
  <si>
    <t>C13424</t>
  </si>
  <si>
    <t>Nguyễn Văn Tôn</t>
  </si>
  <si>
    <t>C13793</t>
  </si>
  <si>
    <t>Phan Tấn Đạt</t>
  </si>
  <si>
    <t>C14127</t>
  </si>
  <si>
    <t>Đậu Thị Hoài Hương</t>
  </si>
  <si>
    <t>C14340</t>
  </si>
  <si>
    <t>Lê Thị Mỹ Phương</t>
  </si>
  <si>
    <t>C14452</t>
  </si>
  <si>
    <t>C14900</t>
  </si>
  <si>
    <t>Nguyễn Phước Hậu</t>
  </si>
  <si>
    <t>C14941</t>
  </si>
  <si>
    <t>Trương Thị Thuỷ</t>
  </si>
  <si>
    <t>C15011</t>
  </si>
  <si>
    <t>Trần Dũ Khang</t>
  </si>
  <si>
    <t>C15167</t>
  </si>
  <si>
    <t>Nguyễn Gi Phương</t>
  </si>
  <si>
    <t>C15329</t>
  </si>
  <si>
    <t>Đàm Thị Thao</t>
  </si>
  <si>
    <t>C15535</t>
  </si>
  <si>
    <t>C15592</t>
  </si>
  <si>
    <t>C15662</t>
  </si>
  <si>
    <t>Danh Thị Thu Ngàn</t>
  </si>
  <si>
    <t>C15664</t>
  </si>
  <si>
    <t>Hà Thị Thảo</t>
  </si>
  <si>
    <t>C15814</t>
  </si>
  <si>
    <t>Lê Thị Kim Lợi</t>
  </si>
  <si>
    <t>C15815</t>
  </si>
  <si>
    <t>Nguyễn Thị Mỹ Thuyền</t>
  </si>
  <si>
    <t>C15945</t>
  </si>
  <si>
    <t>Lâm Trung</t>
  </si>
  <si>
    <t>C16009</t>
  </si>
  <si>
    <t>Lê Ngọc Khánh Vy</t>
  </si>
  <si>
    <t>C16019</t>
  </si>
  <si>
    <t>Võ Văn Hoàng</t>
  </si>
  <si>
    <t>C16088</t>
  </si>
  <si>
    <t>Nguyễn Văn Sơn</t>
  </si>
  <si>
    <t>C16128</t>
  </si>
  <si>
    <t>Thị Cúc</t>
  </si>
  <si>
    <t>C16131</t>
  </si>
  <si>
    <t>Lại Thị Bích Ngọc</t>
  </si>
  <si>
    <t>C16175</t>
  </si>
  <si>
    <t>Đinh Công Thực</t>
  </si>
  <si>
    <t>C16370</t>
  </si>
  <si>
    <t>Trần Văn Cảnh</t>
  </si>
  <si>
    <t>C16437</t>
  </si>
  <si>
    <t>C16500</t>
  </si>
  <si>
    <t>Rơ Mah Huế</t>
  </si>
  <si>
    <t>C16506</t>
  </si>
  <si>
    <t>Thị Thu Hiền</t>
  </si>
  <si>
    <t>C1671</t>
  </si>
  <si>
    <t>Hồ Thị Châu</t>
  </si>
  <si>
    <t>C5057</t>
  </si>
  <si>
    <t>Huỳnh Ngọc Vui</t>
  </si>
  <si>
    <t>C5878</t>
  </si>
  <si>
    <t>Võ Thị Lệ</t>
  </si>
  <si>
    <t>C7470</t>
  </si>
  <si>
    <t>Lê Thị Bích Thủy</t>
  </si>
  <si>
    <t>C7562</t>
  </si>
  <si>
    <t>Lê Thị Trúc Phượng</t>
  </si>
  <si>
    <t>C7621</t>
  </si>
  <si>
    <t>Long Văn Mạo</t>
  </si>
  <si>
    <t>C7622</t>
  </si>
  <si>
    <t>Mai Nguyễn Giang Hà</t>
  </si>
  <si>
    <t>C8039</t>
  </si>
  <si>
    <t>Nguyễn Văn Lớn</t>
  </si>
  <si>
    <t>C8112</t>
  </si>
  <si>
    <t>Lâm Sơn</t>
  </si>
  <si>
    <t>C8231</t>
  </si>
  <si>
    <t>Nguyễn Thị Hiên</t>
  </si>
  <si>
    <t>C8255</t>
  </si>
  <si>
    <t>Phan Thị Hồng Lụa</t>
  </si>
  <si>
    <t>C8354</t>
  </si>
  <si>
    <t>Lữ Thị Thoan</t>
  </si>
  <si>
    <t>C8365</t>
  </si>
  <si>
    <t>Thị Gái</t>
  </si>
  <si>
    <t>C8379</t>
  </si>
  <si>
    <t>Ngô Thị Dương</t>
  </si>
  <si>
    <t>C8394</t>
  </si>
  <si>
    <t>Trần Sa Mai</t>
  </si>
  <si>
    <t>C8486</t>
  </si>
  <si>
    <t>Phùng Thị Tuyển</t>
  </si>
  <si>
    <t>C0176</t>
  </si>
  <si>
    <t>Nguyễn Thị Lệ Nga</t>
  </si>
  <si>
    <t>C10417</t>
  </si>
  <si>
    <t>Hồ Thị Ngân</t>
  </si>
  <si>
    <t>C10910</t>
  </si>
  <si>
    <t>Trần Thị Ngọc Thúy</t>
  </si>
  <si>
    <t>C11130</t>
  </si>
  <si>
    <t>Vũ Cao Đại</t>
  </si>
  <si>
    <t>C11448</t>
  </si>
  <si>
    <t>Thái Minh Thùy</t>
  </si>
  <si>
    <t>C11491</t>
  </si>
  <si>
    <t>Siu Suel</t>
  </si>
  <si>
    <t>C11558</t>
  </si>
  <si>
    <t>Siu Sem</t>
  </si>
  <si>
    <t>C11564</t>
  </si>
  <si>
    <t>Võ Văn Đạt</t>
  </si>
  <si>
    <t>C11565</t>
  </si>
  <si>
    <t>Thị Me</t>
  </si>
  <si>
    <t>C11622</t>
  </si>
  <si>
    <t>Thị Thân Thủy</t>
  </si>
  <si>
    <t>C11946</t>
  </si>
  <si>
    <t>Lý Hùng</t>
  </si>
  <si>
    <t>C12016</t>
  </si>
  <si>
    <t>Nguyễn Chí Hưởng</t>
  </si>
  <si>
    <t>C12025</t>
  </si>
  <si>
    <t>Đinh Thị Nga</t>
  </si>
  <si>
    <t>C13004</t>
  </si>
  <si>
    <t>C13423</t>
  </si>
  <si>
    <t>Trần Thị Mai Xuân</t>
  </si>
  <si>
    <t>C13426</t>
  </si>
  <si>
    <t>Nguyễn Sơn Phước</t>
  </si>
  <si>
    <t>C13505</t>
  </si>
  <si>
    <t>Vy Văn Thái</t>
  </si>
  <si>
    <t>C14213</t>
  </si>
  <si>
    <t>Trần Hữu Khánh</t>
  </si>
  <si>
    <t>C14247</t>
  </si>
  <si>
    <t>Nguyễn Thị Quang</t>
  </si>
  <si>
    <t>C1450</t>
  </si>
  <si>
    <t>Lâm Thị Luối</t>
  </si>
  <si>
    <t>C14546</t>
  </si>
  <si>
    <t>Lê Thị Minh Vy</t>
  </si>
  <si>
    <t>C14655</t>
  </si>
  <si>
    <t>Lương Thanh Lâm</t>
  </si>
  <si>
    <t>C14721</t>
  </si>
  <si>
    <t>Nguyễn Thị Ngọc Cẩm</t>
  </si>
  <si>
    <t>C14749</t>
  </si>
  <si>
    <t>Phan Thị Cẩm Tiên</t>
  </si>
  <si>
    <t>C14870</t>
  </si>
  <si>
    <t>C14948</t>
  </si>
  <si>
    <t>Lâm Thành Long</t>
  </si>
  <si>
    <t>C15114</t>
  </si>
  <si>
    <t>Trần Thị Như Ý</t>
  </si>
  <si>
    <t>C15314</t>
  </si>
  <si>
    <t>Trần Thanh Hiền</t>
  </si>
  <si>
    <t>C15538</t>
  </si>
  <si>
    <t>C15560</t>
  </si>
  <si>
    <t>Nguyễn Thị Như Thúy</t>
  </si>
  <si>
    <t>C15582</t>
  </si>
  <si>
    <t>Hồ Thị Hằng</t>
  </si>
  <si>
    <t>C15599</t>
  </si>
  <si>
    <t>Hoàng Thị Thu Thương</t>
  </si>
  <si>
    <t>C15653</t>
  </si>
  <si>
    <t>Trần Minh Thuận</t>
  </si>
  <si>
    <t>C15819</t>
  </si>
  <si>
    <t>Nông Thị Lê Oanh</t>
  </si>
  <si>
    <t>C15836</t>
  </si>
  <si>
    <t>C15837</t>
  </si>
  <si>
    <t>Phạm Thị Hồng Anh</t>
  </si>
  <si>
    <t>C15853</t>
  </si>
  <si>
    <t>Vũ Thị Huyền</t>
  </si>
  <si>
    <t>C15974</t>
  </si>
  <si>
    <t>Nguyễn Thị Thùy Dung</t>
  </si>
  <si>
    <t>C15992</t>
  </si>
  <si>
    <t>Quách Trang</t>
  </si>
  <si>
    <t>C15999</t>
  </si>
  <si>
    <t>Trần Thanh Sơn</t>
  </si>
  <si>
    <t>C16000</t>
  </si>
  <si>
    <t>C16017</t>
  </si>
  <si>
    <t>Thị Hợi</t>
  </si>
  <si>
    <t>C16035</t>
  </si>
  <si>
    <t>Trần Thị Hồng Đào</t>
  </si>
  <si>
    <t>C16071</t>
  </si>
  <si>
    <t>Nguyễn Khắc Kiệt</t>
  </si>
  <si>
    <t>C16132</t>
  </si>
  <si>
    <t>Phạm Thị Thúy Vân</t>
  </si>
  <si>
    <t>C16340</t>
  </si>
  <si>
    <t>C16364</t>
  </si>
  <si>
    <t>Điểu Thị Hoa</t>
  </si>
  <si>
    <t>C16413</t>
  </si>
  <si>
    <t>Nguyễn Thúy Huỳnh</t>
  </si>
  <si>
    <t>C16527</t>
  </si>
  <si>
    <t>Lâm Nguyễn Tú Lan</t>
  </si>
  <si>
    <t>C16557</t>
  </si>
  <si>
    <t>Huỳnh Thị Kim Trinh</t>
  </si>
  <si>
    <t>C16558</t>
  </si>
  <si>
    <t>Lê Thị Huyền Trang</t>
  </si>
  <si>
    <t>C1733</t>
  </si>
  <si>
    <t>Đào Thị Giỏi</t>
  </si>
  <si>
    <t>C1892</t>
  </si>
  <si>
    <t>Thái Thị Hoa</t>
  </si>
  <si>
    <t>C2495</t>
  </si>
  <si>
    <t>Thị Thủy</t>
  </si>
  <si>
    <t>C3107</t>
  </si>
  <si>
    <t>Đỗ Thị Huệ</t>
  </si>
  <si>
    <t>C3935</t>
  </si>
  <si>
    <t>Phạm Văn Bình</t>
  </si>
  <si>
    <t>C4151</t>
  </si>
  <si>
    <t>Đỗ Thị Mộng Trinh</t>
  </si>
  <si>
    <t>C7134</t>
  </si>
  <si>
    <t>Thái Thị Huỳnh Như</t>
  </si>
  <si>
    <t>C8109</t>
  </si>
  <si>
    <t>Lâm Thị Lý</t>
  </si>
  <si>
    <t>C8375</t>
  </si>
  <si>
    <t>Nguyễn Chí Hưng</t>
  </si>
  <si>
    <t>C7942</t>
  </si>
  <si>
    <t>Trương Văn Trí</t>
  </si>
  <si>
    <t>C0015</t>
  </si>
  <si>
    <t>Lê Thị Sương</t>
  </si>
  <si>
    <t>C10738</t>
  </si>
  <si>
    <t>C11058</t>
  </si>
  <si>
    <t>Đàm Thị Quyên</t>
  </si>
  <si>
    <t>C13228</t>
  </si>
  <si>
    <t>C14541</t>
  </si>
  <si>
    <t>Nguyễn Hồng Loan</t>
  </si>
  <si>
    <t>C14647</t>
  </si>
  <si>
    <t>Lê Thị Hồng Dung</t>
  </si>
  <si>
    <t>C14812</t>
  </si>
  <si>
    <t>Nguyễn Thị Xuân Hải</t>
  </si>
  <si>
    <t>C15688</t>
  </si>
  <si>
    <t>Tô Thanh Thủy</t>
  </si>
  <si>
    <t>C15969</t>
  </si>
  <si>
    <t>Phan Thị Kim Dung</t>
  </si>
  <si>
    <t>C16150</t>
  </si>
  <si>
    <t>Nguyễn Thị Kiều Trang</t>
  </si>
  <si>
    <t>C16168</t>
  </si>
  <si>
    <t>Bùi Thị Kim Ngân</t>
  </si>
  <si>
    <t>C16311</t>
  </si>
  <si>
    <t>C16316</t>
  </si>
  <si>
    <t>Hoàng Phương Dung</t>
  </si>
  <si>
    <t>C16336</t>
  </si>
  <si>
    <t>Bùi Thị Giang</t>
  </si>
  <si>
    <t>C4860</t>
  </si>
  <si>
    <t>Hoàng Thị Thùy Dung</t>
  </si>
  <si>
    <t>C5238</t>
  </si>
  <si>
    <t>Huỳnh Thị Phương Thảo</t>
  </si>
  <si>
    <t>C5519</t>
  </si>
  <si>
    <t>Vũ Thị Hải</t>
  </si>
  <si>
    <t>C6618</t>
  </si>
  <si>
    <t>Lê Thị Diễm Trinh</t>
  </si>
  <si>
    <t>C8352</t>
  </si>
  <si>
    <t>Nguyễn Thị Kim Giàu</t>
  </si>
  <si>
    <t>C13826</t>
  </si>
  <si>
    <t>Lê Tiến Nam</t>
  </si>
  <si>
    <t>C13980</t>
  </si>
  <si>
    <t>Y Khuin KBuôr</t>
  </si>
  <si>
    <t>C14485</t>
  </si>
  <si>
    <t>Lê Văn Thái</t>
  </si>
  <si>
    <t>C14605</t>
  </si>
  <si>
    <t>Nguyễn Trọng Phú</t>
  </si>
  <si>
    <t>C14786</t>
  </si>
  <si>
    <t>Điểu Tài</t>
  </si>
  <si>
    <t>C15534</t>
  </si>
  <si>
    <t>Lê Thành Chung</t>
  </si>
  <si>
    <t>C16130</t>
  </si>
  <si>
    <t>Trần Minh Cường</t>
  </si>
  <si>
    <t>C16549</t>
  </si>
  <si>
    <t>Huỳnh Văn Tuấn</t>
  </si>
  <si>
    <t>C7332</t>
  </si>
  <si>
    <t>Kim Sa Mươne</t>
  </si>
  <si>
    <t>C7494</t>
  </si>
  <si>
    <t>Lê Văn Tuấn</t>
  </si>
  <si>
    <t>C7769</t>
  </si>
  <si>
    <t>Nguyễn Văn Thắng</t>
  </si>
  <si>
    <t>C2630</t>
  </si>
  <si>
    <t>Phạm Thị Thu</t>
  </si>
  <si>
    <t>C5128</t>
  </si>
  <si>
    <t>Đinh Thị Hoàng Yến</t>
  </si>
  <si>
    <t>C7722</t>
  </si>
  <si>
    <t>Võ Thị Ngọc Trang</t>
  </si>
  <si>
    <t>C15415</t>
  </si>
  <si>
    <t>Nguyễn Thị Kim Thủy</t>
  </si>
  <si>
    <t>C15422</t>
  </si>
  <si>
    <t>Đàm Kim Cúc</t>
  </si>
  <si>
    <t>C15541</t>
  </si>
  <si>
    <t>Thái Thị Diễm Trang</t>
  </si>
  <si>
    <t>C15666</t>
  </si>
  <si>
    <t>C16144</t>
  </si>
  <si>
    <t>Đỗ Đức Huy</t>
  </si>
  <si>
    <t>C16348</t>
  </si>
  <si>
    <t>Võ Thị Thanh Vy</t>
  </si>
  <si>
    <t>C16393</t>
  </si>
  <si>
    <t>Võ Thị Như Quỳnh</t>
  </si>
  <si>
    <t>C5996</t>
  </si>
  <si>
    <t>Trương Thị Thúy</t>
  </si>
  <si>
    <t>C8138</t>
  </si>
  <si>
    <t>C10422</t>
  </si>
  <si>
    <t>Phan Thị Thắm</t>
  </si>
  <si>
    <t>C10471</t>
  </si>
  <si>
    <t>Nguyễn Hoàng Bảo</t>
  </si>
  <si>
    <t>C11657</t>
  </si>
  <si>
    <t>Điểu Phươn</t>
  </si>
  <si>
    <t>C7271</t>
  </si>
  <si>
    <t>Bùi Khắc Thìn</t>
  </si>
  <si>
    <t>TRAN THI KIM PHAN</t>
  </si>
  <si>
    <t>050040964964</t>
  </si>
  <si>
    <t>NGUYEN THI HUONG</t>
  </si>
  <si>
    <t>050040850950</t>
  </si>
  <si>
    <t>HO THI NGA</t>
  </si>
  <si>
    <t>050040952974</t>
  </si>
  <si>
    <t>TRAN THI LIEN</t>
  </si>
  <si>
    <t>050104743444</t>
  </si>
  <si>
    <t>NGUYEN HOAI HAN</t>
  </si>
  <si>
    <t>050073573855</t>
  </si>
  <si>
    <t>LE THI KIEU LOAN</t>
  </si>
  <si>
    <t>050106514035</t>
  </si>
  <si>
    <t>PHAN THI THANH TAM</t>
  </si>
  <si>
    <t>050040932884</t>
  </si>
  <si>
    <t>LE THI BICH LINH</t>
  </si>
  <si>
    <t>050111434058</t>
  </si>
  <si>
    <t>TRAN HAI NAM</t>
  </si>
  <si>
    <t>050116653033</t>
  </si>
  <si>
    <t>050040933910</t>
  </si>
  <si>
    <t>NGUYEN THI TRUC LY</t>
  </si>
  <si>
    <t>050114056372</t>
  </si>
  <si>
    <t>LE THI ANH THUONG</t>
  </si>
  <si>
    <t>050040933661</t>
  </si>
  <si>
    <t>HUYNH THI KIEU LINH</t>
  </si>
  <si>
    <t>050122807638</t>
  </si>
  <si>
    <t>THACH THI DIEM MY</t>
  </si>
  <si>
    <t>050050663466</t>
  </si>
  <si>
    <t>DUONG THI BICH HANH</t>
  </si>
  <si>
    <t>050032877017</t>
  </si>
  <si>
    <t>PHAM THI XUAN</t>
  </si>
  <si>
    <t>050093248810</t>
  </si>
  <si>
    <t>NGUYEN THI THANH HUYEN</t>
  </si>
  <si>
    <t>050120176479</t>
  </si>
  <si>
    <t>DO UT NHANH</t>
  </si>
  <si>
    <t>050111583861</t>
  </si>
  <si>
    <t>NGUYEN THI HANG</t>
  </si>
  <si>
    <t>050135730472</t>
  </si>
  <si>
    <t>BUI THI BAO NGOC</t>
  </si>
  <si>
    <t>050118478549</t>
  </si>
  <si>
    <t>MAI THI NHUNG</t>
  </si>
  <si>
    <t>050137060581</t>
  </si>
  <si>
    <t>PHAM THI NGOC THUY</t>
  </si>
  <si>
    <t>050040878413</t>
  </si>
  <si>
    <t>SON THI CO LAP</t>
  </si>
  <si>
    <t>050040879533</t>
  </si>
  <si>
    <t>NGUYEN THI HAI</t>
  </si>
  <si>
    <t>050149624039</t>
  </si>
  <si>
    <t>DIEU DUNG</t>
  </si>
  <si>
    <t>050152610741</t>
  </si>
  <si>
    <t>NGUYEN THI THANH HOA</t>
  </si>
  <si>
    <t>050127000211</t>
  </si>
  <si>
    <t>THI SUNG LY</t>
  </si>
  <si>
    <t>050117956201</t>
  </si>
  <si>
    <t>NGUYEN THI HOAI NHO</t>
  </si>
  <si>
    <t>050117412080</t>
  </si>
  <si>
    <t>LE THI MINH TRANG</t>
  </si>
  <si>
    <t>050130574731</t>
  </si>
  <si>
    <t>NGUYEN THI DAO</t>
  </si>
  <si>
    <t>050103659628</t>
  </si>
  <si>
    <t>RLAN KYIN</t>
  </si>
  <si>
    <t>050116311493</t>
  </si>
  <si>
    <t>TRAN THI CHUYEN</t>
  </si>
  <si>
    <t>050040850871</t>
  </si>
  <si>
    <t>TRAN THI THU HANG</t>
  </si>
  <si>
    <t>050040850926</t>
  </si>
  <si>
    <t>DUONG PHI HUNG</t>
  </si>
  <si>
    <t>050040850845</t>
  </si>
  <si>
    <t>LE THI KIM CHI</t>
  </si>
  <si>
    <t>050040850667</t>
  </si>
  <si>
    <t>HO THI LA</t>
  </si>
  <si>
    <t>050041744380</t>
  </si>
  <si>
    <t>NGUYEN THI HA</t>
  </si>
  <si>
    <t>050060949198</t>
  </si>
  <si>
    <t>NGO THI MINH HIEU</t>
  </si>
  <si>
    <t>050089661738</t>
  </si>
  <si>
    <t>LE THI DUNG</t>
  </si>
  <si>
    <t>050099643215</t>
  </si>
  <si>
    <t>DO THI NGOC TRAM</t>
  </si>
  <si>
    <t>050103659733</t>
  </si>
  <si>
    <t>NGUYEN THI HONG NHUNG</t>
  </si>
  <si>
    <t>050103659563</t>
  </si>
  <si>
    <t>NGUYEN THI NINH</t>
  </si>
  <si>
    <t>050041687921</t>
  </si>
  <si>
    <t>TRAN VAN VINH</t>
  </si>
  <si>
    <t>050097259876</t>
  </si>
  <si>
    <t>DO VAN KHUYEN</t>
  </si>
  <si>
    <t>050095771073</t>
  </si>
  <si>
    <t>TRAN VAN HOAN</t>
  </si>
  <si>
    <t>050020218141</t>
  </si>
  <si>
    <t>VO VAN THANH</t>
  </si>
  <si>
    <t>050121174550</t>
  </si>
  <si>
    <t>NGUYEN TIEN KY</t>
  </si>
  <si>
    <t>050050275725</t>
  </si>
  <si>
    <t>NGUYEN THANG CUONG</t>
  </si>
  <si>
    <t>050128200999</t>
  </si>
  <si>
    <t>DUONG HOANG NAM</t>
  </si>
  <si>
    <t>050128381391</t>
  </si>
  <si>
    <t>DANG HONG TRANG</t>
  </si>
  <si>
    <t>050041001426</t>
  </si>
  <si>
    <t>DO VAN TAM</t>
  </si>
  <si>
    <t>050129246933</t>
  </si>
  <si>
    <t>TRUONG DINH SY</t>
  </si>
  <si>
    <t>050135974371</t>
  </si>
  <si>
    <t>KIEU THI NGOC ANH</t>
  </si>
  <si>
    <t>050109837773</t>
  </si>
  <si>
    <t>NGUYEN HUU ANH</t>
  </si>
  <si>
    <t>050117429102</t>
  </si>
  <si>
    <t>NGUYEN THI HUE</t>
  </si>
  <si>
    <t>050156612208</t>
  </si>
  <si>
    <t>NGUYEN THI HONG THAM</t>
  </si>
  <si>
    <t>050126182111</t>
  </si>
  <si>
    <t>NIENG THI TE</t>
  </si>
  <si>
    <t>050119623356</t>
  </si>
  <si>
    <t>LY THI SOM</t>
  </si>
  <si>
    <t>050053921490</t>
  </si>
  <si>
    <t>NGUYEN THI QUYNH NHU</t>
  </si>
  <si>
    <t>050151733880</t>
  </si>
  <si>
    <t>DANG TAN XUYEN</t>
  </si>
  <si>
    <t>050041029258</t>
  </si>
  <si>
    <t>HO THI DANG HONG TUOI</t>
  </si>
  <si>
    <t>050040875872</t>
  </si>
  <si>
    <t>DO THI THUY GIANG</t>
  </si>
  <si>
    <t>050070193865</t>
  </si>
  <si>
    <t>PHAM HONG PHONG</t>
  </si>
  <si>
    <t>050081198648</t>
  </si>
  <si>
    <t>NGUYEN THI LONG</t>
  </si>
  <si>
    <t>050020209851</t>
  </si>
  <si>
    <t>RAH LAN XIEN</t>
  </si>
  <si>
    <t>050109871475</t>
  </si>
  <si>
    <t>NGUYEN THI KIM LOAN</t>
  </si>
  <si>
    <t>050114710420</t>
  </si>
  <si>
    <t>LE THI KIM OANH</t>
  </si>
  <si>
    <t>050055723084</t>
  </si>
  <si>
    <t>HO THI NGHIA</t>
  </si>
  <si>
    <t>050127944072</t>
  </si>
  <si>
    <t>THI THU</t>
  </si>
  <si>
    <t>050123536484</t>
  </si>
  <si>
    <t>LAM CHUA</t>
  </si>
  <si>
    <t>050116981057</t>
  </si>
  <si>
    <t>PHAM THI TINH</t>
  </si>
  <si>
    <t>050139095100</t>
  </si>
  <si>
    <t>DO THI KIM HOA</t>
  </si>
  <si>
    <t>050046383459</t>
  </si>
  <si>
    <t>NGUYEN NGOC NGA</t>
  </si>
  <si>
    <t>050117412102</t>
  </si>
  <si>
    <t>HO DUC TUONG</t>
  </si>
  <si>
    <t>050151719977</t>
  </si>
  <si>
    <t>LE THI LAN</t>
  </si>
  <si>
    <t>050040932841</t>
  </si>
  <si>
    <t>DO DANG HIEN HOA</t>
  </si>
  <si>
    <t>050040933597</t>
  </si>
  <si>
    <t>THI THIA</t>
  </si>
  <si>
    <t>050156252333</t>
  </si>
  <si>
    <t>NGUYEN THI CHAU</t>
  </si>
  <si>
    <t>052212081988</t>
  </si>
  <si>
    <t>NGUYEN PHAM THANH HAN</t>
  </si>
  <si>
    <t>050156921537</t>
  </si>
  <si>
    <t>TRAN THI KIM LOC</t>
  </si>
  <si>
    <t>050040879622</t>
  </si>
  <si>
    <t>NGO THI CHI</t>
  </si>
  <si>
    <t>050040966118</t>
  </si>
  <si>
    <t>VO THI THANH MAI</t>
  </si>
  <si>
    <t>050040933708</t>
  </si>
  <si>
    <t>TRAN THI BACH YEN</t>
  </si>
  <si>
    <t>050040987247</t>
  </si>
  <si>
    <t>TRAN VAN NANG</t>
  </si>
  <si>
    <t>050040934801</t>
  </si>
  <si>
    <t>DANG THI THUY DUONG</t>
  </si>
  <si>
    <t>050040876062</t>
  </si>
  <si>
    <t>NGUYEN THI NGOC TIEN</t>
  </si>
  <si>
    <t>050040933491</t>
  </si>
  <si>
    <t>HUYNH THI TUYET HANH</t>
  </si>
  <si>
    <t>050073841485</t>
  </si>
  <si>
    <t>PHAN KIM LU</t>
  </si>
  <si>
    <t>050090486941</t>
  </si>
  <si>
    <t>DOAN NGOC HONG</t>
  </si>
  <si>
    <t>050044162714</t>
  </si>
  <si>
    <t>THACH HOANG EM</t>
  </si>
  <si>
    <t>050116311450</t>
  </si>
  <si>
    <t>DIEU NAM</t>
  </si>
  <si>
    <t>050116311469</t>
  </si>
  <si>
    <t>VU THI HONG NHUNG</t>
  </si>
  <si>
    <t>050121174372</t>
  </si>
  <si>
    <t>THI TI</t>
  </si>
  <si>
    <t>060105183871</t>
  </si>
  <si>
    <t>VU THI THAM</t>
  </si>
  <si>
    <t>050121702646</t>
  </si>
  <si>
    <t>NGUYEN THI THU HIEN</t>
  </si>
  <si>
    <t>050041687891</t>
  </si>
  <si>
    <t>LE THI QUYNH</t>
  </si>
  <si>
    <t>050126321055</t>
  </si>
  <si>
    <t>THAI THI THANG</t>
  </si>
  <si>
    <t>050040821160</t>
  </si>
  <si>
    <t>NGUYEN TIEN CUONG</t>
  </si>
  <si>
    <t>050031260032</t>
  </si>
  <si>
    <t>THI TRAM</t>
  </si>
  <si>
    <t>050127011076</t>
  </si>
  <si>
    <t>NGUYEN KHAC THANH</t>
  </si>
  <si>
    <t>050135731312</t>
  </si>
  <si>
    <t>CAO THI HUYNH NHU</t>
  </si>
  <si>
    <t>050137000153</t>
  </si>
  <si>
    <t>PHAM THI QUYNH ANH</t>
  </si>
  <si>
    <t>050118480527</t>
  </si>
  <si>
    <t>LE THI MAI</t>
  </si>
  <si>
    <t>050041644009</t>
  </si>
  <si>
    <t>HOANG LAM TOI</t>
  </si>
  <si>
    <t>053530499999</t>
  </si>
  <si>
    <t>DO CAO SON</t>
  </si>
  <si>
    <t>050156307308</t>
  </si>
  <si>
    <t>LE XUAN HUYNH</t>
  </si>
  <si>
    <t>050103660464</t>
  </si>
  <si>
    <t>NGUYEN HOANG ANH</t>
  </si>
  <si>
    <t>050158061454</t>
  </si>
  <si>
    <t>PHAM NGOC THUY</t>
  </si>
  <si>
    <t>050138649927</t>
  </si>
  <si>
    <t>NGUYEN THI THANH NGA</t>
  </si>
  <si>
    <t>050528049394</t>
  </si>
  <si>
    <t>NGUYEN THI VANG</t>
  </si>
  <si>
    <t>050040846678</t>
  </si>
  <si>
    <t>NGUYEN THI NGA</t>
  </si>
  <si>
    <t>050052895437</t>
  </si>
  <si>
    <t>TRAN THI VAN</t>
  </si>
  <si>
    <t>050055183810</t>
  </si>
  <si>
    <t>THI HANH</t>
  </si>
  <si>
    <t>050042518368</t>
  </si>
  <si>
    <t>NGUYEN THI THAO</t>
  </si>
  <si>
    <t>050040932620</t>
  </si>
  <si>
    <t>VU THI KIM YEN</t>
  </si>
  <si>
    <t>050116311541</t>
  </si>
  <si>
    <t>TRINH THI TY</t>
  </si>
  <si>
    <t>050126082603</t>
  </si>
  <si>
    <t>VU THI LUYEN</t>
  </si>
  <si>
    <t>050113033980</t>
  </si>
  <si>
    <t>BUI THI BAO NGUYEN</t>
  </si>
  <si>
    <t>050135128322</t>
  </si>
  <si>
    <t>DO THI NGOC NHI</t>
  </si>
  <si>
    <t>050147935142</t>
  </si>
  <si>
    <t>LE THI HONG THAO</t>
  </si>
  <si>
    <t>050964281650</t>
  </si>
  <si>
    <t>NGUYEN THI BICH NGUYET</t>
  </si>
  <si>
    <t>050147825746</t>
  </si>
  <si>
    <t>NGU HUE NHI</t>
  </si>
  <si>
    <t>050148148616</t>
  </si>
  <si>
    <t>LAM SVAY</t>
  </si>
  <si>
    <t>050128706086</t>
  </si>
  <si>
    <t>VO THI PHUONG TRUC</t>
  </si>
  <si>
    <t>050040879789</t>
  </si>
  <si>
    <t>LE HOAI PHUONG</t>
  </si>
  <si>
    <t>050040933740</t>
  </si>
  <si>
    <t>TRAN THI TUNG</t>
  </si>
  <si>
    <t>050040879517</t>
  </si>
  <si>
    <t>TRINH THI THUY</t>
  </si>
  <si>
    <t>050040851167</t>
  </si>
  <si>
    <t>NGUYEN VAN CHI</t>
  </si>
  <si>
    <t>050040934739</t>
  </si>
  <si>
    <t>VU THI THANH</t>
  </si>
  <si>
    <t>050040820210</t>
  </si>
  <si>
    <t>LE THI NGHI</t>
  </si>
  <si>
    <t>050040875287</t>
  </si>
  <si>
    <t>NGUYEN THI TRANG</t>
  </si>
  <si>
    <t>050041643320</t>
  </si>
  <si>
    <t>NGUYEN THI DUYEN</t>
  </si>
  <si>
    <t>050042513803</t>
  </si>
  <si>
    <t>NGUYEN THI THU PHUONG</t>
  </si>
  <si>
    <t>050067885357</t>
  </si>
  <si>
    <t>NGO THI MY NHAN</t>
  </si>
  <si>
    <t>050090473457</t>
  </si>
  <si>
    <t>NGUYEN THI LY</t>
  </si>
  <si>
    <t>050097075848</t>
  </si>
  <si>
    <t>LE THI LOC</t>
  </si>
  <si>
    <t>050068551134</t>
  </si>
  <si>
    <t>TRAN THI THU</t>
  </si>
  <si>
    <t>050055059702</t>
  </si>
  <si>
    <t>THAN THI HONG THAM</t>
  </si>
  <si>
    <t>050040851191</t>
  </si>
  <si>
    <t>TO THI XUAN</t>
  </si>
  <si>
    <t>050069429529</t>
  </si>
  <si>
    <t>HO THI HIEN</t>
  </si>
  <si>
    <t>050079857197</t>
  </si>
  <si>
    <t>VAN THI HUYNH YEN</t>
  </si>
  <si>
    <t>050116635655</t>
  </si>
  <si>
    <t>TRAN THI THU THIEN</t>
  </si>
  <si>
    <t>050040851485</t>
  </si>
  <si>
    <t>THI HEN</t>
  </si>
  <si>
    <t>050042471809</t>
  </si>
  <si>
    <t>NGUYEN DINH CHUYEN</t>
  </si>
  <si>
    <t>050118170447</t>
  </si>
  <si>
    <t>LE MINH MINH</t>
  </si>
  <si>
    <t>050122381975</t>
  </si>
  <si>
    <t>HONG THI THUY HOA</t>
  </si>
  <si>
    <t>050040851371</t>
  </si>
  <si>
    <t>NGUYEN THANH HANG</t>
  </si>
  <si>
    <t>050147769625</t>
  </si>
  <si>
    <t>NGUYEN QUOC THUAN</t>
  </si>
  <si>
    <t>060115030860</t>
  </si>
  <si>
    <t>HUYNH THI TU BINH</t>
  </si>
  <si>
    <t>050118880541</t>
  </si>
  <si>
    <t>MAI NGOC CHAM</t>
  </si>
  <si>
    <t>060086770736</t>
  </si>
  <si>
    <t>NGUYEN THI PHUONG THAO</t>
  </si>
  <si>
    <t>050112517968</t>
  </si>
  <si>
    <t>NGO THI GIAU</t>
  </si>
  <si>
    <t>060055351328</t>
  </si>
  <si>
    <t>LE THI HONG TRANG</t>
  </si>
  <si>
    <t>050040851124</t>
  </si>
  <si>
    <t>THI MINH</t>
  </si>
  <si>
    <t>050153344024</t>
  </si>
  <si>
    <t>NGUYEN THI NGOC LY</t>
  </si>
  <si>
    <t>050158061594</t>
  </si>
  <si>
    <t>DIEU HY</t>
  </si>
  <si>
    <t>050135736713</t>
  </si>
  <si>
    <t>PHAM THI HONG THU</t>
  </si>
  <si>
    <t>050119372728</t>
  </si>
  <si>
    <t>NGUYEN HOANG PHUONG THAO</t>
  </si>
  <si>
    <t>050158450256</t>
  </si>
  <si>
    <t>THI P LUOT</t>
  </si>
  <si>
    <t>059101011998</t>
  </si>
  <si>
    <t>NGUYEN THI THU THUY</t>
  </si>
  <si>
    <t>050345900530</t>
  </si>
  <si>
    <t>TM</t>
  </si>
  <si>
    <t>CHU THI LAN HUONG</t>
  </si>
  <si>
    <t>050040933041</t>
  </si>
  <si>
    <t>TRAN THI THANH TAM</t>
  </si>
  <si>
    <t>050040935336</t>
  </si>
  <si>
    <t>NGUYEN THI PHUONG</t>
  </si>
  <si>
    <t>050040998559</t>
  </si>
  <si>
    <t>NGO THI LUYEN</t>
  </si>
  <si>
    <t>050040935239</t>
  </si>
  <si>
    <t>NGUYEN THI LUONG</t>
  </si>
  <si>
    <t>050040850551</t>
  </si>
  <si>
    <t>LE THI HIEN</t>
  </si>
  <si>
    <t>050040935506</t>
  </si>
  <si>
    <t>NGUYEN THI NGOC LUA</t>
  </si>
  <si>
    <t>050040935603</t>
  </si>
  <si>
    <t>TRAN THANH THAO</t>
  </si>
  <si>
    <t>050040935115</t>
  </si>
  <si>
    <t>PHAM THI THANH TRANG</t>
  </si>
  <si>
    <t>050040851957</t>
  </si>
  <si>
    <t>NGUYEN THI DIEP TRINH</t>
  </si>
  <si>
    <t>050059877434</t>
  </si>
  <si>
    <t>THI YEN</t>
  </si>
  <si>
    <t>050075311971</t>
  </si>
  <si>
    <t>TRAN VAN TUONG</t>
  </si>
  <si>
    <t>050090473600</t>
  </si>
  <si>
    <t>LE THI KIM TUYEN</t>
  </si>
  <si>
    <t>050103659512</t>
  </si>
  <si>
    <t>VU THI LUNG</t>
  </si>
  <si>
    <t>050040935395</t>
  </si>
  <si>
    <t>050079625660</t>
  </si>
  <si>
    <t>KIEU MINH TAM</t>
  </si>
  <si>
    <t>050110754199</t>
  </si>
  <si>
    <t>TRAN THI HAI VAN</t>
  </si>
  <si>
    <t>050059823970</t>
  </si>
  <si>
    <t>TANG VAN TRUONG</t>
  </si>
  <si>
    <t>050102264719</t>
  </si>
  <si>
    <t>KIM VIET</t>
  </si>
  <si>
    <t>050102703054</t>
  </si>
  <si>
    <t>VU NGOC BE</t>
  </si>
  <si>
    <t>050069057060</t>
  </si>
  <si>
    <t>LE NGOC DIEM</t>
  </si>
  <si>
    <t>050132152303</t>
  </si>
  <si>
    <t>HUYNH MINH TOAN</t>
  </si>
  <si>
    <t>050135737728</t>
  </si>
  <si>
    <t>LAM HONG PHUOC</t>
  </si>
  <si>
    <t>050103659458</t>
  </si>
  <si>
    <t>TRAN THI BAC</t>
  </si>
  <si>
    <t>050040933759</t>
  </si>
  <si>
    <t>VU THI KHUYEN</t>
  </si>
  <si>
    <t>050040795313</t>
  </si>
  <si>
    <t>LUONG THI THUC</t>
  </si>
  <si>
    <t>050040933147</t>
  </si>
  <si>
    <t>LUU THI THANH NGA</t>
  </si>
  <si>
    <t>050040863246</t>
  </si>
  <si>
    <t>BUI MAI NGOC PHUONG</t>
  </si>
  <si>
    <t>050068237731</t>
  </si>
  <si>
    <t>THAN THI TIENG</t>
  </si>
  <si>
    <t>050040795402</t>
  </si>
  <si>
    <t>NGUYEN THI HONG THI</t>
  </si>
  <si>
    <t>050040787231</t>
  </si>
  <si>
    <t>TRAN THI LAN</t>
  </si>
  <si>
    <t>050053265062</t>
  </si>
  <si>
    <t>LE TIEN THANH</t>
  </si>
  <si>
    <t>050040820148</t>
  </si>
  <si>
    <t>TRAN THI MY CHAU</t>
  </si>
  <si>
    <t>050040787833</t>
  </si>
  <si>
    <t>NGUYEN VAN HAU</t>
  </si>
  <si>
    <t>050137489918</t>
  </si>
  <si>
    <t>NGUYEN VAN HAI</t>
  </si>
  <si>
    <t>050062362720</t>
  </si>
  <si>
    <t>NGUYEN VAN HONG HIEU</t>
  </si>
  <si>
    <t>050103660049</t>
  </si>
  <si>
    <t>NGUYEN THI SEN</t>
  </si>
  <si>
    <t>050040932906</t>
  </si>
  <si>
    <t>LE QUANG LONG</t>
  </si>
  <si>
    <t>050123179266</t>
  </si>
  <si>
    <t>050060011051</t>
  </si>
  <si>
    <t>DU THI HA</t>
  </si>
  <si>
    <t>050040932991</t>
  </si>
  <si>
    <t>VO THI THANH THUY</t>
  </si>
  <si>
    <t>050135732955</t>
  </si>
  <si>
    <t>PHAM TU ANH</t>
  </si>
  <si>
    <t>050138683165</t>
  </si>
  <si>
    <t>PHAM THI TRAM ANH</t>
  </si>
  <si>
    <t>050113230719</t>
  </si>
  <si>
    <t>PHAM THI BONG</t>
  </si>
  <si>
    <t>050140885603</t>
  </si>
  <si>
    <t>LE THI HANG</t>
  </si>
  <si>
    <t>050040933031</t>
  </si>
  <si>
    <t>TO MY TRANG</t>
  </si>
  <si>
    <t>050040932817</t>
  </si>
  <si>
    <t>DO THI HANH PHUC</t>
  </si>
  <si>
    <t>050040966045</t>
  </si>
  <si>
    <t>NGUYEN THUY VU THAO</t>
  </si>
  <si>
    <t>050040932868</t>
  </si>
  <si>
    <t>LA THI HUE</t>
  </si>
  <si>
    <t>050040934704</t>
  </si>
  <si>
    <t>NGUYEN THI LE HANG</t>
  </si>
  <si>
    <t>050040967084</t>
  </si>
  <si>
    <t>LE THI LIEN</t>
  </si>
  <si>
    <t>050040964069</t>
  </si>
  <si>
    <t>VO THI HONG TIEN</t>
  </si>
  <si>
    <t>050040933198</t>
  </si>
  <si>
    <t>TRAN THI HOANG OANH</t>
  </si>
  <si>
    <t>050098252107</t>
  </si>
  <si>
    <t>LE THI PHUONG</t>
  </si>
  <si>
    <t>050099760726</t>
  </si>
  <si>
    <t>NGUYEN THANH SANG</t>
  </si>
  <si>
    <t>050135731258</t>
  </si>
  <si>
    <t>PHAM TRUONG GIANG</t>
  </si>
  <si>
    <t>050040825433</t>
  </si>
  <si>
    <t>NGUYEN VAN TAI</t>
  </si>
  <si>
    <t>050106514248</t>
  </si>
  <si>
    <t>DOAN VAN MINH</t>
  </si>
  <si>
    <t>050106626003</t>
  </si>
  <si>
    <t>PHAN THI HEN</t>
  </si>
  <si>
    <t>050108563394</t>
  </si>
  <si>
    <t>PHAN DAI HOC</t>
  </si>
  <si>
    <t>050110223517</t>
  </si>
  <si>
    <t>NGUYEN THI THU DUNG</t>
  </si>
  <si>
    <t>050042471681</t>
  </si>
  <si>
    <t>THACH THI XA QUI</t>
  </si>
  <si>
    <t>050093971164</t>
  </si>
  <si>
    <t>DANG THI KIM LIEN</t>
  </si>
  <si>
    <t>050112496308</t>
  </si>
  <si>
    <t>DIEU THI HONG UYEN</t>
  </si>
  <si>
    <t>050116651073</t>
  </si>
  <si>
    <t>BUI VAN SINH</t>
  </si>
  <si>
    <t>050114056429</t>
  </si>
  <si>
    <t>NGUYEN THI PHUNG</t>
  </si>
  <si>
    <t>050048099596</t>
  </si>
  <si>
    <t>DIEU BANG</t>
  </si>
  <si>
    <t>050116653068</t>
  </si>
  <si>
    <t>NGUYEN THI KIM YEN</t>
  </si>
  <si>
    <t>050069829462</t>
  </si>
  <si>
    <t>NGO VAN KHA</t>
  </si>
  <si>
    <t>050114273373</t>
  </si>
  <si>
    <t>KIEU MINH CHI</t>
  </si>
  <si>
    <t>050119246056</t>
  </si>
  <si>
    <t>HUYNH NGOC TUAN</t>
  </si>
  <si>
    <t>050131564152</t>
  </si>
  <si>
    <t>PHAN THI OANH</t>
  </si>
  <si>
    <t>050132089490</t>
  </si>
  <si>
    <t>PHAM THI NGOC ANH</t>
  </si>
  <si>
    <t>050040792985</t>
  </si>
  <si>
    <t>NGUYEN THI KIM MY</t>
  </si>
  <si>
    <t>050045647509</t>
  </si>
  <si>
    <t>TRAN THI HOANG THUONG</t>
  </si>
  <si>
    <t>050112035203</t>
  </si>
  <si>
    <t>THACH THI THUY TIEN</t>
  </si>
  <si>
    <t>050121173341</t>
  </si>
  <si>
    <t>DU VAN QUANG</t>
  </si>
  <si>
    <t>050040825638</t>
  </si>
  <si>
    <t>PHAN PHI LONG</t>
  </si>
  <si>
    <t>050051931286</t>
  </si>
  <si>
    <t>NGUYEN THI KIM TUYEN</t>
  </si>
  <si>
    <t>050040932795</t>
  </si>
  <si>
    <t>LAM THI NHU QUYNH</t>
  </si>
  <si>
    <t>050135776944</t>
  </si>
  <si>
    <t>HUYNH VAN HOI</t>
  </si>
  <si>
    <t>050812130424</t>
  </si>
  <si>
    <t>TRAN THI BICH PHUONG</t>
  </si>
  <si>
    <t>050866999671</t>
  </si>
  <si>
    <t>PHAM THI PHUONG DUNG</t>
  </si>
  <si>
    <t>050040846465</t>
  </si>
  <si>
    <t>LE THI LUU</t>
  </si>
  <si>
    <t>050040849324</t>
  </si>
  <si>
    <t>NGUYEN THI HONG</t>
  </si>
  <si>
    <t>050056814377</t>
  </si>
  <si>
    <t>NGUYEN BA CHAT</t>
  </si>
  <si>
    <t>050073798334</t>
  </si>
  <si>
    <t>NGUYEN KIM THO</t>
  </si>
  <si>
    <t>050099761056</t>
  </si>
  <si>
    <t>TRAN THI BE</t>
  </si>
  <si>
    <t>050096625836</t>
  </si>
  <si>
    <t>NGUYEN MINH LINH</t>
  </si>
  <si>
    <t>050103659709</t>
  </si>
  <si>
    <t>NGUYEN THI HONG THUAN</t>
  </si>
  <si>
    <t>050040933090</t>
  </si>
  <si>
    <t>DOAN THI HIEU LOAN</t>
  </si>
  <si>
    <t>050153746262</t>
  </si>
  <si>
    <t>NGUYEN THI LIEN</t>
  </si>
  <si>
    <t>050040965057</t>
  </si>
  <si>
    <t>TRAN VAN NHAN</t>
  </si>
  <si>
    <t>050040817023</t>
  </si>
  <si>
    <t>DONG THI THU HIEN</t>
  </si>
  <si>
    <t>050040958301</t>
  </si>
  <si>
    <t>NGUYEN THI CAM TIEN</t>
  </si>
  <si>
    <t>050040965758</t>
  </si>
  <si>
    <t>NGUYEN THI TUYET NGAN</t>
  </si>
  <si>
    <t>050127345462</t>
  </si>
  <si>
    <t>DANG VU THAO HUYEN</t>
  </si>
  <si>
    <t>050120705986</t>
  </si>
  <si>
    <t>PHAM THI THU THUONG</t>
  </si>
  <si>
    <t>050135011281</t>
  </si>
  <si>
    <t>KHIEU THI HOANG VAN</t>
  </si>
  <si>
    <t>050074107580</t>
  </si>
  <si>
    <t>HA NGUYEN TAN TRUNG</t>
  </si>
  <si>
    <t>050968075690</t>
  </si>
  <si>
    <t>DO THI NGA</t>
  </si>
  <si>
    <t>050040966088</t>
  </si>
  <si>
    <t>HUYNH VAN MAU TAM</t>
  </si>
  <si>
    <t>050042516527</t>
  </si>
  <si>
    <t>NGUYEN NGOC TUNG</t>
  </si>
  <si>
    <t>050131181482</t>
  </si>
  <si>
    <t>LE THANH HIEN</t>
  </si>
  <si>
    <t>050122289671</t>
  </si>
  <si>
    <t>LE VAN NHO</t>
  </si>
  <si>
    <t>050151637091</t>
  </si>
  <si>
    <t>NGUYEN LUONG THANH</t>
  </si>
  <si>
    <t>050153655054</t>
  </si>
  <si>
    <t>KEO DINH THANH</t>
  </si>
  <si>
    <t>050108198653</t>
  </si>
  <si>
    <t>NGUYEN CHINH TIN</t>
  </si>
  <si>
    <t>050051381723</t>
  </si>
  <si>
    <t>DUONG KIM DO</t>
  </si>
  <si>
    <t>050153623608</t>
  </si>
  <si>
    <t>HO VINH BINH</t>
  </si>
  <si>
    <t>050094096895</t>
  </si>
  <si>
    <t>TRAN THI THAO SUONG</t>
  </si>
  <si>
    <t>050155274732</t>
  </si>
  <si>
    <t>NGUYEN MANH HUNG</t>
  </si>
  <si>
    <t>050093875998</t>
  </si>
  <si>
    <t>VO THI THANH VAN</t>
  </si>
  <si>
    <t>050130754136</t>
  </si>
  <si>
    <t>LUU THI THU HA</t>
  </si>
  <si>
    <t>050116972929</t>
  </si>
  <si>
    <t>DAM VAN LONG</t>
  </si>
  <si>
    <t>050153900131</t>
  </si>
  <si>
    <t>CHAU KHAC CUONG</t>
  </si>
  <si>
    <t>050040786225</t>
  </si>
  <si>
    <t>QUACH VAN HIEN</t>
  </si>
  <si>
    <t>050058821966</t>
  </si>
  <si>
    <t>PHAN HO HAI</t>
  </si>
  <si>
    <t>050126776729</t>
  </si>
  <si>
    <t>TRAN VAN DUNG</t>
  </si>
  <si>
    <t>050040819042</t>
  </si>
  <si>
    <t>VO MINH THU</t>
  </si>
  <si>
    <t>050040902543</t>
  </si>
  <si>
    <t>LE VAN MANH</t>
  </si>
  <si>
    <t>050092771250</t>
  </si>
  <si>
    <t>MAI DINH TOAN</t>
  </si>
  <si>
    <t>050054953930</t>
  </si>
  <si>
    <t>DO MINH TRI</t>
  </si>
  <si>
    <t>050127733225</t>
  </si>
  <si>
    <t>LE THANH HAI</t>
  </si>
  <si>
    <t>050112250287</t>
  </si>
  <si>
    <t>NGUYEN LE LAI</t>
  </si>
  <si>
    <t>050144011039</t>
  </si>
  <si>
    <t>NGUYEN THANH TUAN</t>
  </si>
  <si>
    <t>050117955912</t>
  </si>
  <si>
    <t>LAM VAN XOM</t>
  </si>
  <si>
    <t>0834289556</t>
  </si>
  <si>
    <t>NGUYEN THANH TAM</t>
  </si>
  <si>
    <t>050155273221</t>
  </si>
  <si>
    <t>PHAN MINH THANH</t>
  </si>
  <si>
    <t>050106514132</t>
  </si>
  <si>
    <t>LE TIEN PHUC</t>
  </si>
  <si>
    <t>050158103033</t>
  </si>
  <si>
    <t>LE VAN DINH</t>
  </si>
  <si>
    <t>050075311939</t>
  </si>
  <si>
    <t>DUONG QUOC HUYNH</t>
  </si>
  <si>
    <t>050040931667</t>
  </si>
  <si>
    <t>DIEU DONG</t>
  </si>
  <si>
    <t>050040931330</t>
  </si>
  <si>
    <t>LE HUU NHAN</t>
  </si>
  <si>
    <t>050087500796</t>
  </si>
  <si>
    <t>MAI THI BUOI</t>
  </si>
  <si>
    <t>050040874388</t>
  </si>
  <si>
    <t>NGUYEN QUANG LINH</t>
  </si>
  <si>
    <t>050123002102</t>
  </si>
  <si>
    <t>DIEU TRUNG THANH</t>
  </si>
  <si>
    <t>050040935875</t>
  </si>
  <si>
    <t>NGUYEN THI KIM</t>
  </si>
  <si>
    <t>050040931802</t>
  </si>
  <si>
    <t>BUI VAN HAI</t>
  </si>
  <si>
    <t>050077957100</t>
  </si>
  <si>
    <t>LE VAN HUNG</t>
  </si>
  <si>
    <t>050070598237</t>
  </si>
  <si>
    <t>DO MINH TAM</t>
  </si>
  <si>
    <t>050040874280</t>
  </si>
  <si>
    <t>TRAN PHUOC BINH</t>
  </si>
  <si>
    <t>050119574517</t>
  </si>
  <si>
    <t>NGUYEN VAN NGUYEN</t>
  </si>
  <si>
    <t>050046467253</t>
  </si>
  <si>
    <t>DO THANH CONG</t>
  </si>
  <si>
    <t>050119639422</t>
  </si>
  <si>
    <t>NGUYEN PHUONG BINH</t>
  </si>
  <si>
    <t>050074546721</t>
  </si>
  <si>
    <t>BUI VAN CO</t>
  </si>
  <si>
    <t>050112168203</t>
  </si>
  <si>
    <t>NGUYEN VAN HUNG</t>
  </si>
  <si>
    <t>050119781660</t>
  </si>
  <si>
    <t>DUONG QUOC ANH</t>
  </si>
  <si>
    <t>050126611703</t>
  </si>
  <si>
    <t>PHAN QUOC HUNG</t>
  </si>
  <si>
    <t>050088729193</t>
  </si>
  <si>
    <t>LAM DIEU DUONG</t>
  </si>
  <si>
    <t>0962582741</t>
  </si>
  <si>
    <t>LY TIET THANG</t>
  </si>
  <si>
    <t>050412062005</t>
  </si>
  <si>
    <t>DO VAN NAM</t>
  </si>
  <si>
    <t>050129179918</t>
  </si>
  <si>
    <t>TRAN THIEN TAM</t>
  </si>
  <si>
    <t>053113082002</t>
  </si>
  <si>
    <t>NGUYEN THANH LUAN</t>
  </si>
  <si>
    <t>050088394582</t>
  </si>
  <si>
    <t>TA KHANH DUY</t>
  </si>
  <si>
    <t>050120336948</t>
  </si>
  <si>
    <t>LE VAN THU</t>
  </si>
  <si>
    <t>050040870684</t>
  </si>
  <si>
    <t>DIEU THANH HAI</t>
  </si>
  <si>
    <t>050087500397</t>
  </si>
  <si>
    <t>TRUONG MANH HUNG</t>
  </si>
  <si>
    <t>050036745867</t>
  </si>
  <si>
    <t>PHAM VAN TUAN</t>
  </si>
  <si>
    <t>050106938250</t>
  </si>
  <si>
    <t>LE QUOC VIET</t>
  </si>
  <si>
    <t>050135501211</t>
  </si>
  <si>
    <t>LE VAN AN TOAN</t>
  </si>
  <si>
    <t>050151523282</t>
  </si>
  <si>
    <t>NGUYEN HOANG HUY</t>
  </si>
  <si>
    <t>050151504946</t>
  </si>
  <si>
    <t>DIEU TRUNG NGHIA</t>
  </si>
  <si>
    <t>050077956716</t>
  </si>
  <si>
    <t>VU VAN KY</t>
  </si>
  <si>
    <t>050053265313</t>
  </si>
  <si>
    <t>BUI HUU THUONG</t>
  </si>
  <si>
    <t>050150918186</t>
  </si>
  <si>
    <t>HOANG VAN HA</t>
  </si>
  <si>
    <t>050116653025</t>
  </si>
  <si>
    <t>NGUYEN VAN CHAT</t>
  </si>
  <si>
    <t>050153703271</t>
  </si>
  <si>
    <t>A LAI</t>
  </si>
  <si>
    <t>050158170946</t>
  </si>
  <si>
    <t>NGUYEN VAN CUONG</t>
  </si>
  <si>
    <t>050067349455</t>
  </si>
  <si>
    <t>DIEU BO</t>
  </si>
  <si>
    <t>050155020072</t>
  </si>
  <si>
    <t>HO MINH HAO</t>
  </si>
  <si>
    <t>050087500443</t>
  </si>
  <si>
    <t>MAI VAN THO</t>
  </si>
  <si>
    <t>050060274778</t>
  </si>
  <si>
    <t>PHAN THANH PHONG</t>
  </si>
  <si>
    <t>050139281311</t>
  </si>
  <si>
    <t>NGUYEN XUAN NGO</t>
  </si>
  <si>
    <t>050120050017</t>
  </si>
  <si>
    <t>VU THI XUAN</t>
  </si>
  <si>
    <t>050104425590</t>
  </si>
  <si>
    <t>THI KIM TIEN</t>
  </si>
  <si>
    <t>050154831557</t>
  </si>
  <si>
    <t>NGUYEN LAM HAO</t>
  </si>
  <si>
    <t>050108683578</t>
  </si>
  <si>
    <t>TRAN VAN TAN</t>
  </si>
  <si>
    <t>050326701941</t>
  </si>
  <si>
    <t>DIEU CANH</t>
  </si>
  <si>
    <t>050111391022</t>
  </si>
  <si>
    <t>SON THANH</t>
  </si>
  <si>
    <t>050119623070</t>
  </si>
  <si>
    <t>TRAN THI KIM LOAN</t>
  </si>
  <si>
    <t>050079859432</t>
  </si>
  <si>
    <t>TRAN ANH TAI</t>
  </si>
  <si>
    <t>050120475451</t>
  </si>
  <si>
    <t>LUU THI LAN</t>
  </si>
  <si>
    <t>050040820490</t>
  </si>
  <si>
    <t>DO MINH HIEU</t>
  </si>
  <si>
    <t>050096235248</t>
  </si>
  <si>
    <t>NGO VAN KIET</t>
  </si>
  <si>
    <t>050134596950</t>
  </si>
  <si>
    <t>NGUYEN MINH HOANG</t>
  </si>
  <si>
    <t>050082294632</t>
  </si>
  <si>
    <t>TRAN HUY SON</t>
  </si>
  <si>
    <t>050138535417</t>
  </si>
  <si>
    <t>NGUYEN HOANG PHI</t>
  </si>
  <si>
    <t>050091458443</t>
  </si>
  <si>
    <t>LE NGUYEN ANH TUAN</t>
  </si>
  <si>
    <t>060280565582</t>
  </si>
  <si>
    <t>LAM XAM BO</t>
  </si>
  <si>
    <t>050150993757</t>
  </si>
  <si>
    <t>NGUYEN VAN QUY</t>
  </si>
  <si>
    <t>056516061983</t>
  </si>
  <si>
    <t>TRAN VIET HUNG</t>
  </si>
  <si>
    <t>050040934208</t>
  </si>
  <si>
    <t>NGUYEN HONG PHONG</t>
  </si>
  <si>
    <t>050046448798</t>
  </si>
  <si>
    <t>PHAN THANH TAI</t>
  </si>
  <si>
    <t>050133092762</t>
  </si>
  <si>
    <t>PHAN THANH TUNG</t>
  </si>
  <si>
    <t>050091458168</t>
  </si>
  <si>
    <t>LE BINH DONG</t>
  </si>
  <si>
    <t>050151296154</t>
  </si>
  <si>
    <t>DO NHAT MINH</t>
  </si>
  <si>
    <t>050127714611</t>
  </si>
  <si>
    <t>PHAN VAN TUAN</t>
  </si>
  <si>
    <t>050118111701</t>
  </si>
  <si>
    <t>HOANG VAN CHANH</t>
  </si>
  <si>
    <t>050133508985</t>
  </si>
  <si>
    <t>NGUYEN VAN TIEN</t>
  </si>
  <si>
    <t>050040934321</t>
  </si>
  <si>
    <t>LE VAN DIEM</t>
  </si>
  <si>
    <t>050075311904</t>
  </si>
  <si>
    <t>NGUYEN ANH TAI</t>
  </si>
  <si>
    <t>050055721871</t>
  </si>
  <si>
    <t>PHAM MINH TRI</t>
  </si>
  <si>
    <t>050124616351</t>
  </si>
  <si>
    <t>NGUYEN VAN HIEU</t>
  </si>
  <si>
    <t>050143874351</t>
  </si>
  <si>
    <t>LUU THANH MINH</t>
  </si>
  <si>
    <t>050057039741</t>
  </si>
  <si>
    <t>NGUYEN THI THANH MY</t>
  </si>
  <si>
    <t>050040823201</t>
  </si>
  <si>
    <t>TRAN VAN HOAI</t>
  </si>
  <si>
    <t>050040818690</t>
  </si>
  <si>
    <t>BUI THI YEN THU</t>
  </si>
  <si>
    <t>050066285429</t>
  </si>
  <si>
    <t>LE VAN KHOE</t>
  </si>
  <si>
    <t>050040934399</t>
  </si>
  <si>
    <t>DAM THI THUY</t>
  </si>
  <si>
    <t>050040820369</t>
  </si>
  <si>
    <t>VAN THI VU THUONG</t>
  </si>
  <si>
    <t>050040823015</t>
  </si>
  <si>
    <t>LE THI CAM NHUNG</t>
  </si>
  <si>
    <t>050153430923</t>
  </si>
  <si>
    <t>HUYNH THI THU HUONG</t>
  </si>
  <si>
    <t>050133547131</t>
  </si>
  <si>
    <t>VO THI BICH NGOC</t>
  </si>
  <si>
    <t>HUYNH MAU BAY</t>
  </si>
  <si>
    <t>050040931926</t>
  </si>
  <si>
    <t>LE MONG HANG</t>
  </si>
  <si>
    <t>050040924237</t>
  </si>
  <si>
    <t>VU THI PHUONG</t>
  </si>
  <si>
    <t>050040932450</t>
  </si>
  <si>
    <t>LE THI HUYNH NHU</t>
  </si>
  <si>
    <t>050127733071</t>
  </si>
  <si>
    <t>NGUYEN THI NGOC LAN</t>
  </si>
  <si>
    <t>050040931748</t>
  </si>
  <si>
    <t>NGUYEN THI THU</t>
  </si>
  <si>
    <t>050092772011</t>
  </si>
  <si>
    <t>PHAN NGOC HUONG</t>
  </si>
  <si>
    <t>050046861172</t>
  </si>
  <si>
    <t>THI KIM CHI</t>
  </si>
  <si>
    <t>050075395121</t>
  </si>
  <si>
    <t>TRAN THI MY XUYEN</t>
  </si>
  <si>
    <t>050152427945</t>
  </si>
  <si>
    <t>HUYNH THI CAM TIEN</t>
  </si>
  <si>
    <t>050152439722</t>
  </si>
  <si>
    <t>PHAM VAN GIAO</t>
  </si>
  <si>
    <t>050152324471</t>
  </si>
  <si>
    <t>050153202742</t>
  </si>
  <si>
    <t>DIEU PHUOC</t>
  </si>
  <si>
    <t>0969384261</t>
  </si>
  <si>
    <t>050040932612</t>
  </si>
  <si>
    <t>LE THI KIEU OANH</t>
  </si>
  <si>
    <t>050126635394</t>
  </si>
  <si>
    <t>PHAM THI MINH HIEN</t>
  </si>
  <si>
    <t>050041002007</t>
  </si>
  <si>
    <t>TRAN THI TRINH TUY</t>
  </si>
  <si>
    <t>050040932574</t>
  </si>
  <si>
    <t>PHAM THI PHUONG THAO</t>
  </si>
  <si>
    <t>050060848227</t>
  </si>
  <si>
    <t>LE THI THEM</t>
  </si>
  <si>
    <t>050073841523</t>
  </si>
  <si>
    <t>LE THI THANH GIAU</t>
  </si>
  <si>
    <t>050117707560</t>
  </si>
  <si>
    <t>NGUYEN THI THU TRANG</t>
  </si>
  <si>
    <t>050106514078</t>
  </si>
  <si>
    <t>LE THI TRANG</t>
  </si>
  <si>
    <t>050126082654</t>
  </si>
  <si>
    <t>TRAN THI THUY QUYEN</t>
  </si>
  <si>
    <t>050126544380</t>
  </si>
  <si>
    <t>DU THI NHUNG</t>
  </si>
  <si>
    <t>050128517410</t>
  </si>
  <si>
    <t>LE THI NGOC THAO</t>
  </si>
  <si>
    <t>050128086053</t>
  </si>
  <si>
    <t>DANG THI ALYNA</t>
  </si>
  <si>
    <t>050143585112</t>
  </si>
  <si>
    <t>NGUYEN THI THANH HIEN</t>
  </si>
  <si>
    <t>050044163672</t>
  </si>
  <si>
    <t>TRAN THI TUYEN TRINH</t>
  </si>
  <si>
    <t>050111835850</t>
  </si>
  <si>
    <t>LUONG THI KIM HUE</t>
  </si>
  <si>
    <t>050056222275</t>
  </si>
  <si>
    <t>TRAN THI THOA</t>
  </si>
  <si>
    <t>050063533006</t>
  </si>
  <si>
    <t>TRAN THI VAN CHI</t>
  </si>
  <si>
    <t>050040931373</t>
  </si>
  <si>
    <t>NGUYEN THI THANH</t>
  </si>
  <si>
    <t>050040931454</t>
  </si>
  <si>
    <t>TRAN THI VAN PHUONG</t>
  </si>
  <si>
    <t>050040931284</t>
  </si>
  <si>
    <t>HOANG THI CUC</t>
  </si>
  <si>
    <t>050042476363</t>
  </si>
  <si>
    <t>THI THAM</t>
  </si>
  <si>
    <t>050076195304</t>
  </si>
  <si>
    <t>TRAN THI NHUNG</t>
  </si>
  <si>
    <t>050076206217</t>
  </si>
  <si>
    <t>NGUYEN THUY TIEN</t>
  </si>
  <si>
    <t>050135679302</t>
  </si>
  <si>
    <t>VO THI MY DUNG</t>
  </si>
  <si>
    <t>050143874416</t>
  </si>
  <si>
    <t>TRAN MINH PHAT</t>
  </si>
  <si>
    <t>050143874386</t>
  </si>
  <si>
    <t>LE THI YEN</t>
  </si>
  <si>
    <t>050150910878</t>
  </si>
  <si>
    <t>NGUYEN THI NGOC XUAN</t>
  </si>
  <si>
    <t>050153752157</t>
  </si>
  <si>
    <t>DANG THI KIM HOA</t>
  </si>
  <si>
    <t>050085003809</t>
  </si>
  <si>
    <t>DANG THI THU TRUYEN</t>
  </si>
  <si>
    <t>050115839095</t>
  </si>
  <si>
    <t>NGO THI BAO CHAU</t>
  </si>
  <si>
    <t>050113031015</t>
  </si>
  <si>
    <t>VO ANH QUAN</t>
  </si>
  <si>
    <t>050127502975</t>
  </si>
  <si>
    <t>NGUYEN VAN TOAN</t>
  </si>
  <si>
    <t>050063552851</t>
  </si>
  <si>
    <t>LAM VAN RON</t>
  </si>
  <si>
    <t>050109870177</t>
  </si>
  <si>
    <t>DO THANH HAI</t>
  </si>
  <si>
    <t>050152960260</t>
  </si>
  <si>
    <t>TRAN THI HOANG YEN</t>
  </si>
  <si>
    <t>050126086595</t>
  </si>
  <si>
    <t>NGUYEN VAN NGHIEP</t>
  </si>
  <si>
    <t>050098252190</t>
  </si>
  <si>
    <t>050155538357</t>
  </si>
  <si>
    <t>VU THANH CHUNG</t>
  </si>
  <si>
    <t>050129505246</t>
  </si>
  <si>
    <t>050157974881</t>
  </si>
  <si>
    <t>NGUYEN VAN KIEN</t>
  </si>
  <si>
    <t>050065220757</t>
  </si>
  <si>
    <t>LE THI ANH THU</t>
  </si>
  <si>
    <t>050103659792</t>
  </si>
  <si>
    <t>NGUYEN QUANG DUC</t>
  </si>
  <si>
    <t>050116651243</t>
  </si>
  <si>
    <t>NGUYEN TUAN KIET</t>
  </si>
  <si>
    <t>050123002005</t>
  </si>
  <si>
    <t>QUACH NGOC KIM THU</t>
  </si>
  <si>
    <t>050151290903</t>
  </si>
  <si>
    <t>NGUYEN TRONG NGHIA</t>
  </si>
  <si>
    <t>050102386083</t>
  </si>
  <si>
    <t>VO THI THANH NGAN</t>
  </si>
  <si>
    <t>050116653531</t>
  </si>
  <si>
    <t>LE THANH SANG</t>
  </si>
  <si>
    <t>050151740178</t>
  </si>
  <si>
    <t>HOANG THI CA</t>
  </si>
  <si>
    <t>050116653051</t>
  </si>
  <si>
    <t>HOANG THI SANG</t>
  </si>
  <si>
    <t>050155983989</t>
  </si>
  <si>
    <t>THI PHUONG</t>
  </si>
  <si>
    <t>050042567466</t>
  </si>
  <si>
    <t>CHAU THI HONG YEN</t>
  </si>
  <si>
    <t>050156266725</t>
  </si>
  <si>
    <t>LE SY HOA</t>
  </si>
  <si>
    <t>050131296050</t>
  </si>
  <si>
    <t>PHAM THI CAM CHAU</t>
  </si>
  <si>
    <t>050113873490</t>
  </si>
  <si>
    <t>TRAN THI THUY</t>
  </si>
  <si>
    <t>050040932426</t>
  </si>
  <si>
    <t>PHAM THUY HONG</t>
  </si>
  <si>
    <t>050040936030</t>
  </si>
  <si>
    <t>HO THI VAN</t>
  </si>
  <si>
    <t>050040936049</t>
  </si>
  <si>
    <t>LE THI THUY HANG</t>
  </si>
  <si>
    <t>050040856657</t>
  </si>
  <si>
    <t>050040854336</t>
  </si>
  <si>
    <t>HOANG THI NGOC BINH</t>
  </si>
  <si>
    <t>050040936121</t>
  </si>
  <si>
    <t>THI TUYET</t>
  </si>
  <si>
    <t>050070010523</t>
  </si>
  <si>
    <t>CHAU THI BACH TUYET</t>
  </si>
  <si>
    <t>050042466996</t>
  </si>
  <si>
    <t>VO THI DUNG MY</t>
  </si>
  <si>
    <t>050139639143</t>
  </si>
  <si>
    <t>NGUYEN MINH LUAN</t>
  </si>
  <si>
    <t>050134828711</t>
  </si>
  <si>
    <t>NGUYEN THI CHUNG</t>
  </si>
  <si>
    <t>050040863521</t>
  </si>
  <si>
    <t>LAM SA NEN</t>
  </si>
  <si>
    <t>050113388622</t>
  </si>
  <si>
    <t>NGUYEN NGOC LAM</t>
  </si>
  <si>
    <t>058201012004</t>
  </si>
  <si>
    <t>NGUYEN THI THU HOA</t>
  </si>
  <si>
    <t>050154087831</t>
  </si>
  <si>
    <t>NGUYEN LE THUY VY</t>
  </si>
  <si>
    <t>050155758721</t>
  </si>
  <si>
    <t>VO THI SANG</t>
  </si>
  <si>
    <t>050067514898</t>
  </si>
  <si>
    <t>LE THI THIEN</t>
  </si>
  <si>
    <t>050040870846</t>
  </si>
  <si>
    <t>NGUYEN THI THUY</t>
  </si>
  <si>
    <t>050040870633</t>
  </si>
  <si>
    <t>VU THI LIEN</t>
  </si>
  <si>
    <t>050040927309</t>
  </si>
  <si>
    <t>TRAN VAN LUONG</t>
  </si>
  <si>
    <t>050126082662</t>
  </si>
  <si>
    <t>VO THI NGUYEN</t>
  </si>
  <si>
    <t>050117912547</t>
  </si>
  <si>
    <t>050135503522</t>
  </si>
  <si>
    <t>THI SVIN</t>
  </si>
  <si>
    <t>050109387581</t>
  </si>
  <si>
    <t>TRUONG THI HAU</t>
  </si>
  <si>
    <t>050157151913</t>
  </si>
  <si>
    <t>VU THI THU HA</t>
  </si>
  <si>
    <t>050040927465</t>
  </si>
  <si>
    <t>VO THI HONG GAM</t>
  </si>
  <si>
    <t>050040852147</t>
  </si>
  <si>
    <t>HO THI LIEN</t>
  </si>
  <si>
    <t>050040931357</t>
  </si>
  <si>
    <t>LE THI THU HANG</t>
  </si>
  <si>
    <t>050040845515</t>
  </si>
  <si>
    <t>VU THI THAO</t>
  </si>
  <si>
    <t>050040931462</t>
  </si>
  <si>
    <t>HO THI NGUYET</t>
  </si>
  <si>
    <t>050040934161</t>
  </si>
  <si>
    <t>VU THI HAU</t>
  </si>
  <si>
    <t>050067513395</t>
  </si>
  <si>
    <t>PHAN THI BICH THUY</t>
  </si>
  <si>
    <t>050082787957</t>
  </si>
  <si>
    <t>NGUYEN HOAI BAO</t>
  </si>
  <si>
    <t>050087243084</t>
  </si>
  <si>
    <t>THI UT HOA</t>
  </si>
  <si>
    <t>050088947311</t>
  </si>
  <si>
    <t>THI THAO</t>
  </si>
  <si>
    <t>050088948308</t>
  </si>
  <si>
    <t>PHAM MINH HIEU</t>
  </si>
  <si>
    <t>050095313156</t>
  </si>
  <si>
    <t>LE TRUNG HOA</t>
  </si>
  <si>
    <t>050095670651</t>
  </si>
  <si>
    <t>NGUYEN MANH TIEN</t>
  </si>
  <si>
    <t>050103659334</t>
  </si>
  <si>
    <t>VU THI TRA MY</t>
  </si>
  <si>
    <t>050108107518</t>
  </si>
  <si>
    <t>LE NGUYEN THUY DUNG</t>
  </si>
  <si>
    <t>050117707048</t>
  </si>
  <si>
    <t>NGUYEN THI TAM</t>
  </si>
  <si>
    <t>050127345888</t>
  </si>
  <si>
    <t>NGUYEN MINH TAM</t>
  </si>
  <si>
    <t>050155725564</t>
  </si>
  <si>
    <t>NGUYEN LAN VY</t>
  </si>
  <si>
    <t>050155393405</t>
  </si>
  <si>
    <t>CAO THI TU</t>
  </si>
  <si>
    <t>050040851991</t>
  </si>
  <si>
    <t>TRUONG MINH KHAI</t>
  </si>
  <si>
    <t>050111254394</t>
  </si>
  <si>
    <t>TRIEU VAN TAM</t>
  </si>
  <si>
    <t>050845186039</t>
  </si>
  <si>
    <t>VU THI THU THAO</t>
  </si>
  <si>
    <t>050124144288</t>
  </si>
  <si>
    <t>DUONG THI THANH NHI</t>
  </si>
  <si>
    <t>050040852211</t>
  </si>
  <si>
    <t>TRAN THI HONG HANH</t>
  </si>
  <si>
    <t>050040852198</t>
  </si>
  <si>
    <t>050040795771</t>
  </si>
  <si>
    <t>LUU THI THANH MY</t>
  </si>
  <si>
    <t>050040871648</t>
  </si>
  <si>
    <t>NHIN DO NGOC TIEN</t>
  </si>
  <si>
    <t>050040851973</t>
  </si>
  <si>
    <t>050054823921</t>
  </si>
  <si>
    <t>THI HANG</t>
  </si>
  <si>
    <t>050049176314</t>
  </si>
  <si>
    <t>PHAN TRUC LINH</t>
  </si>
  <si>
    <t>050103660121</t>
  </si>
  <si>
    <t>THI NGAN</t>
  </si>
  <si>
    <t>050103659131</t>
  </si>
  <si>
    <t>HOANG PHUOC THANG</t>
  </si>
  <si>
    <t>050106614838</t>
  </si>
  <si>
    <t>QUACH THI HOA</t>
  </si>
  <si>
    <t>050103659490</t>
  </si>
  <si>
    <t>THI THANH NGA</t>
  </si>
  <si>
    <t>050068040482</t>
  </si>
  <si>
    <t>DO THI THAI</t>
  </si>
  <si>
    <t>050106514086</t>
  </si>
  <si>
    <t>VO HOAI THU</t>
  </si>
  <si>
    <t>060219118883</t>
  </si>
  <si>
    <t>VO THI NGOC CUC</t>
  </si>
  <si>
    <t>050018990137</t>
  </si>
  <si>
    <t>LE HUU PHU</t>
  </si>
  <si>
    <t>050050274532</t>
  </si>
  <si>
    <t>HOANG VAN THUY</t>
  </si>
  <si>
    <t>050128255394</t>
  </si>
  <si>
    <t>NGUYEN THI NGAN THANH</t>
  </si>
  <si>
    <t>050129683470</t>
  </si>
  <si>
    <t>DO QUANG TRUC</t>
  </si>
  <si>
    <t>050118111335</t>
  </si>
  <si>
    <t>NGUYEN DINH CUONG</t>
  </si>
  <si>
    <t>050139639216</t>
  </si>
  <si>
    <t>CHAU THI HONG NHIEN</t>
  </si>
  <si>
    <t>050138191203</t>
  </si>
  <si>
    <t>DANG THI HOAI THUONG</t>
  </si>
  <si>
    <t>050121340167</t>
  </si>
  <si>
    <t>HUYNH THI THANH HANG</t>
  </si>
  <si>
    <t>050091850671</t>
  </si>
  <si>
    <t>HUYNH THI NGOC THU</t>
  </si>
  <si>
    <t>050155964518</t>
  </si>
  <si>
    <t>HUYNH THI HUONG</t>
  </si>
  <si>
    <t>0392227807</t>
  </si>
  <si>
    <t>DANG THI DUNG</t>
  </si>
  <si>
    <t>050040927503</t>
  </si>
  <si>
    <t>HUYNH THI NHUNG</t>
  </si>
  <si>
    <t>050040852112</t>
  </si>
  <si>
    <t>TRUONG THI THAI</t>
  </si>
  <si>
    <t>050040931160</t>
  </si>
  <si>
    <t>BUI THI ANH HONG</t>
  </si>
  <si>
    <t>050040796018</t>
  </si>
  <si>
    <t>DO THI THAM</t>
  </si>
  <si>
    <t>050067514928</t>
  </si>
  <si>
    <t>VO THI NHA PHUONG</t>
  </si>
  <si>
    <t>050040795811</t>
  </si>
  <si>
    <t>BUI THI THAO</t>
  </si>
  <si>
    <t>050032872392</t>
  </si>
  <si>
    <t>DANG PHAN HONG VAN</t>
  </si>
  <si>
    <t>050082309559</t>
  </si>
  <si>
    <t>NGUYEN THI TY</t>
  </si>
  <si>
    <t>050040902217</t>
  </si>
  <si>
    <t>TRAN THI SA</t>
  </si>
  <si>
    <t>050115373657</t>
  </si>
  <si>
    <t>NGUYEN THI THANH NHAN</t>
  </si>
  <si>
    <t>050124667639</t>
  </si>
  <si>
    <t>LE NGOC LUA</t>
  </si>
  <si>
    <t>050117070041</t>
  </si>
  <si>
    <t>VIEN THI NGOC</t>
  </si>
  <si>
    <t>050040832316</t>
  </si>
  <si>
    <t>KSOR BUIH</t>
  </si>
  <si>
    <t>050137313496</t>
  </si>
  <si>
    <t>MAI THANH TAI</t>
  </si>
  <si>
    <t>050121173856</t>
  </si>
  <si>
    <t>TRAN VAN LONG</t>
  </si>
  <si>
    <t>050153175877</t>
  </si>
  <si>
    <t>TO THI CUC MAI</t>
  </si>
  <si>
    <t>050202022005</t>
  </si>
  <si>
    <t>DO HOAI HAN</t>
  </si>
  <si>
    <t>056409022006</t>
  </si>
  <si>
    <t>THI LIEN</t>
  </si>
  <si>
    <t>050040845418</t>
  </si>
  <si>
    <t>LE THI DAO</t>
  </si>
  <si>
    <t>050040934593</t>
  </si>
  <si>
    <t>PHAN THI BICH</t>
  </si>
  <si>
    <t>050079012121</t>
  </si>
  <si>
    <t>050087243076</t>
  </si>
  <si>
    <t>HO THI BONG</t>
  </si>
  <si>
    <t>050056785989</t>
  </si>
  <si>
    <t>NGUYEN NGOC ANH</t>
  </si>
  <si>
    <t>050103659067</t>
  </si>
  <si>
    <t>050103659075</t>
  </si>
  <si>
    <t>DIEU SON</t>
  </si>
  <si>
    <t>050106514388</t>
  </si>
  <si>
    <t>HO THI NHA</t>
  </si>
  <si>
    <t>050103659032</t>
  </si>
  <si>
    <t>PHAN NHAT HOANG</t>
  </si>
  <si>
    <t>050103659482</t>
  </si>
  <si>
    <t>LE ANH VU</t>
  </si>
  <si>
    <t>050106621176</t>
  </si>
  <si>
    <t>NGUYEN THI HOANG</t>
  </si>
  <si>
    <t>050127672560</t>
  </si>
  <si>
    <t>HO THI THIET</t>
  </si>
  <si>
    <t>050040936022</t>
  </si>
  <si>
    <t>DUONG TAN PHUOC</t>
  </si>
  <si>
    <t>050121702387</t>
  </si>
  <si>
    <t>NGUYEN THANH HAI</t>
  </si>
  <si>
    <t>050137738497</t>
  </si>
  <si>
    <t>NGUYEN THI KIM PHUONG</t>
  </si>
  <si>
    <t>050067841082</t>
  </si>
  <si>
    <t>NGUYEN THI MY THU</t>
  </si>
  <si>
    <t>050139072240</t>
  </si>
  <si>
    <t>VO TRAN TAN LOC</t>
  </si>
  <si>
    <t>050389907877</t>
  </si>
  <si>
    <t>NGUYEN THI MY DUYEN</t>
  </si>
  <si>
    <t>050122461812</t>
  </si>
  <si>
    <t>NGUYEN CA THI</t>
  </si>
  <si>
    <t>050147898999</t>
  </si>
  <si>
    <t>DIEU LINH EM</t>
  </si>
  <si>
    <t>050143746639</t>
  </si>
  <si>
    <t>HUYNH THI MONG THU</t>
  </si>
  <si>
    <t>050152268022</t>
  </si>
  <si>
    <t>LUU THI THUY HA</t>
  </si>
  <si>
    <t>050053941068</t>
  </si>
  <si>
    <t>TRAN VAN XUAN</t>
  </si>
  <si>
    <t>050153477865</t>
  </si>
  <si>
    <t>LE THI CAM TU</t>
  </si>
  <si>
    <t>050156858789</t>
  </si>
  <si>
    <t>TRAN THI PHUONG HUYEN</t>
  </si>
  <si>
    <t>050153069570</t>
  </si>
  <si>
    <t>VU THI MINH</t>
  </si>
  <si>
    <t>050114267594</t>
  </si>
  <si>
    <t>DAO TAN HUNG</t>
  </si>
  <si>
    <t>050327557739</t>
  </si>
  <si>
    <t>HA THI THUY</t>
  </si>
  <si>
    <t>050040936073</t>
  </si>
  <si>
    <t>TRAN THI THUY DUONG</t>
  </si>
  <si>
    <t>050031004982</t>
  </si>
  <si>
    <t>BUI THI MUI</t>
  </si>
  <si>
    <t>050040936081</t>
  </si>
  <si>
    <t>TRUONG VU PHONG</t>
  </si>
  <si>
    <t>LE THI HA</t>
  </si>
  <si>
    <t>050070968433</t>
  </si>
  <si>
    <t>PHAN VU KHAC</t>
  </si>
  <si>
    <t>050106514159</t>
  </si>
  <si>
    <t>SIU H BON</t>
  </si>
  <si>
    <t>050108107615</t>
  </si>
  <si>
    <t>NAY QUANG</t>
  </si>
  <si>
    <t>050108107501</t>
  </si>
  <si>
    <t>PHAM THI HOA</t>
  </si>
  <si>
    <t>050040901970</t>
  </si>
  <si>
    <t>NGUYEN THANH HUNG</t>
  </si>
  <si>
    <t>050040902527</t>
  </si>
  <si>
    <t>TRAN THI NHANH</t>
  </si>
  <si>
    <t>050040901946</t>
  </si>
  <si>
    <t>PHAN THI NHU QUYNH</t>
  </si>
  <si>
    <t>050077160172</t>
  </si>
  <si>
    <t>DU THI MONG NGAN</t>
  </si>
  <si>
    <t>050040832431</t>
  </si>
  <si>
    <t>BUI THI HOAN</t>
  </si>
  <si>
    <t>050062085662</t>
  </si>
  <si>
    <t>Y THANH HIEN</t>
  </si>
  <si>
    <t>050155781091</t>
  </si>
  <si>
    <t>050059804631</t>
  </si>
  <si>
    <t>NGUYEN THUY LINH</t>
  </si>
  <si>
    <t>050157026280</t>
  </si>
  <si>
    <t>NGO SI THA</t>
  </si>
  <si>
    <t>050119607865</t>
  </si>
  <si>
    <t>BUI ANH KHANG</t>
  </si>
  <si>
    <t>050151558981</t>
  </si>
  <si>
    <t>TRAN THI DUNG</t>
  </si>
  <si>
    <t>050040902251</t>
  </si>
  <si>
    <t>THI NGUYET</t>
  </si>
  <si>
    <t>050040934690</t>
  </si>
  <si>
    <t>TRAN THI DUONG</t>
  </si>
  <si>
    <t>050040902837</t>
  </si>
  <si>
    <t>BUI THI THANH</t>
  </si>
  <si>
    <t>050040869287</t>
  </si>
  <si>
    <t>HO THI TINH</t>
  </si>
  <si>
    <t>050043961168</t>
  </si>
  <si>
    <t>VO THI MY LE</t>
  </si>
  <si>
    <t>050068235593</t>
  </si>
  <si>
    <t>DIEU THI MY</t>
  </si>
  <si>
    <t>050073342489</t>
  </si>
  <si>
    <t>DIEU THI YEN</t>
  </si>
  <si>
    <t>050059875581</t>
  </si>
  <si>
    <t>050098922064</t>
  </si>
  <si>
    <t>NGUYEN THI KIM PHUNG</t>
  </si>
  <si>
    <t>050098252220</t>
  </si>
  <si>
    <t>LE KHAC BON</t>
  </si>
  <si>
    <t>050066209285</t>
  </si>
  <si>
    <t>PHAM THI BICH TRANG</t>
  </si>
  <si>
    <t>050109871548</t>
  </si>
  <si>
    <t>LY THI NGOC LAN</t>
  </si>
  <si>
    <t>050105125884</t>
  </si>
  <si>
    <t>NIENG THI CLY</t>
  </si>
  <si>
    <t>050118301762</t>
  </si>
  <si>
    <t>THI NUONG</t>
  </si>
  <si>
    <t>050120391469</t>
  </si>
  <si>
    <t>NGUYEN THI THANH THAO</t>
  </si>
  <si>
    <t>050126082972</t>
  </si>
  <si>
    <t>THI MY</t>
  </si>
  <si>
    <t>050153459433</t>
  </si>
  <si>
    <t>PHUNG HUE NHU</t>
  </si>
  <si>
    <t>050158476190</t>
  </si>
  <si>
    <t>BUI THI NGOC YEN</t>
  </si>
  <si>
    <t>050040850969</t>
  </si>
  <si>
    <t>TRUONG THI CU</t>
  </si>
  <si>
    <t>050067513158</t>
  </si>
  <si>
    <t>NGUYEN THI XUAN</t>
  </si>
  <si>
    <t>050088957137</t>
  </si>
  <si>
    <t>NGUYEN THI NGOC HONG THAM</t>
  </si>
  <si>
    <t>050095313199</t>
  </si>
  <si>
    <t>VO THI KIM CHI</t>
  </si>
  <si>
    <t>050103659393</t>
  </si>
  <si>
    <t>LE VAN TAN</t>
  </si>
  <si>
    <t>050089661835</t>
  </si>
  <si>
    <t>DU QUOC AN</t>
  </si>
  <si>
    <t>050040849553</t>
  </si>
  <si>
    <t>DIEU DEN</t>
  </si>
  <si>
    <t>050087243122</t>
  </si>
  <si>
    <t>HO THANH TAN</t>
  </si>
  <si>
    <t>050087243068</t>
  </si>
  <si>
    <t>DIEU MY</t>
  </si>
  <si>
    <t>050087500461</t>
  </si>
  <si>
    <t>DIEU UT BE</t>
  </si>
  <si>
    <t>050091855841</t>
  </si>
  <si>
    <t>HUYNH TIEU BAO</t>
  </si>
  <si>
    <t>050098252085</t>
  </si>
  <si>
    <t>BUI TAN TAI</t>
  </si>
  <si>
    <t>050099643339</t>
  </si>
  <si>
    <t>NGUYEN CHI CONG</t>
  </si>
  <si>
    <t>050103660022</t>
  </si>
  <si>
    <t>TA TUAN ANH</t>
  </si>
  <si>
    <t>050096977228</t>
  </si>
  <si>
    <t>DO VAN HONG PHONG</t>
  </si>
  <si>
    <t>050046448801</t>
  </si>
  <si>
    <t>THAI THI TUYET DAO</t>
  </si>
  <si>
    <t>050041001930</t>
  </si>
  <si>
    <t>LY THI KIM CHI</t>
  </si>
  <si>
    <t>050040860972</t>
  </si>
  <si>
    <t>TRAN THI CAM LINH</t>
  </si>
  <si>
    <t>050040871311</t>
  </si>
  <si>
    <t>VO NGOC MINH</t>
  </si>
  <si>
    <t>050056441473</t>
  </si>
  <si>
    <t>DOAN THI THUY VY</t>
  </si>
  <si>
    <t>050121836049</t>
  </si>
  <si>
    <t>HA THI MONG BINH</t>
  </si>
  <si>
    <t>050120866335</t>
  </si>
  <si>
    <t>NGUYEN HIEN CHUONG</t>
  </si>
  <si>
    <t>050121351592</t>
  </si>
  <si>
    <t>TRAN TUAN BAO</t>
  </si>
  <si>
    <t>050128255963</t>
  </si>
  <si>
    <t>050129038931</t>
  </si>
  <si>
    <t>NGUYEN THI NGOC HUYNH</t>
  </si>
  <si>
    <t>050155392883</t>
  </si>
  <si>
    <t>KPA H MAI LY</t>
  </si>
  <si>
    <t>050122316073</t>
  </si>
  <si>
    <t>NGUYEN THI ANH NGUYET</t>
  </si>
  <si>
    <t>050108107526</t>
  </si>
  <si>
    <t>PHAM THI KHANH</t>
  </si>
  <si>
    <t>050040850918</t>
  </si>
  <si>
    <t>LE THI THANH XUAN</t>
  </si>
  <si>
    <t>050103660197</t>
  </si>
  <si>
    <t>NGUYEN THANH LIEM</t>
  </si>
  <si>
    <t>050095670511</t>
  </si>
  <si>
    <t>DO THI VAN</t>
  </si>
  <si>
    <t>050048183686</t>
  </si>
  <si>
    <t>NGUYEN XUAN DANG</t>
  </si>
  <si>
    <t>060263994100</t>
  </si>
  <si>
    <t>NGUYEN THI THIEN KIEU</t>
  </si>
  <si>
    <t>050055353041</t>
  </si>
  <si>
    <t>NGO THI TAM</t>
  </si>
  <si>
    <t>050155812467</t>
  </si>
  <si>
    <t>050040796239</t>
  </si>
  <si>
    <t>TRAN THI THUY TRANG</t>
  </si>
  <si>
    <t>050040795933</t>
  </si>
  <si>
    <t>BUI TRAN CHIN</t>
  </si>
  <si>
    <t>050066264669</t>
  </si>
  <si>
    <t>VU VAN LUAN</t>
  </si>
  <si>
    <t>050040796352</t>
  </si>
  <si>
    <t>MAI VAN BOI</t>
  </si>
  <si>
    <t>050116196058</t>
  </si>
  <si>
    <t>LE THI HAO</t>
  </si>
  <si>
    <t>050055489235</t>
  </si>
  <si>
    <t>LE THO THIET</t>
  </si>
  <si>
    <t>050040998516</t>
  </si>
  <si>
    <t>PHAM VU HOANG LONG</t>
  </si>
  <si>
    <t>050046448402</t>
  </si>
  <si>
    <t>HOANG THI DAN</t>
  </si>
  <si>
    <t>050050562163</t>
  </si>
  <si>
    <t>NGUYEN THI HANH</t>
  </si>
  <si>
    <t>050040795364</t>
  </si>
  <si>
    <t>LUU THI MY DUNG</t>
  </si>
  <si>
    <t>050153731354</t>
  </si>
  <si>
    <t>DO THI TRINH</t>
  </si>
  <si>
    <t>050040851671</t>
  </si>
  <si>
    <t>NGUYEN THI NGOC LOAN</t>
  </si>
  <si>
    <t>050040875155</t>
  </si>
  <si>
    <t>KIEU THI PHUONG</t>
  </si>
  <si>
    <t>050040876356</t>
  </si>
  <si>
    <t>BUI KHAC THO</t>
  </si>
  <si>
    <t>050068550901</t>
  </si>
  <si>
    <t>LE NGOC DUC</t>
  </si>
  <si>
    <t>050061804851</t>
  </si>
  <si>
    <t>LE THANH LOC</t>
  </si>
  <si>
    <t>050121174313</t>
  </si>
  <si>
    <t>LE THI HONG BUOC</t>
  </si>
  <si>
    <t>060260778504</t>
  </si>
  <si>
    <t>NGO THI THANH NGUYEN</t>
  </si>
  <si>
    <t>050146573212</t>
  </si>
  <si>
    <t>DUONG VAN KHANH</t>
  </si>
  <si>
    <t>050040825166</t>
  </si>
  <si>
    <t>LE MANH HA</t>
  </si>
  <si>
    <t>050063604051</t>
  </si>
  <si>
    <t>DO VAN TUAN</t>
  </si>
  <si>
    <t>050040818437</t>
  </si>
  <si>
    <t>NGUYEN HOANG HUNG</t>
  </si>
  <si>
    <t>050102541763</t>
  </si>
  <si>
    <t>HOANG TUNG LAM</t>
  </si>
  <si>
    <t>050133727083</t>
  </si>
  <si>
    <t>KIEU VIET YEN</t>
  </si>
  <si>
    <t>050097814251</t>
  </si>
  <si>
    <t>PHAN DUY MANH</t>
  </si>
  <si>
    <t>053795822305</t>
  </si>
  <si>
    <t>LUONG TAI HIEU</t>
  </si>
  <si>
    <t>050041002058</t>
  </si>
  <si>
    <t>NGUYEN MINH CANH</t>
  </si>
  <si>
    <t>050040825093</t>
  </si>
  <si>
    <t>PHAN THI KHANH HOA</t>
  </si>
  <si>
    <t>050040846937</t>
  </si>
  <si>
    <t>HO TRONG THUY</t>
  </si>
  <si>
    <t>050040821810</t>
  </si>
  <si>
    <t>PHAM VAN KY</t>
  </si>
  <si>
    <t>050040825948</t>
  </si>
  <si>
    <t>DANG VAN TRUNG</t>
  </si>
  <si>
    <t>050040935921</t>
  </si>
  <si>
    <t>LE TAN BAO</t>
  </si>
  <si>
    <t>050040829943</t>
  </si>
  <si>
    <t>NGUYEN THI HIEN</t>
  </si>
  <si>
    <t>050041002112</t>
  </si>
  <si>
    <t>NGUYEN MINH TONG</t>
  </si>
  <si>
    <t>050067513182</t>
  </si>
  <si>
    <t>TRAN THANG LONG</t>
  </si>
  <si>
    <t>050073583281</t>
  </si>
  <si>
    <t>LAM LAY</t>
  </si>
  <si>
    <t>050087500885</t>
  </si>
  <si>
    <t>NGUYEN HOAI NAM</t>
  </si>
  <si>
    <t>050070731425</t>
  </si>
  <si>
    <t>NGUYEN THI DIEU HIEN</t>
  </si>
  <si>
    <t>050104743576</t>
  </si>
  <si>
    <t>VO THI NGOC HA</t>
  </si>
  <si>
    <t>050080498656</t>
  </si>
  <si>
    <t>LE THI MY LINH</t>
  </si>
  <si>
    <t>050109861976</t>
  </si>
  <si>
    <t>LE THI MO</t>
  </si>
  <si>
    <t>050148899352</t>
  </si>
  <si>
    <t>DINH THUY DUNG</t>
  </si>
  <si>
    <t>054103062001</t>
  </si>
  <si>
    <t>PHAM THI NGOC BICH</t>
  </si>
  <si>
    <t>050034253886</t>
  </si>
  <si>
    <t>NGUYEN TAN TAI</t>
  </si>
  <si>
    <t>050043183904</t>
  </si>
  <si>
    <t>DIEU DIU</t>
  </si>
  <si>
    <t>050093230482</t>
  </si>
  <si>
    <t>PHAM VAN KHOI</t>
  </si>
  <si>
    <t>050098025178</t>
  </si>
  <si>
    <t>NGUYEN THI NGOAN</t>
  </si>
  <si>
    <t>050113873504</t>
  </si>
  <si>
    <t>LE THI MY DUYEN</t>
  </si>
  <si>
    <t>050119454538</t>
  </si>
  <si>
    <t>DANG THI THUY</t>
  </si>
  <si>
    <t>050120050254</t>
  </si>
  <si>
    <t>HOANG MINH CON</t>
  </si>
  <si>
    <t>050073798350</t>
  </si>
  <si>
    <t>PHAN LAM TUONG</t>
  </si>
  <si>
    <t>050121173351</t>
  </si>
  <si>
    <t>LE VU BAO TUYEN</t>
  </si>
  <si>
    <t>050121145003</t>
  </si>
  <si>
    <t>NGUYEN THAO NGAN</t>
  </si>
  <si>
    <t>070106701340</t>
  </si>
  <si>
    <t>HUYNH ANH THUONG</t>
  </si>
  <si>
    <t>050119368925</t>
  </si>
  <si>
    <t>DAO THI DIEM CHI</t>
  </si>
  <si>
    <t>050128443867</t>
  </si>
  <si>
    <t>HOANG THI NHAT LINH</t>
  </si>
  <si>
    <t>050138650739</t>
  </si>
  <si>
    <t>NONG THI NGA</t>
  </si>
  <si>
    <t>060258379279</t>
  </si>
  <si>
    <t>DUONG NGOC TRONG</t>
  </si>
  <si>
    <t>050138654580</t>
  </si>
  <si>
    <t>NGUYEN THI THU THAO</t>
  </si>
  <si>
    <t>050132576091</t>
  </si>
  <si>
    <t>HOANG THI CANH</t>
  </si>
  <si>
    <t>050087243319</t>
  </si>
  <si>
    <t>LAM EM</t>
  </si>
  <si>
    <t>050103660154</t>
  </si>
  <si>
    <t>THI THE</t>
  </si>
  <si>
    <t>050092203589</t>
  </si>
  <si>
    <t>PHAM THI TAM</t>
  </si>
  <si>
    <t>050106513942</t>
  </si>
  <si>
    <t>DOAN TRUONG DAI</t>
  </si>
  <si>
    <t>050156247631</t>
  </si>
  <si>
    <t>PHAN VAN DUONG</t>
  </si>
  <si>
    <t>050040934429</t>
  </si>
  <si>
    <t>NGUYEN THI HOAI THU</t>
  </si>
  <si>
    <t>050066207649</t>
  </si>
  <si>
    <t>LAM THI THU</t>
  </si>
  <si>
    <t>050040850691</t>
  </si>
  <si>
    <t>DOAN VAN NAM</t>
  </si>
  <si>
    <t>050040816558</t>
  </si>
  <si>
    <t>TRAN THI TAM</t>
  </si>
  <si>
    <t>050040829102</t>
  </si>
  <si>
    <t>LE THI NGA</t>
  </si>
  <si>
    <t>050040851205</t>
  </si>
  <si>
    <t>DO THI KIM ANH</t>
  </si>
  <si>
    <t>050040935484</t>
  </si>
  <si>
    <t>PHAN TAN VINH</t>
  </si>
  <si>
    <t>050099643738</t>
  </si>
  <si>
    <t>PHAM NGOC TAN</t>
  </si>
  <si>
    <t>050087815185</t>
  </si>
  <si>
    <t>LUU THI DIEU TRINH</t>
  </si>
  <si>
    <t>050103659814</t>
  </si>
  <si>
    <t>HOANG VAN TOAN</t>
  </si>
  <si>
    <t>050103659377</t>
  </si>
  <si>
    <t>050121174291</t>
  </si>
  <si>
    <t>NGUYEN NGOC NHU Y</t>
  </si>
  <si>
    <t>050135075210</t>
  </si>
  <si>
    <t>TRAN VAN TAI</t>
  </si>
  <si>
    <t>057111061999</t>
  </si>
  <si>
    <t>THUONG THI THANH TRUC</t>
  </si>
  <si>
    <t>050126321012</t>
  </si>
  <si>
    <t>HOANG THI KIM PHUONG</t>
  </si>
  <si>
    <t>050040796522</t>
  </si>
  <si>
    <t>VO THI HUONG</t>
  </si>
  <si>
    <t>050041002163</t>
  </si>
  <si>
    <t>NGUYEN HUNG THAM</t>
  </si>
  <si>
    <t>050040796212</t>
  </si>
  <si>
    <t>PHAN THANH TUU</t>
  </si>
  <si>
    <t>050040795895</t>
  </si>
  <si>
    <t>DOAN THI KIM NHUNG</t>
  </si>
  <si>
    <t>050040795984</t>
  </si>
  <si>
    <t>NGUYEN VAN LUC</t>
  </si>
  <si>
    <t>050117176727</t>
  </si>
  <si>
    <t>HOANG VAN HOAN</t>
  </si>
  <si>
    <t>050040831549</t>
  </si>
  <si>
    <t>PHAM KHAC TRUNG</t>
  </si>
  <si>
    <t>050115341607</t>
  </si>
  <si>
    <t>NGUYEN THI HONG YEN</t>
  </si>
  <si>
    <t>050078214195</t>
  </si>
  <si>
    <t>CHAU NGOC ANH DUY</t>
  </si>
  <si>
    <t>050127859164</t>
  </si>
  <si>
    <t>VI VAN TUAN</t>
  </si>
  <si>
    <t>050140521601</t>
  </si>
  <si>
    <t>PHAM DUY QUANG</t>
  </si>
  <si>
    <t>050128214043</t>
  </si>
  <si>
    <t>050040831336</t>
  </si>
  <si>
    <t>TO DUY HUNG</t>
  </si>
  <si>
    <t>050040831298</t>
  </si>
  <si>
    <t>DUONG VAN UY</t>
  </si>
  <si>
    <t>050040831239</t>
  </si>
  <si>
    <t>LE HOANG</t>
  </si>
  <si>
    <t>050114669791</t>
  </si>
  <si>
    <t>PHAM THANH BANG</t>
  </si>
  <si>
    <t>050103659539</t>
  </si>
  <si>
    <t>BUI THI NGA</t>
  </si>
  <si>
    <t>050078773909</t>
  </si>
  <si>
    <t>HO THI VINH</t>
  </si>
  <si>
    <t>050063340951</t>
  </si>
  <si>
    <t>TRAN THI THU THUY</t>
  </si>
  <si>
    <t>050115309282</t>
  </si>
  <si>
    <t>050106506784</t>
  </si>
  <si>
    <t>VO THI XUAN ANH</t>
  </si>
  <si>
    <t>050136133801</t>
  </si>
  <si>
    <t>HO THI THANH TAM</t>
  </si>
  <si>
    <t>050063346389</t>
  </si>
  <si>
    <t>PHAN THI NGOC ANH</t>
  </si>
  <si>
    <t>050040796441</t>
  </si>
  <si>
    <t>NGUYEN THI THU GIANG</t>
  </si>
  <si>
    <t>050040796492</t>
  </si>
  <si>
    <t>HA THI LUONG</t>
  </si>
  <si>
    <t>050042517965</t>
  </si>
  <si>
    <t>TRAN THI TU</t>
  </si>
  <si>
    <t>050040795836</t>
  </si>
  <si>
    <t>TRAN THI DIEU HIEN</t>
  </si>
  <si>
    <t>050040817678</t>
  </si>
  <si>
    <t>DO TIEN TIEN</t>
  </si>
  <si>
    <t>050090526682</t>
  </si>
  <si>
    <t>TRINH NGOC BINH</t>
  </si>
  <si>
    <t>050074206619</t>
  </si>
  <si>
    <t>TRUONG THE THONG</t>
  </si>
  <si>
    <t>050105128344</t>
  </si>
  <si>
    <t>TRAN HOANG HIEP</t>
  </si>
  <si>
    <t>050119422385</t>
  </si>
  <si>
    <t>PHAM HUU TRUNG</t>
  </si>
  <si>
    <t>050040849367</t>
  </si>
  <si>
    <t>HUYNH DUY QUOC</t>
  </si>
  <si>
    <t>050052443978</t>
  </si>
  <si>
    <t>050097086874</t>
  </si>
  <si>
    <t>NGUYEN VAN LINH</t>
  </si>
  <si>
    <t>050035678236</t>
  </si>
  <si>
    <t>VO THANH TOAN</t>
  </si>
  <si>
    <t>050103658941</t>
  </si>
  <si>
    <t>HUYNH THI TUONG VY</t>
  </si>
  <si>
    <t>050047062877</t>
  </si>
  <si>
    <t>TRAN VAN TIEN</t>
  </si>
  <si>
    <t>050040874140</t>
  </si>
  <si>
    <t>LE NGOC HUNG</t>
  </si>
  <si>
    <t>050040823368</t>
  </si>
  <si>
    <t>050127387920</t>
  </si>
  <si>
    <t>SON ANH DO</t>
  </si>
  <si>
    <t>050108107550</t>
  </si>
  <si>
    <t>LE THI THU HIEN</t>
  </si>
  <si>
    <t>NGUYEN THI HONG HOA</t>
  </si>
  <si>
    <t>050065045701</t>
  </si>
  <si>
    <t>050040817724</t>
  </si>
  <si>
    <t>LE THI LAN HUONG</t>
  </si>
  <si>
    <t>050047953550</t>
  </si>
  <si>
    <t>TRAN PHAM TUAN ANH</t>
  </si>
  <si>
    <t>050112343765</t>
  </si>
  <si>
    <t>NGUYEN THI KIM TRANG</t>
  </si>
  <si>
    <t>050113381581</t>
  </si>
  <si>
    <t>VU THI HANH</t>
  </si>
  <si>
    <t>050109384795</t>
  </si>
  <si>
    <t>VU THI MY HANH</t>
  </si>
  <si>
    <t>050124525192</t>
  </si>
  <si>
    <t>050059645096</t>
  </si>
  <si>
    <t>PHAM NGOC DUNG</t>
  </si>
  <si>
    <t>050121532171</t>
  </si>
  <si>
    <t>NGUYEN NHAT TRUNG</t>
  </si>
  <si>
    <t>050158401050</t>
  </si>
  <si>
    <t>LE THI NGOC NGA</t>
  </si>
  <si>
    <t>050040817171</t>
  </si>
  <si>
    <t>NGUYEN HOANG MINH THU</t>
  </si>
  <si>
    <t>050099643053</t>
  </si>
  <si>
    <t>VO HONG NGOC</t>
  </si>
  <si>
    <t>050143854423</t>
  </si>
  <si>
    <t>LE THI THANH HOAI</t>
  </si>
  <si>
    <t>050040812511</t>
  </si>
  <si>
    <t>NGUYEN THAI QUOC</t>
  </si>
  <si>
    <t>050063551098</t>
  </si>
  <si>
    <t>TRUONG THI NGOC DUNG</t>
  </si>
  <si>
    <t>050077160032</t>
  </si>
  <si>
    <t>HO THI THU THAO</t>
  </si>
  <si>
    <t>050096813829</t>
  </si>
  <si>
    <t>NGUYEN DINH QUAN</t>
  </si>
  <si>
    <t>050040796050</t>
  </si>
  <si>
    <t>TRAN THI THANH LAM</t>
  </si>
  <si>
    <t>050115373517</t>
  </si>
  <si>
    <t>NGUYEN THI MONG CAM</t>
  </si>
  <si>
    <t>050075421254</t>
  </si>
  <si>
    <t>NGUYEN CONG TAI</t>
  </si>
  <si>
    <t>050135058741</t>
  </si>
  <si>
    <t>TRAN THI HUONG</t>
  </si>
  <si>
    <t>050040796514</t>
  </si>
  <si>
    <t>TRINH NGUYEN ANH KHOA</t>
  </si>
  <si>
    <t>050156032538</t>
  </si>
  <si>
    <t>NGUYEN THI SINH</t>
  </si>
  <si>
    <t>050040931731</t>
  </si>
  <si>
    <t>NGO DOAN THUY</t>
  </si>
  <si>
    <t>050128639362</t>
  </si>
  <si>
    <t>LE THI XOAN</t>
  </si>
  <si>
    <t>030040244294</t>
  </si>
  <si>
    <t>TRINH HUU DUC</t>
  </si>
  <si>
    <t>055405112000</t>
  </si>
  <si>
    <t>HO THI THANH THOA</t>
  </si>
  <si>
    <t>050065073681</t>
  </si>
  <si>
    <t>NGO PHU CUONG</t>
  </si>
  <si>
    <t>050118169937</t>
  </si>
  <si>
    <t>NGUYEN CHAU THINH</t>
  </si>
  <si>
    <t>050148899344</t>
  </si>
  <si>
    <t>DO THI THANH TU</t>
  </si>
  <si>
    <t>050053264864</t>
  </si>
  <si>
    <t>HOANG THI SEN</t>
  </si>
  <si>
    <t>050040932371</t>
  </si>
  <si>
    <t>DIEU THI THU</t>
  </si>
  <si>
    <t>050091458321</t>
  </si>
  <si>
    <t>PHAM NGOC KHANG</t>
  </si>
  <si>
    <t>050080012141</t>
  </si>
  <si>
    <t>HA THI THU HA</t>
  </si>
  <si>
    <t>050091892844</t>
  </si>
  <si>
    <t>VO NIEN THAO</t>
  </si>
  <si>
    <t>050153927305</t>
  </si>
  <si>
    <t>BUI DUY TIEN</t>
  </si>
  <si>
    <t>060235498157</t>
  </si>
  <si>
    <t>050040824674</t>
  </si>
  <si>
    <t>050040851701</t>
  </si>
  <si>
    <t>DAO THI TRAM</t>
  </si>
  <si>
    <t>050040931055</t>
  </si>
  <si>
    <t>LE THI NHA CA</t>
  </si>
  <si>
    <t>050040850391</t>
  </si>
  <si>
    <t>050043080234</t>
  </si>
  <si>
    <t>NGUYEN THI BAO QUYEN</t>
  </si>
  <si>
    <t>050068233183</t>
  </si>
  <si>
    <t>PHAM THI HOAI</t>
  </si>
  <si>
    <t>050100616006</t>
  </si>
  <si>
    <t>050116750292</t>
  </si>
  <si>
    <t>HOANG LE MINH KHANH</t>
  </si>
  <si>
    <t>050128179566</t>
  </si>
  <si>
    <t>LE VAN THO</t>
  </si>
  <si>
    <t>050087243270</t>
  </si>
  <si>
    <t>LE THI HIEP</t>
  </si>
  <si>
    <t>050058077302</t>
  </si>
  <si>
    <t>HOANG THI THU HANG</t>
  </si>
  <si>
    <t>050115134083</t>
  </si>
  <si>
    <t>VU THI NGOC HUYEN</t>
  </si>
  <si>
    <t>050095864195</t>
  </si>
  <si>
    <t>050121161696</t>
  </si>
  <si>
    <t>NGUYEN THANH LONG</t>
  </si>
  <si>
    <t>050039646411</t>
  </si>
  <si>
    <t>HONG THI THU THUY</t>
  </si>
  <si>
    <t>050121702662</t>
  </si>
  <si>
    <t>LE VAN DA</t>
  </si>
  <si>
    <t>050097640571</t>
  </si>
  <si>
    <t>NGUYEN DUC LUONG</t>
  </si>
  <si>
    <t>050040934623</t>
  </si>
  <si>
    <t>PHAM THI THANH THANH</t>
  </si>
  <si>
    <t>050040933902</t>
  </si>
  <si>
    <t>TRAN DANG HAO</t>
  </si>
  <si>
    <t>050122741572</t>
  </si>
  <si>
    <t>HO THI THANH TRUC</t>
  </si>
  <si>
    <t>050040845450</t>
  </si>
  <si>
    <t>KIEU QUOC MINH</t>
  </si>
  <si>
    <t>050040851728</t>
  </si>
  <si>
    <t>PHAN VAN DOC</t>
  </si>
  <si>
    <t>050020215507</t>
  </si>
  <si>
    <t>NGUYEN DANG HOANG</t>
  </si>
  <si>
    <t>050112507725</t>
  </si>
  <si>
    <t>NGUYEN DINH BAO</t>
  </si>
  <si>
    <t>050129283456</t>
  </si>
  <si>
    <t>DOAN MINH TAM</t>
  </si>
  <si>
    <t>050040831417</t>
  </si>
  <si>
    <t>NGUYEN VAN PHUC</t>
  </si>
  <si>
    <t>050140630060</t>
  </si>
  <si>
    <t>HO MANH HOANG</t>
  </si>
  <si>
    <t>050040831654</t>
  </si>
  <si>
    <t>QUAN HONG VAN</t>
  </si>
  <si>
    <t>050117429331</t>
  </si>
  <si>
    <t>050044122305</t>
  </si>
  <si>
    <t>VO THI THANH LOAN</t>
  </si>
  <si>
    <t>050140211912</t>
  </si>
  <si>
    <t>LE THI THU HOA</t>
  </si>
  <si>
    <t>050116800321</t>
  </si>
  <si>
    <t>NGUYEN THI LE</t>
  </si>
  <si>
    <t>050040796611</t>
  </si>
  <si>
    <t>NGUYEN THI THUY HANG</t>
  </si>
  <si>
    <t>050090478408</t>
  </si>
  <si>
    <t>NGUYEN THANH SON</t>
  </si>
  <si>
    <t>050090476855</t>
  </si>
  <si>
    <t>NGUYEN NGOC SON</t>
  </si>
  <si>
    <t>050120366383</t>
  </si>
  <si>
    <t>TRAN THI THU HIEN</t>
  </si>
  <si>
    <t>050072622641</t>
  </si>
  <si>
    <t>CHAU THANH TUNG</t>
  </si>
  <si>
    <t>050118804802</t>
  </si>
  <si>
    <t>PHAM THI KIEU OANH</t>
  </si>
  <si>
    <t>050113753908</t>
  </si>
  <si>
    <t>NGUYEN THI NGOC THUY</t>
  </si>
  <si>
    <t>050158477081</t>
  </si>
  <si>
    <t>DOAN VAN VANG</t>
  </si>
  <si>
    <t>050087500011</t>
  </si>
  <si>
    <t>050083467697</t>
  </si>
  <si>
    <t>NGUYEN THI THU HONG</t>
  </si>
  <si>
    <t>050056732206</t>
  </si>
  <si>
    <t>PHAM THI TU</t>
  </si>
  <si>
    <t>050029026111</t>
  </si>
  <si>
    <t>HO THI HOAI</t>
  </si>
  <si>
    <t>050055353287</t>
  </si>
  <si>
    <t>TRAN VAN VU</t>
  </si>
  <si>
    <t>060153700292</t>
  </si>
  <si>
    <t>NGUYEN THI MAI LAN</t>
  </si>
  <si>
    <t>050040874051</t>
  </si>
  <si>
    <t>LE VAN TUNG</t>
  </si>
  <si>
    <t>050040827231</t>
  </si>
  <si>
    <t>TRAN THI BICH</t>
  </si>
  <si>
    <t>050043052842</t>
  </si>
  <si>
    <t>DO QUOC BAO</t>
  </si>
  <si>
    <t>050068121016</t>
  </si>
  <si>
    <t>ROAN VAN HOA</t>
  </si>
  <si>
    <t>050041004387</t>
  </si>
  <si>
    <t>TRAN THI THANH THAO</t>
  </si>
  <si>
    <t>050131611584</t>
  </si>
  <si>
    <t>TRAN VAN NHAT</t>
  </si>
  <si>
    <t>050123122566</t>
  </si>
  <si>
    <t>VU VAN DUNG</t>
  </si>
  <si>
    <t>050054732578</t>
  </si>
  <si>
    <t>PHAN NGOC TUYEN</t>
  </si>
  <si>
    <t>050843043491</t>
  </si>
  <si>
    <t>LE THI TRANG LY</t>
  </si>
  <si>
    <t>050040966215</t>
  </si>
  <si>
    <t>NGUYEN THI KIM NGAN</t>
  </si>
  <si>
    <t>050104420521</t>
  </si>
  <si>
    <t>TU PHONG NHA</t>
  </si>
  <si>
    <t>050115373487</t>
  </si>
  <si>
    <t>TRAN TRONG NGHIA</t>
  </si>
  <si>
    <t>050116007999</t>
  </si>
  <si>
    <t>DO THIEN TAM</t>
  </si>
  <si>
    <t>050126082761</t>
  </si>
  <si>
    <t>PHAM VAN HUNG</t>
  </si>
  <si>
    <t>050134580231</t>
  </si>
  <si>
    <t>DIEU NGHENH</t>
  </si>
  <si>
    <t>050143384540</t>
  </si>
  <si>
    <t>TRUONG VAN THUYET</t>
  </si>
  <si>
    <t>050112723436</t>
  </si>
  <si>
    <t>LAM BUNG</t>
  </si>
  <si>
    <t>050068150474</t>
  </si>
  <si>
    <t>PHAM CHUNG KIEN</t>
  </si>
  <si>
    <t>050158900707</t>
  </si>
  <si>
    <t>DANG VAN UT</t>
  </si>
  <si>
    <t>050040832200</t>
  </si>
  <si>
    <t>NGUYEN THANH HONG</t>
  </si>
  <si>
    <t>050106514191</t>
  </si>
  <si>
    <t>PHAM TRUNG THANH</t>
  </si>
  <si>
    <t>050109986809</t>
  </si>
  <si>
    <t>NGUYEN BA TAM</t>
  </si>
  <si>
    <t>050067867715</t>
  </si>
  <si>
    <t>TRAN THANH PHONG</t>
  </si>
  <si>
    <t>050040849871</t>
  </si>
  <si>
    <t>LE VAN GA</t>
  </si>
  <si>
    <t>050116008103</t>
  </si>
  <si>
    <t>PHAM DUC LICH</t>
  </si>
  <si>
    <t>050116008091</t>
  </si>
  <si>
    <t>LE THANH THONG</t>
  </si>
  <si>
    <t>050117665681</t>
  </si>
  <si>
    <t>HOANG VAN ANH</t>
  </si>
  <si>
    <t>050103282508</t>
  </si>
  <si>
    <t>TRUONG NGUYEN DIEM</t>
  </si>
  <si>
    <t>050126849327</t>
  </si>
  <si>
    <t>MAO HUNG HUNG</t>
  </si>
  <si>
    <t>050029382937</t>
  </si>
  <si>
    <t>NGUYEN DINH HOAI</t>
  </si>
  <si>
    <t>050128235709</t>
  </si>
  <si>
    <t>PHAM QUANG DUC</t>
  </si>
  <si>
    <t>050128583545</t>
  </si>
  <si>
    <t>NGO QUOC DUNG</t>
  </si>
  <si>
    <t>050134580175</t>
  </si>
  <si>
    <t>DUONG THAI TAN</t>
  </si>
  <si>
    <t>050020202952</t>
  </si>
  <si>
    <t>HOANG VAN THANH</t>
  </si>
  <si>
    <t>050143873517</t>
  </si>
  <si>
    <t>PHAN TRONG TIEN</t>
  </si>
  <si>
    <t>050069199272</t>
  </si>
  <si>
    <t>LE VAN CUONG</t>
  </si>
  <si>
    <t>050109202328</t>
  </si>
  <si>
    <t>LE MINH HIEU</t>
  </si>
  <si>
    <t>050143994772</t>
  </si>
  <si>
    <t>TUONG VAN LAM</t>
  </si>
  <si>
    <t>050144848443</t>
  </si>
  <si>
    <t>NGUYEN HOANG LINH</t>
  </si>
  <si>
    <t>060215057723</t>
  </si>
  <si>
    <t>LE VAN LINH</t>
  </si>
  <si>
    <t>050120046801</t>
  </si>
  <si>
    <t>LAM VAN PHOI DAN</t>
  </si>
  <si>
    <t>050155600052</t>
  </si>
  <si>
    <t>NGUYEN VAN DUOC</t>
  </si>
  <si>
    <t>050155601547</t>
  </si>
  <si>
    <t>NGUYEN MINH TOAN</t>
  </si>
  <si>
    <t>050118663370</t>
  </si>
  <si>
    <t>HO HOAI DUONG</t>
  </si>
  <si>
    <t>050107310069</t>
  </si>
  <si>
    <t>NGO VAN LICH</t>
  </si>
  <si>
    <t>050040832464</t>
  </si>
  <si>
    <t>HO NAM KHANH</t>
  </si>
  <si>
    <t>050040852031</t>
  </si>
  <si>
    <t>NGUYEN TRONG HAI</t>
  </si>
  <si>
    <t>050081198656</t>
  </si>
  <si>
    <t>MAO HUNG HIEP</t>
  </si>
  <si>
    <t>050100024672</t>
  </si>
  <si>
    <t>NGUYEN VAN THANH</t>
  </si>
  <si>
    <t>050095670706</t>
  </si>
  <si>
    <t>PHAM THE DONG</t>
  </si>
  <si>
    <t>050099761048</t>
  </si>
  <si>
    <t>NGUYEN CONG TRU</t>
  </si>
  <si>
    <t>050106514175</t>
  </si>
  <si>
    <t>LE ANH SU</t>
  </si>
  <si>
    <t>050108371533</t>
  </si>
  <si>
    <t>LE VU DUONG</t>
  </si>
  <si>
    <t>050106514183</t>
  </si>
  <si>
    <t>NGUYEN VAN LANH</t>
  </si>
  <si>
    <t>050107263958</t>
  </si>
  <si>
    <t>DO VAN THAI</t>
  </si>
  <si>
    <t>050050582962</t>
  </si>
  <si>
    <t>TRAN TAN DAT</t>
  </si>
  <si>
    <t>050105128425</t>
  </si>
  <si>
    <t>NGUYEN TRONG CHIEU</t>
  </si>
  <si>
    <t>050121173473</t>
  </si>
  <si>
    <t>LE VAN NHI</t>
  </si>
  <si>
    <t>050069293491</t>
  </si>
  <si>
    <t>DUONG QUANG HUY</t>
  </si>
  <si>
    <t>050126191097</t>
  </si>
  <si>
    <t>LA HONG THI</t>
  </si>
  <si>
    <t>050114198452</t>
  </si>
  <si>
    <t>HUYNH VAN HAU</t>
  </si>
  <si>
    <t>050090128237</t>
  </si>
  <si>
    <t>PHAN QUANG HUY</t>
  </si>
  <si>
    <t>050153709741</t>
  </si>
  <si>
    <t>THANG VAN TET</t>
  </si>
  <si>
    <t>050136474501</t>
  </si>
  <si>
    <t>LE GIANG VI KHANH</t>
  </si>
  <si>
    <t>050154488100</t>
  </si>
  <si>
    <t>TRAN NGOC KHANH</t>
  </si>
  <si>
    <t>050081246065</t>
  </si>
  <si>
    <t>LE CHI LINH</t>
  </si>
  <si>
    <t>050153210321</t>
  </si>
  <si>
    <t>NGUYEN CHI CUONG</t>
  </si>
  <si>
    <t>050941375118</t>
  </si>
  <si>
    <t>KIEU QUOC TUAN</t>
  </si>
  <si>
    <t>050053004560</t>
  </si>
  <si>
    <t>CAO DINH KHANH</t>
  </si>
  <si>
    <t>050087500761</t>
  </si>
  <si>
    <t>NGUYEN NGOC THANG</t>
  </si>
  <si>
    <t>050049872922</t>
  </si>
  <si>
    <t>PHAM HOANG VU</t>
  </si>
  <si>
    <t>050091850467</t>
  </si>
  <si>
    <t>MAI THANH HAI</t>
  </si>
  <si>
    <t>050121373405</t>
  </si>
  <si>
    <t>VO MINH KHANG</t>
  </si>
  <si>
    <t>050112146714</t>
  </si>
  <si>
    <t>MAI LONG HAI</t>
  </si>
  <si>
    <t>050110058850</t>
  </si>
  <si>
    <t>NGUYEN NGOC PHUOC</t>
  </si>
  <si>
    <t>050060898380</t>
  </si>
  <si>
    <t>NGUYEN NGOC LIEN</t>
  </si>
  <si>
    <t>050143681774</t>
  </si>
  <si>
    <t>050151356254</t>
  </si>
  <si>
    <t>SIU E SAI</t>
  </si>
  <si>
    <t>050081796911</t>
  </si>
  <si>
    <t>PHAN ANH DUC</t>
  </si>
  <si>
    <t>050156047225</t>
  </si>
  <si>
    <t>CAO MINH NHUT</t>
  </si>
  <si>
    <t>050136196542</t>
  </si>
  <si>
    <t>NGUYEN DUY BAO</t>
  </si>
  <si>
    <t>050135409992</t>
  </si>
  <si>
    <t>NGUYEN CONG DANH</t>
  </si>
  <si>
    <t>050096742379</t>
  </si>
  <si>
    <t>NGUYEN THANH MINH NGHIA</t>
  </si>
  <si>
    <t>050158693647</t>
  </si>
  <si>
    <t>HOANG THANH DO</t>
  </si>
  <si>
    <t>050067092780</t>
  </si>
  <si>
    <t>050061079804</t>
  </si>
  <si>
    <t>TRAN XUAN HUNG</t>
  </si>
  <si>
    <t>050078137174</t>
  </si>
  <si>
    <t>NGUYEN NHAT DUY</t>
  </si>
  <si>
    <t>050095670935</t>
  </si>
  <si>
    <t>VU VAN TU</t>
  </si>
  <si>
    <t>050089016824</t>
  </si>
  <si>
    <t>DIEU NHAT</t>
  </si>
  <si>
    <t>050111253916</t>
  </si>
  <si>
    <t>TRINH VAN THANG</t>
  </si>
  <si>
    <t>050152670920</t>
  </si>
  <si>
    <t>PHAM ANH TUNG</t>
  </si>
  <si>
    <t>050110471014</t>
  </si>
  <si>
    <t>THANG QUYEN ANH</t>
  </si>
  <si>
    <t>050158172736</t>
  </si>
  <si>
    <t>MAI PHI THE</t>
  </si>
  <si>
    <t>050040934364</t>
  </si>
  <si>
    <t>NGO VAN HIEU</t>
  </si>
  <si>
    <t>050089711255</t>
  </si>
  <si>
    <t>050116653319</t>
  </si>
  <si>
    <t>PHAM THANH PHONG</t>
  </si>
  <si>
    <t>050143384559</t>
  </si>
  <si>
    <t>PHAM NHU KHANH</t>
  </si>
  <si>
    <t>050126802861</t>
  </si>
  <si>
    <t>NGUYEN QUOC THANG</t>
  </si>
  <si>
    <t>050020225227</t>
  </si>
  <si>
    <t>LAM TRANG</t>
  </si>
  <si>
    <t>050153391456</t>
  </si>
  <si>
    <t>LUU KY MINH</t>
  </si>
  <si>
    <t>050137325230</t>
  </si>
  <si>
    <t>NGUYEN VAN MINH</t>
  </si>
  <si>
    <t>070942918689</t>
  </si>
  <si>
    <t>NGO VAN DU</t>
  </si>
  <si>
    <t>050111430141</t>
  </si>
  <si>
    <t>DIEU NGOC</t>
  </si>
  <si>
    <t>050072037739</t>
  </si>
  <si>
    <t>NGUYEN ANH KIET</t>
  </si>
  <si>
    <t>050158616707</t>
  </si>
  <si>
    <t>VO THI THANH KIEU</t>
  </si>
  <si>
    <t>050068231091</t>
  </si>
  <si>
    <t>NGUYEN CHI TAM</t>
  </si>
  <si>
    <t>050068231245</t>
  </si>
  <si>
    <t>NGUYEN DANG QUOC</t>
  </si>
  <si>
    <t>050040998699</t>
  </si>
  <si>
    <t>DOAN CHI CONG</t>
  </si>
  <si>
    <t>050081198664</t>
  </si>
  <si>
    <t>NGUYEN VAN BE SAU</t>
  </si>
  <si>
    <t>050064979830</t>
  </si>
  <si>
    <t>NGUYEN HOANG KHAI</t>
  </si>
  <si>
    <t>050095313148</t>
  </si>
  <si>
    <t>PHAN QUOC TOI</t>
  </si>
  <si>
    <t>050040968617</t>
  </si>
  <si>
    <t>NGUYEN HUU TRUNG</t>
  </si>
  <si>
    <t>050099885065</t>
  </si>
  <si>
    <t>TRAN THI THUY HANG</t>
  </si>
  <si>
    <t>050094553811</t>
  </si>
  <si>
    <t>PHAM THI THU THANH</t>
  </si>
  <si>
    <t>050148655143</t>
  </si>
  <si>
    <t>050040901814</t>
  </si>
  <si>
    <t>VU XUAN HIEU</t>
  </si>
  <si>
    <t>050070926935</t>
  </si>
  <si>
    <t>050087500125</t>
  </si>
  <si>
    <t>VO HUNG LONG</t>
  </si>
  <si>
    <t>050123329837</t>
  </si>
  <si>
    <t>NGUYEN VAN SINH</t>
  </si>
  <si>
    <t>050097633281</t>
  </si>
  <si>
    <t>PHAM THANH SONG</t>
  </si>
  <si>
    <t>050120388832</t>
  </si>
  <si>
    <t>DIEU PHUNG</t>
  </si>
  <si>
    <t>050126708820</t>
  </si>
  <si>
    <t>NGUYEN VAN BAO</t>
  </si>
  <si>
    <t>050109388316</t>
  </si>
  <si>
    <t>KIEU NGOC TUAN</t>
  </si>
  <si>
    <t>050148228350</t>
  </si>
  <si>
    <t>HUYNH HUU DUC</t>
  </si>
  <si>
    <t>050116211227</t>
  </si>
  <si>
    <t>HUYNH MINH TAM</t>
  </si>
  <si>
    <t>050068237499</t>
  </si>
  <si>
    <t>HO MINH LUAN</t>
  </si>
  <si>
    <t>050086552687</t>
  </si>
  <si>
    <t>TRAN VAN NGHIA</t>
  </si>
  <si>
    <t>050066936896</t>
  </si>
  <si>
    <t>THACH QUI</t>
  </si>
  <si>
    <t>050103659921</t>
  </si>
  <si>
    <t>PHAN TUAN KHANH</t>
  </si>
  <si>
    <t>050040818488</t>
  </si>
  <si>
    <t>HOANG VAN PHUC</t>
  </si>
  <si>
    <t>050040872271</t>
  </si>
  <si>
    <t>HOANG THI THAO</t>
  </si>
  <si>
    <t>050040932566</t>
  </si>
  <si>
    <t>VO THI LIEN</t>
  </si>
  <si>
    <t>050136331121</t>
  </si>
  <si>
    <t>NGUYEN THI HOAI LAN</t>
  </si>
  <si>
    <t>050143320003</t>
  </si>
  <si>
    <t>NGUYEN THI PHUONG MAI</t>
  </si>
  <si>
    <t>050131184368</t>
  </si>
  <si>
    <t>TRAN THI LOAN</t>
  </si>
  <si>
    <t>050040901849</t>
  </si>
  <si>
    <t>NGUYEN THI THANH DUNG</t>
  </si>
  <si>
    <t>050040931977</t>
  </si>
  <si>
    <t>LA HONG NHI</t>
  </si>
  <si>
    <t>050121917545</t>
  </si>
  <si>
    <t>THI LY</t>
  </si>
  <si>
    <t>050040931756</t>
  </si>
  <si>
    <t>TRAN THI PHUONG</t>
  </si>
  <si>
    <t>050020204297</t>
  </si>
  <si>
    <t>050040931497</t>
  </si>
  <si>
    <t>DUONG DUY KHANH</t>
  </si>
  <si>
    <t>050158172787</t>
  </si>
  <si>
    <t>DUONG THI NGA</t>
  </si>
  <si>
    <t>050040931241</t>
  </si>
  <si>
    <t>PHAM THI THANH BINH</t>
  </si>
  <si>
    <t>050040935867</t>
  </si>
  <si>
    <t>NGUYEN THI MAI</t>
  </si>
  <si>
    <t>050031161107</t>
  </si>
  <si>
    <t>NGUYEN THI MINH PHUONG</t>
  </si>
  <si>
    <t>050075311866</t>
  </si>
  <si>
    <t>TRUONG THI MO</t>
  </si>
  <si>
    <t>050040874353</t>
  </si>
  <si>
    <t>DIEU QUAN</t>
  </si>
  <si>
    <t>050105127275</t>
  </si>
  <si>
    <t>TRINH THI MAI HUYEN</t>
  </si>
  <si>
    <t>050113185276</t>
  </si>
  <si>
    <t>DIEU DOM</t>
  </si>
  <si>
    <t>050117703931</t>
  </si>
  <si>
    <t>DIEU KHOE</t>
  </si>
  <si>
    <t>050073697767</t>
  </si>
  <si>
    <t>HUYNH NGOC HUYEN TRAN</t>
  </si>
  <si>
    <t>050158790790</t>
  </si>
  <si>
    <t>MAI VAN TIEN</t>
  </si>
  <si>
    <t>050040874191</t>
  </si>
  <si>
    <t>NGUYEN THI TUYET NHUNG</t>
  </si>
  <si>
    <t>050041743171</t>
  </si>
  <si>
    <t>BUI QUANG THIEN</t>
  </si>
  <si>
    <t>050089025394</t>
  </si>
  <si>
    <t>NGUYEN TRUONG CHINH</t>
  </si>
  <si>
    <t>050103659751</t>
  </si>
  <si>
    <t>DIEU TANG</t>
  </si>
  <si>
    <t>050120836088</t>
  </si>
  <si>
    <t>MAI VAN HOANG</t>
  </si>
  <si>
    <t>050071912067</t>
  </si>
  <si>
    <t>BUI VAN TAN</t>
  </si>
  <si>
    <t>050086670205</t>
  </si>
  <si>
    <t>LE DUC TRONG</t>
  </si>
  <si>
    <t>050127546972</t>
  </si>
  <si>
    <t>NGUYEN HONG PHUC</t>
  </si>
  <si>
    <t>050134580167</t>
  </si>
  <si>
    <t>NGUYEN HOANG QUAN</t>
  </si>
  <si>
    <t>050135319977</t>
  </si>
  <si>
    <t>LE DUC SY</t>
  </si>
  <si>
    <t>050072092942</t>
  </si>
  <si>
    <t>TRAN MINH HIEU</t>
  </si>
  <si>
    <t>050089024622</t>
  </si>
  <si>
    <t>HUYNH VAN TINH</t>
  </si>
  <si>
    <t>050040869066</t>
  </si>
  <si>
    <t>LE DUC ANH</t>
  </si>
  <si>
    <t>050093355048</t>
  </si>
  <si>
    <t>PHAM VAN VU</t>
  </si>
  <si>
    <t>050106970219</t>
  </si>
  <si>
    <t>TRUONG DINH TAM</t>
  </si>
  <si>
    <t>050119422318</t>
  </si>
  <si>
    <t>NGUYEN BA HAI</t>
  </si>
  <si>
    <t>050083934309</t>
  </si>
  <si>
    <t>BUI HUU MINH THIEN</t>
  </si>
  <si>
    <t>050103647808</t>
  </si>
  <si>
    <t>NGUYEN CAO CUONG</t>
  </si>
  <si>
    <t>050113402994</t>
  </si>
  <si>
    <t>050126082611</t>
  </si>
  <si>
    <t>DUONG HOAI NAM</t>
  </si>
  <si>
    <t>050937340857</t>
  </si>
  <si>
    <t>DIEU THANH</t>
  </si>
  <si>
    <t>050092339952</t>
  </si>
  <si>
    <t>VU THI HAI YEN</t>
  </si>
  <si>
    <t>050134580205</t>
  </si>
  <si>
    <t>NGUYEN THI THU HUONG</t>
  </si>
  <si>
    <t>050116312597</t>
  </si>
  <si>
    <t>LE THANH BINH</t>
  </si>
  <si>
    <t>050105128611</t>
  </si>
  <si>
    <t>VU THI NGOC THANH</t>
  </si>
  <si>
    <t>050035711489</t>
  </si>
  <si>
    <t>NGUYEN THI BICH THUY</t>
  </si>
  <si>
    <t>050060667346</t>
  </si>
  <si>
    <t>NGUYEN MINH TAN</t>
  </si>
  <si>
    <t>050112981214</t>
  </si>
  <si>
    <t>LAM TY</t>
  </si>
  <si>
    <t>050116008057</t>
  </si>
  <si>
    <t>DIEU TAN THINH</t>
  </si>
  <si>
    <t>050116008049</t>
  </si>
  <si>
    <t>PHAM THI THU HOA</t>
  </si>
  <si>
    <t>050098646954</t>
  </si>
  <si>
    <t>LE NGOC ANH</t>
  </si>
  <si>
    <t>050102525229</t>
  </si>
  <si>
    <t>VU THI THUY TIEN</t>
  </si>
  <si>
    <t>050103659881</t>
  </si>
  <si>
    <t>DIEU TRUNG</t>
  </si>
  <si>
    <t>050128086207</t>
  </si>
  <si>
    <t>PHAM THI HANH NGUYEN</t>
  </si>
  <si>
    <t>050105852301</t>
  </si>
  <si>
    <t>NGUYEN THI THANH THUY</t>
  </si>
  <si>
    <t>050133982717</t>
  </si>
  <si>
    <t>LE NGOC YEN</t>
  </si>
  <si>
    <t>050078506341</t>
  </si>
  <si>
    <t>LE THI ANH</t>
  </si>
  <si>
    <t>050112834238</t>
  </si>
  <si>
    <t>DIEU HUNG</t>
  </si>
  <si>
    <t>050126321004</t>
  </si>
  <si>
    <t>050108990551</t>
  </si>
  <si>
    <t>BUI THI MINH TAM</t>
  </si>
  <si>
    <t>050152673415</t>
  </si>
  <si>
    <t>HO THI NGOC HAN</t>
  </si>
  <si>
    <t>050154980455</t>
  </si>
  <si>
    <t>050122382599</t>
  </si>
  <si>
    <t>TRAN THI KIM LINH</t>
  </si>
  <si>
    <t>050156922495</t>
  </si>
  <si>
    <t>NGUYEN THI THUONG</t>
  </si>
  <si>
    <t>0987161885</t>
  </si>
  <si>
    <t>TRAN THI LUA</t>
  </si>
  <si>
    <t>050156047330</t>
  </si>
  <si>
    <t>NANG THI BUOI</t>
  </si>
  <si>
    <t>050156846896</t>
  </si>
  <si>
    <t>050127346205</t>
  </si>
  <si>
    <t>DIEU THI HUYNH</t>
  </si>
  <si>
    <t>050157013413</t>
  </si>
  <si>
    <t>NGUYEN THI UT</t>
  </si>
  <si>
    <t>050158380738</t>
  </si>
  <si>
    <t>PHAM DIEM THUY</t>
  </si>
  <si>
    <t>050149388238</t>
  </si>
  <si>
    <t>NGUYEN THI HUYEN TRAN</t>
  </si>
  <si>
    <t>050158172442</t>
  </si>
  <si>
    <t>THI NGOC</t>
  </si>
  <si>
    <t>050128534544</t>
  </si>
  <si>
    <t>050158576748</t>
  </si>
  <si>
    <t>LE THI DUY</t>
  </si>
  <si>
    <t>050040871788</t>
  </si>
  <si>
    <t>050158694716</t>
  </si>
  <si>
    <t>NGUYEN THI CHAU HUONG</t>
  </si>
  <si>
    <t>050136165744</t>
  </si>
  <si>
    <t>THI THOM</t>
  </si>
  <si>
    <t>051704041991</t>
  </si>
  <si>
    <t>VO THANH TRA</t>
  </si>
  <si>
    <t>070141372678</t>
  </si>
  <si>
    <t>NGO XUAN VINH</t>
  </si>
  <si>
    <t>050096745394</t>
  </si>
  <si>
    <t>THI VAN</t>
  </si>
  <si>
    <t>050133451185</t>
  </si>
  <si>
    <t>THI BE TRAM</t>
  </si>
  <si>
    <t>050158151429</t>
  </si>
  <si>
    <t>DIEU SANG</t>
  </si>
  <si>
    <t>050158151585</t>
  </si>
  <si>
    <t>VO THI PHUONG</t>
  </si>
  <si>
    <t>060143631985</t>
  </si>
  <si>
    <t>THI ANH</t>
  </si>
  <si>
    <t>050040832065</t>
  </si>
  <si>
    <t>NGUYEN THI CAM VAN</t>
  </si>
  <si>
    <t>050040901768</t>
  </si>
  <si>
    <t>LE THI BICH DAO</t>
  </si>
  <si>
    <t>050068230664</t>
  </si>
  <si>
    <t>TRIEU THI YEN</t>
  </si>
  <si>
    <t>050066791146</t>
  </si>
  <si>
    <t>NGUYEN THI MONG</t>
  </si>
  <si>
    <t>050103062966</t>
  </si>
  <si>
    <t>NGUYEN THI NGOC BICH</t>
  </si>
  <si>
    <t>050070864700</t>
  </si>
  <si>
    <t>LU THI PHUONG</t>
  </si>
  <si>
    <t>050089858167</t>
  </si>
  <si>
    <t>DANG THANH THUAN</t>
  </si>
  <si>
    <t>050105128530</t>
  </si>
  <si>
    <t>LE THI GIANG</t>
  </si>
  <si>
    <t>050063197014</t>
  </si>
  <si>
    <t>NGUYEN TRUNG HIEU</t>
  </si>
  <si>
    <t>050104617661</t>
  </si>
  <si>
    <t>NGO HIEU THAO</t>
  </si>
  <si>
    <t>050087500931</t>
  </si>
  <si>
    <t>LAM CHUONG</t>
  </si>
  <si>
    <t>050111068930</t>
  </si>
  <si>
    <t>LAM RUCH</t>
  </si>
  <si>
    <t>050111868856</t>
  </si>
  <si>
    <t>LAM BOC</t>
  </si>
  <si>
    <t>050110182268</t>
  </si>
  <si>
    <t>TRAN THI HANG</t>
  </si>
  <si>
    <t>050105590366</t>
  </si>
  <si>
    <t>LAM VAN PHANH</t>
  </si>
  <si>
    <t>050116008162</t>
  </si>
  <si>
    <t>LAM DUC NHUAN</t>
  </si>
  <si>
    <t>050116008073</t>
  </si>
  <si>
    <t>NGUYEN THI MEO</t>
  </si>
  <si>
    <t>050116312422</t>
  </si>
  <si>
    <t>050114782324</t>
  </si>
  <si>
    <t>MAI THI NGOC BICH</t>
  </si>
  <si>
    <t>050075696199</t>
  </si>
  <si>
    <t>NGUYEN VAN THAI</t>
  </si>
  <si>
    <t>050061305537</t>
  </si>
  <si>
    <t>NGUYEN THI DIEM</t>
  </si>
  <si>
    <t>050117176700</t>
  </si>
  <si>
    <t>HO THI LINH</t>
  </si>
  <si>
    <t>050126082859</t>
  </si>
  <si>
    <t>NGUYEN THI PHAN</t>
  </si>
  <si>
    <t>050117176689</t>
  </si>
  <si>
    <t>NGUYEN VAN TON</t>
  </si>
  <si>
    <t>050114098083</t>
  </si>
  <si>
    <t>PHAN TAN DAT</t>
  </si>
  <si>
    <t>050124634382</t>
  </si>
  <si>
    <t>DAU THI HOAI HUONG</t>
  </si>
  <si>
    <t>050128583596</t>
  </si>
  <si>
    <t>LE THI MY PHUONG</t>
  </si>
  <si>
    <t>070109897653</t>
  </si>
  <si>
    <t>050117176972</t>
  </si>
  <si>
    <t>NGUYEN PHUOC HAU</t>
  </si>
  <si>
    <t>050136912371</t>
  </si>
  <si>
    <t>TRUONG THI THUY</t>
  </si>
  <si>
    <t>050136912450</t>
  </si>
  <si>
    <t>TRAN DU KHANG</t>
  </si>
  <si>
    <t>050137135180</t>
  </si>
  <si>
    <t>NGUYEN GI PHUONG</t>
  </si>
  <si>
    <t>050116973844</t>
  </si>
  <si>
    <t>DAM THI THAO</t>
  </si>
  <si>
    <t>050135261227</t>
  </si>
  <si>
    <t>050137000285</t>
  </si>
  <si>
    <t>050125111871</t>
  </si>
  <si>
    <t>DANH THI THU NGAN</t>
  </si>
  <si>
    <t>050121917278</t>
  </si>
  <si>
    <t>HA THI THAO</t>
  </si>
  <si>
    <t>050113293036</t>
  </si>
  <si>
    <t>LE THI KIM LOI</t>
  </si>
  <si>
    <t>050153417420</t>
  </si>
  <si>
    <t>NGUYEN THI MY THUYEN</t>
  </si>
  <si>
    <t>050153298863</t>
  </si>
  <si>
    <t>LAM TRUNG</t>
  </si>
  <si>
    <t>050134170651</t>
  </si>
  <si>
    <t>LE NGOC KHANH VY</t>
  </si>
  <si>
    <t>050155095099</t>
  </si>
  <si>
    <t>VO VAN HOANG</t>
  </si>
  <si>
    <t>050128711187</t>
  </si>
  <si>
    <t>NGUYEN VAN SON</t>
  </si>
  <si>
    <t>050105773551</t>
  </si>
  <si>
    <t>THI CUC</t>
  </si>
  <si>
    <t>050155383205</t>
  </si>
  <si>
    <t>LAI THI BICH NGOC</t>
  </si>
  <si>
    <t>050155551401</t>
  </si>
  <si>
    <t>DINH CONG THUC</t>
  </si>
  <si>
    <t>050155299344</t>
  </si>
  <si>
    <t>TRAN VAN CANH</t>
  </si>
  <si>
    <t>050026933975</t>
  </si>
  <si>
    <t>050081496231</t>
  </si>
  <si>
    <t>RO MAH HUE</t>
  </si>
  <si>
    <t>050158693736</t>
  </si>
  <si>
    <t>THI THU HIEN</t>
  </si>
  <si>
    <t>050158900774</t>
  </si>
  <si>
    <t>HO THI CHAU</t>
  </si>
  <si>
    <t>050040875252</t>
  </si>
  <si>
    <t>HUYNH NGOC VUI</t>
  </si>
  <si>
    <t>050020224034</t>
  </si>
  <si>
    <t>VO THI LE</t>
  </si>
  <si>
    <t>050040933392</t>
  </si>
  <si>
    <t>LE THI BICH THUY</t>
  </si>
  <si>
    <t>050096717811</t>
  </si>
  <si>
    <t>LE THI TRUC PHUONG</t>
  </si>
  <si>
    <t>050098252239</t>
  </si>
  <si>
    <t>LONG VAN MAO</t>
  </si>
  <si>
    <t>050066182204</t>
  </si>
  <si>
    <t>MAI NGUYEN GIANG HA</t>
  </si>
  <si>
    <t>050105915753</t>
  </si>
  <si>
    <t>NGUYEN VAN LON</t>
  </si>
  <si>
    <t>050104420319</t>
  </si>
  <si>
    <t>LAM SON</t>
  </si>
  <si>
    <t>050028925570</t>
  </si>
  <si>
    <t>050104420637</t>
  </si>
  <si>
    <t>PHAN THI HONG LUA</t>
  </si>
  <si>
    <t>050104420459</t>
  </si>
  <si>
    <t>LU THI THOAN</t>
  </si>
  <si>
    <t>050104424748</t>
  </si>
  <si>
    <t>THI GAI</t>
  </si>
  <si>
    <t>050104420361</t>
  </si>
  <si>
    <t>NGO THI DUONG</t>
  </si>
  <si>
    <t>050104420270</t>
  </si>
  <si>
    <t>TRAN SA MAI</t>
  </si>
  <si>
    <t>050067867669</t>
  </si>
  <si>
    <t>PHUNG THI TUYEN</t>
  </si>
  <si>
    <t>050105915966</t>
  </si>
  <si>
    <t>NGUYEN THI LE NGA</t>
  </si>
  <si>
    <t>050040871990</t>
  </si>
  <si>
    <t>HO THI NGAN</t>
  </si>
  <si>
    <t>050062802720</t>
  </si>
  <si>
    <t>TRAN THI NGOC THUY</t>
  </si>
  <si>
    <t>050108990527</t>
  </si>
  <si>
    <t>VU CAO DAI</t>
  </si>
  <si>
    <t>050106514353</t>
  </si>
  <si>
    <t>THAI MINH THUY</t>
  </si>
  <si>
    <t>050112982040</t>
  </si>
  <si>
    <t>SIU SUEL</t>
  </si>
  <si>
    <t>050112979546</t>
  </si>
  <si>
    <t>SIU SEM</t>
  </si>
  <si>
    <t>050091201256</t>
  </si>
  <si>
    <t>VO VAN DAT</t>
  </si>
  <si>
    <t>050113179136</t>
  </si>
  <si>
    <t>THI ME</t>
  </si>
  <si>
    <t>050113179179</t>
  </si>
  <si>
    <t>THI THAN THUY</t>
  </si>
  <si>
    <t>050114066297</t>
  </si>
  <si>
    <t>LY HUNG</t>
  </si>
  <si>
    <t>050116653394</t>
  </si>
  <si>
    <t>NGUYEN CHI HUONG</t>
  </si>
  <si>
    <t>050116653191</t>
  </si>
  <si>
    <t>DINH THI NGA</t>
  </si>
  <si>
    <t>050116653262</t>
  </si>
  <si>
    <t>050095447934</t>
  </si>
  <si>
    <t>TRAN THI MAI XUAN</t>
  </si>
  <si>
    <t>050114098067</t>
  </si>
  <si>
    <t>NGUYEN SON PHUOC</t>
  </si>
  <si>
    <t>050127559764</t>
  </si>
  <si>
    <t>VY VAN THAI</t>
  </si>
  <si>
    <t>050121853938</t>
  </si>
  <si>
    <t>TRAN HUU KHANH</t>
  </si>
  <si>
    <t>060263728648</t>
  </si>
  <si>
    <t>NGUYEN THI QUANG</t>
  </si>
  <si>
    <t>050128754889</t>
  </si>
  <si>
    <t>LAM THI LUOI</t>
  </si>
  <si>
    <t>050040832162</t>
  </si>
  <si>
    <t>LE THI MINH VY</t>
  </si>
  <si>
    <t>050135167530</t>
  </si>
  <si>
    <t>LUONG THANH LAM</t>
  </si>
  <si>
    <t>050117176883</t>
  </si>
  <si>
    <t>NGUYEN THI NGOC CAM</t>
  </si>
  <si>
    <t>050059803562</t>
  </si>
  <si>
    <t>PHAN THI CAM TIEN</t>
  </si>
  <si>
    <t>050113230794</t>
  </si>
  <si>
    <t>050104420742</t>
  </si>
  <si>
    <t>LAM THANH LONG</t>
  </si>
  <si>
    <t>050136912434</t>
  </si>
  <si>
    <t>TRAN THI NHU Y</t>
  </si>
  <si>
    <t>050137313569</t>
  </si>
  <si>
    <t>TRAN THANH HIEN</t>
  </si>
  <si>
    <t>050137429354</t>
  </si>
  <si>
    <t>050108990624</t>
  </si>
  <si>
    <t>NGUYEN THI NHU THUY</t>
  </si>
  <si>
    <t>050122809691</t>
  </si>
  <si>
    <t>HO THI HANG</t>
  </si>
  <si>
    <t>050094005296</t>
  </si>
  <si>
    <t>HOANG THI THU THUONG</t>
  </si>
  <si>
    <t>050044164385</t>
  </si>
  <si>
    <t>TRAN MINH THUAN</t>
  </si>
  <si>
    <t>050129251211</t>
  </si>
  <si>
    <t>NONG THI LE OANH</t>
  </si>
  <si>
    <t>050123059971</t>
  </si>
  <si>
    <t>050152567852</t>
  </si>
  <si>
    <t>PHAM THI HONG ANH</t>
  </si>
  <si>
    <t>050153722101</t>
  </si>
  <si>
    <t>VU THI HUYEN</t>
  </si>
  <si>
    <t>050041028261</t>
  </si>
  <si>
    <t>NGUYEN THI THUY DUNG</t>
  </si>
  <si>
    <t>050153927291</t>
  </si>
  <si>
    <t>QUACH TRANG</t>
  </si>
  <si>
    <t>050077956228</t>
  </si>
  <si>
    <t>TRAN THANH SON</t>
  </si>
  <si>
    <t>050129251686</t>
  </si>
  <si>
    <t>050153571721</t>
  </si>
  <si>
    <t>THI HOI</t>
  </si>
  <si>
    <t>050148166460</t>
  </si>
  <si>
    <t>TRAN THI HONG DAO</t>
  </si>
  <si>
    <t>050128253464</t>
  </si>
  <si>
    <t>NGUYEN KHAC KIET</t>
  </si>
  <si>
    <t>050155288903</t>
  </si>
  <si>
    <t>PHAM THI THUY VAN</t>
  </si>
  <si>
    <t>060222166856</t>
  </si>
  <si>
    <t>050082750190</t>
  </si>
  <si>
    <t>DIEU THI HOA</t>
  </si>
  <si>
    <t>050122288665</t>
  </si>
  <si>
    <t>NGUYEN THUY HUYNH</t>
  </si>
  <si>
    <t>070130788236</t>
  </si>
  <si>
    <t>HUYNH NGOC THAO</t>
  </si>
  <si>
    <t>LAM NGUYEN TU LAN</t>
  </si>
  <si>
    <t>050153762292</t>
  </si>
  <si>
    <t>DAO THI GIOI</t>
  </si>
  <si>
    <t>050154836931</t>
  </si>
  <si>
    <t>THAI THI HOA</t>
  </si>
  <si>
    <t>050040934062</t>
  </si>
  <si>
    <t>THI THUY</t>
  </si>
  <si>
    <t>050040835455</t>
  </si>
  <si>
    <t>DO THI HUE</t>
  </si>
  <si>
    <t>050067513220</t>
  </si>
  <si>
    <t>PHAM VAN BINH</t>
  </si>
  <si>
    <t>050040933732</t>
  </si>
  <si>
    <t>DO THI MONG TRINH</t>
  </si>
  <si>
    <t>050040845272</t>
  </si>
  <si>
    <t>THAI THI HUYNH NHU</t>
  </si>
  <si>
    <t>050083120034</t>
  </si>
  <si>
    <t>LAM THI LY</t>
  </si>
  <si>
    <t>050104420696</t>
  </si>
  <si>
    <t>NGUYEN CHI HUNG</t>
  </si>
  <si>
    <t>050104424799</t>
  </si>
  <si>
    <t>TRUONG VAN TRI</t>
  </si>
  <si>
    <t>050104420841</t>
  </si>
  <si>
    <t>LE THI SUONG</t>
  </si>
  <si>
    <t>050040828300</t>
  </si>
  <si>
    <t>060041391386</t>
  </si>
  <si>
    <t>DAM THI QUYEN</t>
  </si>
  <si>
    <t>050029026162</t>
  </si>
  <si>
    <t>050116845870</t>
  </si>
  <si>
    <t>NGUYEN HONG LOAN</t>
  </si>
  <si>
    <t>050134556746</t>
  </si>
  <si>
    <t>LE THI HONG DUNG</t>
  </si>
  <si>
    <t>060257557203</t>
  </si>
  <si>
    <t>NGUYEN THI XUAN HAI</t>
  </si>
  <si>
    <t>050100276604</t>
  </si>
  <si>
    <t>TO THANH THUY</t>
  </si>
  <si>
    <t>054514032000</t>
  </si>
  <si>
    <t>PHAN THI KIM DUNG</t>
  </si>
  <si>
    <t>050027684553</t>
  </si>
  <si>
    <t>NGUYEN THI KIEU TRANG</t>
  </si>
  <si>
    <t>33441986</t>
  </si>
  <si>
    <t>BUI THI KIM NGAN</t>
  </si>
  <si>
    <t>050156388251</t>
  </si>
  <si>
    <t>050046197264</t>
  </si>
  <si>
    <t>HOANG PHUONG DUNG</t>
  </si>
  <si>
    <t>050152564594</t>
  </si>
  <si>
    <t>BUI THI GIANG</t>
  </si>
  <si>
    <t>050156674440</t>
  </si>
  <si>
    <t>HOANG THI THUY DUNG</t>
  </si>
  <si>
    <t>050040828912</t>
  </si>
  <si>
    <t>HUYNH THI PHUONG THAO</t>
  </si>
  <si>
    <t>050041644297</t>
  </si>
  <si>
    <t>VU THI HAI</t>
  </si>
  <si>
    <t>050040933503</t>
  </si>
  <si>
    <t>LE THI DIEM TRINH</t>
  </si>
  <si>
    <t>050055279087</t>
  </si>
  <si>
    <t>NGUYEN THI KIM GIAU</t>
  </si>
  <si>
    <t>050104420106</t>
  </si>
  <si>
    <t>LE TIEN NAM</t>
  </si>
  <si>
    <t>050112496197</t>
  </si>
  <si>
    <t>Y KHUIN KBUOR</t>
  </si>
  <si>
    <t>050127859598</t>
  </si>
  <si>
    <t>LE VAN THAI</t>
  </si>
  <si>
    <t>050134714521</t>
  </si>
  <si>
    <t>NGUYEN TRONG PHU</t>
  </si>
  <si>
    <t>050096738266</t>
  </si>
  <si>
    <t>DIEU TAI</t>
  </si>
  <si>
    <t>050110052798</t>
  </si>
  <si>
    <t>LE THANH CHUNG</t>
  </si>
  <si>
    <t>050149638171</t>
  </si>
  <si>
    <t>TRAN MINH CUONG</t>
  </si>
  <si>
    <t>050075129650</t>
  </si>
  <si>
    <t>HUYNH VAN TUAN</t>
  </si>
  <si>
    <t>050158901592</t>
  </si>
  <si>
    <t>KIM SA MUONE</t>
  </si>
  <si>
    <t>050091857747</t>
  </si>
  <si>
    <t>LE VAN TUAN</t>
  </si>
  <si>
    <t>050098252069</t>
  </si>
  <si>
    <t>NGUYEN VAN THANG</t>
  </si>
  <si>
    <t>050102998461</t>
  </si>
  <si>
    <t>PHAM THI THU</t>
  </si>
  <si>
    <t>050040901873</t>
  </si>
  <si>
    <t>DINH THI HOANG YEN</t>
  </si>
  <si>
    <t>050040851051</t>
  </si>
  <si>
    <t>050040849944</t>
  </si>
  <si>
    <t>NGUYEN THI KIM THUY</t>
  </si>
  <si>
    <t>050143873495</t>
  </si>
  <si>
    <t>DAM KIM CUC</t>
  </si>
  <si>
    <t>050049772383</t>
  </si>
  <si>
    <t>THAI THI DIEM TRANG</t>
  </si>
  <si>
    <t>050126082891</t>
  </si>
  <si>
    <t>050068237790</t>
  </si>
  <si>
    <t>DO DUC HUY</t>
  </si>
  <si>
    <t>050086759389</t>
  </si>
  <si>
    <t>VO THI THANH VY</t>
  </si>
  <si>
    <t>050157314227</t>
  </si>
  <si>
    <t>VO THI NHU QUYNH</t>
  </si>
  <si>
    <t>050158230574</t>
  </si>
  <si>
    <t>050036263919</t>
  </si>
  <si>
    <t>050106809949</t>
  </si>
  <si>
    <t>PHAN THI THAM</t>
  </si>
  <si>
    <t>050104420955</t>
  </si>
  <si>
    <t>NGUYEN HOANG BAO</t>
  </si>
  <si>
    <t>050106812540</t>
  </si>
  <si>
    <t>DIEU PHUON</t>
  </si>
  <si>
    <t>050114206676</t>
  </si>
  <si>
    <t>BUI KHAC THIN</t>
  </si>
  <si>
    <t>050088957722</t>
  </si>
  <si>
    <t>Working day: 26
Maternity returns: Windy</t>
  </si>
  <si>
    <t>050118892981</t>
  </si>
  <si>
    <t xml:space="preserve">
Increased overtime 150% : (due to higher actual working days than last month)</t>
  </si>
  <si>
    <t>Apr 2025</t>
  </si>
  <si>
    <t>Exchange Rate : 26,115 VND/USD</t>
  </si>
  <si>
    <t>BẢNG LƯƠNG THÁNG 04 NĂM 2025
PAY-SHEET OF SALARY APR 2025</t>
  </si>
  <si>
    <t>Bình Phước, Ngày 30 tháng 04 năm 2025</t>
  </si>
  <si>
    <t>REPORT - BẢNG TỔNG KẾT LƯƠNG THÁNG 04 2025</t>
  </si>
  <si>
    <t>SUM OF SALARY OF APR 2025</t>
  </si>
  <si>
    <t>TIỀN MẶT THEO BỘ PHẬN 04 2025
(CASH - DEPARMENT APR 2025)</t>
  </si>
  <si>
    <t>BẢNG LƯƠNG THÁNG 04 NĂM 2025
CASH - SHEET OF APR 2025</t>
  </si>
  <si>
    <t>Lương tháng 04/2025</t>
  </si>
  <si>
    <t>BẢNG CHI LƯƠNG THÁNG 04 NĂM 2025
TRANSFER - SHEET APR 2025</t>
  </si>
  <si>
    <t>REPORT - BẢNG LƯƠNG THÁNG 04 NĂM 2025
PAY - SHEET OF APR 2025</t>
  </si>
  <si>
    <t>C16582</t>
  </si>
  <si>
    <t>Đặng Thị Thảo</t>
  </si>
  <si>
    <t>C16589</t>
  </si>
  <si>
    <t>Hồ Thị Chắc</t>
  </si>
  <si>
    <t>C16602</t>
  </si>
  <si>
    <t>Hồ Thị Thảo Vy</t>
  </si>
  <si>
    <t>C16604</t>
  </si>
  <si>
    <t>Nguyễn Võ Kim Quyên</t>
  </si>
  <si>
    <t>C16628</t>
  </si>
  <si>
    <t>Vương Phụng</t>
  </si>
  <si>
    <t>C6162</t>
  </si>
  <si>
    <t>Nguyễn Thị Thanh Xuân</t>
  </si>
  <si>
    <t>C16580</t>
  </si>
  <si>
    <t>Nguyễn Thị Yến Nhi</t>
  </si>
  <si>
    <t>C16581</t>
  </si>
  <si>
    <t>Nguyễn Hải Yến</t>
  </si>
  <si>
    <t>C16605</t>
  </si>
  <si>
    <t>Lê Lệnh Tiến</t>
  </si>
  <si>
    <t>C16610</t>
  </si>
  <si>
    <t>Đỗ Quốc Thái</t>
  </si>
  <si>
    <t>C16578</t>
  </si>
  <si>
    <t>Trần Văn Toản</t>
  </si>
  <si>
    <t>C16583</t>
  </si>
  <si>
    <t>Điểu Kiệt</t>
  </si>
  <si>
    <t>C16584</t>
  </si>
  <si>
    <t>C14494</t>
  </si>
  <si>
    <t>Phạm Dương Như Ý</t>
  </si>
  <si>
    <t>C16608</t>
  </si>
  <si>
    <t>Lê Đình Công</t>
  </si>
  <si>
    <t>C16586</t>
  </si>
  <si>
    <t>Nguyễn Quách Dương</t>
  </si>
  <si>
    <t>C16629</t>
  </si>
  <si>
    <t>Mạc Thị Hòa</t>
  </si>
  <si>
    <t>C16621</t>
  </si>
  <si>
    <t>Nguyễn Quí Lộc</t>
  </si>
  <si>
    <t>C16622</t>
  </si>
  <si>
    <t>Chu Thị Nguyệt</t>
  </si>
  <si>
    <t>C16609</t>
  </si>
  <si>
    <t>Lê Đức Minh</t>
  </si>
  <si>
    <t>C13883</t>
  </si>
  <si>
    <t>Thị Hà</t>
  </si>
  <si>
    <t>C16606</t>
  </si>
  <si>
    <t>Nguyễn Ngọc Huyền</t>
  </si>
  <si>
    <t>C14444</t>
  </si>
  <si>
    <t>Phạm Thùy Hương</t>
  </si>
  <si>
    <t>C16577</t>
  </si>
  <si>
    <t>C16611</t>
  </si>
  <si>
    <t>Nguyễn Văn Lướt</t>
  </si>
  <si>
    <t>C16633</t>
  </si>
  <si>
    <t>Tô Hoàng Long</t>
  </si>
  <si>
    <t>C16591</t>
  </si>
  <si>
    <t>Phan Thị Thủy Tiên</t>
  </si>
  <si>
    <t>C16599</t>
  </si>
  <si>
    <t>Nguyễn Thanh Cường</t>
  </si>
  <si>
    <t>C16601</t>
  </si>
  <si>
    <t>Trần Minh Tân</t>
  </si>
  <si>
    <t>P2 - Envelop</t>
  </si>
  <si>
    <t>C16613</t>
  </si>
  <si>
    <t>Ngô Thị Ngọc Trâm</t>
  </si>
  <si>
    <t>C16614</t>
  </si>
  <si>
    <t>Vi Thị Kim Nhung</t>
  </si>
  <si>
    <t>C16615</t>
  </si>
  <si>
    <t>Võ Văn Thi</t>
  </si>
  <si>
    <t>C16624</t>
  </si>
  <si>
    <t>Trần Văn Đông</t>
  </si>
  <si>
    <t>C16635</t>
  </si>
  <si>
    <t>Nguyễn Sa Hun</t>
  </si>
  <si>
    <t>C14503</t>
  </si>
  <si>
    <t>Tô Ánh Xuân</t>
  </si>
  <si>
    <t>C16574</t>
  </si>
  <si>
    <t>Thị Kim Quyên</t>
  </si>
  <si>
    <t>C16575</t>
  </si>
  <si>
    <t>Trần Quốc Chiến</t>
  </si>
  <si>
    <t>C16576</t>
  </si>
  <si>
    <t>Châu Thị Thu Nguyệt</t>
  </si>
  <si>
    <t>C16636</t>
  </si>
  <si>
    <t>Hoàng Trung Hiếu</t>
  </si>
  <si>
    <t>C16572</t>
  </si>
  <si>
    <t>Thị Đóm</t>
  </si>
  <si>
    <t>C16592</t>
  </si>
  <si>
    <t>Nguyễn Văn Mạnh</t>
  </si>
  <si>
    <t>C16593</t>
  </si>
  <si>
    <t>Phạm Văn Dương</t>
  </si>
  <si>
    <t>C16594</t>
  </si>
  <si>
    <t>Nguyễn Ngọc Lanh</t>
  </si>
  <si>
    <t>C16595</t>
  </si>
  <si>
    <t>Nguyễn Ngọc Lam</t>
  </si>
  <si>
    <t>C16600</t>
  </si>
  <si>
    <t>Phạm Thị Ngọc Huân</t>
  </si>
  <si>
    <t>C16616</t>
  </si>
  <si>
    <t>Lê Thị Quỳnh Giang</t>
  </si>
  <si>
    <t>C16597</t>
  </si>
  <si>
    <t>Đỗ Như An</t>
  </si>
  <si>
    <t>C16634</t>
  </si>
  <si>
    <t>Quang Thị Duyên</t>
  </si>
  <si>
    <t>NGUYEN NGOC HANH</t>
  </si>
  <si>
    <t>050117176255</t>
  </si>
  <si>
    <t>THI TRINH</t>
  </si>
  <si>
    <t>0359766121</t>
  </si>
  <si>
    <t>DIEU THI DANG LY</t>
  </si>
  <si>
    <t>050134666061</t>
  </si>
  <si>
    <t>DANG THI THAO</t>
  </si>
  <si>
    <t>050041500120</t>
  </si>
  <si>
    <t>HO THI CHAC</t>
  </si>
  <si>
    <t>056509091995</t>
  </si>
  <si>
    <t>HO THI THAO VY</t>
  </si>
  <si>
    <t>051127092005</t>
  </si>
  <si>
    <t>NGUYEN VO KIM QUYEN</t>
  </si>
  <si>
    <t>050156212811</t>
  </si>
  <si>
    <t>VUONG PHUNG</t>
  </si>
  <si>
    <t>050072373445</t>
  </si>
  <si>
    <t>NGUYEN THI THANH XUAN</t>
  </si>
  <si>
    <t>050040934127</t>
  </si>
  <si>
    <t>NGUYEN THI YEN NHI</t>
  </si>
  <si>
    <t>051823062002</t>
  </si>
  <si>
    <t>NGUYEN HAI YEN</t>
  </si>
  <si>
    <t>050114072006</t>
  </si>
  <si>
    <t>LE LENH TIEN</t>
  </si>
  <si>
    <t>050066214394</t>
  </si>
  <si>
    <t>DO QUOC THAI</t>
  </si>
  <si>
    <t>050357954722</t>
  </si>
  <si>
    <t>TRAN VAN TOAN</t>
  </si>
  <si>
    <t>057914041977</t>
  </si>
  <si>
    <t>DIEU KIET</t>
  </si>
  <si>
    <t>050140061023</t>
  </si>
  <si>
    <t>050149334103</t>
  </si>
  <si>
    <t>PHAM DUONG NHU Y</t>
  </si>
  <si>
    <t>050082294314</t>
  </si>
  <si>
    <t>DIEU GIANG</t>
  </si>
  <si>
    <t>050087243149</t>
  </si>
  <si>
    <t>LE DINH CONG</t>
  </si>
  <si>
    <t>050147459091</t>
  </si>
  <si>
    <t>NGUYEN VAN NHO</t>
  </si>
  <si>
    <t>050105122001</t>
  </si>
  <si>
    <t>NGUYEN QUACH DUONG</t>
  </si>
  <si>
    <t>050159273234</t>
  </si>
  <si>
    <t>NGUYEN QUI LOC</t>
  </si>
  <si>
    <t>054522012003</t>
  </si>
  <si>
    <t>CHU THI NGUYET</t>
  </si>
  <si>
    <t>050071874823</t>
  </si>
  <si>
    <t>050813226345</t>
  </si>
  <si>
    <t>LE DUC MINH</t>
  </si>
  <si>
    <t>050130966494</t>
  </si>
  <si>
    <t>THI HA</t>
  </si>
  <si>
    <t>050128193364</t>
  </si>
  <si>
    <t>PHAM THUY HUONG</t>
  </si>
  <si>
    <t>050053905495</t>
  </si>
  <si>
    <t>050365491057</t>
  </si>
  <si>
    <t>DIEU KHANG</t>
  </si>
  <si>
    <t>050159034124</t>
  </si>
  <si>
    <t>NGUYEN VAN LUOT</t>
  </si>
  <si>
    <t>050150935250</t>
  </si>
  <si>
    <t>PHAN THI THUY TIEN</t>
  </si>
  <si>
    <t>050074681139</t>
  </si>
  <si>
    <t>TRAN MINH TAN</t>
  </si>
  <si>
    <t>050159267277</t>
  </si>
  <si>
    <t>NGO THI NGOC TRAM</t>
  </si>
  <si>
    <t>050155133950</t>
  </si>
  <si>
    <t>VO VAN THI</t>
  </si>
  <si>
    <t>050154605506</t>
  </si>
  <si>
    <t>050117176735</t>
  </si>
  <si>
    <t>PHAN HOANG CHAU GIANG</t>
  </si>
  <si>
    <t>053215052002</t>
  </si>
  <si>
    <t>NGUYEN THI KIM NHANH</t>
  </si>
  <si>
    <t>050153879467</t>
  </si>
  <si>
    <t>DO HONG MINH QUAN</t>
  </si>
  <si>
    <t>050151202680</t>
  </si>
  <si>
    <t>TO ANH XUAN</t>
  </si>
  <si>
    <t>050099237764</t>
  </si>
  <si>
    <t>THI KIM QUYEN</t>
  </si>
  <si>
    <t>050141069184</t>
  </si>
  <si>
    <t>TRAN QUOC CHIEN</t>
  </si>
  <si>
    <t>050159267218</t>
  </si>
  <si>
    <t>CHAU THI THU NGUYET</t>
  </si>
  <si>
    <t>050158724895</t>
  </si>
  <si>
    <t>HUYNH THI KIM TRINH</t>
  </si>
  <si>
    <t>050159266831</t>
  </si>
  <si>
    <t>LE THI HUYEN TRANG</t>
  </si>
  <si>
    <t>050159267188</t>
  </si>
  <si>
    <t>THI DOM</t>
  </si>
  <si>
    <t>050040934046</t>
  </si>
  <si>
    <t>NGUYEN NGOC LANH</t>
  </si>
  <si>
    <t>050159267234</t>
  </si>
  <si>
    <t>050159267269</t>
  </si>
  <si>
    <t>LE THI QUYNH GIANG</t>
  </si>
  <si>
    <t>050146365199</t>
  </si>
  <si>
    <t>DO NHU AN</t>
  </si>
  <si>
    <t>050159267196</t>
  </si>
  <si>
    <t>VO THI NGOC TRANG</t>
  </si>
  <si>
    <t>050075949186</t>
  </si>
  <si>
    <t>P2-EN-1-01</t>
  </si>
  <si>
    <t>Working day: 24
Holiday: 2 (10/03AL +30/04)</t>
  </si>
  <si>
    <t>Apr: Working day 24 day
Mar  Working day 26 day</t>
  </si>
  <si>
    <t>Apr: Holiday: 2 day (10/03AL &amp; 30/04)
Mar: Marriage leave, funeral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</si>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</sst>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£&quot;#,##0;\-&quot;£&quot;#,##0"/>
    <numFmt numFmtId="169" formatCode="&quot;£&quot;#,##0;[Red]\-&quot;£&quot;#,##0"/>
    <numFmt numFmtId="170" formatCode="_-&quot;₩&quot;* #,##0_-;\-&quot;₩&quot;* #,##0_-;_-&quot;₩&quot;* &quot;-&quot;_-;_-@_-"/>
    <numFmt numFmtId="171" formatCode="\$#,##0.00_);[Red]\(\$#,##0.00\)"/>
    <numFmt numFmtId="172" formatCode="_-&quot;$&quot;* #,##0.00_-;\-&quot;$&quot;* #,##0.00_-;_-&quot;$&quot;* &quot;-&quot;??_-;_-@_-"/>
    <numFmt numFmtId="173" formatCode="_(* #,##0.0_);_(* \(#,##0.0\);_(* &quot;-&quot;??_);_(@_)"/>
    <numFmt numFmtId="174" formatCode="_(* #,##0_);_(* \(#,##0\);_(* &quot;-&quot;??_);_(@_)"/>
    <numFmt numFmtId="175" formatCode="#,##0.0"/>
    <numFmt numFmtId="176" formatCode="_-* #,##0.00_-;\-* #,##0.00_-;_-* \-??_-;_-@_-"/>
    <numFmt numFmtId="177" formatCode="0.0%"/>
    <numFmt numFmtId="178" formatCode="_(&quot;$&quot;* #,##0_);_(&quot;$&quot;* \(#,##0\);_(&quot;$&quot;* &quot;-&quot;??_);_(@_)"/>
    <numFmt numFmtId="179" formatCode="_ * #,##0.00_ ;_ * \-#,##0.00_ ;_ * &quot;-&quot;??_ ;_ @_ "/>
    <numFmt numFmtId="180" formatCode="_ &quot;$&quot;* #,##0.00_ ;_ &quot;$&quot;* \-#,##0.00_ ;_ &quot;$&quot;* &quot;-&quot;??_ ;_ @_ "/>
    <numFmt numFmtId="181" formatCode="_-[$$-409]* #,##0.00_ ;_-[$$-409]* \-#,##0.00\ ;_-[$$-409]* &quot;-&quot;??_ ;_-@_ "/>
    <numFmt numFmtId="182" formatCode="_-* #,##0_-;\-* #,##0_-;_-* &quot;-&quot;??_-;_-@_-"/>
    <numFmt numFmtId="183" formatCode="_ * #,##0_ ;_ * \-#,##0_ ;_ * &quot;-&quot;_ ;_ @_ "/>
    <numFmt numFmtId="184" formatCode="[$-409]d&quot;-&quot;mmm;@"/>
    <numFmt numFmtId="185" formatCode="_-&quot;$&quot;* #,##0_-;\-&quot;$&quot;* #,##0_-;_-&quot;$&quot;* &quot;-&quot;??_-;_-@_-"/>
    <numFmt numFmtId="186" formatCode="[$-409]d\-mmm\-yyyy;@"/>
    <numFmt numFmtId="187" formatCode="0.0"/>
    <numFmt numFmtId="188" formatCode="_([$$-409]* #,##0.00_);_([$$-409]* \(#,##0.00\);_([$$-409]* &quot;-&quot;??_);_(@_)"/>
    <numFmt numFmtId="189" formatCode="_-* #,##0.0_-;\-* #,##0.0_-;_-* &quot;-&quot;_-;_-@_-"/>
    <numFmt numFmtId="190" formatCode="_-&quot;$&quot;* #,##0.0_-;\-&quot;$&quot;* #,##0.0_-;_-&quot;$&quot;* &quot;-&quot;??_-;_-@_-"/>
    <numFmt numFmtId="191" formatCode="_([$$-409]* #,##0_);_([$$-409]* \(#,##0\);_([$$-409]* &quot;-&quot;??_);_(@_)"/>
    <numFmt numFmtId="192" formatCode="[$-409]mmm\-yy;@"/>
    <numFmt numFmtId="193" formatCode="_-[$$-409]* #,##0_ ;_-[$$-409]* \-#,##0\ ;_-[$$-409]* &quot;-&quot;??_ ;_-@_ "/>
  </numFmts>
  <fonts count="1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0"/>
      <color theme="1"/>
      <name val="맑은 고딕"/>
      <family val="2"/>
      <charset val="129"/>
    </font>
    <font>
      <sz val="12"/>
      <name val="VNI-Times"/>
      <family val="2"/>
    </font>
    <font>
      <sz val="11"/>
      <color indexed="8"/>
      <name val="宋体"/>
      <charset val="134"/>
    </font>
    <font>
      <b/>
      <sz val="18"/>
      <color indexed="56"/>
      <name val="맑은 고딕"/>
      <family val="2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3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7"/>
      <name val="Arial"/>
      <family val="2"/>
    </font>
    <font>
      <b/>
      <sz val="18"/>
      <name val="Arial"/>
      <family val="2"/>
    </font>
    <font>
      <sz val="11"/>
      <color indexed="8"/>
      <name val="Arial"/>
      <family val="2"/>
    </font>
    <font>
      <i/>
      <sz val="11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2"/>
      <name val="宋体"/>
      <charset val="134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8"/>
      <scheme val="minor"/>
    </font>
    <font>
      <b/>
      <i/>
      <sz val="13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b/>
      <sz val="11"/>
      <color indexed="18"/>
      <name val="Arial"/>
      <family val="2"/>
    </font>
    <font>
      <b/>
      <sz val="11"/>
      <color indexed="8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1"/>
      <name val="Verdana"/>
      <family val="2"/>
      <charset val="129"/>
    </font>
    <font>
      <sz val="10"/>
      <name val="Arial"/>
      <family val="2"/>
    </font>
    <font>
      <b/>
      <i/>
      <sz val="12"/>
      <name val="Arial"/>
      <family val="2"/>
    </font>
    <font>
      <b/>
      <sz val="13"/>
      <name val="Arial"/>
      <family val="2"/>
    </font>
    <font>
      <b/>
      <u/>
      <sz val="11"/>
      <name val="Arial"/>
      <family val="2"/>
    </font>
    <font>
      <sz val="12"/>
      <name val="宋体"/>
      <charset val="134"/>
    </font>
    <font>
      <sz val="12"/>
      <name val="宋体"/>
      <charset val="134"/>
    </font>
    <font>
      <sz val="11"/>
      <name val="돋움"/>
      <family val="2"/>
    </font>
    <font>
      <sz val="12"/>
      <name val="VNI-Times"/>
    </font>
    <font>
      <sz val="12"/>
      <name val="宋体"/>
      <family val="3"/>
      <charset val="129"/>
    </font>
    <font>
      <b/>
      <sz val="14"/>
      <name val="Arial"/>
      <family val="2"/>
    </font>
    <font>
      <b/>
      <sz val="20"/>
      <name val="Arial"/>
      <family val="2"/>
    </font>
    <font>
      <b/>
      <sz val="20"/>
      <name val="Times New Roman"/>
      <family val="1"/>
    </font>
    <font>
      <sz val="18"/>
      <name val="Arial"/>
      <family val="2"/>
    </font>
    <font>
      <b/>
      <i/>
      <u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.5"/>
      <name val="Arial"/>
      <family val="2"/>
    </font>
    <font>
      <b/>
      <sz val="11.5"/>
      <name val="Arial"/>
      <family val="2"/>
    </font>
    <font>
      <sz val="10.5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9"/>
      <color theme="1"/>
      <name val="Times New Roman"/>
      <family val="1"/>
    </font>
    <font>
      <b/>
      <i/>
      <sz val="9"/>
      <name val="Arial"/>
      <family val="2"/>
    </font>
    <font>
      <sz val="9"/>
      <color indexed="81"/>
      <name val="돋움"/>
      <family val="3"/>
      <charset val="129"/>
    </font>
    <font>
      <sz val="11"/>
      <color rgb="FF000000"/>
      <name val="Arial Unicode MS"/>
      <family val="2"/>
      <charset val="129"/>
    </font>
    <font>
      <sz val="11"/>
      <color rgb="FF000000"/>
      <name val="맑은 고딕"/>
      <family val="2"/>
      <charset val="129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8"/>
      <color theme="1"/>
      <name val="Arial"/>
      <family val="2"/>
    </font>
    <font>
      <b/>
      <i/>
      <sz val="9"/>
      <color theme="1"/>
      <name val="Arial"/>
      <family val="2"/>
    </font>
    <font>
      <sz val="10"/>
      <color theme="0"/>
      <name val="Arial"/>
      <family val="2"/>
    </font>
    <font>
      <b/>
      <sz val="12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1.5"/>
      <color theme="0"/>
      <name val="Arial"/>
      <family val="2"/>
    </font>
    <font>
      <sz val="8"/>
      <name val="Arial"/>
      <family val="2"/>
    </font>
    <font>
      <b/>
      <i/>
      <sz val="24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11"/>
      <color theme="0"/>
      <name val="Arial"/>
      <family val="2"/>
    </font>
    <font>
      <sz val="11.5"/>
      <color theme="0"/>
      <name val="Arial"/>
      <family val="2"/>
    </font>
    <font>
      <sz val="10"/>
      <color rgb="FFFF0000"/>
      <name val="Arial"/>
      <family val="2"/>
    </font>
    <font>
      <sz val="10.5"/>
      <color rgb="FFFF0000"/>
      <name val="Arial"/>
      <family val="2"/>
    </font>
    <font>
      <sz val="11.5"/>
      <color rgb="FFFF0000"/>
      <name val="Arial"/>
      <family val="2"/>
    </font>
    <font>
      <b/>
      <sz val="11.5"/>
      <color rgb="FFFF0000"/>
      <name val="Arial"/>
      <family val="2"/>
    </font>
    <font>
      <sz val="9"/>
      <color rgb="FFFF0000"/>
      <name val="Times New Roman"/>
      <family val="1"/>
    </font>
    <font>
      <sz val="9"/>
      <color rgb="FFFF0000"/>
      <name val="Arial"/>
      <family val="2"/>
    </font>
    <font>
      <sz val="12"/>
      <color theme="1"/>
      <name val="Arial"/>
      <family val="2"/>
    </font>
    <font>
      <b/>
      <sz val="14"/>
      <color theme="6" tint="-0.249977111117893"/>
      <name val="Arial"/>
      <family val="2"/>
    </font>
    <font>
      <b/>
      <i/>
      <sz val="9"/>
      <color theme="6" tint="-0.249977111117893"/>
      <name val="Arial"/>
      <family val="2"/>
    </font>
    <font>
      <b/>
      <i/>
      <sz val="11"/>
      <color theme="6" tint="-0.249977111117893"/>
      <name val="Arial"/>
      <family val="2"/>
    </font>
    <font>
      <sz val="11"/>
      <color theme="6" tint="-0.249977111117893"/>
      <name val="Arial"/>
      <family val="2"/>
    </font>
    <font>
      <b/>
      <sz val="11"/>
      <color theme="6" tint="-0.249977111117893"/>
      <name val="Arial"/>
      <family val="2"/>
    </font>
    <font>
      <sz val="13"/>
      <color theme="3" tint="-0.249977111117893"/>
      <name val="Arial"/>
      <family val="2"/>
    </font>
    <font>
      <sz val="14"/>
      <color theme="3" tint="-0.249977111117893"/>
      <name val="Arial"/>
      <family val="2"/>
    </font>
    <font>
      <b/>
      <sz val="14"/>
      <color theme="3" tint="-0.249977111117893"/>
      <name val="Arial"/>
      <family val="2"/>
    </font>
    <font>
      <b/>
      <i/>
      <sz val="9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color theme="3" tint="-0.249977111117893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auto="1"/>
      </bottom>
      <diagonal/>
    </border>
    <border>
      <left/>
      <right style="thin">
        <color indexed="64"/>
      </right>
      <top style="double">
        <color indexed="64"/>
      </top>
      <bottom style="hair">
        <color auto="1"/>
      </bottom>
      <diagonal/>
    </border>
    <border>
      <left/>
      <right style="double">
        <color indexed="64"/>
      </right>
      <top style="double">
        <color indexed="64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890">
    <xf numFmtId="0" fontId="0" fillId="0" borderId="0"/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76" fontId="11" fillId="0" borderId="0" applyFill="0" applyBorder="0" applyAlignment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9" fontId="33" fillId="0" borderId="0" applyFon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5" fillId="23" borderId="7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2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8" applyNumberFormat="0" applyAlignment="0" applyProtection="0">
      <alignment vertical="center"/>
    </xf>
    <xf numFmtId="167" fontId="10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3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>
      <alignment vertical="center"/>
    </xf>
    <xf numFmtId="0" fontId="42" fillId="0" borderId="0"/>
    <xf numFmtId="0" fontId="1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1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46" fillId="0" borderId="0"/>
    <xf numFmtId="0" fontId="47" fillId="0" borderId="0"/>
    <xf numFmtId="0" fontId="59" fillId="0" borderId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6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" fillId="0" borderId="0"/>
    <xf numFmtId="0" fontId="11" fillId="23" borderId="7" applyNumberFormat="0" applyFont="0" applyAlignment="0" applyProtection="0">
      <alignment vertical="center"/>
    </xf>
    <xf numFmtId="166" fontId="6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>
      <alignment vertical="center"/>
    </xf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83" fontId="59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63" fillId="0" borderId="0"/>
    <xf numFmtId="0" fontId="45" fillId="0" borderId="0">
      <alignment vertical="center"/>
    </xf>
    <xf numFmtId="0" fontId="64" fillId="0" borderId="0">
      <alignment vertical="center"/>
    </xf>
    <xf numFmtId="0" fontId="6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/>
    <xf numFmtId="0" fontId="62" fillId="0" borderId="0">
      <alignment vertical="center"/>
    </xf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11" fillId="0" borderId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84" fontId="73" fillId="0" borderId="0">
      <alignment vertical="center"/>
    </xf>
    <xf numFmtId="167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72" fontId="74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43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170" fontId="64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43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4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3" fillId="0" borderId="0" applyFont="0" applyFill="0" applyBorder="0" applyAlignment="0" applyProtection="0"/>
    <xf numFmtId="172" fontId="73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3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0" fontId="78" fillId="0" borderId="0"/>
    <xf numFmtId="179" fontId="59" fillId="0" borderId="0" applyFont="0" applyFill="0" applyBorder="0" applyAlignment="0" applyProtection="0"/>
    <xf numFmtId="0" fontId="78" fillId="0" borderId="0">
      <alignment vertical="center"/>
    </xf>
    <xf numFmtId="0" fontId="78" fillId="0" borderId="0">
      <alignment vertical="center"/>
    </xf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0" fontId="79" fillId="0" borderId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79" fillId="0" borderId="0">
      <alignment vertical="center"/>
    </xf>
    <xf numFmtId="0" fontId="79" fillId="0" borderId="0">
      <alignment vertical="center"/>
    </xf>
    <xf numFmtId="167" fontId="64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64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86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6" fontId="80" fillId="0" borderId="0"/>
    <xf numFmtId="171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166" fontId="80" fillId="0" borderId="0" applyFont="0" applyFill="0" applyBorder="0" applyAlignment="0" applyProtection="0"/>
    <xf numFmtId="0" fontId="59" fillId="0" borderId="0"/>
    <xf numFmtId="183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81" fillId="0" borderId="0"/>
    <xf numFmtId="167" fontId="81" fillId="0" borderId="0" applyFont="0" applyFill="0" applyBorder="0" applyAlignment="0" applyProtection="0"/>
    <xf numFmtId="165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86" fontId="1" fillId="0" borderId="0"/>
    <xf numFmtId="43" fontId="82" fillId="0" borderId="0" applyFont="0" applyFill="0" applyBorder="0" applyAlignment="0" applyProtection="0">
      <alignment vertical="center"/>
    </xf>
    <xf numFmtId="0" fontId="79" fillId="0" borderId="0"/>
    <xf numFmtId="0" fontId="45" fillId="0" borderId="0">
      <alignment vertical="center"/>
    </xf>
    <xf numFmtId="167" fontId="1" fillId="0" borderId="0" applyFont="0" applyFill="0" applyBorder="0" applyAlignment="0" applyProtection="0"/>
    <xf numFmtId="186" fontId="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8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64" fillId="0" borderId="0" applyFont="0" applyFill="0" applyBorder="0" applyAlignment="0" applyProtection="0"/>
    <xf numFmtId="166" fontId="64" fillId="0" borderId="0" applyFont="0" applyFill="0" applyBorder="0" applyAlignment="0" applyProtection="0"/>
  </cellStyleXfs>
  <cellXfs count="1622">
    <xf numFmtId="0" fontId="0" fillId="0" borderId="0" xfId="0"/>
    <xf numFmtId="167" fontId="35" fillId="0" borderId="12" xfId="19" applyFont="1" applyBorder="1" applyAlignment="1">
      <alignment vertical="center"/>
    </xf>
    <xf numFmtId="167" fontId="35" fillId="0" borderId="0" xfId="19" applyFont="1" applyAlignment="1">
      <alignment vertical="center"/>
    </xf>
    <xf numFmtId="174" fontId="35" fillId="0" borderId="0" xfId="19" applyNumberFormat="1" applyFont="1" applyAlignment="1">
      <alignment vertical="center"/>
    </xf>
    <xf numFmtId="174" fontId="35" fillId="0" borderId="0" xfId="19" applyNumberFormat="1" applyFont="1" applyAlignment="1">
      <alignment horizontal="right"/>
    </xf>
    <xf numFmtId="0" fontId="40" fillId="0" borderId="0" xfId="0" applyFont="1"/>
    <xf numFmtId="0" fontId="35" fillId="0" borderId="0" xfId="0" applyFont="1"/>
    <xf numFmtId="0" fontId="40" fillId="0" borderId="0" xfId="0" applyFont="1" applyAlignment="1">
      <alignment horizontal="center" vertical="center"/>
    </xf>
    <xf numFmtId="165" fontId="35" fillId="0" borderId="0" xfId="0" applyNumberFormat="1" applyFont="1"/>
    <xf numFmtId="14" fontId="35" fillId="0" borderId="0" xfId="0" applyNumberFormat="1" applyFont="1"/>
    <xf numFmtId="0" fontId="51" fillId="0" borderId="0" xfId="0" applyFont="1"/>
    <xf numFmtId="0" fontId="53" fillId="0" borderId="0" xfId="0" applyFont="1"/>
    <xf numFmtId="174" fontId="53" fillId="0" borderId="0" xfId="19" applyNumberFormat="1" applyFont="1" applyAlignment="1">
      <alignment horizontal="right"/>
    </xf>
    <xf numFmtId="14" fontId="53" fillId="0" borderId="0" xfId="0" applyNumberFormat="1" applyFont="1"/>
    <xf numFmtId="165" fontId="53" fillId="0" borderId="0" xfId="0" applyNumberFormat="1" applyFont="1"/>
    <xf numFmtId="0" fontId="48" fillId="0" borderId="0" xfId="0" applyFont="1" applyAlignment="1">
      <alignment vertical="center"/>
    </xf>
    <xf numFmtId="3" fontId="48" fillId="0" borderId="0" xfId="0" applyNumberFormat="1" applyFont="1" applyAlignment="1">
      <alignment vertical="center"/>
    </xf>
    <xf numFmtId="3" fontId="49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74" fontId="35" fillId="0" borderId="12" xfId="29" applyNumberFormat="1" applyFont="1" applyBorder="1" applyAlignment="1">
      <alignment vertical="center"/>
    </xf>
    <xf numFmtId="0" fontId="35" fillId="0" borderId="12" xfId="29" applyFont="1" applyBorder="1" applyAlignment="1">
      <alignment vertical="center"/>
    </xf>
    <xf numFmtId="174" fontId="35" fillId="0" borderId="12" xfId="19" applyNumberFormat="1" applyFont="1" applyBorder="1" applyAlignment="1">
      <alignment vertical="center"/>
    </xf>
    <xf numFmtId="0" fontId="35" fillId="0" borderId="0" xfId="29" applyFont="1" applyAlignment="1">
      <alignment vertical="center"/>
    </xf>
    <xf numFmtId="0" fontId="50" fillId="0" borderId="0" xfId="0" applyFont="1" applyAlignment="1">
      <alignment horizontal="center" vertical="center"/>
    </xf>
    <xf numFmtId="174" fontId="35" fillId="0" borderId="0" xfId="0" applyNumberFormat="1" applyFont="1"/>
    <xf numFmtId="0" fontId="48" fillId="0" borderId="0" xfId="0" applyFont="1" applyAlignment="1">
      <alignment horizontal="center" vertical="center"/>
    </xf>
    <xf numFmtId="165" fontId="35" fillId="0" borderId="0" xfId="0" applyNumberFormat="1" applyFont="1" applyAlignment="1">
      <alignment horizontal="center"/>
    </xf>
    <xf numFmtId="0" fontId="40" fillId="0" borderId="0" xfId="29" applyFont="1" applyAlignment="1">
      <alignment vertical="center"/>
    </xf>
    <xf numFmtId="3" fontId="40" fillId="0" borderId="0" xfId="29" applyNumberFormat="1" applyFont="1" applyAlignment="1">
      <alignment vertical="center"/>
    </xf>
    <xf numFmtId="175" fontId="40" fillId="0" borderId="0" xfId="29" applyNumberFormat="1" applyFont="1" applyAlignment="1">
      <alignment vertical="center"/>
    </xf>
    <xf numFmtId="165" fontId="12" fillId="0" borderId="0" xfId="0" applyNumberFormat="1" applyFont="1"/>
    <xf numFmtId="165" fontId="40" fillId="0" borderId="0" xfId="0" applyNumberFormat="1" applyFont="1"/>
    <xf numFmtId="165" fontId="40" fillId="0" borderId="0" xfId="0" applyNumberFormat="1" applyFont="1" applyAlignment="1">
      <alignment horizontal="center"/>
    </xf>
    <xf numFmtId="174" fontId="69" fillId="0" borderId="0" xfId="62" applyNumberFormat="1" applyFont="1" applyAlignment="1">
      <alignment vertical="center"/>
    </xf>
    <xf numFmtId="0" fontId="57" fillId="0" borderId="0" xfId="63" applyFont="1" applyAlignment="1">
      <alignment horizontal="center" vertical="center"/>
    </xf>
    <xf numFmtId="174" fontId="35" fillId="0" borderId="0" xfId="62" applyNumberFormat="1" applyFont="1" applyAlignment="1">
      <alignment vertical="center"/>
    </xf>
    <xf numFmtId="0" fontId="57" fillId="0" borderId="0" xfId="63" applyFont="1" applyAlignment="1">
      <alignment vertical="center"/>
    </xf>
    <xf numFmtId="0" fontId="70" fillId="0" borderId="0" xfId="63" applyFont="1" applyAlignment="1">
      <alignment vertical="center"/>
    </xf>
    <xf numFmtId="0" fontId="70" fillId="0" borderId="0" xfId="63" applyFont="1" applyAlignment="1">
      <alignment horizontal="center" vertical="center"/>
    </xf>
    <xf numFmtId="0" fontId="57" fillId="0" borderId="19" xfId="63" applyFont="1" applyBorder="1" applyAlignment="1">
      <alignment horizontal="center" vertical="center"/>
    </xf>
    <xf numFmtId="174" fontId="35" fillId="0" borderId="25" xfId="62" applyNumberFormat="1" applyFont="1" applyBorder="1" applyAlignment="1">
      <alignment vertical="center"/>
    </xf>
    <xf numFmtId="174" fontId="57" fillId="0" borderId="0" xfId="63" applyNumberFormat="1" applyFont="1" applyAlignment="1">
      <alignment vertical="center"/>
    </xf>
    <xf numFmtId="0" fontId="57" fillId="0" borderId="21" xfId="63" applyFont="1" applyBorder="1" applyAlignment="1">
      <alignment horizontal="center" vertical="center"/>
    </xf>
    <xf numFmtId="174" fontId="35" fillId="0" borderId="12" xfId="62" applyNumberFormat="1" applyFont="1" applyBorder="1" applyAlignment="1">
      <alignment vertical="center"/>
    </xf>
    <xf numFmtId="174" fontId="35" fillId="0" borderId="14" xfId="62" applyNumberFormat="1" applyFont="1" applyBorder="1" applyAlignment="1">
      <alignment vertical="center"/>
    </xf>
    <xf numFmtId="0" fontId="70" fillId="27" borderId="30" xfId="29" applyFont="1" applyFill="1" applyBorder="1" applyAlignment="1">
      <alignment vertical="center"/>
    </xf>
    <xf numFmtId="174" fontId="35" fillId="0" borderId="21" xfId="62" applyNumberFormat="1" applyFont="1" applyBorder="1" applyAlignment="1">
      <alignment vertical="center"/>
    </xf>
    <xf numFmtId="174" fontId="35" fillId="0" borderId="39" xfId="62" applyNumberFormat="1" applyFont="1" applyBorder="1" applyAlignment="1">
      <alignment vertical="center"/>
    </xf>
    <xf numFmtId="0" fontId="70" fillId="32" borderId="30" xfId="29" applyFont="1" applyFill="1" applyBorder="1" applyAlignment="1">
      <alignment vertical="center"/>
    </xf>
    <xf numFmtId="178" fontId="35" fillId="0" borderId="12" xfId="65" applyNumberFormat="1" applyFont="1" applyBorder="1" applyAlignment="1">
      <alignment vertical="center"/>
    </xf>
    <xf numFmtId="0" fontId="70" fillId="34" borderId="31" xfId="63" applyFont="1" applyFill="1" applyBorder="1" applyAlignment="1">
      <alignment horizontal="center" vertical="center"/>
    </xf>
    <xf numFmtId="0" fontId="70" fillId="34" borderId="32" xfId="63" applyFont="1" applyFill="1" applyBorder="1" applyAlignment="1">
      <alignment horizontal="center" vertical="center"/>
    </xf>
    <xf numFmtId="178" fontId="35" fillId="0" borderId="25" xfId="65" applyNumberFormat="1" applyFont="1" applyBorder="1" applyAlignment="1">
      <alignment vertical="center"/>
    </xf>
    <xf numFmtId="0" fontId="70" fillId="37" borderId="30" xfId="29" applyFont="1" applyFill="1" applyBorder="1" applyAlignment="1">
      <alignment vertical="center"/>
    </xf>
    <xf numFmtId="164" fontId="35" fillId="0" borderId="25" xfId="65" applyNumberFormat="1" applyFont="1" applyBorder="1" applyAlignment="1">
      <alignment vertical="center"/>
    </xf>
    <xf numFmtId="0" fontId="70" fillId="25" borderId="35" xfId="63" applyFont="1" applyFill="1" applyBorder="1" applyAlignment="1">
      <alignment vertical="center"/>
    </xf>
    <xf numFmtId="0" fontId="57" fillId="25" borderId="36" xfId="63" applyFont="1" applyFill="1" applyBorder="1" applyAlignment="1">
      <alignment horizontal="center" vertical="center"/>
    </xf>
    <xf numFmtId="10" fontId="35" fillId="25" borderId="11" xfId="60" applyNumberFormat="1" applyFont="1" applyFill="1" applyBorder="1" applyAlignment="1">
      <alignment vertical="center"/>
    </xf>
    <xf numFmtId="0" fontId="57" fillId="31" borderId="31" xfId="63" applyFont="1" applyFill="1" applyBorder="1" applyAlignment="1">
      <alignment horizontal="center" vertical="center"/>
    </xf>
    <xf numFmtId="0" fontId="57" fillId="31" borderId="32" xfId="63" applyFont="1" applyFill="1" applyBorder="1" applyAlignment="1">
      <alignment horizontal="center" vertical="center"/>
    </xf>
    <xf numFmtId="0" fontId="57" fillId="31" borderId="0" xfId="63" applyFont="1" applyFill="1" applyAlignment="1">
      <alignment vertical="center"/>
    </xf>
    <xf numFmtId="0" fontId="72" fillId="37" borderId="30" xfId="29" applyFont="1" applyFill="1" applyBorder="1" applyAlignment="1">
      <alignment vertical="center"/>
    </xf>
    <xf numFmtId="174" fontId="35" fillId="0" borderId="10" xfId="19" applyNumberFormat="1" applyFont="1" applyBorder="1" applyAlignment="1">
      <alignment vertical="center"/>
    </xf>
    <xf numFmtId="0" fontId="70" fillId="25" borderId="35" xfId="63" applyFont="1" applyFill="1" applyBorder="1" applyAlignment="1">
      <alignment horizontal="center" vertical="center"/>
    </xf>
    <xf numFmtId="9" fontId="35" fillId="25" borderId="11" xfId="60" applyFont="1" applyFill="1" applyBorder="1" applyAlignment="1">
      <alignment vertical="center"/>
    </xf>
    <xf numFmtId="0" fontId="72" fillId="27" borderId="30" xfId="29" applyFont="1" applyFill="1" applyBorder="1" applyAlignment="1">
      <alignment vertical="center"/>
    </xf>
    <xf numFmtId="0" fontId="57" fillId="0" borderId="32" xfId="63" applyFont="1" applyBorder="1" applyAlignment="1">
      <alignment horizontal="center" vertical="center"/>
    </xf>
    <xf numFmtId="178" fontId="35" fillId="0" borderId="10" xfId="65" applyNumberFormat="1" applyFont="1" applyBorder="1" applyAlignment="1">
      <alignment vertical="center"/>
    </xf>
    <xf numFmtId="178" fontId="35" fillId="0" borderId="12" xfId="56" applyNumberFormat="1" applyFont="1" applyBorder="1" applyAlignment="1">
      <alignment vertical="center"/>
    </xf>
    <xf numFmtId="0" fontId="70" fillId="25" borderId="31" xfId="63" applyFont="1" applyFill="1" applyBorder="1" applyAlignment="1">
      <alignment vertical="center" wrapText="1"/>
    </xf>
    <xf numFmtId="0" fontId="57" fillId="25" borderId="32" xfId="63" applyFont="1" applyFill="1" applyBorder="1" applyAlignment="1">
      <alignment horizontal="center" vertical="center"/>
    </xf>
    <xf numFmtId="9" fontId="35" fillId="25" borderId="10" xfId="60" applyFont="1" applyFill="1" applyBorder="1" applyAlignment="1">
      <alignment vertical="center"/>
    </xf>
    <xf numFmtId="174" fontId="35" fillId="0" borderId="0" xfId="19" applyNumberFormat="1" applyFont="1" applyAlignment="1">
      <alignment horizontal="left" vertical="center"/>
    </xf>
    <xf numFmtId="3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0" fontId="57" fillId="0" borderId="42" xfId="63" applyFont="1" applyBorder="1" applyAlignment="1">
      <alignment horizontal="center" vertical="center"/>
    </xf>
    <xf numFmtId="174" fontId="35" fillId="0" borderId="0" xfId="19" applyNumberFormat="1" applyFont="1" applyAlignment="1">
      <alignment vertical="center" wrapText="1"/>
    </xf>
    <xf numFmtId="1" fontId="35" fillId="0" borderId="0" xfId="19" applyNumberFormat="1" applyFont="1" applyAlignment="1">
      <alignment vertical="center" wrapText="1"/>
    </xf>
    <xf numFmtId="182" fontId="35" fillId="0" borderId="0" xfId="19" applyNumberFormat="1" applyFont="1" applyAlignment="1">
      <alignment vertical="center" wrapText="1"/>
    </xf>
    <xf numFmtId="0" fontId="57" fillId="0" borderId="30" xfId="63" applyFont="1" applyBorder="1" applyAlignment="1">
      <alignment horizontal="center" vertical="center"/>
    </xf>
    <xf numFmtId="0" fontId="35" fillId="0" borderId="34" xfId="63" applyFont="1" applyBorder="1" applyAlignment="1">
      <alignment horizontal="center" vertical="center"/>
    </xf>
    <xf numFmtId="0" fontId="70" fillId="0" borderId="31" xfId="63" applyFont="1" applyBorder="1" applyAlignment="1">
      <alignment horizontal="center" vertical="center"/>
    </xf>
    <xf numFmtId="0" fontId="70" fillId="0" borderId="32" xfId="63" applyFont="1" applyBorder="1" applyAlignment="1">
      <alignment horizontal="center" vertical="center"/>
    </xf>
    <xf numFmtId="0" fontId="70" fillId="0" borderId="19" xfId="29" applyFont="1" applyBorder="1" applyAlignment="1">
      <alignment vertical="center"/>
    </xf>
    <xf numFmtId="0" fontId="57" fillId="0" borderId="31" xfId="63" applyFont="1" applyBorder="1" applyAlignment="1">
      <alignment horizontal="center" vertical="center"/>
    </xf>
    <xf numFmtId="0" fontId="57" fillId="0" borderId="36" xfId="63" applyFont="1" applyBorder="1" applyAlignment="1">
      <alignment horizontal="center" vertical="center"/>
    </xf>
    <xf numFmtId="0" fontId="71" fillId="0" borderId="34" xfId="29" applyFont="1" applyBorder="1" applyAlignment="1">
      <alignment horizontal="center" vertical="center"/>
    </xf>
    <xf numFmtId="0" fontId="55" fillId="0" borderId="0" xfId="29" applyFont="1" applyAlignment="1">
      <alignment vertical="center"/>
    </xf>
    <xf numFmtId="14" fontId="35" fillId="0" borderId="0" xfId="29" applyNumberFormat="1" applyFont="1" applyAlignment="1">
      <alignment horizontal="center" vertical="center"/>
    </xf>
    <xf numFmtId="3" fontId="35" fillId="0" borderId="0" xfId="29" applyNumberFormat="1" applyFont="1" applyAlignment="1">
      <alignment horizontal="center" vertical="center" wrapText="1"/>
    </xf>
    <xf numFmtId="3" fontId="35" fillId="0" borderId="0" xfId="29" applyNumberFormat="1" applyFont="1" applyAlignment="1">
      <alignment vertical="center" wrapText="1"/>
    </xf>
    <xf numFmtId="174" fontId="35" fillId="0" borderId="0" xfId="19" applyNumberFormat="1" applyFont="1" applyAlignment="1">
      <alignment horizontal="right" vertical="center"/>
    </xf>
    <xf numFmtId="165" fontId="35" fillId="0" borderId="0" xfId="29" applyNumberFormat="1" applyFont="1" applyAlignment="1">
      <alignment vertical="center" wrapText="1"/>
    </xf>
    <xf numFmtId="165" fontId="35" fillId="0" borderId="0" xfId="29" applyNumberFormat="1" applyFont="1" applyAlignment="1">
      <alignment vertical="center"/>
    </xf>
    <xf numFmtId="37" fontId="35" fillId="0" borderId="0" xfId="29" applyNumberFormat="1" applyFont="1" applyAlignment="1">
      <alignment vertical="center"/>
    </xf>
    <xf numFmtId="173" fontId="35" fillId="0" borderId="0" xfId="22" applyNumberFormat="1" applyFont="1" applyAlignment="1">
      <alignment vertical="center"/>
    </xf>
    <xf numFmtId="173" fontId="35" fillId="0" borderId="0" xfId="22" applyNumberFormat="1" applyFont="1" applyAlignment="1">
      <alignment horizontal="left" vertical="center"/>
    </xf>
    <xf numFmtId="14" fontId="35" fillId="0" borderId="0" xfId="0" applyNumberFormat="1" applyFont="1" applyAlignment="1">
      <alignment vertical="center"/>
    </xf>
    <xf numFmtId="14" fontId="35" fillId="0" borderId="0" xfId="0" applyNumberFormat="1" applyFont="1" applyAlignment="1">
      <alignment horizontal="center" vertical="center"/>
    </xf>
    <xf numFmtId="174" fontId="35" fillId="0" borderId="0" xfId="19" applyNumberFormat="1" applyFont="1" applyAlignment="1">
      <alignment horizontal="center" vertical="center"/>
    </xf>
    <xf numFmtId="173" fontId="35" fillId="0" borderId="0" xfId="19" applyNumberFormat="1" applyFont="1" applyAlignment="1">
      <alignment vertical="center"/>
    </xf>
    <xf numFmtId="165" fontId="35" fillId="0" borderId="0" xfId="0" applyNumberFormat="1" applyFont="1" applyAlignment="1">
      <alignment vertical="center"/>
    </xf>
    <xf numFmtId="37" fontId="35" fillId="0" borderId="0" xfId="0" applyNumberFormat="1" applyFont="1" applyAlignment="1">
      <alignment vertical="center"/>
    </xf>
    <xf numFmtId="175" fontId="35" fillId="0" borderId="0" xfId="0" applyNumberFormat="1" applyFont="1" applyAlignment="1">
      <alignment vertical="center"/>
    </xf>
    <xf numFmtId="165" fontId="35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/>
    </xf>
    <xf numFmtId="0" fontId="57" fillId="0" borderId="34" xfId="63" applyFont="1" applyBorder="1" applyAlignment="1">
      <alignment horizontal="center" vertical="center"/>
    </xf>
    <xf numFmtId="174" fontId="35" fillId="0" borderId="13" xfId="19" applyNumberFormat="1" applyFont="1" applyBorder="1" applyAlignment="1">
      <alignment vertical="center"/>
    </xf>
    <xf numFmtId="4" fontId="35" fillId="0" borderId="0" xfId="29" applyNumberFormat="1" applyFont="1" applyAlignment="1">
      <alignment horizontal="center" vertical="center" wrapText="1"/>
    </xf>
    <xf numFmtId="173" fontId="35" fillId="0" borderId="0" xfId="19" applyNumberFormat="1" applyFont="1" applyAlignment="1">
      <alignment horizontal="center" vertical="center"/>
    </xf>
    <xf numFmtId="4" fontId="35" fillId="0" borderId="0" xfId="19" applyNumberFormat="1" applyFont="1" applyAlignment="1">
      <alignment horizontal="center" vertical="center"/>
    </xf>
    <xf numFmtId="0" fontId="57" fillId="25" borderId="17" xfId="63" applyFont="1" applyFill="1" applyBorder="1" applyAlignment="1">
      <alignment horizontal="center" vertical="center"/>
    </xf>
    <xf numFmtId="185" fontId="35" fillId="0" borderId="12" xfId="259" applyNumberFormat="1" applyFont="1" applyBorder="1" applyAlignment="1">
      <alignment vertical="center"/>
    </xf>
    <xf numFmtId="174" fontId="76" fillId="0" borderId="0" xfId="19" applyNumberFormat="1" applyFont="1" applyFill="1" applyBorder="1" applyAlignment="1">
      <alignment vertical="center"/>
    </xf>
    <xf numFmtId="0" fontId="40" fillId="0" borderId="0" xfId="0" applyFont="1" applyAlignment="1">
      <alignment horizontal="center"/>
    </xf>
    <xf numFmtId="14" fontId="35" fillId="0" borderId="0" xfId="0" applyNumberFormat="1" applyFont="1" applyAlignment="1">
      <alignment horizontal="center"/>
    </xf>
    <xf numFmtId="14" fontId="40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3" fontId="11" fillId="0" borderId="0" xfId="29" applyNumberFormat="1" applyAlignment="1">
      <alignment vertical="center"/>
    </xf>
    <xf numFmtId="4" fontId="11" fillId="0" borderId="0" xfId="29" applyNumberFormat="1" applyAlignment="1">
      <alignment vertical="center"/>
    </xf>
    <xf numFmtId="0" fontId="11" fillId="0" borderId="0" xfId="29" applyAlignment="1">
      <alignment vertical="center"/>
    </xf>
    <xf numFmtId="175" fontId="11" fillId="0" borderId="0" xfId="29" applyNumberFormat="1" applyAlignment="1">
      <alignment vertical="center"/>
    </xf>
    <xf numFmtId="172" fontId="35" fillId="0" borderId="12" xfId="259" applyFont="1" applyBorder="1" applyAlignment="1">
      <alignment vertical="center"/>
    </xf>
    <xf numFmtId="174" fontId="11" fillId="0" borderId="0" xfId="19" applyNumberFormat="1" applyFont="1" applyAlignment="1">
      <alignment vertical="center"/>
    </xf>
    <xf numFmtId="0" fontId="35" fillId="0" borderId="80" xfId="29" applyFont="1" applyBorder="1" applyAlignment="1">
      <alignment vertical="center"/>
    </xf>
    <xf numFmtId="174" fontId="35" fillId="0" borderId="14" xfId="19" applyNumberFormat="1" applyFont="1" applyBorder="1" applyAlignment="1">
      <alignment vertical="center"/>
    </xf>
    <xf numFmtId="174" fontId="35" fillId="0" borderId="26" xfId="19" applyNumberFormat="1" applyFont="1" applyBorder="1" applyAlignment="1">
      <alignment vertical="center"/>
    </xf>
    <xf numFmtId="0" fontId="57" fillId="0" borderId="46" xfId="63" applyFont="1" applyBorder="1" applyAlignment="1">
      <alignment horizontal="center" vertical="center"/>
    </xf>
    <xf numFmtId="0" fontId="70" fillId="29" borderId="35" xfId="63" applyFont="1" applyFill="1" applyBorder="1" applyAlignment="1">
      <alignment horizontal="left" vertical="center"/>
    </xf>
    <xf numFmtId="0" fontId="70" fillId="29" borderId="36" xfId="63" applyFont="1" applyFill="1" applyBorder="1" applyAlignment="1">
      <alignment horizontal="center" vertical="center"/>
    </xf>
    <xf numFmtId="0" fontId="57" fillId="31" borderId="34" xfId="63" applyFont="1" applyFill="1" applyBorder="1" applyAlignment="1">
      <alignment horizontal="center" vertical="center"/>
    </xf>
    <xf numFmtId="0" fontId="70" fillId="30" borderId="30" xfId="63" applyFont="1" applyFill="1" applyBorder="1" applyAlignment="1">
      <alignment vertical="center"/>
    </xf>
    <xf numFmtId="0" fontId="70" fillId="32" borderId="34" xfId="29" applyFont="1" applyFill="1" applyBorder="1" applyAlignment="1">
      <alignment vertical="center"/>
    </xf>
    <xf numFmtId="0" fontId="70" fillId="0" borderId="21" xfId="29" applyFont="1" applyBorder="1" applyAlignment="1">
      <alignment vertical="center"/>
    </xf>
    <xf numFmtId="0" fontId="57" fillId="31" borderId="21" xfId="63" applyFont="1" applyFill="1" applyBorder="1" applyAlignment="1">
      <alignment horizontal="center" vertical="center"/>
    </xf>
    <xf numFmtId="0" fontId="72" fillId="37" borderId="34" xfId="29" applyFont="1" applyFill="1" applyBorder="1" applyAlignment="1">
      <alignment horizontal="left" vertical="center"/>
    </xf>
    <xf numFmtId="0" fontId="70" fillId="25" borderId="34" xfId="63" applyFont="1" applyFill="1" applyBorder="1" applyAlignment="1">
      <alignment vertical="center" wrapText="1"/>
    </xf>
    <xf numFmtId="0" fontId="57" fillId="25" borderId="21" xfId="63" applyFont="1" applyFill="1" applyBorder="1" applyAlignment="1">
      <alignment horizontal="center" vertical="center"/>
    </xf>
    <xf numFmtId="9" fontId="35" fillId="25" borderId="12" xfId="60" applyFont="1" applyFill="1" applyBorder="1" applyAlignment="1">
      <alignment vertical="center"/>
    </xf>
    <xf numFmtId="10" fontId="35" fillId="25" borderId="12" xfId="60" applyNumberFormat="1" applyFont="1" applyFill="1" applyBorder="1" applyAlignment="1">
      <alignment vertical="center"/>
    </xf>
    <xf numFmtId="0" fontId="72" fillId="27" borderId="34" xfId="29" applyFont="1" applyFill="1" applyBorder="1" applyAlignment="1">
      <alignment vertical="center"/>
    </xf>
    <xf numFmtId="0" fontId="70" fillId="25" borderId="31" xfId="63" applyFont="1" applyFill="1" applyBorder="1" applyAlignment="1">
      <alignment horizontal="center" vertical="center"/>
    </xf>
    <xf numFmtId="0" fontId="54" fillId="44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174" fontId="52" fillId="42" borderId="16" xfId="19" applyNumberFormat="1" applyFont="1" applyFill="1" applyBorder="1" applyAlignment="1">
      <alignment horizontal="center" vertical="center" wrapText="1"/>
    </xf>
    <xf numFmtId="174" fontId="35" fillId="0" borderId="12" xfId="19" applyNumberFormat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165" fontId="40" fillId="25" borderId="12" xfId="0" applyNumberFormat="1" applyFont="1" applyFill="1" applyBorder="1"/>
    <xf numFmtId="165" fontId="53" fillId="0" borderId="12" xfId="0" applyNumberFormat="1" applyFont="1" applyBorder="1"/>
    <xf numFmtId="0" fontId="83" fillId="0" borderId="0" xfId="29" applyFont="1" applyAlignment="1">
      <alignment horizontal="center" vertical="center"/>
    </xf>
    <xf numFmtId="4" fontId="83" fillId="0" borderId="0" xfId="29" applyNumberFormat="1" applyFont="1" applyAlignment="1">
      <alignment horizontal="center" vertical="center"/>
    </xf>
    <xf numFmtId="3" fontId="83" fillId="0" borderId="0" xfId="29" applyNumberFormat="1" applyFont="1" applyAlignment="1">
      <alignment horizontal="center" vertical="center"/>
    </xf>
    <xf numFmtId="175" fontId="83" fillId="0" borderId="0" xfId="29" applyNumberFormat="1" applyFont="1" applyAlignment="1">
      <alignment horizontal="center" vertical="center"/>
    </xf>
    <xf numFmtId="167" fontId="83" fillId="0" borderId="0" xfId="22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4" fontId="84" fillId="0" borderId="0" xfId="0" applyNumberFormat="1" applyFont="1" applyAlignment="1">
      <alignment horizontal="center" vertical="center"/>
    </xf>
    <xf numFmtId="174" fontId="84" fillId="0" borderId="0" xfId="19" applyNumberFormat="1" applyFont="1" applyAlignment="1">
      <alignment horizontal="center" vertical="center"/>
    </xf>
    <xf numFmtId="4" fontId="84" fillId="0" borderId="0" xfId="19" applyNumberFormat="1" applyFont="1" applyAlignment="1">
      <alignment horizontal="center" vertical="center"/>
    </xf>
    <xf numFmtId="173" fontId="84" fillId="0" borderId="0" xfId="19" applyNumberFormat="1" applyFont="1" applyAlignment="1">
      <alignment horizontal="center" vertical="center"/>
    </xf>
    <xf numFmtId="165" fontId="84" fillId="0" borderId="0" xfId="0" applyNumberFormat="1" applyFont="1" applyAlignment="1">
      <alignment horizontal="center" vertical="center"/>
    </xf>
    <xf numFmtId="37" fontId="84" fillId="0" borderId="0" xfId="0" applyNumberFormat="1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174" fontId="40" fillId="0" borderId="0" xfId="19" applyNumberFormat="1" applyFont="1" applyFill="1" applyBorder="1" applyAlignment="1">
      <alignment horizontal="left" vertical="center" wrapText="1"/>
    </xf>
    <xf numFmtId="174" fontId="35" fillId="0" borderId="0" xfId="19" applyNumberFormat="1" applyFont="1" applyBorder="1" applyAlignment="1">
      <alignment vertical="center"/>
    </xf>
    <xf numFmtId="0" fontId="50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14" fontId="86" fillId="0" borderId="0" xfId="0" applyNumberFormat="1" applyFont="1" applyAlignment="1">
      <alignment horizontal="center" vertical="center"/>
    </xf>
    <xf numFmtId="174" fontId="86" fillId="0" borderId="0" xfId="19" applyNumberFormat="1" applyFont="1" applyAlignment="1">
      <alignment vertical="center"/>
    </xf>
    <xf numFmtId="4" fontId="86" fillId="0" borderId="0" xfId="19" applyNumberFormat="1" applyFont="1" applyAlignment="1">
      <alignment horizontal="center" vertical="center"/>
    </xf>
    <xf numFmtId="173" fontId="86" fillId="0" borderId="0" xfId="19" applyNumberFormat="1" applyFont="1" applyAlignment="1">
      <alignment horizontal="center" vertical="center"/>
    </xf>
    <xf numFmtId="173" fontId="86" fillId="0" borderId="0" xfId="19" applyNumberFormat="1" applyFont="1" applyAlignment="1">
      <alignment vertical="center"/>
    </xf>
    <xf numFmtId="165" fontId="86" fillId="0" borderId="0" xfId="0" applyNumberFormat="1" applyFont="1" applyAlignment="1">
      <alignment vertical="center"/>
    </xf>
    <xf numFmtId="37" fontId="86" fillId="0" borderId="0" xfId="0" applyNumberFormat="1" applyFont="1" applyAlignment="1">
      <alignment vertical="center"/>
    </xf>
    <xf numFmtId="175" fontId="86" fillId="0" borderId="0" xfId="0" applyNumberFormat="1" applyFont="1" applyAlignment="1">
      <alignment vertical="center"/>
    </xf>
    <xf numFmtId="165" fontId="86" fillId="0" borderId="0" xfId="0" applyNumberFormat="1" applyFont="1" applyAlignment="1">
      <alignment horizontal="left" vertical="center"/>
    </xf>
    <xf numFmtId="165" fontId="56" fillId="0" borderId="0" xfId="0" applyNumberFormat="1" applyFont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0" fontId="56" fillId="0" borderId="0" xfId="29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5" fontId="84" fillId="0" borderId="0" xfId="0" applyNumberFormat="1" applyFont="1" applyAlignment="1">
      <alignment horizontal="left" vertical="center"/>
    </xf>
    <xf numFmtId="174" fontId="40" fillId="0" borderId="0" xfId="19" applyNumberFormat="1" applyFont="1" applyAlignment="1">
      <alignment vertical="center" wrapText="1"/>
    </xf>
    <xf numFmtId="178" fontId="35" fillId="0" borderId="12" xfId="65" applyNumberFormat="1" applyFont="1" applyFill="1" applyBorder="1" applyAlignment="1">
      <alignment vertical="center"/>
    </xf>
    <xf numFmtId="0" fontId="56" fillId="0" borderId="0" xfId="0" applyFont="1" applyAlignment="1">
      <alignment horizontal="center"/>
    </xf>
    <xf numFmtId="0" fontId="56" fillId="0" borderId="0" xfId="0" applyFont="1"/>
    <xf numFmtId="0" fontId="40" fillId="0" borderId="0" xfId="0" applyFont="1" applyAlignment="1">
      <alignment horizontal="left"/>
    </xf>
    <xf numFmtId="3" fontId="40" fillId="0" borderId="0" xfId="0" applyNumberFormat="1" applyFont="1"/>
    <xf numFmtId="0" fontId="40" fillId="0" borderId="0" xfId="0" applyFont="1" applyAlignment="1">
      <alignment horizontal="right"/>
    </xf>
    <xf numFmtId="14" fontId="40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5" fontId="52" fillId="42" borderId="16" xfId="0" applyNumberFormat="1" applyFont="1" applyFill="1" applyBorder="1" applyAlignment="1">
      <alignment horizontal="center" vertical="center" wrapText="1"/>
    </xf>
    <xf numFmtId="165" fontId="54" fillId="0" borderId="12" xfId="0" applyNumberFormat="1" applyFont="1" applyBorder="1"/>
    <xf numFmtId="0" fontId="35" fillId="0" borderId="21" xfId="63" applyFont="1" applyBorder="1" applyAlignment="1">
      <alignment horizontal="center" vertical="center"/>
    </xf>
    <xf numFmtId="0" fontId="35" fillId="0" borderId="0" xfId="63" applyFont="1" applyAlignment="1">
      <alignment vertical="center"/>
    </xf>
    <xf numFmtId="174" fontId="35" fillId="0" borderId="0" xfId="63" applyNumberFormat="1" applyFont="1" applyAlignment="1">
      <alignment vertical="center"/>
    </xf>
    <xf numFmtId="174" fontId="35" fillId="0" borderId="64" xfId="19" applyNumberFormat="1" applyFont="1" applyFill="1" applyBorder="1" applyAlignment="1">
      <alignment vertical="center" wrapText="1"/>
    </xf>
    <xf numFmtId="174" fontId="40" fillId="0" borderId="12" xfId="19" applyNumberFormat="1" applyFont="1" applyFill="1" applyBorder="1" applyAlignment="1">
      <alignment vertical="center" wrapText="1"/>
    </xf>
    <xf numFmtId="167" fontId="40" fillId="0" borderId="12" xfId="19" applyFont="1" applyFill="1" applyBorder="1" applyAlignment="1">
      <alignment vertical="center" wrapText="1"/>
    </xf>
    <xf numFmtId="166" fontId="40" fillId="0" borderId="70" xfId="56" applyFont="1" applyFill="1" applyBorder="1" applyAlignment="1">
      <alignment vertical="center" wrapText="1"/>
    </xf>
    <xf numFmtId="172" fontId="40" fillId="0" borderId="70" xfId="175" applyFont="1" applyFill="1" applyBorder="1" applyAlignment="1">
      <alignment vertical="center" wrapText="1"/>
    </xf>
    <xf numFmtId="174" fontId="40" fillId="0" borderId="64" xfId="19" applyNumberFormat="1" applyFont="1" applyFill="1" applyBorder="1" applyAlignment="1">
      <alignment vertical="center" wrapText="1"/>
    </xf>
    <xf numFmtId="174" fontId="40" fillId="0" borderId="0" xfId="19" applyNumberFormat="1" applyFont="1" applyAlignment="1">
      <alignment horizontal="center" vertical="center" wrapText="1"/>
    </xf>
    <xf numFmtId="172" fontId="52" fillId="0" borderId="70" xfId="175" applyFont="1" applyFill="1" applyBorder="1" applyAlignment="1">
      <alignment vertical="center" wrapText="1"/>
    </xf>
    <xf numFmtId="174" fontId="66" fillId="0" borderId="0" xfId="19" applyNumberFormat="1" applyFont="1" applyAlignment="1">
      <alignment vertical="center" wrapText="1"/>
    </xf>
    <xf numFmtId="174" fontId="40" fillId="33" borderId="48" xfId="22" applyNumberFormat="1" applyFont="1" applyFill="1" applyBorder="1" applyAlignment="1">
      <alignment horizontal="center" vertical="center" wrapText="1"/>
    </xf>
    <xf numFmtId="174" fontId="35" fillId="0" borderId="39" xfId="19" applyNumberFormat="1" applyFont="1" applyFill="1" applyBorder="1" applyAlignment="1">
      <alignment vertical="center" wrapText="1"/>
    </xf>
    <xf numFmtId="174" fontId="35" fillId="0" borderId="14" xfId="19" applyNumberFormat="1" applyFont="1" applyFill="1" applyBorder="1" applyAlignment="1">
      <alignment vertical="center" wrapText="1"/>
    </xf>
    <xf numFmtId="174" fontId="35" fillId="0" borderId="45" xfId="19" applyNumberFormat="1" applyFont="1" applyFill="1" applyBorder="1" applyAlignment="1">
      <alignment vertical="center" wrapText="1"/>
    </xf>
    <xf numFmtId="174" fontId="35" fillId="0" borderId="13" xfId="19" applyNumberFormat="1" applyFont="1" applyFill="1" applyBorder="1" applyAlignment="1">
      <alignment vertical="center" wrapText="1"/>
    </xf>
    <xf numFmtId="174" fontId="40" fillId="0" borderId="66" xfId="19" applyNumberFormat="1" applyFont="1" applyFill="1" applyBorder="1" applyAlignment="1">
      <alignment vertical="center" wrapText="1"/>
    </xf>
    <xf numFmtId="174" fontId="40" fillId="0" borderId="87" xfId="19" applyNumberFormat="1" applyFont="1" applyFill="1" applyBorder="1" applyAlignment="1">
      <alignment vertical="center" wrapText="1"/>
    </xf>
    <xf numFmtId="166" fontId="40" fillId="0" borderId="86" xfId="56" applyFont="1" applyFill="1" applyBorder="1" applyAlignment="1">
      <alignment vertical="center" wrapText="1"/>
    </xf>
    <xf numFmtId="174" fontId="35" fillId="0" borderId="68" xfId="19" applyNumberFormat="1" applyFont="1" applyFill="1" applyBorder="1" applyAlignment="1">
      <alignment vertical="center" wrapText="1"/>
    </xf>
    <xf numFmtId="174" fontId="40" fillId="0" borderId="21" xfId="19" applyNumberFormat="1" applyFont="1" applyFill="1" applyBorder="1" applyAlignment="1">
      <alignment vertical="center" wrapText="1"/>
    </xf>
    <xf numFmtId="174" fontId="35" fillId="0" borderId="84" xfId="19" applyNumberFormat="1" applyFont="1" applyFill="1" applyBorder="1" applyAlignment="1">
      <alignment horizontal="center" vertical="center" wrapText="1"/>
    </xf>
    <xf numFmtId="174" fontId="54" fillId="0" borderId="0" xfId="19" applyNumberFormat="1" applyFont="1" applyAlignment="1">
      <alignment vertical="center" wrapText="1"/>
    </xf>
    <xf numFmtId="174" fontId="54" fillId="0" borderId="64" xfId="19" applyNumberFormat="1" applyFont="1" applyFill="1" applyBorder="1" applyAlignment="1">
      <alignment vertical="center" wrapText="1"/>
    </xf>
    <xf numFmtId="174" fontId="54" fillId="0" borderId="85" xfId="19" applyNumberFormat="1" applyFont="1" applyFill="1" applyBorder="1" applyAlignment="1">
      <alignment vertical="center" wrapText="1"/>
    </xf>
    <xf numFmtId="172" fontId="75" fillId="0" borderId="70" xfId="175" applyFont="1" applyFill="1" applyBorder="1" applyAlignment="1">
      <alignment vertical="center" wrapText="1"/>
    </xf>
    <xf numFmtId="172" fontId="75" fillId="0" borderId="71" xfId="175" applyFont="1" applyFill="1" applyBorder="1" applyAlignment="1">
      <alignment vertical="center" wrapText="1"/>
    </xf>
    <xf numFmtId="174" fontId="54" fillId="0" borderId="12" xfId="19" applyNumberFormat="1" applyFont="1" applyFill="1" applyBorder="1" applyAlignment="1">
      <alignment vertical="center" wrapText="1"/>
    </xf>
    <xf numFmtId="174" fontId="54" fillId="0" borderId="69" xfId="19" applyNumberFormat="1" applyFont="1" applyFill="1" applyBorder="1" applyAlignment="1">
      <alignment vertical="center" wrapText="1"/>
    </xf>
    <xf numFmtId="172" fontId="54" fillId="0" borderId="70" xfId="175" applyFont="1" applyFill="1" applyBorder="1" applyAlignment="1">
      <alignment vertical="center" wrapText="1"/>
    </xf>
    <xf numFmtId="174" fontId="54" fillId="0" borderId="13" xfId="19" applyNumberFormat="1" applyFont="1" applyFill="1" applyBorder="1" applyAlignment="1">
      <alignment vertical="center" wrapText="1"/>
    </xf>
    <xf numFmtId="167" fontId="88" fillId="46" borderId="84" xfId="19" applyFont="1" applyFill="1" applyBorder="1" applyAlignment="1" applyProtection="1">
      <alignment horizontal="center" vertical="center" wrapText="1"/>
    </xf>
    <xf numFmtId="3" fontId="88" fillId="46" borderId="84" xfId="19" applyNumberFormat="1" applyFont="1" applyFill="1" applyBorder="1" applyAlignment="1" applyProtection="1">
      <alignment horizontal="center" vertical="center" wrapText="1"/>
    </xf>
    <xf numFmtId="174" fontId="11" fillId="0" borderId="12" xfId="19" applyNumberFormat="1" applyFont="1" applyBorder="1" applyAlignment="1">
      <alignment vertical="center"/>
    </xf>
    <xf numFmtId="9" fontId="11" fillId="0" borderId="12" xfId="0" applyNumberFormat="1" applyFont="1" applyBorder="1" applyAlignment="1">
      <alignment vertical="center"/>
    </xf>
    <xf numFmtId="165" fontId="52" fillId="42" borderId="15" xfId="0" applyNumberFormat="1" applyFont="1" applyFill="1" applyBorder="1" applyAlignment="1">
      <alignment horizontal="center" vertical="center" wrapText="1"/>
    </xf>
    <xf numFmtId="174" fontId="86" fillId="0" borderId="0" xfId="0" applyNumberFormat="1" applyFont="1" applyAlignment="1">
      <alignment vertical="center"/>
    </xf>
    <xf numFmtId="174" fontId="35" fillId="0" borderId="94" xfId="19" applyNumberFormat="1" applyFont="1" applyFill="1" applyBorder="1" applyAlignment="1">
      <alignment vertical="center" wrapText="1"/>
    </xf>
    <xf numFmtId="166" fontId="52" fillId="0" borderId="94" xfId="56" applyFont="1" applyFill="1" applyBorder="1" applyAlignment="1">
      <alignment vertical="center" wrapText="1"/>
    </xf>
    <xf numFmtId="174" fontId="40" fillId="0" borderId="94" xfId="19" applyNumberFormat="1" applyFont="1" applyFill="1" applyBorder="1" applyAlignment="1">
      <alignment vertical="center" wrapText="1"/>
    </xf>
    <xf numFmtId="166" fontId="40" fillId="0" borderId="94" xfId="56" applyFont="1" applyFill="1" applyBorder="1" applyAlignment="1">
      <alignment vertical="center" wrapText="1"/>
    </xf>
    <xf numFmtId="0" fontId="40" fillId="40" borderId="65" xfId="57" applyFont="1" applyFill="1" applyBorder="1" applyAlignment="1">
      <alignment vertical="center" wrapText="1"/>
    </xf>
    <xf numFmtId="174" fontId="35" fillId="0" borderId="66" xfId="19" applyNumberFormat="1" applyFont="1" applyFill="1" applyBorder="1" applyAlignment="1">
      <alignment vertical="center" wrapText="1"/>
    </xf>
    <xf numFmtId="174" fontId="40" fillId="0" borderId="20" xfId="19" applyNumberFormat="1" applyFont="1" applyFill="1" applyBorder="1" applyAlignment="1">
      <alignment vertical="center" wrapText="1"/>
    </xf>
    <xf numFmtId="172" fontId="40" fillId="0" borderId="73" xfId="175" applyFont="1" applyFill="1" applyBorder="1" applyAlignment="1">
      <alignment vertical="center" wrapText="1"/>
    </xf>
    <xf numFmtId="174" fontId="35" fillId="0" borderId="87" xfId="19" applyNumberFormat="1" applyFont="1" applyFill="1" applyBorder="1" applyAlignment="1">
      <alignment vertical="center" wrapText="1"/>
    </xf>
    <xf numFmtId="174" fontId="40" fillId="0" borderId="42" xfId="19" applyNumberFormat="1" applyFont="1" applyFill="1" applyBorder="1" applyAlignment="1">
      <alignment vertical="center" wrapText="1"/>
    </xf>
    <xf numFmtId="166" fontId="40" fillId="0" borderId="92" xfId="56" applyFont="1" applyFill="1" applyBorder="1" applyAlignment="1">
      <alignment vertical="center" wrapText="1"/>
    </xf>
    <xf numFmtId="174" fontId="35" fillId="0" borderId="42" xfId="19" applyNumberFormat="1" applyFont="1" applyFill="1" applyBorder="1" applyAlignment="1">
      <alignment vertical="center" wrapText="1"/>
    </xf>
    <xf numFmtId="166" fontId="40" fillId="0" borderId="42" xfId="56" applyFont="1" applyFill="1" applyBorder="1" applyAlignment="1">
      <alignment vertical="center" wrapText="1"/>
    </xf>
    <xf numFmtId="174" fontId="40" fillId="0" borderId="0" xfId="62" applyNumberFormat="1" applyFont="1" applyAlignment="1">
      <alignment vertical="center"/>
    </xf>
    <xf numFmtId="174" fontId="54" fillId="0" borderId="66" xfId="19" applyNumberFormat="1" applyFont="1" applyFill="1" applyBorder="1" applyAlignment="1">
      <alignment vertical="center" wrapText="1"/>
    </xf>
    <xf numFmtId="172" fontId="75" fillId="0" borderId="73" xfId="175" applyFont="1" applyFill="1" applyBorder="1" applyAlignment="1">
      <alignment vertical="center" wrapText="1"/>
    </xf>
    <xf numFmtId="174" fontId="54" fillId="0" borderId="20" xfId="19" applyNumberFormat="1" applyFont="1" applyFill="1" applyBorder="1" applyAlignment="1">
      <alignment vertical="center" wrapText="1"/>
    </xf>
    <xf numFmtId="172" fontId="54" fillId="0" borderId="73" xfId="175" applyFont="1" applyFill="1" applyBorder="1" applyAlignment="1">
      <alignment vertical="center" wrapText="1"/>
    </xf>
    <xf numFmtId="174" fontId="40" fillId="29" borderId="11" xfId="62" applyNumberFormat="1" applyFont="1" applyFill="1" applyBorder="1" applyAlignment="1">
      <alignment horizontal="center" vertical="center"/>
    </xf>
    <xf numFmtId="0" fontId="40" fillId="0" borderId="25" xfId="29" applyFont="1" applyBorder="1" applyAlignment="1">
      <alignment vertical="center"/>
    </xf>
    <xf numFmtId="10" fontId="40" fillId="34" borderId="10" xfId="64" applyNumberFormat="1" applyFont="1" applyFill="1" applyBorder="1" applyAlignment="1">
      <alignment vertical="center"/>
    </xf>
    <xf numFmtId="174" fontId="35" fillId="31" borderId="10" xfId="19" applyNumberFormat="1" applyFont="1" applyFill="1" applyBorder="1" applyAlignment="1">
      <alignment vertical="center"/>
    </xf>
    <xf numFmtId="0" fontId="40" fillId="0" borderId="12" xfId="29" applyFont="1" applyBorder="1" applyAlignment="1">
      <alignment vertical="center"/>
    </xf>
    <xf numFmtId="178" fontId="35" fillId="31" borderId="12" xfId="56" applyNumberFormat="1" applyFont="1" applyFill="1" applyBorder="1" applyAlignment="1">
      <alignment vertical="center"/>
    </xf>
    <xf numFmtId="9" fontId="86" fillId="0" borderId="0" xfId="31" applyFont="1" applyAlignment="1">
      <alignment vertical="center"/>
    </xf>
    <xf numFmtId="165" fontId="52" fillId="45" borderId="104" xfId="0" applyNumberFormat="1" applyFont="1" applyFill="1" applyBorder="1" applyAlignment="1">
      <alignment horizontal="center" vertical="center" wrapText="1"/>
    </xf>
    <xf numFmtId="165" fontId="52" fillId="45" borderId="48" xfId="0" applyNumberFormat="1" applyFont="1" applyFill="1" applyBorder="1" applyAlignment="1">
      <alignment horizontal="center" vertical="center" wrapText="1"/>
    </xf>
    <xf numFmtId="0" fontId="52" fillId="45" borderId="48" xfId="0" applyFont="1" applyFill="1" applyBorder="1" applyAlignment="1">
      <alignment horizontal="center" vertical="center" wrapText="1"/>
    </xf>
    <xf numFmtId="0" fontId="52" fillId="45" borderId="56" xfId="0" applyFont="1" applyFill="1" applyBorder="1" applyAlignment="1">
      <alignment horizontal="left" vertical="center" wrapText="1"/>
    </xf>
    <xf numFmtId="0" fontId="40" fillId="31" borderId="25" xfId="29" applyFont="1" applyFill="1" applyBorder="1" applyAlignment="1">
      <alignment vertical="center"/>
    </xf>
    <xf numFmtId="174" fontId="40" fillId="25" borderId="12" xfId="19" applyNumberFormat="1" applyFont="1" applyFill="1" applyBorder="1"/>
    <xf numFmtId="174" fontId="52" fillId="42" borderId="14" xfId="19" applyNumberFormat="1" applyFont="1" applyFill="1" applyBorder="1" applyAlignment="1">
      <alignment horizontal="center" vertical="center" wrapText="1"/>
    </xf>
    <xf numFmtId="4" fontId="52" fillId="42" borderId="16" xfId="19" applyNumberFormat="1" applyFont="1" applyFill="1" applyBorder="1" applyAlignment="1">
      <alignment horizontal="center" vertical="center" wrapText="1"/>
    </xf>
    <xf numFmtId="173" fontId="52" fillId="42" borderId="16" xfId="19" applyNumberFormat="1" applyFont="1" applyFill="1" applyBorder="1" applyAlignment="1">
      <alignment horizontal="center" vertical="center" wrapText="1"/>
    </xf>
    <xf numFmtId="174" fontId="52" fillId="42" borderId="0" xfId="19" applyNumberFormat="1" applyFont="1" applyFill="1" applyBorder="1" applyAlignment="1">
      <alignment horizontal="center" vertical="center" wrapText="1"/>
    </xf>
    <xf numFmtId="9" fontId="52" fillId="42" borderId="14" xfId="60" quotePrefix="1" applyFont="1" applyFill="1" applyBorder="1" applyAlignment="1">
      <alignment horizontal="center" vertical="center" wrapText="1"/>
    </xf>
    <xf numFmtId="165" fontId="52" fillId="42" borderId="14" xfId="29" applyNumberFormat="1" applyFont="1" applyFill="1" applyBorder="1" applyAlignment="1">
      <alignment horizontal="center" vertical="center" wrapText="1"/>
    </xf>
    <xf numFmtId="165" fontId="52" fillId="42" borderId="14" xfId="0" applyNumberFormat="1" applyFont="1" applyFill="1" applyBorder="1" applyAlignment="1">
      <alignment horizontal="center" vertical="center" wrapText="1"/>
    </xf>
    <xf numFmtId="188" fontId="35" fillId="0" borderId="12" xfId="19" applyNumberFormat="1" applyFont="1" applyFill="1" applyBorder="1" applyAlignment="1">
      <alignment vertical="center"/>
    </xf>
    <xf numFmtId="0" fontId="35" fillId="0" borderId="106" xfId="0" applyFont="1" applyBorder="1" applyAlignment="1">
      <alignment horizontal="center" vertical="center"/>
    </xf>
    <xf numFmtId="174" fontId="49" fillId="0" borderId="0" xfId="19" applyNumberFormat="1" applyFont="1" applyAlignment="1">
      <alignment horizontal="center" vertical="center"/>
    </xf>
    <xf numFmtId="0" fontId="11" fillId="0" borderId="0" xfId="0" applyFont="1"/>
    <xf numFmtId="0" fontId="40" fillId="0" borderId="12" xfId="19" applyNumberFormat="1" applyFont="1" applyFill="1" applyBorder="1" applyAlignment="1">
      <alignment vertical="center" wrapText="1"/>
    </xf>
    <xf numFmtId="173" fontId="35" fillId="0" borderId="13" xfId="19" applyNumberFormat="1" applyFont="1" applyBorder="1" applyAlignment="1">
      <alignment vertical="center"/>
    </xf>
    <xf numFmtId="174" fontId="35" fillId="0" borderId="0" xfId="19" applyNumberFormat="1" applyFont="1" applyFill="1" applyBorder="1" applyAlignment="1">
      <alignment vertical="center"/>
    </xf>
    <xf numFmtId="174" fontId="40" fillId="0" borderId="0" xfId="19" applyNumberFormat="1" applyFont="1" applyFill="1" applyBorder="1" applyAlignment="1">
      <alignment vertical="center" wrapText="1"/>
    </xf>
    <xf numFmtId="165" fontId="35" fillId="0" borderId="0" xfId="113" applyNumberFormat="1" applyFont="1" applyAlignment="1">
      <alignment vertical="center"/>
    </xf>
    <xf numFmtId="174" fontId="71" fillId="0" borderId="0" xfId="19" applyNumberFormat="1" applyFont="1" applyFill="1" applyBorder="1" applyAlignment="1">
      <alignment vertical="center"/>
    </xf>
    <xf numFmtId="174" fontId="40" fillId="0" borderId="0" xfId="19" applyNumberFormat="1" applyFont="1" applyFill="1" applyBorder="1" applyAlignment="1">
      <alignment vertical="center"/>
    </xf>
    <xf numFmtId="174" fontId="35" fillId="0" borderId="0" xfId="19" applyNumberFormat="1" applyFont="1" applyFill="1" applyBorder="1" applyAlignment="1">
      <alignment vertical="center" wrapText="1"/>
    </xf>
    <xf numFmtId="0" fontId="67" fillId="0" borderId="0" xfId="0" applyFont="1" applyAlignment="1">
      <alignment wrapText="1"/>
    </xf>
    <xf numFmtId="167" fontId="11" fillId="0" borderId="0" xfId="19" applyFont="1" applyAlignment="1">
      <alignment vertical="center"/>
    </xf>
    <xf numFmtId="174" fontId="54" fillId="28" borderId="85" xfId="19" applyNumberFormat="1" applyFont="1" applyFill="1" applyBorder="1" applyAlignment="1">
      <alignment vertical="center" wrapText="1"/>
    </xf>
    <xf numFmtId="174" fontId="54" fillId="28" borderId="69" xfId="19" applyNumberFormat="1" applyFont="1" applyFill="1" applyBorder="1" applyAlignment="1">
      <alignment vertical="center" wrapText="1"/>
    </xf>
    <xf numFmtId="172" fontId="75" fillId="28" borderId="71" xfId="175" applyFont="1" applyFill="1" applyBorder="1" applyAlignment="1">
      <alignment vertical="center" wrapText="1"/>
    </xf>
    <xf numFmtId="172" fontId="40" fillId="28" borderId="70" xfId="175" applyFont="1" applyFill="1" applyBorder="1" applyAlignment="1">
      <alignment vertical="center" wrapText="1"/>
    </xf>
    <xf numFmtId="172" fontId="54" fillId="28" borderId="70" xfId="175" applyFont="1" applyFill="1" applyBorder="1" applyAlignment="1">
      <alignment vertical="center" wrapText="1"/>
    </xf>
    <xf numFmtId="172" fontId="54" fillId="28" borderId="73" xfId="175" applyFont="1" applyFill="1" applyBorder="1" applyAlignment="1">
      <alignment vertical="center" wrapText="1"/>
    </xf>
    <xf numFmtId="174" fontId="40" fillId="28" borderId="87" xfId="19" applyNumberFormat="1" applyFont="1" applyFill="1" applyBorder="1" applyAlignment="1">
      <alignment vertical="center" wrapText="1"/>
    </xf>
    <xf numFmtId="174" fontId="40" fillId="28" borderId="94" xfId="19" applyNumberFormat="1" applyFont="1" applyFill="1" applyBorder="1" applyAlignment="1">
      <alignment vertical="center" wrapText="1"/>
    </xf>
    <xf numFmtId="174" fontId="40" fillId="28" borderId="46" xfId="19" applyNumberFormat="1" applyFont="1" applyFill="1" applyBorder="1" applyAlignment="1">
      <alignment vertical="center" wrapText="1"/>
    </xf>
    <xf numFmtId="174" fontId="40" fillId="28" borderId="25" xfId="19" applyNumberFormat="1" applyFont="1" applyFill="1" applyBorder="1" applyAlignment="1">
      <alignment vertical="center" wrapText="1"/>
    </xf>
    <xf numFmtId="174" fontId="40" fillId="28" borderId="18" xfId="19" applyNumberFormat="1" applyFont="1" applyFill="1" applyBorder="1" applyAlignment="1">
      <alignment vertical="center" wrapText="1"/>
    </xf>
    <xf numFmtId="174" fontId="54" fillId="28" borderId="25" xfId="19" applyNumberFormat="1" applyFont="1" applyFill="1" applyBorder="1" applyAlignment="1">
      <alignment vertical="center" wrapText="1"/>
    </xf>
    <xf numFmtId="174" fontId="54" fillId="28" borderId="18" xfId="19" applyNumberFormat="1" applyFont="1" applyFill="1" applyBorder="1" applyAlignment="1">
      <alignment vertical="center" wrapText="1"/>
    </xf>
    <xf numFmtId="174" fontId="54" fillId="28" borderId="91" xfId="19" applyNumberFormat="1" applyFont="1" applyFill="1" applyBorder="1" applyAlignment="1">
      <alignment vertical="center" wrapText="1"/>
    </xf>
    <xf numFmtId="166" fontId="40" fillId="28" borderId="94" xfId="56" applyFont="1" applyFill="1" applyBorder="1" applyAlignment="1">
      <alignment vertical="center" wrapText="1"/>
    </xf>
    <xf numFmtId="172" fontId="40" fillId="28" borderId="92" xfId="175" applyFont="1" applyFill="1" applyBorder="1" applyAlignment="1">
      <alignment vertical="center" wrapText="1"/>
    </xf>
    <xf numFmtId="172" fontId="40" fillId="28" borderId="73" xfId="175" applyFont="1" applyFill="1" applyBorder="1" applyAlignment="1">
      <alignment vertical="center" wrapText="1"/>
    </xf>
    <xf numFmtId="172" fontId="54" fillId="28" borderId="71" xfId="175" applyFont="1" applyFill="1" applyBorder="1" applyAlignment="1">
      <alignment vertical="center" wrapText="1"/>
    </xf>
    <xf numFmtId="172" fontId="93" fillId="38" borderId="10" xfId="259" applyFont="1" applyFill="1" applyBorder="1" applyAlignment="1">
      <alignment vertical="center"/>
    </xf>
    <xf numFmtId="3" fontId="93" fillId="38" borderId="10" xfId="29" applyNumberFormat="1" applyFont="1" applyFill="1" applyBorder="1" applyAlignment="1">
      <alignment vertical="center"/>
    </xf>
    <xf numFmtId="167" fontId="93" fillId="38" borderId="10" xfId="19" applyFont="1" applyFill="1" applyBorder="1" applyAlignment="1">
      <alignment vertical="center"/>
    </xf>
    <xf numFmtId="188" fontId="34" fillId="0" borderId="0" xfId="29" applyNumberFormat="1" applyFont="1" applyAlignment="1">
      <alignment horizontal="center" vertical="center"/>
    </xf>
    <xf numFmtId="0" fontId="35" fillId="0" borderId="42" xfId="29" applyFont="1" applyBorder="1" applyAlignment="1">
      <alignment horizontal="center" vertical="center"/>
    </xf>
    <xf numFmtId="0" fontId="94" fillId="0" borderId="0" xfId="29" applyFont="1" applyAlignment="1">
      <alignment vertical="center"/>
    </xf>
    <xf numFmtId="0" fontId="93" fillId="0" borderId="0" xfId="29" applyFont="1" applyAlignment="1">
      <alignment vertical="center"/>
    </xf>
    <xf numFmtId="0" fontId="94" fillId="0" borderId="0" xfId="0" applyFont="1" applyAlignment="1">
      <alignment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vertical="center"/>
    </xf>
    <xf numFmtId="174" fontId="94" fillId="0" borderId="0" xfId="19" applyNumberFormat="1" applyFont="1" applyBorder="1" applyAlignment="1">
      <alignment vertical="center"/>
    </xf>
    <xf numFmtId="0" fontId="97" fillId="0" borderId="0" xfId="0" applyFont="1" applyAlignment="1">
      <alignment horizontal="center" vertical="center"/>
    </xf>
    <xf numFmtId="174" fontId="94" fillId="0" borderId="0" xfId="19" applyNumberFormat="1" applyFont="1" applyAlignment="1">
      <alignment vertical="center"/>
    </xf>
    <xf numFmtId="174" fontId="93" fillId="0" borderId="0" xfId="19" applyNumberFormat="1" applyFont="1" applyAlignment="1">
      <alignment vertical="center"/>
    </xf>
    <xf numFmtId="174" fontId="96" fillId="0" borderId="0" xfId="19" applyNumberFormat="1" applyFont="1" applyBorder="1" applyAlignment="1">
      <alignment vertical="center"/>
    </xf>
    <xf numFmtId="174" fontId="53" fillId="0" borderId="0" xfId="19" applyNumberFormat="1" applyFont="1"/>
    <xf numFmtId="0" fontId="53" fillId="0" borderId="0" xfId="0" applyFont="1" applyAlignment="1">
      <alignment wrapText="1"/>
    </xf>
    <xf numFmtId="0" fontId="53" fillId="0" borderId="107" xfId="0" applyFont="1" applyBorder="1"/>
    <xf numFmtId="0" fontId="53" fillId="0" borderId="107" xfId="0" applyFont="1" applyBorder="1" applyAlignment="1">
      <alignment horizontal="center" vertical="center" shrinkToFit="1"/>
    </xf>
    <xf numFmtId="0" fontId="53" fillId="0" borderId="107" xfId="0" applyFont="1" applyBorder="1" applyAlignment="1">
      <alignment horizontal="left" vertical="center" shrinkToFit="1"/>
    </xf>
    <xf numFmtId="174" fontId="53" fillId="0" borderId="107" xfId="19" applyNumberFormat="1" applyFont="1" applyBorder="1"/>
    <xf numFmtId="174" fontId="53" fillId="0" borderId="107" xfId="0" applyNumberFormat="1" applyFont="1" applyBorder="1"/>
    <xf numFmtId="0" fontId="54" fillId="50" borderId="108" xfId="0" applyFont="1" applyFill="1" applyBorder="1" applyAlignment="1">
      <alignment horizontal="center" vertical="center"/>
    </xf>
    <xf numFmtId="174" fontId="54" fillId="50" borderId="109" xfId="19" applyNumberFormat="1" applyFont="1" applyFill="1" applyBorder="1" applyAlignment="1">
      <alignment horizontal="center" vertical="center"/>
    </xf>
    <xf numFmtId="174" fontId="54" fillId="50" borderId="109" xfId="19" applyNumberFormat="1" applyFont="1" applyFill="1" applyBorder="1" applyAlignment="1">
      <alignment horizontal="center" vertical="center" wrapText="1"/>
    </xf>
    <xf numFmtId="0" fontId="54" fillId="50" borderId="109" xfId="0" applyFont="1" applyFill="1" applyBorder="1" applyAlignment="1">
      <alignment horizontal="center" vertical="center" wrapText="1"/>
    </xf>
    <xf numFmtId="0" fontId="54" fillId="50" borderId="110" xfId="0" applyFont="1" applyFill="1" applyBorder="1" applyAlignment="1">
      <alignment horizontal="center" vertical="center" wrapText="1"/>
    </xf>
    <xf numFmtId="0" fontId="53" fillId="0" borderId="111" xfId="0" applyFont="1" applyBorder="1" applyAlignment="1">
      <alignment horizontal="center"/>
    </xf>
    <xf numFmtId="0" fontId="53" fillId="0" borderId="112" xfId="0" applyFont="1" applyBorder="1"/>
    <xf numFmtId="174" fontId="54" fillId="50" borderId="113" xfId="19" applyNumberFormat="1" applyFont="1" applyFill="1" applyBorder="1" applyAlignment="1">
      <alignment vertical="center"/>
    </xf>
    <xf numFmtId="174" fontId="54" fillId="50" borderId="114" xfId="19" applyNumberFormat="1" applyFont="1" applyFill="1" applyBorder="1" applyAlignment="1">
      <alignment vertical="center"/>
    </xf>
    <xf numFmtId="174" fontId="54" fillId="50" borderId="115" xfId="19" applyNumberFormat="1" applyFont="1" applyFill="1" applyBorder="1" applyAlignment="1">
      <alignment vertical="center"/>
    </xf>
    <xf numFmtId="167" fontId="36" fillId="0" borderId="0" xfId="19" applyFont="1" applyAlignment="1">
      <alignment vertical="center"/>
    </xf>
    <xf numFmtId="167" fontId="40" fillId="28" borderId="25" xfId="19" applyFont="1" applyFill="1" applyBorder="1" applyAlignment="1">
      <alignment vertical="center" wrapText="1"/>
    </xf>
    <xf numFmtId="174" fontId="94" fillId="0" borderId="0" xfId="19" applyNumberFormat="1" applyFont="1" applyFill="1" applyBorder="1" applyAlignment="1">
      <alignment vertical="center"/>
    </xf>
    <xf numFmtId="174" fontId="93" fillId="0" borderId="0" xfId="19" applyNumberFormat="1" applyFont="1" applyFill="1" applyBorder="1" applyAlignment="1">
      <alignment vertical="center"/>
    </xf>
    <xf numFmtId="181" fontId="35" fillId="0" borderId="12" xfId="22" applyNumberFormat="1" applyFont="1" applyBorder="1" applyAlignment="1">
      <alignment vertical="center"/>
    </xf>
    <xf numFmtId="187" fontId="98" fillId="0" borderId="26" xfId="19" applyNumberFormat="1" applyFont="1" applyFill="1" applyBorder="1" applyAlignment="1">
      <alignment horizontal="left" wrapText="1"/>
    </xf>
    <xf numFmtId="174" fontId="36" fillId="0" borderId="0" xfId="19" applyNumberFormat="1" applyFont="1" applyAlignment="1">
      <alignment vertical="center"/>
    </xf>
    <xf numFmtId="9" fontId="35" fillId="0" borderId="0" xfId="31" applyFont="1" applyAlignment="1">
      <alignment vertical="center"/>
    </xf>
    <xf numFmtId="174" fontId="89" fillId="0" borderId="0" xfId="19" applyNumberFormat="1" applyFont="1" applyBorder="1" applyAlignment="1">
      <alignment vertical="center"/>
    </xf>
    <xf numFmtId="0" fontId="54" fillId="44" borderId="14" xfId="0" applyFont="1" applyFill="1" applyBorder="1" applyAlignment="1">
      <alignment horizontal="center" vertical="center"/>
    </xf>
    <xf numFmtId="174" fontId="11" fillId="31" borderId="12" xfId="19" applyNumberFormat="1" applyFont="1" applyFill="1" applyBorder="1" applyAlignment="1">
      <alignment vertical="center"/>
    </xf>
    <xf numFmtId="9" fontId="11" fillId="31" borderId="12" xfId="0" applyNumberFormat="1" applyFont="1" applyFill="1" applyBorder="1" applyAlignment="1">
      <alignment vertical="center"/>
    </xf>
    <xf numFmtId="174" fontId="11" fillId="31" borderId="14" xfId="19" applyNumberFormat="1" applyFont="1" applyFill="1" applyBorder="1" applyAlignment="1">
      <alignment horizontal="center"/>
    </xf>
    <xf numFmtId="174" fontId="11" fillId="31" borderId="13" xfId="19" applyNumberFormat="1" applyFont="1" applyFill="1" applyBorder="1" applyAlignment="1">
      <alignment horizontal="center"/>
    </xf>
    <xf numFmtId="9" fontId="11" fillId="31" borderId="13" xfId="0" applyNumberFormat="1" applyFont="1" applyFill="1" applyBorder="1" applyAlignment="1">
      <alignment horizontal="center"/>
    </xf>
    <xf numFmtId="174" fontId="35" fillId="0" borderId="0" xfId="19" applyNumberFormat="1" applyFont="1" applyFill="1" applyBorder="1" applyAlignment="1">
      <alignment horizontal="center" vertical="center"/>
    </xf>
    <xf numFmtId="165" fontId="93" fillId="0" borderId="0" xfId="0" applyNumberFormat="1" applyFont="1" applyAlignment="1">
      <alignment vertical="center" wrapText="1"/>
    </xf>
    <xf numFmtId="165" fontId="93" fillId="0" borderId="0" xfId="0" applyNumberFormat="1" applyFont="1" applyAlignment="1">
      <alignment vertical="center"/>
    </xf>
    <xf numFmtId="165" fontId="94" fillId="0" borderId="0" xfId="0" applyNumberFormat="1" applyFont="1" applyAlignment="1">
      <alignment vertical="center" wrapText="1"/>
    </xf>
    <xf numFmtId="165" fontId="94" fillId="0" borderId="0" xfId="0" applyNumberFormat="1" applyFont="1" applyAlignment="1">
      <alignment vertical="center"/>
    </xf>
    <xf numFmtId="173" fontId="35" fillId="0" borderId="0" xfId="19" applyNumberFormat="1" applyFont="1" applyFill="1" applyBorder="1" applyAlignment="1">
      <alignment vertical="center"/>
    </xf>
    <xf numFmtId="0" fontId="35" fillId="0" borderId="0" xfId="113" applyFont="1" applyAlignment="1">
      <alignment vertical="center"/>
    </xf>
    <xf numFmtId="174" fontId="40" fillId="0" borderId="0" xfId="19" applyNumberFormat="1" applyFont="1" applyFill="1" applyBorder="1" applyAlignment="1">
      <alignment horizontal="center" vertical="center"/>
    </xf>
    <xf numFmtId="165" fontId="35" fillId="0" borderId="0" xfId="113" applyNumberFormat="1" applyFont="1" applyAlignment="1">
      <alignment horizontal="center" vertical="center"/>
    </xf>
    <xf numFmtId="175" fontId="35" fillId="0" borderId="0" xfId="113" applyNumberFormat="1" applyFont="1" applyAlignment="1">
      <alignment horizontal="center" vertical="center"/>
    </xf>
    <xf numFmtId="174" fontId="35" fillId="0" borderId="0" xfId="113" applyNumberFormat="1" applyFont="1" applyAlignment="1">
      <alignment vertical="center"/>
    </xf>
    <xf numFmtId="4" fontId="35" fillId="0" borderId="0" xfId="19" applyNumberFormat="1" applyFont="1" applyFill="1" applyBorder="1" applyAlignment="1">
      <alignment horizontal="center" vertical="center"/>
    </xf>
    <xf numFmtId="173" fontId="35" fillId="0" borderId="0" xfId="19" applyNumberFormat="1" applyFont="1" applyFill="1" applyBorder="1" applyAlignment="1">
      <alignment horizontal="center" vertical="center"/>
    </xf>
    <xf numFmtId="174" fontId="35" fillId="0" borderId="0" xfId="19" applyNumberFormat="1" applyFont="1" applyFill="1" applyBorder="1" applyAlignment="1">
      <alignment horizontal="left" vertical="center"/>
    </xf>
    <xf numFmtId="165" fontId="40" fillId="0" borderId="0" xfId="113" applyNumberFormat="1" applyFont="1" applyAlignment="1">
      <alignment vertical="center"/>
    </xf>
    <xf numFmtId="165" fontId="40" fillId="0" borderId="0" xfId="113" applyNumberFormat="1" applyFont="1" applyAlignment="1">
      <alignment horizontal="center" vertical="center"/>
    </xf>
    <xf numFmtId="177" fontId="35" fillId="25" borderId="10" xfId="60" applyNumberFormat="1" applyFont="1" applyFill="1" applyBorder="1" applyAlignment="1">
      <alignment vertical="center"/>
    </xf>
    <xf numFmtId="172" fontId="52" fillId="0" borderId="73" xfId="175" applyFont="1" applyFill="1" applyBorder="1" applyAlignment="1">
      <alignment vertical="center" wrapText="1"/>
    </xf>
    <xf numFmtId="167" fontId="40" fillId="0" borderId="20" xfId="19" applyFont="1" applyFill="1" applyBorder="1" applyAlignment="1">
      <alignment vertical="center" wrapText="1"/>
    </xf>
    <xf numFmtId="174" fontId="35" fillId="0" borderId="40" xfId="19" applyNumberFormat="1" applyFont="1" applyFill="1" applyBorder="1" applyAlignment="1">
      <alignment vertical="center" wrapText="1"/>
    </xf>
    <xf numFmtId="174" fontId="54" fillId="28" borderId="67" xfId="19" applyNumberFormat="1" applyFont="1" applyFill="1" applyBorder="1" applyAlignment="1">
      <alignment vertical="center" wrapText="1"/>
    </xf>
    <xf numFmtId="172" fontId="75" fillId="28" borderId="118" xfId="175" applyFont="1" applyFill="1" applyBorder="1" applyAlignment="1">
      <alignment vertical="center" wrapText="1"/>
    </xf>
    <xf numFmtId="174" fontId="54" fillId="28" borderId="117" xfId="19" applyNumberFormat="1" applyFont="1" applyFill="1" applyBorder="1" applyAlignment="1">
      <alignment vertical="center" wrapText="1"/>
    </xf>
    <xf numFmtId="172" fontId="54" fillId="28" borderId="118" xfId="175" applyFont="1" applyFill="1" applyBorder="1" applyAlignment="1">
      <alignment vertical="center" wrapText="1"/>
    </xf>
    <xf numFmtId="174" fontId="54" fillId="28" borderId="119" xfId="19" applyNumberFormat="1" applyFont="1" applyFill="1" applyBorder="1" applyAlignment="1">
      <alignment vertical="center" wrapText="1"/>
    </xf>
    <xf numFmtId="174" fontId="35" fillId="28" borderId="87" xfId="19" applyNumberFormat="1" applyFont="1" applyFill="1" applyBorder="1" applyAlignment="1">
      <alignment vertical="center" wrapText="1"/>
    </xf>
    <xf numFmtId="174" fontId="54" fillId="28" borderId="120" xfId="19" applyNumberFormat="1" applyFont="1" applyFill="1" applyBorder="1" applyAlignment="1">
      <alignment vertical="center" wrapText="1"/>
    </xf>
    <xf numFmtId="172" fontId="52" fillId="28" borderId="92" xfId="175" applyFont="1" applyFill="1" applyBorder="1" applyAlignment="1">
      <alignment vertical="center" wrapText="1"/>
    </xf>
    <xf numFmtId="172" fontId="75" fillId="28" borderId="121" xfId="175" applyFont="1" applyFill="1" applyBorder="1" applyAlignment="1">
      <alignment vertical="center" wrapText="1"/>
    </xf>
    <xf numFmtId="167" fontId="40" fillId="28" borderId="42" xfId="19" applyFont="1" applyFill="1" applyBorder="1" applyAlignment="1">
      <alignment vertical="center" wrapText="1"/>
    </xf>
    <xf numFmtId="174" fontId="54" fillId="28" borderId="44" xfId="19" applyNumberFormat="1" applyFont="1" applyFill="1" applyBorder="1" applyAlignment="1">
      <alignment vertical="center" wrapText="1"/>
    </xf>
    <xf numFmtId="172" fontId="54" fillId="28" borderId="121" xfId="175" applyFont="1" applyFill="1" applyBorder="1" applyAlignment="1">
      <alignment vertical="center" wrapText="1"/>
    </xf>
    <xf numFmtId="174" fontId="40" fillId="28" borderId="42" xfId="19" applyNumberFormat="1" applyFont="1" applyFill="1" applyBorder="1" applyAlignment="1">
      <alignment vertical="center" wrapText="1"/>
    </xf>
    <xf numFmtId="174" fontId="54" fillId="28" borderId="122" xfId="19" applyNumberFormat="1" applyFont="1" applyFill="1" applyBorder="1" applyAlignment="1">
      <alignment vertical="center" wrapText="1"/>
    </xf>
    <xf numFmtId="174" fontId="54" fillId="28" borderId="124" xfId="19" applyNumberFormat="1" applyFont="1" applyFill="1" applyBorder="1" applyAlignment="1">
      <alignment vertical="center" wrapText="1"/>
    </xf>
    <xf numFmtId="174" fontId="40" fillId="0" borderId="63" xfId="19" applyNumberFormat="1" applyFont="1" applyFill="1" applyBorder="1" applyAlignment="1">
      <alignment vertical="center" wrapText="1"/>
    </xf>
    <xf numFmtId="174" fontId="40" fillId="0" borderId="120" xfId="19" applyNumberFormat="1" applyFont="1" applyFill="1" applyBorder="1" applyAlignment="1">
      <alignment vertical="center" wrapText="1"/>
    </xf>
    <xf numFmtId="174" fontId="72" fillId="0" borderId="0" xfId="62" applyNumberFormat="1" applyFont="1" applyAlignment="1">
      <alignment vertical="center"/>
    </xf>
    <xf numFmtId="174" fontId="40" fillId="33" borderId="83" xfId="22" applyNumberFormat="1" applyFont="1" applyFill="1" applyBorder="1" applyAlignment="1">
      <alignment horizontal="center" vertical="center" wrapText="1"/>
    </xf>
    <xf numFmtId="174" fontId="40" fillId="29" borderId="125" xfId="62" applyNumberFormat="1" applyFont="1" applyFill="1" applyBorder="1" applyAlignment="1">
      <alignment horizontal="center" vertical="center"/>
    </xf>
    <xf numFmtId="0" fontId="40" fillId="0" borderId="18" xfId="29" applyFont="1" applyBorder="1" applyAlignment="1">
      <alignment vertical="center"/>
    </xf>
    <xf numFmtId="174" fontId="35" fillId="0" borderId="20" xfId="62" applyNumberFormat="1" applyFont="1" applyBorder="1" applyAlignment="1">
      <alignment vertical="center"/>
    </xf>
    <xf numFmtId="174" fontId="35" fillId="0" borderId="40" xfId="62" applyNumberFormat="1" applyFont="1" applyBorder="1" applyAlignment="1">
      <alignment vertical="center"/>
    </xf>
    <xf numFmtId="178" fontId="35" fillId="0" borderId="20" xfId="65" applyNumberFormat="1" applyFont="1" applyBorder="1" applyAlignment="1">
      <alignment vertical="center"/>
    </xf>
    <xf numFmtId="10" fontId="40" fillId="34" borderId="33" xfId="64" applyNumberFormat="1" applyFont="1" applyFill="1" applyBorder="1" applyAlignment="1">
      <alignment vertical="center"/>
    </xf>
    <xf numFmtId="178" fontId="35" fillId="0" borderId="18" xfId="65" applyNumberFormat="1" applyFont="1" applyBorder="1" applyAlignment="1">
      <alignment vertical="center"/>
    </xf>
    <xf numFmtId="164" fontId="35" fillId="0" borderId="18" xfId="65" applyNumberFormat="1" applyFont="1" applyBorder="1" applyAlignment="1">
      <alignment vertical="center"/>
    </xf>
    <xf numFmtId="10" fontId="35" fillId="25" borderId="125" xfId="60" applyNumberFormat="1" applyFont="1" applyFill="1" applyBorder="1" applyAlignment="1">
      <alignment vertical="center"/>
    </xf>
    <xf numFmtId="185" fontId="35" fillId="0" borderId="20" xfId="259" applyNumberFormat="1" applyFont="1" applyBorder="1" applyAlignment="1">
      <alignment vertical="center"/>
    </xf>
    <xf numFmtId="174" fontId="35" fillId="0" borderId="20" xfId="19" applyNumberFormat="1" applyFont="1" applyBorder="1" applyAlignment="1">
      <alignment vertical="center"/>
    </xf>
    <xf numFmtId="174" fontId="35" fillId="31" borderId="33" xfId="19" applyNumberFormat="1" applyFont="1" applyFill="1" applyBorder="1" applyAlignment="1">
      <alignment vertical="center"/>
    </xf>
    <xf numFmtId="174" fontId="35" fillId="0" borderId="33" xfId="19" applyNumberFormat="1" applyFont="1" applyBorder="1" applyAlignment="1">
      <alignment vertical="center"/>
    </xf>
    <xf numFmtId="9" fontId="35" fillId="25" borderId="125" xfId="60" applyFont="1" applyFill="1" applyBorder="1" applyAlignment="1">
      <alignment vertical="center"/>
    </xf>
    <xf numFmtId="9" fontId="35" fillId="25" borderId="33" xfId="60" applyFont="1" applyFill="1" applyBorder="1" applyAlignment="1">
      <alignment vertical="center"/>
    </xf>
    <xf numFmtId="174" fontId="35" fillId="0" borderId="20" xfId="19" applyNumberFormat="1" applyFont="1" applyFill="1" applyBorder="1" applyAlignment="1">
      <alignment vertical="center"/>
    </xf>
    <xf numFmtId="174" fontId="35" fillId="0" borderId="18" xfId="62" applyNumberFormat="1" applyFont="1" applyBorder="1" applyAlignment="1">
      <alignment vertical="center"/>
    </xf>
    <xf numFmtId="0" fontId="40" fillId="0" borderId="20" xfId="29" applyFont="1" applyBorder="1" applyAlignment="1">
      <alignment vertical="center"/>
    </xf>
    <xf numFmtId="178" fontId="35" fillId="31" borderId="20" xfId="56" applyNumberFormat="1" applyFont="1" applyFill="1" applyBorder="1" applyAlignment="1">
      <alignment vertical="center"/>
    </xf>
    <xf numFmtId="9" fontId="35" fillId="25" borderId="20" xfId="60" applyFont="1" applyFill="1" applyBorder="1" applyAlignment="1">
      <alignment vertical="center"/>
    </xf>
    <xf numFmtId="178" fontId="35" fillId="0" borderId="33" xfId="65" applyNumberFormat="1" applyFont="1" applyBorder="1" applyAlignment="1">
      <alignment vertical="center"/>
    </xf>
    <xf numFmtId="178" fontId="35" fillId="0" borderId="20" xfId="65" applyNumberFormat="1" applyFont="1" applyFill="1" applyBorder="1" applyAlignment="1">
      <alignment vertical="center"/>
    </xf>
    <xf numFmtId="178" fontId="35" fillId="0" borderId="20" xfId="56" applyNumberFormat="1" applyFont="1" applyBorder="1" applyAlignment="1">
      <alignment vertical="center"/>
    </xf>
    <xf numFmtId="174" fontId="40" fillId="29" borderId="51" xfId="62" applyNumberFormat="1" applyFont="1" applyFill="1" applyBorder="1" applyAlignment="1">
      <alignment horizontal="center" vertical="center"/>
    </xf>
    <xf numFmtId="174" fontId="40" fillId="29" borderId="41" xfId="62" applyNumberFormat="1" applyFont="1" applyFill="1" applyBorder="1" applyAlignment="1">
      <alignment horizontal="center" vertical="center" wrapText="1"/>
    </xf>
    <xf numFmtId="0" fontId="40" fillId="0" borderId="46" xfId="29" applyFont="1" applyBorder="1" applyAlignment="1">
      <alignment vertical="center"/>
    </xf>
    <xf numFmtId="174" fontId="40" fillId="0" borderId="124" xfId="62" applyNumberFormat="1" applyFont="1" applyBorder="1" applyAlignment="1">
      <alignment vertical="center"/>
    </xf>
    <xf numFmtId="174" fontId="40" fillId="0" borderId="42" xfId="62" applyNumberFormat="1" applyFont="1" applyBorder="1" applyAlignment="1">
      <alignment vertical="center"/>
    </xf>
    <xf numFmtId="174" fontId="40" fillId="0" borderId="44" xfId="62" applyNumberFormat="1" applyFont="1" applyBorder="1" applyAlignment="1">
      <alignment vertical="center"/>
    </xf>
    <xf numFmtId="0" fontId="40" fillId="0" borderId="124" xfId="29" applyFont="1" applyBorder="1" applyAlignment="1">
      <alignment vertical="center"/>
    </xf>
    <xf numFmtId="174" fontId="40" fillId="0" borderId="45" xfId="62" applyNumberFormat="1" applyFont="1" applyBorder="1" applyAlignment="1">
      <alignment vertical="center"/>
    </xf>
    <xf numFmtId="178" fontId="40" fillId="0" borderId="42" xfId="65" applyNumberFormat="1" applyFont="1" applyBorder="1" applyAlignment="1">
      <alignment vertical="center"/>
    </xf>
    <xf numFmtId="178" fontId="40" fillId="0" borderId="44" xfId="65" applyNumberFormat="1" applyFont="1" applyBorder="1" applyAlignment="1">
      <alignment vertical="center"/>
    </xf>
    <xf numFmtId="10" fontId="40" fillId="34" borderId="17" xfId="64" applyNumberFormat="1" applyFont="1" applyFill="1" applyBorder="1" applyAlignment="1">
      <alignment vertical="center"/>
    </xf>
    <xf numFmtId="10" fontId="40" fillId="34" borderId="123" xfId="64" applyNumberFormat="1" applyFont="1" applyFill="1" applyBorder="1" applyAlignment="1">
      <alignment vertical="center"/>
    </xf>
    <xf numFmtId="178" fontId="40" fillId="0" borderId="46" xfId="65" applyNumberFormat="1" applyFont="1" applyBorder="1" applyAlignment="1">
      <alignment vertical="center"/>
    </xf>
    <xf numFmtId="178" fontId="40" fillId="0" borderId="124" xfId="65" applyNumberFormat="1" applyFont="1" applyBorder="1" applyAlignment="1">
      <alignment vertical="center"/>
    </xf>
    <xf numFmtId="164" fontId="40" fillId="0" borderId="46" xfId="65" applyNumberFormat="1" applyFont="1" applyBorder="1" applyAlignment="1">
      <alignment vertical="center"/>
    </xf>
    <xf numFmtId="10" fontId="40" fillId="25" borderId="51" xfId="60" applyNumberFormat="1" applyFont="1" applyFill="1" applyBorder="1" applyAlignment="1">
      <alignment vertical="center"/>
    </xf>
    <xf numFmtId="10" fontId="40" fillId="25" borderId="41" xfId="60" applyNumberFormat="1" applyFont="1" applyFill="1" applyBorder="1" applyAlignment="1">
      <alignment vertical="center"/>
    </xf>
    <xf numFmtId="174" fontId="40" fillId="0" borderId="42" xfId="19" applyNumberFormat="1" applyFont="1" applyBorder="1" applyAlignment="1">
      <alignment vertical="center"/>
    </xf>
    <xf numFmtId="174" fontId="40" fillId="31" borderId="17" xfId="19" applyNumberFormat="1" applyFont="1" applyFill="1" applyBorder="1" applyAlignment="1">
      <alignment vertical="center"/>
    </xf>
    <xf numFmtId="174" fontId="40" fillId="31" borderId="123" xfId="19" applyNumberFormat="1" applyFont="1" applyFill="1" applyBorder="1" applyAlignment="1">
      <alignment vertical="center"/>
    </xf>
    <xf numFmtId="174" fontId="40" fillId="0" borderId="17" xfId="19" applyNumberFormat="1" applyFont="1" applyBorder="1" applyAlignment="1">
      <alignment vertical="center"/>
    </xf>
    <xf numFmtId="174" fontId="40" fillId="0" borderId="123" xfId="19" applyNumberFormat="1" applyFont="1" applyBorder="1" applyAlignment="1">
      <alignment vertical="center"/>
    </xf>
    <xf numFmtId="9" fontId="40" fillId="25" borderId="51" xfId="60" applyFont="1" applyFill="1" applyBorder="1" applyAlignment="1">
      <alignment vertical="center"/>
    </xf>
    <xf numFmtId="9" fontId="40" fillId="25" borderId="41" xfId="60" applyFont="1" applyFill="1" applyBorder="1" applyAlignment="1">
      <alignment vertical="center"/>
    </xf>
    <xf numFmtId="182" fontId="40" fillId="0" borderId="44" xfId="19" applyNumberFormat="1" applyFont="1" applyBorder="1" applyAlignment="1">
      <alignment vertical="center"/>
    </xf>
    <xf numFmtId="0" fontId="40" fillId="25" borderId="17" xfId="60" applyNumberFormat="1" applyFont="1" applyFill="1" applyBorder="1" applyAlignment="1">
      <alignment vertical="center"/>
    </xf>
    <xf numFmtId="9" fontId="40" fillId="25" borderId="123" xfId="60" applyFont="1" applyFill="1" applyBorder="1" applyAlignment="1">
      <alignment vertical="center"/>
    </xf>
    <xf numFmtId="174" fontId="40" fillId="0" borderId="44" xfId="62" applyNumberFormat="1" applyFont="1" applyFill="1" applyBorder="1" applyAlignment="1">
      <alignment vertical="center"/>
    </xf>
    <xf numFmtId="9" fontId="40" fillId="25" borderId="17" xfId="60" applyFont="1" applyFill="1" applyBorder="1" applyAlignment="1">
      <alignment vertical="center"/>
    </xf>
    <xf numFmtId="174" fontId="40" fillId="0" borderId="46" xfId="62" applyNumberFormat="1" applyFont="1" applyBorder="1" applyAlignment="1">
      <alignment vertical="center"/>
    </xf>
    <xf numFmtId="0" fontId="40" fillId="0" borderId="42" xfId="29" applyFont="1" applyBorder="1" applyAlignment="1">
      <alignment vertical="center"/>
    </xf>
    <xf numFmtId="0" fontId="40" fillId="0" borderId="44" xfId="29" applyFont="1" applyBorder="1" applyAlignment="1">
      <alignment vertical="center"/>
    </xf>
    <xf numFmtId="178" fontId="40" fillId="31" borderId="42" xfId="56" applyNumberFormat="1" applyFont="1" applyFill="1" applyBorder="1" applyAlignment="1">
      <alignment vertical="center"/>
    </xf>
    <xf numFmtId="9" fontId="40" fillId="25" borderId="42" xfId="60" applyFont="1" applyFill="1" applyBorder="1" applyAlignment="1">
      <alignment vertical="center"/>
    </xf>
    <xf numFmtId="9" fontId="40" fillId="25" borderId="44" xfId="60" applyFont="1" applyFill="1" applyBorder="1" applyAlignment="1">
      <alignment vertical="center"/>
    </xf>
    <xf numFmtId="178" fontId="40" fillId="0" borderId="123" xfId="65" applyNumberFormat="1" applyFont="1" applyBorder="1" applyAlignment="1">
      <alignment vertical="center"/>
    </xf>
    <xf numFmtId="178" fontId="40" fillId="0" borderId="44" xfId="65" applyNumberFormat="1" applyFont="1" applyFill="1" applyBorder="1" applyAlignment="1">
      <alignment vertical="center"/>
    </xf>
    <xf numFmtId="9" fontId="35" fillId="25" borderId="17" xfId="60" applyFont="1" applyFill="1" applyBorder="1" applyAlignment="1">
      <alignment vertical="center"/>
    </xf>
    <xf numFmtId="9" fontId="35" fillId="25" borderId="123" xfId="60" applyFont="1" applyFill="1" applyBorder="1" applyAlignment="1">
      <alignment vertical="center"/>
    </xf>
    <xf numFmtId="178" fontId="40" fillId="0" borderId="42" xfId="56" applyNumberFormat="1" applyFont="1" applyBorder="1" applyAlignment="1">
      <alignment vertical="center"/>
    </xf>
    <xf numFmtId="3" fontId="35" fillId="0" borderId="79" xfId="0" applyNumberFormat="1" applyFont="1" applyBorder="1" applyAlignment="1">
      <alignment horizontal="right" vertical="center"/>
    </xf>
    <xf numFmtId="174" fontId="35" fillId="0" borderId="79" xfId="19" applyNumberFormat="1" applyFont="1" applyBorder="1" applyAlignment="1">
      <alignment horizontal="right" vertical="center"/>
    </xf>
    <xf numFmtId="174" fontId="40" fillId="50" borderId="11" xfId="19" applyNumberFormat="1" applyFont="1" applyFill="1" applyBorder="1" applyAlignment="1">
      <alignment horizontal="center" vertical="center"/>
    </xf>
    <xf numFmtId="174" fontId="40" fillId="50" borderId="11" xfId="19" applyNumberFormat="1" applyFont="1" applyFill="1" applyBorder="1" applyAlignment="1">
      <alignment horizontal="right" vertical="center"/>
    </xf>
    <xf numFmtId="174" fontId="35" fillId="0" borderId="81" xfId="19" applyNumberFormat="1" applyFont="1" applyBorder="1" applyAlignment="1">
      <alignment horizontal="right" vertical="center"/>
    </xf>
    <xf numFmtId="0" fontId="35" fillId="0" borderId="37" xfId="0" applyFont="1" applyBorder="1" applyAlignment="1">
      <alignment horizontal="center" vertical="center"/>
    </xf>
    <xf numFmtId="0" fontId="35" fillId="0" borderId="79" xfId="0" applyFont="1" applyBorder="1" applyAlignment="1">
      <alignment horizontal="left" vertical="center" wrapText="1"/>
    </xf>
    <xf numFmtId="3" fontId="35" fillId="0" borderId="79" xfId="0" applyNumberFormat="1" applyFont="1" applyBorder="1" applyAlignment="1">
      <alignment horizontal="left" vertical="center"/>
    </xf>
    <xf numFmtId="3" fontId="35" fillId="0" borderId="79" xfId="0" applyNumberFormat="1" applyFont="1" applyBorder="1" applyAlignment="1">
      <alignment horizontal="left" vertical="center" wrapText="1"/>
    </xf>
    <xf numFmtId="174" fontId="35" fillId="0" borderId="79" xfId="19" applyNumberFormat="1" applyFont="1" applyBorder="1" applyAlignment="1">
      <alignment horizontal="center" vertical="center"/>
    </xf>
    <xf numFmtId="167" fontId="83" fillId="0" borderId="0" xfId="19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174" fontId="35" fillId="0" borderId="0" xfId="19" applyNumberFormat="1" applyFont="1" applyFill="1" applyAlignment="1">
      <alignment vertical="center"/>
    </xf>
    <xf numFmtId="9" fontId="11" fillId="31" borderId="14" xfId="31" applyFont="1" applyFill="1" applyBorder="1" applyAlignment="1">
      <alignment horizontal="center"/>
    </xf>
    <xf numFmtId="9" fontId="11" fillId="31" borderId="43" xfId="31" applyFont="1" applyFill="1" applyBorder="1" applyAlignment="1">
      <alignment horizontal="center"/>
    </xf>
    <xf numFmtId="9" fontId="11" fillId="31" borderId="13" xfId="31" applyFont="1" applyFill="1" applyBorder="1" applyAlignment="1">
      <alignment horizontal="center"/>
    </xf>
    <xf numFmtId="167" fontId="35" fillId="0" borderId="0" xfId="19" applyFont="1" applyAlignment="1">
      <alignment vertical="center" wrapText="1"/>
    </xf>
    <xf numFmtId="9" fontId="0" fillId="0" borderId="0" xfId="31" applyFont="1"/>
    <xf numFmtId="174" fontId="93" fillId="50" borderId="12" xfId="29" applyNumberFormat="1" applyFont="1" applyFill="1" applyBorder="1" applyAlignment="1">
      <alignment horizontal="center" vertical="center" wrapText="1"/>
    </xf>
    <xf numFmtId="174" fontId="35" fillId="0" borderId="12" xfId="19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174" fontId="93" fillId="33" borderId="12" xfId="29" applyNumberFormat="1" applyFont="1" applyFill="1" applyBorder="1" applyAlignment="1">
      <alignment horizontal="center" vertical="center" wrapText="1"/>
    </xf>
    <xf numFmtId="9" fontId="35" fillId="33" borderId="12" xfId="31" applyFont="1" applyFill="1" applyBorder="1" applyAlignment="1">
      <alignment vertical="center" wrapText="1"/>
    </xf>
    <xf numFmtId="0" fontId="11" fillId="0" borderId="0" xfId="0" applyFont="1" applyAlignment="1">
      <alignment horizontal="right"/>
    </xf>
    <xf numFmtId="9" fontId="0" fillId="0" borderId="0" xfId="31" applyFont="1" applyAlignment="1">
      <alignment horizontal="right"/>
    </xf>
    <xf numFmtId="0" fontId="0" fillId="0" borderId="12" xfId="0" applyBorder="1" applyAlignment="1">
      <alignment horizontal="right"/>
    </xf>
    <xf numFmtId="0" fontId="11" fillId="0" borderId="12" xfId="0" applyFont="1" applyBorder="1" applyAlignment="1">
      <alignment horizontal="right"/>
    </xf>
    <xf numFmtId="174" fontId="0" fillId="0" borderId="12" xfId="19" applyNumberFormat="1" applyFont="1" applyBorder="1" applyAlignment="1">
      <alignment horizontal="right"/>
    </xf>
    <xf numFmtId="174" fontId="0" fillId="0" borderId="12" xfId="0" applyNumberFormat="1" applyBorder="1" applyAlignment="1">
      <alignment horizontal="right"/>
    </xf>
    <xf numFmtId="9" fontId="0" fillId="0" borderId="12" xfId="31" applyFont="1" applyBorder="1" applyAlignment="1">
      <alignment horizontal="right"/>
    </xf>
    <xf numFmtId="9" fontId="57" fillId="0" borderId="0" xfId="31" applyFont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0" fillId="0" borderId="0" xfId="0" quotePrefix="1"/>
    <xf numFmtId="0" fontId="34" fillId="0" borderId="0" xfId="0" applyFont="1"/>
    <xf numFmtId="0" fontId="104" fillId="0" borderId="0" xfId="0" applyFont="1"/>
    <xf numFmtId="0" fontId="11" fillId="0" borderId="0" xfId="0" quotePrefix="1" applyFont="1"/>
    <xf numFmtId="0" fontId="105" fillId="0" borderId="0" xfId="0" applyFont="1"/>
    <xf numFmtId="174" fontId="72" fillId="0" borderId="12" xfId="19" applyNumberFormat="1" applyFont="1" applyBorder="1" applyAlignment="1">
      <alignment vertical="center" wrapText="1"/>
    </xf>
    <xf numFmtId="174" fontId="103" fillId="0" borderId="12" xfId="19" applyNumberFormat="1" applyFont="1" applyBorder="1" applyAlignment="1">
      <alignment horizontal="right"/>
    </xf>
    <xf numFmtId="174" fontId="0" fillId="0" borderId="12" xfId="0" applyNumberFormat="1" applyBorder="1" applyAlignment="1">
      <alignment horizontal="center"/>
    </xf>
    <xf numFmtId="0" fontId="34" fillId="0" borderId="12" xfId="0" applyFont="1" applyBorder="1" applyAlignment="1">
      <alignment horizontal="center" vertical="center" wrapText="1"/>
    </xf>
    <xf numFmtId="9" fontId="11" fillId="0" borderId="12" xfId="31" applyFont="1" applyBorder="1" applyAlignment="1">
      <alignment horizontal="center"/>
    </xf>
    <xf numFmtId="9" fontId="34" fillId="0" borderId="12" xfId="31" applyFont="1" applyBorder="1" applyAlignment="1">
      <alignment horizontal="center"/>
    </xf>
    <xf numFmtId="174" fontId="103" fillId="0" borderId="12" xfId="0" applyNumberFormat="1" applyFont="1" applyBorder="1" applyAlignment="1">
      <alignment horizontal="center"/>
    </xf>
    <xf numFmtId="9" fontId="0" fillId="0" borderId="12" xfId="31" applyFont="1" applyBorder="1"/>
    <xf numFmtId="0" fontId="0" fillId="0" borderId="0" xfId="0" applyAlignment="1">
      <alignment horizontal="right" wrapText="1"/>
    </xf>
    <xf numFmtId="0" fontId="35" fillId="0" borderId="47" xfId="0" applyFont="1" applyBorder="1" applyAlignment="1">
      <alignment horizontal="center" vertical="center"/>
    </xf>
    <xf numFmtId="0" fontId="35" fillId="0" borderId="81" xfId="0" applyFont="1" applyBorder="1" applyAlignment="1">
      <alignment horizontal="left" vertical="center" wrapText="1"/>
    </xf>
    <xf numFmtId="3" fontId="35" fillId="0" borderId="81" xfId="0" applyNumberFormat="1" applyFont="1" applyBorder="1" applyAlignment="1">
      <alignment horizontal="left" vertical="center" wrapText="1"/>
    </xf>
    <xf numFmtId="174" fontId="35" fillId="0" borderId="81" xfId="19" applyNumberFormat="1" applyFont="1" applyBorder="1" applyAlignment="1">
      <alignment horizontal="center" vertical="center"/>
    </xf>
    <xf numFmtId="0" fontId="99" fillId="41" borderId="12" xfId="0" applyFont="1" applyFill="1" applyBorder="1" applyAlignment="1">
      <alignment horizontal="center" vertical="center" wrapText="1"/>
    </xf>
    <xf numFmtId="0" fontId="52" fillId="41" borderId="12" xfId="0" applyFont="1" applyFill="1" applyBorder="1" applyAlignment="1">
      <alignment horizontal="center" vertical="center" wrapText="1"/>
    </xf>
    <xf numFmtId="167" fontId="40" fillId="0" borderId="70" xfId="19" applyFont="1" applyFill="1" applyBorder="1" applyAlignment="1">
      <alignment vertical="center" wrapText="1"/>
    </xf>
    <xf numFmtId="174" fontId="40" fillId="32" borderId="25" xfId="19" applyNumberFormat="1" applyFont="1" applyFill="1" applyBorder="1" applyAlignment="1">
      <alignment vertical="center" wrapText="1"/>
    </xf>
    <xf numFmtId="174" fontId="40" fillId="32" borderId="18" xfId="19" applyNumberFormat="1" applyFont="1" applyFill="1" applyBorder="1" applyAlignment="1">
      <alignment vertical="center" wrapText="1"/>
    </xf>
    <xf numFmtId="174" fontId="40" fillId="32" borderId="46" xfId="19" applyNumberFormat="1" applyFont="1" applyFill="1" applyBorder="1" applyAlignment="1">
      <alignment vertical="center" wrapText="1"/>
    </xf>
    <xf numFmtId="174" fontId="54" fillId="32" borderId="124" xfId="19" applyNumberFormat="1" applyFont="1" applyFill="1" applyBorder="1" applyAlignment="1">
      <alignment vertical="center" wrapText="1"/>
    </xf>
    <xf numFmtId="174" fontId="54" fillId="32" borderId="119" xfId="19" applyNumberFormat="1" applyFont="1" applyFill="1" applyBorder="1" applyAlignment="1">
      <alignment vertical="center" wrapText="1"/>
    </xf>
    <xf numFmtId="174" fontId="54" fillId="32" borderId="91" xfId="19" applyNumberFormat="1" applyFont="1" applyFill="1" applyBorder="1" applyAlignment="1">
      <alignment vertical="center" wrapText="1"/>
    </xf>
    <xf numFmtId="172" fontId="40" fillId="32" borderId="70" xfId="175" applyFont="1" applyFill="1" applyBorder="1" applyAlignment="1">
      <alignment vertical="center" wrapText="1"/>
    </xf>
    <xf numFmtId="172" fontId="40" fillId="32" borderId="73" xfId="175" applyFont="1" applyFill="1" applyBorder="1" applyAlignment="1">
      <alignment vertical="center" wrapText="1"/>
    </xf>
    <xf numFmtId="172" fontId="40" fillId="32" borderId="92" xfId="175" applyFont="1" applyFill="1" applyBorder="1" applyAlignment="1">
      <alignment vertical="center" wrapText="1"/>
    </xf>
    <xf numFmtId="172" fontId="54" fillId="32" borderId="118" xfId="175" applyFont="1" applyFill="1" applyBorder="1" applyAlignment="1">
      <alignment vertical="center" wrapText="1"/>
    </xf>
    <xf numFmtId="174" fontId="35" fillId="32" borderId="87" xfId="19" applyNumberFormat="1" applyFont="1" applyFill="1" applyBorder="1" applyAlignment="1">
      <alignment vertical="center" wrapText="1"/>
    </xf>
    <xf numFmtId="174" fontId="54" fillId="32" borderId="120" xfId="19" applyNumberFormat="1" applyFont="1" applyFill="1" applyBorder="1" applyAlignment="1">
      <alignment vertical="center" wrapText="1"/>
    </xf>
    <xf numFmtId="174" fontId="54" fillId="32" borderId="67" xfId="19" applyNumberFormat="1" applyFont="1" applyFill="1" applyBorder="1" applyAlignment="1">
      <alignment vertical="center" wrapText="1"/>
    </xf>
    <xf numFmtId="174" fontId="54" fillId="32" borderId="85" xfId="19" applyNumberFormat="1" applyFont="1" applyFill="1" applyBorder="1" applyAlignment="1">
      <alignment vertical="center" wrapText="1"/>
    </xf>
    <xf numFmtId="167" fontId="40" fillId="32" borderId="42" xfId="19" applyFont="1" applyFill="1" applyBorder="1" applyAlignment="1">
      <alignment vertical="center" wrapText="1"/>
    </xf>
    <xf numFmtId="174" fontId="54" fillId="32" borderId="44" xfId="19" applyNumberFormat="1" applyFont="1" applyFill="1" applyBorder="1" applyAlignment="1">
      <alignment vertical="center" wrapText="1"/>
    </xf>
    <xf numFmtId="174" fontId="54" fillId="32" borderId="117" xfId="19" applyNumberFormat="1" applyFont="1" applyFill="1" applyBorder="1" applyAlignment="1">
      <alignment vertical="center" wrapText="1"/>
    </xf>
    <xf numFmtId="174" fontId="54" fillId="32" borderId="69" xfId="19" applyNumberFormat="1" applyFont="1" applyFill="1" applyBorder="1" applyAlignment="1">
      <alignment vertical="center" wrapText="1"/>
    </xf>
    <xf numFmtId="172" fontId="52" fillId="32" borderId="92" xfId="175" applyFont="1" applyFill="1" applyBorder="1" applyAlignment="1">
      <alignment vertical="center" wrapText="1"/>
    </xf>
    <xf numFmtId="172" fontId="75" fillId="32" borderId="118" xfId="175" applyFont="1" applyFill="1" applyBorder="1" applyAlignment="1">
      <alignment vertical="center" wrapText="1"/>
    </xf>
    <xf numFmtId="174" fontId="40" fillId="32" borderId="42" xfId="19" applyNumberFormat="1" applyFont="1" applyFill="1" applyBorder="1" applyAlignment="1">
      <alignment vertical="center" wrapText="1"/>
    </xf>
    <xf numFmtId="174" fontId="54" fillId="32" borderId="122" xfId="19" applyNumberFormat="1" applyFont="1" applyFill="1" applyBorder="1" applyAlignment="1">
      <alignment vertical="center" wrapText="1"/>
    </xf>
    <xf numFmtId="174" fontId="40" fillId="32" borderId="87" xfId="19" applyNumberFormat="1" applyFont="1" applyFill="1" applyBorder="1" applyAlignment="1">
      <alignment vertical="center" wrapText="1"/>
    </xf>
    <xf numFmtId="0" fontId="94" fillId="0" borderId="34" xfId="29" applyFont="1" applyBorder="1" applyAlignment="1">
      <alignment horizontal="center" vertical="center"/>
    </xf>
    <xf numFmtId="167" fontId="57" fillId="0" borderId="0" xfId="63" applyNumberFormat="1" applyFont="1" applyAlignment="1">
      <alignment vertical="center"/>
    </xf>
    <xf numFmtId="0" fontId="101" fillId="0" borderId="0" xfId="63" applyFont="1" applyAlignment="1">
      <alignment vertical="center"/>
    </xf>
    <xf numFmtId="0" fontId="102" fillId="0" borderId="0" xfId="63" applyFont="1" applyAlignment="1">
      <alignment vertical="center"/>
    </xf>
    <xf numFmtId="0" fontId="40" fillId="38" borderId="51" xfId="29" applyFont="1" applyFill="1" applyBorder="1" applyAlignment="1">
      <alignment horizontal="center" vertical="center" wrapText="1"/>
    </xf>
    <xf numFmtId="0" fontId="40" fillId="38" borderId="11" xfId="29" applyFont="1" applyFill="1" applyBorder="1" applyAlignment="1">
      <alignment horizontal="center" vertical="center" wrapText="1"/>
    </xf>
    <xf numFmtId="4" fontId="40" fillId="38" borderId="11" xfId="29" applyNumberFormat="1" applyFont="1" applyFill="1" applyBorder="1" applyAlignment="1">
      <alignment horizontal="center" vertical="center" wrapText="1"/>
    </xf>
    <xf numFmtId="3" fontId="40" fillId="38" borderId="11" xfId="29" applyNumberFormat="1" applyFont="1" applyFill="1" applyBorder="1" applyAlignment="1">
      <alignment horizontal="center" vertical="center" wrapText="1"/>
    </xf>
    <xf numFmtId="175" fontId="40" fillId="38" borderId="11" xfId="29" applyNumberFormat="1" applyFont="1" applyFill="1" applyBorder="1" applyAlignment="1">
      <alignment horizontal="center" vertical="center" wrapText="1"/>
    </xf>
    <xf numFmtId="188" fontId="11" fillId="0" borderId="0" xfId="29" applyNumberFormat="1" applyAlignment="1">
      <alignment vertical="center"/>
    </xf>
    <xf numFmtId="172" fontId="83" fillId="0" borderId="0" xfId="29" applyNumberFormat="1" applyFont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11" fillId="0" borderId="0" xfId="29" applyAlignment="1">
      <alignment horizontal="center" vertical="center"/>
    </xf>
    <xf numFmtId="0" fontId="50" fillId="0" borderId="0" xfId="29" applyFont="1" applyAlignment="1">
      <alignment horizontal="center" vertical="center" wrapText="1"/>
    </xf>
    <xf numFmtId="0" fontId="93" fillId="38" borderId="38" xfId="29" applyFont="1" applyFill="1" applyBorder="1" applyAlignment="1">
      <alignment horizontal="center" vertical="center"/>
    </xf>
    <xf numFmtId="173" fontId="36" fillId="0" borderId="0" xfId="19" applyNumberFormat="1" applyFont="1" applyAlignment="1">
      <alignment vertical="center"/>
    </xf>
    <xf numFmtId="173" fontId="36" fillId="0" borderId="0" xfId="19" applyNumberFormat="1" applyFont="1" applyAlignment="1">
      <alignment horizontal="center" vertical="center"/>
    </xf>
    <xf numFmtId="179" fontId="35" fillId="0" borderId="0" xfId="858" applyFont="1" applyAlignment="1">
      <alignment vertical="center"/>
    </xf>
    <xf numFmtId="174" fontId="106" fillId="0" borderId="0" xfId="19" applyNumberFormat="1" applyFont="1" applyBorder="1" applyAlignment="1">
      <alignment vertical="center"/>
    </xf>
    <xf numFmtId="185" fontId="35" fillId="0" borderId="14" xfId="175" applyNumberFormat="1" applyFont="1" applyBorder="1" applyAlignment="1">
      <alignment vertical="center"/>
    </xf>
    <xf numFmtId="185" fontId="35" fillId="0" borderId="12" xfId="175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54" fillId="51" borderId="12" xfId="0" applyFont="1" applyFill="1" applyBorder="1" applyAlignment="1">
      <alignment horizontal="center" vertical="center" wrapText="1"/>
    </xf>
    <xf numFmtId="0" fontId="11" fillId="0" borderId="127" xfId="0" applyFont="1" applyBorder="1" applyAlignment="1">
      <alignment vertical="center"/>
    </xf>
    <xf numFmtId="37" fontId="94" fillId="0" borderId="0" xfId="22" applyNumberFormat="1" applyFont="1" applyAlignment="1">
      <alignment vertical="center"/>
    </xf>
    <xf numFmtId="37" fontId="93" fillId="0" borderId="0" xfId="22" applyNumberFormat="1" applyFont="1" applyAlignment="1">
      <alignment vertical="center"/>
    </xf>
    <xf numFmtId="0" fontId="93" fillId="0" borderId="0" xfId="0" applyFont="1" applyAlignment="1">
      <alignment vertical="center"/>
    </xf>
    <xf numFmtId="174" fontId="107" fillId="0" borderId="0" xfId="19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174" fontId="96" fillId="0" borderId="0" xfId="19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31" borderId="14" xfId="0" applyFont="1" applyFill="1" applyBorder="1" applyAlignment="1">
      <alignment horizontal="center" vertical="center" wrapText="1"/>
    </xf>
    <xf numFmtId="0" fontId="11" fillId="31" borderId="12" xfId="0" applyFont="1" applyFill="1" applyBorder="1" applyAlignment="1">
      <alignment horizontal="center" vertical="center" wrapText="1"/>
    </xf>
    <xf numFmtId="174" fontId="11" fillId="0" borderId="12" xfId="0" applyNumberFormat="1" applyFont="1" applyBorder="1" applyAlignment="1">
      <alignment horizontal="center" vertical="center"/>
    </xf>
    <xf numFmtId="9" fontId="11" fillId="0" borderId="12" xfId="31" applyFont="1" applyBorder="1" applyAlignment="1">
      <alignment horizontal="center" vertical="center"/>
    </xf>
    <xf numFmtId="177" fontId="40" fillId="0" borderId="10" xfId="31" applyNumberFormat="1" applyFont="1" applyBorder="1" applyAlignment="1">
      <alignment vertical="center"/>
    </xf>
    <xf numFmtId="10" fontId="35" fillId="25" borderId="10" xfId="31" applyNumberFormat="1" applyFont="1" applyFill="1" applyBorder="1" applyAlignment="1">
      <alignment vertical="center"/>
    </xf>
    <xf numFmtId="10" fontId="40" fillId="25" borderId="17" xfId="31" applyNumberFormat="1" applyFont="1" applyFill="1" applyBorder="1" applyAlignment="1">
      <alignment vertical="center"/>
    </xf>
    <xf numFmtId="10" fontId="40" fillId="25" borderId="123" xfId="31" applyNumberFormat="1" applyFont="1" applyFill="1" applyBorder="1" applyAlignment="1">
      <alignment vertical="center"/>
    </xf>
    <xf numFmtId="174" fontId="36" fillId="0" borderId="0" xfId="19" applyNumberFormat="1" applyFont="1" applyBorder="1" applyAlignment="1">
      <alignment vertical="center"/>
    </xf>
    <xf numFmtId="165" fontId="90" fillId="0" borderId="0" xfId="0" applyNumberFormat="1" applyFont="1" applyAlignment="1">
      <alignment vertical="center"/>
    </xf>
    <xf numFmtId="187" fontId="98" fillId="0" borderId="0" xfId="19" applyNumberFormat="1" applyFont="1" applyFill="1" applyBorder="1" applyAlignment="1">
      <alignment horizontal="left" wrapText="1"/>
    </xf>
    <xf numFmtId="174" fontId="35" fillId="0" borderId="0" xfId="0" applyNumberFormat="1" applyFont="1" applyAlignment="1">
      <alignment vertical="center"/>
    </xf>
    <xf numFmtId="167" fontId="35" fillId="0" borderId="0" xfId="19" applyFont="1" applyBorder="1" applyAlignment="1">
      <alignment vertical="center"/>
    </xf>
    <xf numFmtId="174" fontId="12" fillId="0" borderId="0" xfId="19" applyNumberFormat="1" applyFont="1" applyBorder="1" applyAlignment="1">
      <alignment vertical="center"/>
    </xf>
    <xf numFmtId="178" fontId="40" fillId="0" borderId="94" xfId="56" applyNumberFormat="1" applyFont="1" applyFill="1" applyBorder="1" applyAlignment="1">
      <alignment vertical="center" wrapText="1"/>
    </xf>
    <xf numFmtId="178" fontId="40" fillId="0" borderId="45" xfId="175" applyNumberFormat="1" applyFont="1" applyFill="1" applyBorder="1" applyAlignment="1">
      <alignment vertical="center" wrapText="1"/>
    </xf>
    <xf numFmtId="178" fontId="40" fillId="0" borderId="10" xfId="175" applyNumberFormat="1" applyFont="1" applyFill="1" applyBorder="1" applyAlignment="1">
      <alignment vertical="center" wrapText="1"/>
    </xf>
    <xf numFmtId="178" fontId="40" fillId="0" borderId="14" xfId="175" applyNumberFormat="1" applyFont="1" applyFill="1" applyBorder="1" applyAlignment="1">
      <alignment vertical="center" wrapText="1"/>
    </xf>
    <xf numFmtId="178" fontId="40" fillId="0" borderId="33" xfId="175" applyNumberFormat="1" applyFont="1" applyFill="1" applyBorder="1" applyAlignment="1">
      <alignment vertical="center" wrapText="1"/>
    </xf>
    <xf numFmtId="178" fontId="40" fillId="0" borderId="32" xfId="175" applyNumberFormat="1" applyFont="1" applyFill="1" applyBorder="1" applyAlignment="1">
      <alignment vertical="center" wrapText="1"/>
    </xf>
    <xf numFmtId="178" fontId="54" fillId="0" borderId="10" xfId="175" applyNumberFormat="1" applyFont="1" applyFill="1" applyBorder="1" applyAlignment="1">
      <alignment vertical="center" wrapText="1"/>
    </xf>
    <xf numFmtId="178" fontId="54" fillId="0" borderId="33" xfId="175" applyNumberFormat="1" applyFont="1" applyFill="1" applyBorder="1" applyAlignment="1">
      <alignment vertical="center" wrapText="1"/>
    </xf>
    <xf numFmtId="178" fontId="54" fillId="0" borderId="90" xfId="175" applyNumberFormat="1" applyFont="1" applyFill="1" applyBorder="1" applyAlignment="1">
      <alignment vertical="center" wrapText="1"/>
    </xf>
    <xf numFmtId="178" fontId="40" fillId="28" borderId="17" xfId="175" applyNumberFormat="1" applyFont="1" applyFill="1" applyBorder="1" applyAlignment="1">
      <alignment vertical="center" wrapText="1"/>
    </xf>
    <xf numFmtId="178" fontId="54" fillId="28" borderId="123" xfId="175" applyNumberFormat="1" applyFont="1" applyFill="1" applyBorder="1" applyAlignment="1">
      <alignment vertical="center" wrapText="1"/>
    </xf>
    <xf numFmtId="178" fontId="54" fillId="28" borderId="38" xfId="175" applyNumberFormat="1" applyFont="1" applyFill="1" applyBorder="1" applyAlignment="1">
      <alignment vertical="center" wrapText="1"/>
    </xf>
    <xf numFmtId="178" fontId="54" fillId="28" borderId="90" xfId="175" applyNumberFormat="1" applyFont="1" applyFill="1" applyBorder="1" applyAlignment="1">
      <alignment vertical="center" wrapText="1"/>
    </xf>
    <xf numFmtId="178" fontId="40" fillId="32" borderId="17" xfId="175" applyNumberFormat="1" applyFont="1" applyFill="1" applyBorder="1" applyAlignment="1">
      <alignment vertical="center" wrapText="1"/>
    </xf>
    <xf numFmtId="178" fontId="54" fillId="32" borderId="123" xfId="175" applyNumberFormat="1" applyFont="1" applyFill="1" applyBorder="1" applyAlignment="1">
      <alignment vertical="center" wrapText="1"/>
    </xf>
    <xf numFmtId="178" fontId="54" fillId="32" borderId="38" xfId="175" applyNumberFormat="1" applyFont="1" applyFill="1" applyBorder="1" applyAlignment="1">
      <alignment vertical="center" wrapText="1"/>
    </xf>
    <xf numFmtId="178" fontId="54" fillId="32" borderId="90" xfId="175" applyNumberFormat="1" applyFont="1" applyFill="1" applyBorder="1" applyAlignment="1">
      <alignment vertical="center" wrapText="1"/>
    </xf>
    <xf numFmtId="185" fontId="54" fillId="32" borderId="121" xfId="175" applyNumberFormat="1" applyFont="1" applyFill="1" applyBorder="1" applyAlignment="1">
      <alignment vertical="center" wrapText="1"/>
    </xf>
    <xf numFmtId="185" fontId="54" fillId="32" borderId="71" xfId="175" applyNumberFormat="1" applyFont="1" applyFill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165" fontId="53" fillId="0" borderId="0" xfId="0" applyNumberFormat="1" applyFont="1" applyAlignment="1">
      <alignment horizontal="left" vertical="center"/>
    </xf>
    <xf numFmtId="173" fontId="53" fillId="0" borderId="0" xfId="22" applyNumberFormat="1" applyFont="1" applyAlignment="1">
      <alignment horizontal="left" vertical="center"/>
    </xf>
    <xf numFmtId="0" fontId="54" fillId="0" borderId="0" xfId="29" applyFont="1" applyAlignment="1">
      <alignment horizontal="left" vertical="center" wrapText="1"/>
    </xf>
    <xf numFmtId="0" fontId="53" fillId="0" borderId="0" xfId="113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vertical="center"/>
    </xf>
    <xf numFmtId="0" fontId="34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4" fontId="11" fillId="0" borderId="0" xfId="19" applyNumberFormat="1" applyFont="1" applyAlignment="1">
      <alignment horizontal="left" vertical="center"/>
    </xf>
    <xf numFmtId="174" fontId="0" fillId="0" borderId="0" xfId="19" applyNumberFormat="1" applyFont="1" applyAlignment="1">
      <alignment vertical="center"/>
    </xf>
    <xf numFmtId="0" fontId="34" fillId="45" borderId="94" xfId="0" applyFont="1" applyFill="1" applyBorder="1" applyAlignment="1">
      <alignment horizontal="center" vertical="center"/>
    </xf>
    <xf numFmtId="0" fontId="11" fillId="28" borderId="131" xfId="0" applyFont="1" applyFill="1" applyBorder="1" applyAlignment="1">
      <alignment horizontal="center" vertical="center"/>
    </xf>
    <xf numFmtId="41" fontId="0" fillId="28" borderId="49" xfId="0" applyNumberFormat="1" applyFill="1" applyBorder="1" applyAlignment="1">
      <alignment horizontal="center" vertical="center"/>
    </xf>
    <xf numFmtId="41" fontId="0" fillId="28" borderId="132" xfId="0" applyNumberFormat="1" applyFill="1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174" fontId="0" fillId="0" borderId="79" xfId="19" applyNumberFormat="1" applyFont="1" applyBorder="1" applyAlignment="1">
      <alignment vertical="center"/>
    </xf>
    <xf numFmtId="0" fontId="34" fillId="52" borderId="134" xfId="0" applyFont="1" applyFill="1" applyBorder="1" applyAlignment="1">
      <alignment horizontal="center" vertical="center"/>
    </xf>
    <xf numFmtId="174" fontId="34" fillId="52" borderId="79" xfId="19" applyNumberFormat="1" applyFont="1" applyFill="1" applyBorder="1" applyAlignment="1">
      <alignment horizontal="center" vertical="center"/>
    </xf>
    <xf numFmtId="0" fontId="11" fillId="0" borderId="134" xfId="0" applyFont="1" applyBorder="1" applyAlignment="1">
      <alignment horizontal="center" vertical="center"/>
    </xf>
    <xf numFmtId="0" fontId="34" fillId="28" borderId="140" xfId="0" applyFont="1" applyFill="1" applyBorder="1" applyAlignment="1">
      <alignment horizontal="center" vertical="center"/>
    </xf>
    <xf numFmtId="174" fontId="34" fillId="28" borderId="50" xfId="19" applyNumberFormat="1" applyFont="1" applyFill="1" applyBorder="1" applyAlignment="1">
      <alignment horizontal="center" vertical="center"/>
    </xf>
    <xf numFmtId="174" fontId="34" fillId="53" borderId="0" xfId="19" applyNumberFormat="1" applyFont="1" applyFill="1" applyAlignment="1">
      <alignment horizontal="left" vertical="center"/>
    </xf>
    <xf numFmtId="185" fontId="0" fillId="0" borderId="105" xfId="175" applyNumberFormat="1" applyFont="1" applyBorder="1" applyAlignment="1">
      <alignment vertical="center"/>
    </xf>
    <xf numFmtId="0" fontId="103" fillId="45" borderId="82" xfId="0" applyFont="1" applyFill="1" applyBorder="1" applyAlignment="1">
      <alignment horizontal="center" vertical="center" wrapText="1"/>
    </xf>
    <xf numFmtId="0" fontId="94" fillId="0" borderId="26" xfId="57" applyFont="1" applyBorder="1" applyAlignment="1">
      <alignment vertical="center" wrapText="1"/>
    </xf>
    <xf numFmtId="0" fontId="94" fillId="0" borderId="79" xfId="57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174" fontId="11" fillId="0" borderId="0" xfId="19" applyNumberFormat="1" applyFont="1" applyAlignment="1">
      <alignment horizontal="left" vertical="center" wrapText="1"/>
    </xf>
    <xf numFmtId="0" fontId="11" fillId="28" borderId="54" xfId="0" applyFont="1" applyFill="1" applyBorder="1" applyAlignment="1">
      <alignment horizontal="center" vertical="center" wrapText="1"/>
    </xf>
    <xf numFmtId="174" fontId="0" fillId="0" borderId="74" xfId="19" applyNumberFormat="1" applyFont="1" applyBorder="1" applyAlignment="1">
      <alignment horizontal="center" vertical="center" wrapText="1"/>
    </xf>
    <xf numFmtId="174" fontId="34" fillId="52" borderId="74" xfId="19" applyNumberFormat="1" applyFont="1" applyFill="1" applyBorder="1" applyAlignment="1">
      <alignment horizontal="center" vertical="center" wrapText="1"/>
    </xf>
    <xf numFmtId="174" fontId="34" fillId="28" borderId="55" xfId="1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5" fontId="34" fillId="52" borderId="105" xfId="175" applyNumberFormat="1" applyFont="1" applyFill="1" applyBorder="1" applyAlignment="1">
      <alignment horizontal="center" vertical="center"/>
    </xf>
    <xf numFmtId="185" fontId="34" fillId="28" borderId="129" xfId="175" applyNumberFormat="1" applyFont="1" applyFill="1" applyBorder="1" applyAlignment="1">
      <alignment horizontal="center" vertical="center"/>
    </xf>
    <xf numFmtId="0" fontId="111" fillId="0" borderId="0" xfId="0" applyFont="1"/>
    <xf numFmtId="0" fontId="111" fillId="0" borderId="0" xfId="0" applyFont="1" applyAlignment="1">
      <alignment horizontal="center" vertical="center" wrapText="1"/>
    </xf>
    <xf numFmtId="0" fontId="1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7" fontId="52" fillId="42" borderId="14" xfId="19" applyFont="1" applyFill="1" applyBorder="1" applyAlignment="1">
      <alignment horizontal="center" vertical="center" wrapText="1"/>
    </xf>
    <xf numFmtId="167" fontId="51" fillId="0" borderId="0" xfId="19" applyFont="1"/>
    <xf numFmtId="167" fontId="35" fillId="0" borderId="0" xfId="19" applyFont="1"/>
    <xf numFmtId="167" fontId="40" fillId="0" borderId="0" xfId="19" applyFont="1" applyAlignment="1">
      <alignment horizontal="center" vertical="center"/>
    </xf>
    <xf numFmtId="167" fontId="40" fillId="0" borderId="0" xfId="19" applyFont="1"/>
    <xf numFmtId="167" fontId="53" fillId="0" borderId="0" xfId="19" applyFont="1"/>
    <xf numFmtId="9" fontId="40" fillId="32" borderId="70" xfId="31" applyFont="1" applyFill="1" applyBorder="1" applyAlignment="1">
      <alignment vertical="center" wrapText="1"/>
    </xf>
    <xf numFmtId="0" fontId="53" fillId="0" borderId="0" xfId="0" applyFont="1" applyAlignment="1">
      <alignment vertical="center"/>
    </xf>
    <xf numFmtId="174" fontId="0" fillId="0" borderId="0" xfId="19" applyNumberFormat="1" applyFont="1"/>
    <xf numFmtId="0" fontId="0" fillId="25" borderId="0" xfId="0" applyFill="1"/>
    <xf numFmtId="0" fontId="0" fillId="0" borderId="12" xfId="0" applyBorder="1"/>
    <xf numFmtId="174" fontId="35" fillId="0" borderId="12" xfId="19" applyNumberFormat="1" applyFont="1" applyBorder="1" applyAlignment="1">
      <alignment horizontal="center" vertical="center"/>
    </xf>
    <xf numFmtId="0" fontId="0" fillId="25" borderId="12" xfId="0" applyFill="1" applyBorder="1"/>
    <xf numFmtId="177" fontId="35" fillId="0" borderId="12" xfId="31" applyNumberFormat="1" applyFont="1" applyBorder="1" applyAlignment="1">
      <alignment horizontal="center" vertical="center"/>
    </xf>
    <xf numFmtId="0" fontId="11" fillId="32" borderId="12" xfId="0" applyFont="1" applyFill="1" applyBorder="1"/>
    <xf numFmtId="174" fontId="35" fillId="32" borderId="12" xfId="19" applyNumberFormat="1" applyFont="1" applyFill="1" applyBorder="1" applyAlignment="1">
      <alignment horizontal="center" vertical="center"/>
    </xf>
    <xf numFmtId="177" fontId="11" fillId="0" borderId="12" xfId="31" applyNumberFormat="1" applyFont="1" applyBorder="1" applyAlignment="1">
      <alignment horizontal="center" vertical="center"/>
    </xf>
    <xf numFmtId="0" fontId="92" fillId="0" borderId="79" xfId="19" applyNumberFormat="1" applyFont="1" applyFill="1" applyBorder="1" applyAlignment="1">
      <alignment horizontal="center" vertical="center" wrapText="1"/>
    </xf>
    <xf numFmtId="187" fontId="92" fillId="0" borderId="79" xfId="19" applyNumberFormat="1" applyFont="1" applyFill="1" applyBorder="1" applyAlignment="1">
      <alignment horizontal="left" vertical="center" wrapText="1"/>
    </xf>
    <xf numFmtId="165" fontId="35" fillId="0" borderId="79" xfId="0" applyNumberFormat="1" applyFont="1" applyBorder="1" applyAlignment="1">
      <alignment vertical="center"/>
    </xf>
    <xf numFmtId="0" fontId="35" fillId="0" borderId="79" xfId="0" applyFont="1" applyBorder="1" applyAlignment="1">
      <alignment vertical="center"/>
    </xf>
    <xf numFmtId="4" fontId="52" fillId="0" borderId="16" xfId="19" applyNumberFormat="1" applyFont="1" applyFill="1" applyBorder="1" applyAlignment="1">
      <alignment horizontal="center" vertical="center" wrapText="1"/>
    </xf>
    <xf numFmtId="174" fontId="52" fillId="0" borderId="16" xfId="19" applyNumberFormat="1" applyFont="1" applyFill="1" applyBorder="1" applyAlignment="1">
      <alignment horizontal="center" vertical="center" wrapText="1"/>
    </xf>
    <xf numFmtId="173" fontId="52" fillId="0" borderId="16" xfId="19" applyNumberFormat="1" applyFont="1" applyFill="1" applyBorder="1" applyAlignment="1">
      <alignment horizontal="center" vertical="center" wrapText="1"/>
    </xf>
    <xf numFmtId="174" fontId="52" fillId="0" borderId="0" xfId="19" applyNumberFormat="1" applyFont="1" applyFill="1" applyBorder="1" applyAlignment="1">
      <alignment horizontal="center" vertical="center" wrapText="1"/>
    </xf>
    <xf numFmtId="165" fontId="52" fillId="0" borderId="16" xfId="0" applyNumberFormat="1" applyFont="1" applyBorder="1" applyAlignment="1">
      <alignment horizontal="center" vertical="center" wrapText="1"/>
    </xf>
    <xf numFmtId="9" fontId="52" fillId="0" borderId="14" xfId="60" quotePrefix="1" applyFont="1" applyFill="1" applyBorder="1" applyAlignment="1">
      <alignment horizontal="center" vertical="center" wrapText="1"/>
    </xf>
    <xf numFmtId="165" fontId="52" fillId="0" borderId="14" xfId="29" applyNumberFormat="1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 wrapText="1"/>
    </xf>
    <xf numFmtId="165" fontId="52" fillId="0" borderId="14" xfId="0" applyNumberFormat="1" applyFont="1" applyBorder="1" applyAlignment="1">
      <alignment horizontal="center" vertical="center" wrapText="1"/>
    </xf>
    <xf numFmtId="167" fontId="52" fillId="0" borderId="14" xfId="19" applyFont="1" applyFill="1" applyBorder="1" applyAlignment="1">
      <alignment horizontal="center" vertical="center" wrapText="1"/>
    </xf>
    <xf numFmtId="165" fontId="52" fillId="0" borderId="29" xfId="29" applyNumberFormat="1" applyFont="1" applyBorder="1" applyAlignment="1">
      <alignment horizontal="center" vertical="center" wrapText="1"/>
    </xf>
    <xf numFmtId="0" fontId="34" fillId="32" borderId="12" xfId="0" applyFont="1" applyFill="1" applyBorder="1"/>
    <xf numFmtId="177" fontId="40" fillId="32" borderId="12" xfId="31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28" borderId="12" xfId="0" applyFont="1" applyFill="1" applyBorder="1" applyAlignment="1">
      <alignment horizontal="left" vertical="center"/>
    </xf>
    <xf numFmtId="165" fontId="0" fillId="0" borderId="12" xfId="0" applyNumberFormat="1" applyBorder="1" applyAlignment="1">
      <alignment horizontal="center" vertical="center" wrapText="1"/>
    </xf>
    <xf numFmtId="190" fontId="0" fillId="28" borderId="12" xfId="175" applyNumberFormat="1" applyFont="1" applyFill="1" applyBorder="1" applyAlignment="1">
      <alignment horizontal="center" vertical="center" wrapText="1"/>
    </xf>
    <xf numFmtId="190" fontId="0" fillId="0" borderId="12" xfId="175" applyNumberFormat="1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 wrapText="1"/>
    </xf>
    <xf numFmtId="174" fontId="0" fillId="28" borderId="12" xfId="19" applyNumberFormat="1" applyFont="1" applyFill="1" applyBorder="1" applyAlignment="1">
      <alignment horizontal="center" vertical="center" wrapText="1"/>
    </xf>
    <xf numFmtId="174" fontId="0" fillId="0" borderId="0" xfId="0" applyNumberFormat="1" applyAlignment="1">
      <alignment vertical="center"/>
    </xf>
    <xf numFmtId="174" fontId="108" fillId="0" borderId="0" xfId="0" applyNumberFormat="1" applyFont="1" applyAlignment="1">
      <alignment vertical="center"/>
    </xf>
    <xf numFmtId="173" fontId="35" fillId="28" borderId="12" xfId="19" applyNumberFormat="1" applyFont="1" applyFill="1" applyBorder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34" fillId="28" borderId="12" xfId="0" applyFont="1" applyFill="1" applyBorder="1" applyAlignment="1">
      <alignment horizontal="center" vertical="center" wrapText="1"/>
    </xf>
    <xf numFmtId="0" fontId="34" fillId="28" borderId="12" xfId="0" applyFont="1" applyFill="1" applyBorder="1" applyAlignment="1">
      <alignment horizontal="center" vertical="center"/>
    </xf>
    <xf numFmtId="174" fontId="86" fillId="0" borderId="0" xfId="19" applyNumberFormat="1" applyFont="1" applyFill="1" applyBorder="1" applyAlignment="1">
      <alignment vertical="center"/>
    </xf>
    <xf numFmtId="174" fontId="35" fillId="34" borderId="87" xfId="19" applyNumberFormat="1" applyFont="1" applyFill="1" applyBorder="1" applyAlignment="1">
      <alignment vertical="center" wrapText="1"/>
    </xf>
    <xf numFmtId="174" fontId="54" fillId="34" borderId="120" xfId="19" applyNumberFormat="1" applyFont="1" applyFill="1" applyBorder="1" applyAlignment="1">
      <alignment vertical="center" wrapText="1"/>
    </xf>
    <xf numFmtId="174" fontId="54" fillId="34" borderId="67" xfId="19" applyNumberFormat="1" applyFont="1" applyFill="1" applyBorder="1" applyAlignment="1">
      <alignment vertical="center" wrapText="1"/>
    </xf>
    <xf numFmtId="174" fontId="54" fillId="34" borderId="85" xfId="19" applyNumberFormat="1" applyFont="1" applyFill="1" applyBorder="1" applyAlignment="1">
      <alignment vertical="center" wrapText="1"/>
    </xf>
    <xf numFmtId="167" fontId="40" fillId="34" borderId="42" xfId="19" applyFont="1" applyFill="1" applyBorder="1" applyAlignment="1">
      <alignment vertical="center" wrapText="1"/>
    </xf>
    <xf numFmtId="174" fontId="54" fillId="34" borderId="44" xfId="19" applyNumberFormat="1" applyFont="1" applyFill="1" applyBorder="1" applyAlignment="1">
      <alignment vertical="center" wrapText="1"/>
    </xf>
    <xf numFmtId="174" fontId="54" fillId="34" borderId="117" xfId="19" applyNumberFormat="1" applyFont="1" applyFill="1" applyBorder="1" applyAlignment="1">
      <alignment vertical="center" wrapText="1"/>
    </xf>
    <xf numFmtId="174" fontId="54" fillId="34" borderId="69" xfId="19" applyNumberFormat="1" applyFont="1" applyFill="1" applyBorder="1" applyAlignment="1">
      <alignment vertical="center" wrapText="1"/>
    </xf>
    <xf numFmtId="172" fontId="52" fillId="34" borderId="92" xfId="175" applyFont="1" applyFill="1" applyBorder="1" applyAlignment="1">
      <alignment vertical="center" wrapText="1"/>
    </xf>
    <xf numFmtId="185" fontId="54" fillId="34" borderId="121" xfId="175" applyNumberFormat="1" applyFont="1" applyFill="1" applyBorder="1" applyAlignment="1">
      <alignment vertical="center" wrapText="1"/>
    </xf>
    <xf numFmtId="172" fontId="75" fillId="34" borderId="118" xfId="175" applyFont="1" applyFill="1" applyBorder="1" applyAlignment="1">
      <alignment vertical="center" wrapText="1"/>
    </xf>
    <xf numFmtId="185" fontId="54" fillId="34" borderId="71" xfId="175" applyNumberFormat="1" applyFont="1" applyFill="1" applyBorder="1" applyAlignment="1">
      <alignment vertical="center" wrapText="1"/>
    </xf>
    <xf numFmtId="172" fontId="40" fillId="34" borderId="92" xfId="175" applyFont="1" applyFill="1" applyBorder="1" applyAlignment="1">
      <alignment vertical="center" wrapText="1"/>
    </xf>
    <xf numFmtId="172" fontId="54" fillId="34" borderId="118" xfId="175" applyFont="1" applyFill="1" applyBorder="1" applyAlignment="1">
      <alignment vertical="center" wrapText="1"/>
    </xf>
    <xf numFmtId="174" fontId="40" fillId="34" borderId="42" xfId="19" applyNumberFormat="1" applyFont="1" applyFill="1" applyBorder="1" applyAlignment="1">
      <alignment vertical="center" wrapText="1"/>
    </xf>
    <xf numFmtId="174" fontId="54" fillId="34" borderId="122" xfId="19" applyNumberFormat="1" applyFont="1" applyFill="1" applyBorder="1" applyAlignment="1">
      <alignment vertical="center" wrapText="1"/>
    </xf>
    <xf numFmtId="174" fontId="40" fillId="34" borderId="87" xfId="19" applyNumberFormat="1" applyFont="1" applyFill="1" applyBorder="1" applyAlignment="1">
      <alignment vertical="center" wrapText="1"/>
    </xf>
    <xf numFmtId="178" fontId="40" fillId="34" borderId="17" xfId="175" applyNumberFormat="1" applyFont="1" applyFill="1" applyBorder="1" applyAlignment="1">
      <alignment vertical="center" wrapText="1"/>
    </xf>
    <xf numFmtId="178" fontId="54" fillId="34" borderId="123" xfId="175" applyNumberFormat="1" applyFont="1" applyFill="1" applyBorder="1" applyAlignment="1">
      <alignment vertical="center" wrapText="1"/>
    </xf>
    <xf numFmtId="178" fontId="54" fillId="34" borderId="38" xfId="175" applyNumberFormat="1" applyFont="1" applyFill="1" applyBorder="1" applyAlignment="1">
      <alignment vertical="center" wrapText="1"/>
    </xf>
    <xf numFmtId="178" fontId="54" fillId="34" borderId="90" xfId="175" applyNumberFormat="1" applyFont="1" applyFill="1" applyBorder="1" applyAlignment="1">
      <alignment vertical="center" wrapText="1"/>
    </xf>
    <xf numFmtId="174" fontId="40" fillId="34" borderId="46" xfId="19" applyNumberFormat="1" applyFont="1" applyFill="1" applyBorder="1" applyAlignment="1">
      <alignment vertical="center" wrapText="1"/>
    </xf>
    <xf numFmtId="174" fontId="54" fillId="34" borderId="124" xfId="19" applyNumberFormat="1" applyFont="1" applyFill="1" applyBorder="1" applyAlignment="1">
      <alignment vertical="center" wrapText="1"/>
    </xf>
    <xf numFmtId="174" fontId="54" fillId="34" borderId="119" xfId="19" applyNumberFormat="1" applyFont="1" applyFill="1" applyBorder="1" applyAlignment="1">
      <alignment vertical="center" wrapText="1"/>
    </xf>
    <xf numFmtId="174" fontId="54" fillId="34" borderId="91" xfId="19" applyNumberFormat="1" applyFont="1" applyFill="1" applyBorder="1" applyAlignment="1">
      <alignment vertical="center" wrapText="1"/>
    </xf>
    <xf numFmtId="174" fontId="40" fillId="34" borderId="25" xfId="19" applyNumberFormat="1" applyFont="1" applyFill="1" applyBorder="1" applyAlignment="1">
      <alignment vertical="center" wrapText="1"/>
    </xf>
    <xf numFmtId="172" fontId="40" fillId="34" borderId="70" xfId="175" applyFont="1" applyFill="1" applyBorder="1" applyAlignment="1">
      <alignment vertical="center" wrapText="1"/>
    </xf>
    <xf numFmtId="174" fontId="93" fillId="34" borderId="14" xfId="29" applyNumberFormat="1" applyFont="1" applyFill="1" applyBorder="1" applyAlignment="1">
      <alignment horizontal="center" vertical="center" wrapText="1"/>
    </xf>
    <xf numFmtId="173" fontId="94" fillId="0" borderId="12" xfId="19" applyNumberFormat="1" applyFont="1" applyFill="1" applyBorder="1" applyAlignment="1">
      <alignment vertical="center" wrapText="1"/>
    </xf>
    <xf numFmtId="174" fontId="94" fillId="0" borderId="12" xfId="19" applyNumberFormat="1" applyFont="1" applyFill="1" applyBorder="1" applyAlignment="1">
      <alignment vertical="center" wrapText="1"/>
    </xf>
    <xf numFmtId="189" fontId="94" fillId="0" borderId="12" xfId="105" applyNumberFormat="1" applyFont="1" applyFill="1" applyBorder="1" applyAlignment="1">
      <alignment vertical="center" wrapText="1"/>
    </xf>
    <xf numFmtId="174" fontId="94" fillId="0" borderId="12" xfId="19" applyNumberFormat="1" applyFont="1" applyBorder="1" applyAlignment="1">
      <alignment vertical="center" wrapText="1"/>
    </xf>
    <xf numFmtId="173" fontId="94" fillId="0" borderId="12" xfId="19" applyNumberFormat="1" applyFont="1" applyBorder="1" applyAlignment="1">
      <alignment vertical="center" wrapText="1"/>
    </xf>
    <xf numFmtId="174" fontId="109" fillId="0" borderId="12" xfId="19" applyNumberFormat="1" applyFont="1" applyBorder="1" applyAlignment="1">
      <alignment vertical="center" wrapText="1"/>
    </xf>
    <xf numFmtId="0" fontId="35" fillId="0" borderId="144" xfId="63" applyFont="1" applyBorder="1" applyAlignment="1">
      <alignment horizontal="center" vertical="center"/>
    </xf>
    <xf numFmtId="0" fontId="72" fillId="34" borderId="30" xfId="29" applyFont="1" applyFill="1" applyBorder="1" applyAlignment="1">
      <alignment vertical="center"/>
    </xf>
    <xf numFmtId="0" fontId="70" fillId="34" borderId="31" xfId="63" applyFont="1" applyFill="1" applyBorder="1" applyAlignment="1">
      <alignment vertical="center" wrapText="1"/>
    </xf>
    <xf numFmtId="0" fontId="57" fillId="34" borderId="17" xfId="63" applyFont="1" applyFill="1" applyBorder="1" applyAlignment="1">
      <alignment horizontal="center" vertical="center"/>
    </xf>
    <xf numFmtId="0" fontId="57" fillId="34" borderId="32" xfId="63" applyFont="1" applyFill="1" applyBorder="1" applyAlignment="1">
      <alignment horizontal="center" vertical="center"/>
    </xf>
    <xf numFmtId="0" fontId="57" fillId="34" borderId="0" xfId="63" applyFont="1" applyFill="1" applyAlignment="1">
      <alignment vertical="center"/>
    </xf>
    <xf numFmtId="174" fontId="57" fillId="34" borderId="0" xfId="63" applyNumberFormat="1" applyFont="1" applyFill="1" applyAlignment="1">
      <alignment vertical="center"/>
    </xf>
    <xf numFmtId="0" fontId="70" fillId="27" borderId="31" xfId="63" applyFont="1" applyFill="1" applyBorder="1" applyAlignment="1">
      <alignment horizontal="center" vertical="center"/>
    </xf>
    <xf numFmtId="0" fontId="70" fillId="27" borderId="32" xfId="63" applyFont="1" applyFill="1" applyBorder="1" applyAlignment="1">
      <alignment horizontal="center" vertical="center"/>
    </xf>
    <xf numFmtId="10" fontId="40" fillId="27" borderId="10" xfId="64" applyNumberFormat="1" applyFont="1" applyFill="1" applyBorder="1" applyAlignment="1">
      <alignment vertical="center"/>
    </xf>
    <xf numFmtId="10" fontId="40" fillId="27" borderId="17" xfId="64" applyNumberFormat="1" applyFont="1" applyFill="1" applyBorder="1" applyAlignment="1">
      <alignment vertical="center"/>
    </xf>
    <xf numFmtId="10" fontId="40" fillId="27" borderId="123" xfId="64" applyNumberFormat="1" applyFont="1" applyFill="1" applyBorder="1" applyAlignment="1">
      <alignment vertical="center"/>
    </xf>
    <xf numFmtId="0" fontId="70" fillId="34" borderId="35" xfId="63" applyFont="1" applyFill="1" applyBorder="1" applyAlignment="1">
      <alignment vertical="center"/>
    </xf>
    <xf numFmtId="0" fontId="57" fillId="34" borderId="36" xfId="63" applyFont="1" applyFill="1" applyBorder="1" applyAlignment="1">
      <alignment horizontal="center" vertical="center"/>
    </xf>
    <xf numFmtId="0" fontId="70" fillId="27" borderId="0" xfId="63" applyFont="1" applyFill="1" applyAlignment="1">
      <alignment vertical="center"/>
    </xf>
    <xf numFmtId="174" fontId="57" fillId="27" borderId="0" xfId="63" applyNumberFormat="1" applyFont="1" applyFill="1" applyAlignment="1">
      <alignment vertical="center"/>
    </xf>
    <xf numFmtId="10" fontId="40" fillId="27" borderId="33" xfId="64" applyNumberFormat="1" applyFont="1" applyFill="1" applyBorder="1" applyAlignment="1">
      <alignment vertical="center"/>
    </xf>
    <xf numFmtId="0" fontId="70" fillId="34" borderId="30" xfId="29" applyFont="1" applyFill="1" applyBorder="1" applyAlignment="1">
      <alignment vertical="center"/>
    </xf>
    <xf numFmtId="172" fontId="35" fillId="38" borderId="13" xfId="175" applyFont="1" applyFill="1" applyBorder="1" applyAlignment="1">
      <alignment vertical="center"/>
    </xf>
    <xf numFmtId="181" fontId="35" fillId="38" borderId="12" xfId="22" applyNumberFormat="1" applyFont="1" applyFill="1" applyBorder="1" applyAlignment="1">
      <alignment vertical="center"/>
    </xf>
    <xf numFmtId="174" fontId="11" fillId="45" borderId="12" xfId="19" applyNumberFormat="1" applyFill="1" applyBorder="1" applyAlignment="1">
      <alignment vertical="center"/>
    </xf>
    <xf numFmtId="10" fontId="11" fillId="0" borderId="0" xfId="19" applyNumberFormat="1" applyFont="1" applyAlignment="1">
      <alignment vertical="center"/>
    </xf>
    <xf numFmtId="10" fontId="11" fillId="0" borderId="0" xfId="31" applyNumberFormat="1" applyFont="1" applyAlignment="1">
      <alignment vertical="center"/>
    </xf>
    <xf numFmtId="174" fontId="11" fillId="0" borderId="0" xfId="19" applyNumberFormat="1" applyFont="1" applyFill="1" applyBorder="1" applyAlignment="1">
      <alignment vertical="center"/>
    </xf>
    <xf numFmtId="165" fontId="0" fillId="0" borderId="0" xfId="0" applyNumberFormat="1" applyAlignment="1">
      <alignment horizontal="center" vertical="center" wrapText="1"/>
    </xf>
    <xf numFmtId="177" fontId="40" fillId="27" borderId="10" xfId="31" applyNumberFormat="1" applyFont="1" applyFill="1" applyBorder="1" applyAlignment="1">
      <alignment vertical="center"/>
    </xf>
    <xf numFmtId="0" fontId="0" fillId="25" borderId="64" xfId="0" applyFill="1" applyBorder="1" applyAlignment="1">
      <alignment horizontal="center" vertical="center" wrapText="1"/>
    </xf>
    <xf numFmtId="41" fontId="0" fillId="25" borderId="64" xfId="0" applyNumberFormat="1" applyFill="1" applyBorder="1" applyAlignment="1">
      <alignment horizontal="center" vertical="center"/>
    </xf>
    <xf numFmtId="165" fontId="0" fillId="25" borderId="64" xfId="0" applyNumberFormat="1" applyFill="1" applyBorder="1" applyAlignment="1">
      <alignment horizontal="center" vertical="center" wrapText="1"/>
    </xf>
    <xf numFmtId="185" fontId="0" fillId="25" borderId="64" xfId="175" applyNumberFormat="1" applyFont="1" applyFill="1" applyBorder="1" applyAlignment="1">
      <alignment horizontal="center" vertical="center"/>
    </xf>
    <xf numFmtId="174" fontId="83" fillId="0" borderId="0" xfId="19" applyNumberFormat="1" applyFont="1" applyAlignment="1">
      <alignment horizontal="center" vertical="center"/>
    </xf>
    <xf numFmtId="41" fontId="34" fillId="39" borderId="12" xfId="0" applyNumberFormat="1" applyFont="1" applyFill="1" applyBorder="1" applyAlignment="1">
      <alignment horizontal="center" vertical="center"/>
    </xf>
    <xf numFmtId="185" fontId="34" fillId="39" borderId="12" xfId="175" applyNumberFormat="1" applyFont="1" applyFill="1" applyBorder="1" applyAlignment="1">
      <alignment horizontal="center" vertical="center"/>
    </xf>
    <xf numFmtId="174" fontId="35" fillId="0" borderId="79" xfId="19" applyNumberFormat="1" applyFont="1" applyBorder="1" applyAlignment="1">
      <alignment vertical="center"/>
    </xf>
    <xf numFmtId="167" fontId="0" fillId="0" borderId="0" xfId="19" applyFont="1" applyAlignment="1">
      <alignment vertical="center"/>
    </xf>
    <xf numFmtId="167" fontId="0" fillId="0" borderId="79" xfId="19" applyFont="1" applyBorder="1" applyAlignment="1">
      <alignment vertical="center"/>
    </xf>
    <xf numFmtId="167" fontId="34" fillId="52" borderId="79" xfId="19" applyFont="1" applyFill="1" applyBorder="1" applyAlignment="1">
      <alignment horizontal="center" vertical="center"/>
    </xf>
    <xf numFmtId="177" fontId="40" fillId="34" borderId="10" xfId="31" applyNumberFormat="1" applyFont="1" applyFill="1" applyBorder="1" applyAlignment="1">
      <alignment vertical="center"/>
    </xf>
    <xf numFmtId="0" fontId="71" fillId="0" borderId="0" xfId="63" applyFont="1" applyAlignment="1">
      <alignment vertical="center"/>
    </xf>
    <xf numFmtId="9" fontId="71" fillId="0" borderId="0" xfId="31" applyFont="1" applyFill="1" applyAlignment="1">
      <alignment vertical="center"/>
    </xf>
    <xf numFmtId="178" fontId="35" fillId="0" borderId="0" xfId="63" applyNumberFormat="1" applyFont="1" applyAlignment="1">
      <alignment vertical="center"/>
    </xf>
    <xf numFmtId="177" fontId="57" fillId="0" borderId="0" xfId="31" applyNumberFormat="1" applyFont="1" applyFill="1" applyAlignment="1">
      <alignment vertical="center"/>
    </xf>
    <xf numFmtId="0" fontId="71" fillId="0" borderId="0" xfId="63" quotePrefix="1" applyFont="1" applyAlignment="1">
      <alignment vertical="center"/>
    </xf>
    <xf numFmtId="167" fontId="86" fillId="0" borderId="0" xfId="19" applyFont="1" applyAlignment="1">
      <alignment vertical="center"/>
    </xf>
    <xf numFmtId="167" fontId="84" fillId="0" borderId="0" xfId="19" applyFont="1" applyAlignment="1">
      <alignment horizontal="center" vertical="center"/>
    </xf>
    <xf numFmtId="167" fontId="35" fillId="0" borderId="0" xfId="19" applyFont="1" applyFill="1" applyBorder="1" applyAlignment="1">
      <alignment vertical="center"/>
    </xf>
    <xf numFmtId="167" fontId="40" fillId="0" borderId="0" xfId="19" applyFont="1" applyFill="1" applyBorder="1" applyAlignment="1">
      <alignment vertical="center"/>
    </xf>
    <xf numFmtId="9" fontId="0" fillId="0" borderId="0" xfId="31" applyFont="1" applyAlignment="1">
      <alignment vertical="center"/>
    </xf>
    <xf numFmtId="166" fontId="0" fillId="0" borderId="0" xfId="0" applyNumberFormat="1" applyAlignment="1">
      <alignment horizontal="center" vertical="center"/>
    </xf>
    <xf numFmtId="191" fontId="40" fillId="0" borderId="42" xfId="62" applyNumberFormat="1" applyFont="1" applyBorder="1" applyAlignment="1">
      <alignment vertical="center"/>
    </xf>
    <xf numFmtId="191" fontId="40" fillId="0" borderId="44" xfId="62" applyNumberFormat="1" applyFont="1" applyBorder="1" applyAlignment="1">
      <alignment vertical="center"/>
    </xf>
    <xf numFmtId="185" fontId="40" fillId="0" borderId="42" xfId="175" applyNumberFormat="1" applyFont="1" applyBorder="1" applyAlignment="1">
      <alignment vertical="center"/>
    </xf>
    <xf numFmtId="185" fontId="40" fillId="0" borderId="44" xfId="175" applyNumberFormat="1" applyFont="1" applyBorder="1" applyAlignment="1">
      <alignment vertical="center"/>
    </xf>
    <xf numFmtId="0" fontId="92" fillId="0" borderId="26" xfId="19" applyNumberFormat="1" applyFont="1" applyFill="1" applyBorder="1" applyAlignment="1">
      <alignment horizontal="center" vertical="center" wrapText="1"/>
    </xf>
    <xf numFmtId="187" fontId="92" fillId="0" borderId="26" xfId="19" applyNumberFormat="1" applyFont="1" applyFill="1" applyBorder="1" applyAlignment="1">
      <alignment horizontal="left" vertical="center" wrapText="1"/>
    </xf>
    <xf numFmtId="174" fontId="90" fillId="0" borderId="26" xfId="19" applyNumberFormat="1" applyFont="1" applyFill="1" applyBorder="1" applyAlignment="1">
      <alignment horizontal="center" vertical="center" wrapText="1"/>
    </xf>
    <xf numFmtId="187" fontId="98" fillId="0" borderId="26" xfId="19" applyNumberFormat="1" applyFont="1" applyFill="1" applyBorder="1" applyAlignment="1">
      <alignment horizontal="left" vertical="center" wrapText="1"/>
    </xf>
    <xf numFmtId="0" fontId="89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174" fontId="90" fillId="0" borderId="79" xfId="19" applyNumberFormat="1" applyFont="1" applyFill="1" applyBorder="1" applyAlignment="1">
      <alignment horizontal="center" vertical="center" wrapText="1"/>
    </xf>
    <xf numFmtId="187" fontId="92" fillId="0" borderId="26" xfId="19" applyNumberFormat="1" applyFont="1" applyFill="1" applyBorder="1" applyAlignment="1">
      <alignment vertical="center" wrapText="1"/>
    </xf>
    <xf numFmtId="187" fontId="92" fillId="0" borderId="79" xfId="19" applyNumberFormat="1" applyFont="1" applyFill="1" applyBorder="1" applyAlignment="1">
      <alignment vertical="center" wrapText="1"/>
    </xf>
    <xf numFmtId="0" fontId="11" fillId="28" borderId="12" xfId="0" applyFont="1" applyFill="1" applyBorder="1" applyAlignment="1">
      <alignment horizontal="left" vertical="center" wrapText="1"/>
    </xf>
    <xf numFmtId="167" fontId="0" fillId="0" borderId="0" xfId="0" applyNumberFormat="1" applyAlignment="1">
      <alignment vertical="center"/>
    </xf>
    <xf numFmtId="177" fontId="34" fillId="52" borderId="106" xfId="31" applyNumberFormat="1" applyFont="1" applyFill="1" applyBorder="1" applyAlignment="1">
      <alignment horizontal="right" vertical="center"/>
    </xf>
    <xf numFmtId="177" fontId="34" fillId="52" borderId="139" xfId="31" applyNumberFormat="1" applyFont="1" applyFill="1" applyBorder="1" applyAlignment="1">
      <alignment horizontal="right" vertical="center"/>
    </xf>
    <xf numFmtId="192" fontId="11" fillId="25" borderId="0" xfId="0" applyNumberFormat="1" applyFont="1" applyFill="1" applyAlignment="1">
      <alignment horizontal="left" vertical="center"/>
    </xf>
    <xf numFmtId="177" fontId="40" fillId="27" borderId="10" xfId="64" applyNumberFormat="1" applyFont="1" applyFill="1" applyBorder="1" applyAlignment="1">
      <alignment vertical="center"/>
    </xf>
    <xf numFmtId="177" fontId="40" fillId="27" borderId="17" xfId="64" applyNumberFormat="1" applyFont="1" applyFill="1" applyBorder="1" applyAlignment="1">
      <alignment vertical="center"/>
    </xf>
    <xf numFmtId="177" fontId="40" fillId="27" borderId="123" xfId="64" applyNumberFormat="1" applyFont="1" applyFill="1" applyBorder="1" applyAlignment="1">
      <alignment vertical="center"/>
    </xf>
    <xf numFmtId="177" fontId="40" fillId="0" borderId="17" xfId="64" applyNumberFormat="1" applyFont="1" applyBorder="1" applyAlignment="1">
      <alignment vertical="center"/>
    </xf>
    <xf numFmtId="177" fontId="40" fillId="0" borderId="123" xfId="64" applyNumberFormat="1" applyFont="1" applyBorder="1" applyAlignment="1">
      <alignment vertical="center"/>
    </xf>
    <xf numFmtId="177" fontId="40" fillId="27" borderId="17" xfId="31" applyNumberFormat="1" applyFont="1" applyFill="1" applyBorder="1" applyAlignment="1">
      <alignment vertical="center"/>
    </xf>
    <xf numFmtId="177" fontId="40" fillId="27" borderId="123" xfId="31" applyNumberFormat="1" applyFont="1" applyFill="1" applyBorder="1" applyAlignment="1">
      <alignment vertical="center"/>
    </xf>
    <xf numFmtId="177" fontId="35" fillId="34" borderId="11" xfId="60" applyNumberFormat="1" applyFont="1" applyFill="1" applyBorder="1" applyAlignment="1">
      <alignment vertical="center"/>
    </xf>
    <xf numFmtId="177" fontId="35" fillId="34" borderId="10" xfId="31" applyNumberFormat="1" applyFont="1" applyFill="1" applyBorder="1" applyAlignment="1">
      <alignment vertical="center"/>
    </xf>
    <xf numFmtId="177" fontId="40" fillId="34" borderId="17" xfId="31" applyNumberFormat="1" applyFont="1" applyFill="1" applyBorder="1" applyAlignment="1">
      <alignment vertical="center"/>
    </xf>
    <xf numFmtId="177" fontId="40" fillId="34" borderId="123" xfId="31" applyNumberFormat="1" applyFont="1" applyFill="1" applyBorder="1" applyAlignment="1">
      <alignment vertical="center"/>
    </xf>
    <xf numFmtId="177" fontId="0" fillId="0" borderId="0" xfId="31" applyNumberFormat="1" applyFont="1" applyAlignment="1">
      <alignment horizontal="right" vertical="center"/>
    </xf>
    <xf numFmtId="177" fontId="34" fillId="52" borderId="134" xfId="31" applyNumberFormat="1" applyFont="1" applyFill="1" applyBorder="1" applyAlignment="1">
      <alignment horizontal="center" vertical="center"/>
    </xf>
    <xf numFmtId="177" fontId="34" fillId="52" borderId="74" xfId="31" applyNumberFormat="1" applyFont="1" applyFill="1" applyBorder="1" applyAlignment="1">
      <alignment horizontal="right" vertical="center" wrapText="1"/>
    </xf>
    <xf numFmtId="177" fontId="34" fillId="52" borderId="79" xfId="31" applyNumberFormat="1" applyFont="1" applyFill="1" applyBorder="1" applyAlignment="1">
      <alignment horizontal="right" vertical="center"/>
    </xf>
    <xf numFmtId="177" fontId="34" fillId="52" borderId="105" xfId="31" applyNumberFormat="1" applyFont="1" applyFill="1" applyBorder="1" applyAlignment="1">
      <alignment horizontal="right" vertical="center"/>
    </xf>
    <xf numFmtId="177" fontId="34" fillId="52" borderId="135" xfId="31" applyNumberFormat="1" applyFont="1" applyFill="1" applyBorder="1" applyAlignment="1">
      <alignment horizontal="center" vertical="center"/>
    </xf>
    <xf numFmtId="177" fontId="34" fillId="52" borderId="136" xfId="31" applyNumberFormat="1" applyFont="1" applyFill="1" applyBorder="1" applyAlignment="1">
      <alignment horizontal="right" vertical="center" wrapText="1"/>
    </xf>
    <xf numFmtId="177" fontId="34" fillId="52" borderId="137" xfId="31" applyNumberFormat="1" applyFont="1" applyFill="1" applyBorder="1" applyAlignment="1">
      <alignment horizontal="right" vertical="center"/>
    </xf>
    <xf numFmtId="177" fontId="34" fillId="52" borderId="138" xfId="31" applyNumberFormat="1" applyFont="1" applyFill="1" applyBorder="1" applyAlignment="1">
      <alignment horizontal="right" vertical="center"/>
    </xf>
    <xf numFmtId="177" fontId="11" fillId="0" borderId="0" xfId="31" applyNumberFormat="1" applyFont="1" applyAlignment="1">
      <alignment horizontal="right" vertical="center"/>
    </xf>
    <xf numFmtId="177" fontId="11" fillId="28" borderId="133" xfId="31" applyNumberFormat="1" applyFont="1" applyFill="1" applyBorder="1" applyAlignment="1">
      <alignment horizontal="right" vertical="center"/>
    </xf>
    <xf numFmtId="177" fontId="0" fillId="0" borderId="106" xfId="31" applyNumberFormat="1" applyFont="1" applyBorder="1" applyAlignment="1">
      <alignment horizontal="right" vertical="center"/>
    </xf>
    <xf numFmtId="177" fontId="34" fillId="28" borderId="141" xfId="31" applyNumberFormat="1" applyFont="1" applyFill="1" applyBorder="1" applyAlignment="1">
      <alignment horizontal="right" vertical="center"/>
    </xf>
    <xf numFmtId="177" fontId="11" fillId="25" borderId="64" xfId="31" applyNumberFormat="1" applyFont="1" applyFill="1" applyBorder="1" applyAlignment="1">
      <alignment horizontal="right" vertical="center"/>
    </xf>
    <xf numFmtId="177" fontId="108" fillId="0" borderId="0" xfId="31" applyNumberFormat="1" applyFont="1" applyAlignment="1">
      <alignment horizontal="right" vertical="center"/>
    </xf>
    <xf numFmtId="177" fontId="94" fillId="0" borderId="12" xfId="31" applyNumberFormat="1" applyFont="1" applyFill="1" applyBorder="1" applyAlignment="1">
      <alignment vertical="center" wrapText="1"/>
    </xf>
    <xf numFmtId="0" fontId="0" fillId="0" borderId="26" xfId="0" applyBorder="1" applyAlignment="1">
      <alignment horizontal="center"/>
    </xf>
    <xf numFmtId="0" fontId="0" fillId="0" borderId="79" xfId="0" applyBorder="1" applyAlignment="1">
      <alignment horizontal="center"/>
    </xf>
    <xf numFmtId="0" fontId="34" fillId="37" borderId="77" xfId="0" applyFont="1" applyFill="1" applyBorder="1" applyAlignment="1">
      <alignment horizontal="center"/>
    </xf>
    <xf numFmtId="0" fontId="0" fillId="0" borderId="49" xfId="0" applyBorder="1" applyAlignment="1">
      <alignment vertical="center"/>
    </xf>
    <xf numFmtId="0" fontId="0" fillId="0" borderId="79" xfId="0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4" fillId="37" borderId="13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4" fontId="34" fillId="37" borderId="13" xfId="19" applyNumberFormat="1" applyFont="1" applyFill="1" applyBorder="1" applyAlignment="1">
      <alignment horizontal="center" vertical="center"/>
    </xf>
    <xf numFmtId="17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7" borderId="0" xfId="0" applyNumberFormat="1" applyFill="1" applyAlignment="1">
      <alignment horizontal="center"/>
    </xf>
    <xf numFmtId="174" fontId="0" fillId="0" borderId="26" xfId="19" applyNumberFormat="1" applyFont="1" applyBorder="1" applyAlignment="1">
      <alignment horizontal="center"/>
    </xf>
    <xf numFmtId="174" fontId="0" fillId="0" borderId="79" xfId="19" applyNumberFormat="1" applyFont="1" applyBorder="1" applyAlignment="1">
      <alignment horizontal="center"/>
    </xf>
    <xf numFmtId="174" fontId="34" fillId="37" borderId="77" xfId="19" applyNumberFormat="1" applyFont="1" applyFill="1" applyBorder="1" applyAlignment="1">
      <alignment horizontal="center"/>
    </xf>
    <xf numFmtId="174" fontId="0" fillId="0" borderId="0" xfId="19" applyNumberFormat="1" applyFont="1" applyAlignment="1">
      <alignment horizontal="center"/>
    </xf>
    <xf numFmtId="178" fontId="70" fillId="0" borderId="0" xfId="63" applyNumberFormat="1" applyFont="1" applyAlignment="1">
      <alignment vertical="center"/>
    </xf>
    <xf numFmtId="0" fontId="34" fillId="0" borderId="0" xfId="29" applyFont="1" applyAlignment="1">
      <alignment vertical="center"/>
    </xf>
    <xf numFmtId="165" fontId="52" fillId="39" borderId="104" xfId="0" applyNumberFormat="1" applyFont="1" applyFill="1" applyBorder="1" applyAlignment="1">
      <alignment horizontal="center" vertical="center" wrapText="1"/>
    </xf>
    <xf numFmtId="165" fontId="52" fillId="39" borderId="48" xfId="0" applyNumberFormat="1" applyFont="1" applyFill="1" applyBorder="1" applyAlignment="1">
      <alignment horizontal="center" vertical="center" wrapText="1"/>
    </xf>
    <xf numFmtId="174" fontId="52" fillId="39" borderId="48" xfId="19" applyNumberFormat="1" applyFont="1" applyFill="1" applyBorder="1" applyAlignment="1">
      <alignment horizontal="center" vertical="center" wrapText="1"/>
    </xf>
    <xf numFmtId="165" fontId="52" fillId="39" borderId="56" xfId="0" applyNumberFormat="1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vertical="center"/>
    </xf>
    <xf numFmtId="14" fontId="35" fillId="0" borderId="26" xfId="0" applyNumberFormat="1" applyFont="1" applyBorder="1" applyAlignment="1">
      <alignment horizontal="left" vertical="center" shrinkToFit="1"/>
    </xf>
    <xf numFmtId="0" fontId="57" fillId="0" borderId="79" xfId="0" applyFont="1" applyBorder="1" applyAlignment="1">
      <alignment horizontal="center" vertical="center"/>
    </xf>
    <xf numFmtId="14" fontId="35" fillId="0" borderId="79" xfId="0" applyNumberFormat="1" applyFont="1" applyBorder="1" applyAlignment="1">
      <alignment horizontal="left" vertical="center" shrinkToFit="1"/>
    </xf>
    <xf numFmtId="167" fontId="57" fillId="0" borderId="0" xfId="19" applyFont="1" applyAlignment="1">
      <alignment vertical="center"/>
    </xf>
    <xf numFmtId="167" fontId="70" fillId="0" borderId="0" xfId="19" applyFont="1" applyAlignment="1">
      <alignment horizontal="center" vertical="center"/>
    </xf>
    <xf numFmtId="167" fontId="70" fillId="0" borderId="0" xfId="19" applyFont="1" applyAlignment="1">
      <alignment vertical="center"/>
    </xf>
    <xf numFmtId="167" fontId="57" fillId="0" borderId="0" xfId="19" applyFont="1" applyFill="1" applyAlignment="1">
      <alignment vertical="center"/>
    </xf>
    <xf numFmtId="9" fontId="34" fillId="52" borderId="79" xfId="31" applyFont="1" applyFill="1" applyBorder="1" applyAlignment="1">
      <alignment horizontal="right" vertical="center"/>
    </xf>
    <xf numFmtId="9" fontId="34" fillId="52" borderId="137" xfId="31" applyFont="1" applyFill="1" applyBorder="1" applyAlignment="1">
      <alignment horizontal="right" vertical="center"/>
    </xf>
    <xf numFmtId="0" fontId="36" fillId="0" borderId="0" xfId="0" applyFont="1" applyAlignment="1">
      <alignment horizontal="left" vertical="center"/>
    </xf>
    <xf numFmtId="174" fontId="35" fillId="38" borderId="12" xfId="19" applyNumberFormat="1" applyFont="1" applyFill="1" applyBorder="1" applyAlignment="1">
      <alignment vertical="center"/>
    </xf>
    <xf numFmtId="174" fontId="93" fillId="38" borderId="10" xfId="19" applyNumberFormat="1" applyFont="1" applyFill="1" applyBorder="1" applyAlignment="1">
      <alignment vertical="center"/>
    </xf>
    <xf numFmtId="174" fontId="48" fillId="0" borderId="0" xfId="19" applyNumberFormat="1" applyFont="1" applyAlignment="1">
      <alignment vertical="center"/>
    </xf>
    <xf numFmtId="174" fontId="49" fillId="0" borderId="0" xfId="19" applyNumberFormat="1" applyFont="1" applyAlignment="1">
      <alignment vertical="center"/>
    </xf>
    <xf numFmtId="174" fontId="50" fillId="0" borderId="0" xfId="19" applyNumberFormat="1" applyFont="1" applyAlignment="1">
      <alignment vertical="center"/>
    </xf>
    <xf numFmtId="174" fontId="52" fillId="41" borderId="12" xfId="19" applyNumberFormat="1" applyFont="1" applyFill="1" applyBorder="1" applyAlignment="1">
      <alignment horizontal="center" vertical="center" wrapText="1"/>
    </xf>
    <xf numFmtId="174" fontId="11" fillId="0" borderId="0" xfId="19" applyNumberFormat="1" applyAlignment="1">
      <alignment vertical="center"/>
    </xf>
    <xf numFmtId="185" fontId="0" fillId="0" borderId="12" xfId="175" applyNumberFormat="1" applyFont="1" applyBorder="1" applyAlignment="1">
      <alignment horizontal="center" vertical="center"/>
    </xf>
    <xf numFmtId="185" fontId="0" fillId="28" borderId="12" xfId="175" applyNumberFormat="1" applyFont="1" applyFill="1" applyBorder="1" applyAlignment="1">
      <alignment horizontal="center" vertical="center" wrapText="1"/>
    </xf>
    <xf numFmtId="178" fontId="35" fillId="25" borderId="25" xfId="65" applyNumberFormat="1" applyFont="1" applyFill="1" applyBorder="1" applyAlignment="1">
      <alignment vertical="center"/>
    </xf>
    <xf numFmtId="178" fontId="35" fillId="25" borderId="12" xfId="65" applyNumberFormat="1" applyFont="1" applyFill="1" applyBorder="1" applyAlignment="1">
      <alignment vertical="center"/>
    </xf>
    <xf numFmtId="174" fontId="11" fillId="0" borderId="0" xfId="19" applyNumberFormat="1" applyFont="1" applyAlignment="1">
      <alignment horizontal="center" vertical="center"/>
    </xf>
    <xf numFmtId="174" fontId="0" fillId="0" borderId="0" xfId="19" applyNumberFormat="1" applyFont="1" applyAlignment="1">
      <alignment horizontal="right" vertical="center"/>
    </xf>
    <xf numFmtId="174" fontId="0" fillId="0" borderId="0" xfId="19" applyNumberFormat="1" applyFont="1" applyAlignment="1">
      <alignment horizontal="center" vertical="center"/>
    </xf>
    <xf numFmtId="178" fontId="35" fillId="25" borderId="20" xfId="65" applyNumberFormat="1" applyFont="1" applyFill="1" applyBorder="1" applyAlignment="1">
      <alignment vertical="center"/>
    </xf>
    <xf numFmtId="174" fontId="35" fillId="25" borderId="20" xfId="19" applyNumberFormat="1" applyFont="1" applyFill="1" applyBorder="1" applyAlignment="1">
      <alignment vertical="center"/>
    </xf>
    <xf numFmtId="165" fontId="53" fillId="0" borderId="0" xfId="29" applyNumberFormat="1" applyFont="1" applyAlignment="1">
      <alignment horizontal="left" vertical="center" wrapText="1"/>
    </xf>
    <xf numFmtId="0" fontId="112" fillId="32" borderId="79" xfId="29" applyFont="1" applyFill="1" applyBorder="1" applyAlignment="1">
      <alignment horizontal="center" vertical="center"/>
    </xf>
    <xf numFmtId="0" fontId="110" fillId="32" borderId="79" xfId="19" applyNumberFormat="1" applyFont="1" applyFill="1" applyBorder="1" applyAlignment="1">
      <alignment horizontal="center" vertical="center" wrapText="1"/>
    </xf>
    <xf numFmtId="187" fontId="110" fillId="32" borderId="79" xfId="19" applyNumberFormat="1" applyFont="1" applyFill="1" applyBorder="1" applyAlignment="1">
      <alignment horizontal="left" vertical="center" wrapText="1"/>
    </xf>
    <xf numFmtId="14" fontId="110" fillId="32" borderId="79" xfId="0" applyNumberFormat="1" applyFont="1" applyFill="1" applyBorder="1" applyAlignment="1">
      <alignment horizontal="center" vertical="center" shrinkToFit="1"/>
    </xf>
    <xf numFmtId="0" fontId="110" fillId="32" borderId="79" xfId="0" applyFont="1" applyFill="1" applyBorder="1" applyAlignment="1">
      <alignment horizontal="center" vertical="center" shrinkToFit="1"/>
    </xf>
    <xf numFmtId="174" fontId="91" fillId="32" borderId="79" xfId="0" applyNumberFormat="1" applyFont="1" applyFill="1" applyBorder="1" applyAlignment="1">
      <alignment horizontal="right" vertical="center" shrinkToFit="1"/>
    </xf>
    <xf numFmtId="174" fontId="91" fillId="32" borderId="79" xfId="19" applyNumberFormat="1" applyFont="1" applyFill="1" applyBorder="1" applyAlignment="1">
      <alignment horizontal="right" vertical="center"/>
    </xf>
    <xf numFmtId="167" fontId="91" fillId="32" borderId="79" xfId="19" applyFont="1" applyFill="1" applyBorder="1" applyAlignment="1">
      <alignment horizontal="right" vertical="center" shrinkToFit="1"/>
    </xf>
    <xf numFmtId="167" fontId="91" fillId="32" borderId="79" xfId="19" applyFont="1" applyFill="1" applyBorder="1" applyAlignment="1">
      <alignment horizontal="center" vertical="center" shrinkToFit="1"/>
    </xf>
    <xf numFmtId="173" fontId="91" fillId="32" borderId="79" xfId="0" applyNumberFormat="1" applyFont="1" applyFill="1" applyBorder="1" applyAlignment="1">
      <alignment horizontal="right" vertical="center" shrinkToFit="1"/>
    </xf>
    <xf numFmtId="165" fontId="91" fillId="32" borderId="79" xfId="29" applyNumberFormat="1" applyFont="1" applyFill="1" applyBorder="1" applyAlignment="1">
      <alignment horizontal="right" vertical="center"/>
    </xf>
    <xf numFmtId="174" fontId="91" fillId="32" borderId="79" xfId="19" applyNumberFormat="1" applyFont="1" applyFill="1" applyBorder="1" applyAlignment="1">
      <alignment horizontal="center" vertical="center" wrapText="1"/>
    </xf>
    <xf numFmtId="165" fontId="91" fillId="32" borderId="79" xfId="0" applyNumberFormat="1" applyFont="1" applyFill="1" applyBorder="1" applyAlignment="1">
      <alignment horizontal="right" vertical="center"/>
    </xf>
    <xf numFmtId="187" fontId="98" fillId="0" borderId="79" xfId="19" applyNumberFormat="1" applyFont="1" applyFill="1" applyBorder="1" applyAlignment="1">
      <alignment horizontal="left" vertical="center" wrapText="1"/>
    </xf>
    <xf numFmtId="167" fontId="91" fillId="32" borderId="79" xfId="19" applyFont="1" applyFill="1" applyBorder="1" applyAlignment="1">
      <alignment horizontal="right" vertical="center"/>
    </xf>
    <xf numFmtId="167" fontId="35" fillId="0" borderId="0" xfId="19" applyFont="1" applyAlignment="1">
      <alignment horizontal="right" vertical="center"/>
    </xf>
    <xf numFmtId="167" fontId="52" fillId="42" borderId="0" xfId="19" applyFont="1" applyFill="1" applyBorder="1" applyAlignment="1">
      <alignment horizontal="center" vertical="center" wrapText="1"/>
    </xf>
    <xf numFmtId="167" fontId="35" fillId="0" borderId="0" xfId="19" applyFont="1" applyFill="1" applyBorder="1" applyAlignment="1">
      <alignment horizontal="center" vertical="center"/>
    </xf>
    <xf numFmtId="0" fontId="57" fillId="0" borderId="39" xfId="63" applyFont="1" applyBorder="1" applyAlignment="1">
      <alignment horizontal="center" vertical="center"/>
    </xf>
    <xf numFmtId="191" fontId="40" fillId="0" borderId="45" xfId="62" applyNumberFormat="1" applyFont="1" applyBorder="1" applyAlignment="1">
      <alignment vertical="center"/>
    </xf>
    <xf numFmtId="191" fontId="40" fillId="0" borderId="145" xfId="62" applyNumberFormat="1" applyFont="1" applyBorder="1" applyAlignment="1">
      <alignment vertical="center"/>
    </xf>
    <xf numFmtId="174" fontId="40" fillId="0" borderId="145" xfId="62" applyNumberFormat="1" applyFont="1" applyBorder="1" applyAlignment="1">
      <alignment vertical="center"/>
    </xf>
    <xf numFmtId="174" fontId="40" fillId="0" borderId="39" xfId="62" applyNumberFormat="1" applyFont="1" applyBorder="1" applyAlignment="1">
      <alignment vertical="center"/>
    </xf>
    <xf numFmtId="174" fontId="40" fillId="0" borderId="40" xfId="62" applyNumberFormat="1" applyFont="1" applyBorder="1" applyAlignment="1">
      <alignment vertical="center"/>
    </xf>
    <xf numFmtId="178" fontId="35" fillId="0" borderId="25" xfId="65" applyNumberFormat="1" applyFont="1" applyFill="1" applyBorder="1" applyAlignment="1">
      <alignment vertical="center"/>
    </xf>
    <xf numFmtId="0" fontId="70" fillId="39" borderId="32" xfId="63" applyFont="1" applyFill="1" applyBorder="1" applyAlignment="1">
      <alignment horizontal="center" vertical="center"/>
    </xf>
    <xf numFmtId="177" fontId="40" fillId="39" borderId="10" xfId="31" applyNumberFormat="1" applyFont="1" applyFill="1" applyBorder="1" applyAlignment="1">
      <alignment vertical="center"/>
    </xf>
    <xf numFmtId="0" fontId="70" fillId="27" borderId="19" xfId="29" applyFont="1" applyFill="1" applyBorder="1" applyAlignment="1">
      <alignment vertical="center"/>
    </xf>
    <xf numFmtId="0" fontId="40" fillId="27" borderId="25" xfId="29" applyFont="1" applyFill="1" applyBorder="1" applyAlignment="1">
      <alignment vertical="center"/>
    </xf>
    <xf numFmtId="0" fontId="40" fillId="27" borderId="18" xfId="29" applyFont="1" applyFill="1" applyBorder="1" applyAlignment="1">
      <alignment vertical="center"/>
    </xf>
    <xf numFmtId="0" fontId="40" fillId="27" borderId="46" xfId="29" applyFont="1" applyFill="1" applyBorder="1" applyAlignment="1">
      <alignment vertical="center"/>
    </xf>
    <xf numFmtId="0" fontId="40" fillId="27" borderId="124" xfId="29" applyFont="1" applyFill="1" applyBorder="1" applyAlignment="1">
      <alignment vertical="center"/>
    </xf>
    <xf numFmtId="0" fontId="57" fillId="39" borderId="36" xfId="63" applyFont="1" applyFill="1" applyBorder="1" applyAlignment="1">
      <alignment horizontal="center" vertical="center"/>
    </xf>
    <xf numFmtId="177" fontId="35" fillId="39" borderId="11" xfId="60" applyNumberFormat="1" applyFont="1" applyFill="1" applyBorder="1" applyAlignment="1">
      <alignment vertical="center"/>
    </xf>
    <xf numFmtId="0" fontId="57" fillId="54" borderId="32" xfId="63" applyFont="1" applyFill="1" applyBorder="1" applyAlignment="1">
      <alignment horizontal="center" vertical="center"/>
    </xf>
    <xf numFmtId="177" fontId="35" fillId="54" borderId="10" xfId="31" applyNumberFormat="1" applyFont="1" applyFill="1" applyBorder="1" applyAlignment="1">
      <alignment vertical="center"/>
    </xf>
    <xf numFmtId="174" fontId="93" fillId="0" borderId="0" xfId="62" applyNumberFormat="1" applyFont="1" applyAlignment="1">
      <alignment vertical="center"/>
    </xf>
    <xf numFmtId="0" fontId="94" fillId="0" borderId="0" xfId="63" applyFont="1" applyAlignment="1">
      <alignment vertical="center"/>
    </xf>
    <xf numFmtId="174" fontId="94" fillId="0" borderId="0" xfId="62" applyNumberFormat="1" applyFont="1" applyAlignment="1">
      <alignment vertical="center"/>
    </xf>
    <xf numFmtId="0" fontId="93" fillId="29" borderId="35" xfId="63" applyFont="1" applyFill="1" applyBorder="1" applyAlignment="1">
      <alignment horizontal="left" vertical="center"/>
    </xf>
    <xf numFmtId="0" fontId="93" fillId="27" borderId="30" xfId="29" applyFont="1" applyFill="1" applyBorder="1" applyAlignment="1">
      <alignment vertical="center"/>
    </xf>
    <xf numFmtId="0" fontId="94" fillId="0" borderId="34" xfId="63" applyFont="1" applyBorder="1" applyAlignment="1">
      <alignment horizontal="center" vertical="center"/>
    </xf>
    <xf numFmtId="0" fontId="94" fillId="0" borderId="144" xfId="63" applyFont="1" applyBorder="1" applyAlignment="1">
      <alignment horizontal="center" vertical="center"/>
    </xf>
    <xf numFmtId="0" fontId="93" fillId="0" borderId="31" xfId="63" applyFont="1" applyBorder="1" applyAlignment="1">
      <alignment horizontal="center" vertical="center"/>
    </xf>
    <xf numFmtId="0" fontId="94" fillId="0" borderId="30" xfId="63" applyFont="1" applyBorder="1" applyAlignment="1">
      <alignment horizontal="center" vertical="center"/>
    </xf>
    <xf numFmtId="0" fontId="93" fillId="27" borderId="31" xfId="63" applyFont="1" applyFill="1" applyBorder="1" applyAlignment="1">
      <alignment horizontal="center" vertical="center"/>
    </xf>
    <xf numFmtId="0" fontId="93" fillId="39" borderId="30" xfId="29" applyFont="1" applyFill="1" applyBorder="1" applyAlignment="1">
      <alignment vertical="center"/>
    </xf>
    <xf numFmtId="0" fontId="93" fillId="39" borderId="31" xfId="63" applyFont="1" applyFill="1" applyBorder="1" applyAlignment="1">
      <alignment horizontal="center" vertical="center"/>
    </xf>
    <xf numFmtId="0" fontId="93" fillId="39" borderId="35" xfId="63" applyFont="1" applyFill="1" applyBorder="1" applyAlignment="1">
      <alignment vertical="center"/>
    </xf>
    <xf numFmtId="0" fontId="93" fillId="54" borderId="30" xfId="29" applyFont="1" applyFill="1" applyBorder="1" applyAlignment="1">
      <alignment vertical="center"/>
    </xf>
    <xf numFmtId="0" fontId="94" fillId="31" borderId="31" xfId="63" applyFont="1" applyFill="1" applyBorder="1" applyAlignment="1">
      <alignment horizontal="center" vertical="center"/>
    </xf>
    <xf numFmtId="0" fontId="94" fillId="0" borderId="31" xfId="63" applyFont="1" applyBorder="1" applyAlignment="1">
      <alignment horizontal="center" vertical="center"/>
    </xf>
    <xf numFmtId="0" fontId="93" fillId="54" borderId="31" xfId="63" applyFont="1" applyFill="1" applyBorder="1" applyAlignment="1">
      <alignment horizontal="center" vertical="center"/>
    </xf>
    <xf numFmtId="0" fontId="94" fillId="31" borderId="34" xfId="63" applyFont="1" applyFill="1" applyBorder="1" applyAlignment="1">
      <alignment horizontal="center" vertical="center"/>
    </xf>
    <xf numFmtId="0" fontId="93" fillId="55" borderId="34" xfId="29" applyFont="1" applyFill="1" applyBorder="1" applyAlignment="1">
      <alignment vertical="center"/>
    </xf>
    <xf numFmtId="0" fontId="93" fillId="55" borderId="34" xfId="29" applyFont="1" applyFill="1" applyBorder="1" applyAlignment="1">
      <alignment horizontal="left" vertical="center"/>
    </xf>
    <xf numFmtId="0" fontId="93" fillId="55" borderId="30" xfId="29" applyFont="1" applyFill="1" applyBorder="1" applyAlignment="1">
      <alignment vertical="center"/>
    </xf>
    <xf numFmtId="0" fontId="93" fillId="55" borderId="31" xfId="63" applyFont="1" applyFill="1" applyBorder="1" applyAlignment="1">
      <alignment vertical="center" wrapText="1"/>
    </xf>
    <xf numFmtId="0" fontId="57" fillId="55" borderId="17" xfId="63" applyFont="1" applyFill="1" applyBorder="1" applyAlignment="1">
      <alignment horizontal="center" vertical="center"/>
    </xf>
    <xf numFmtId="177" fontId="40" fillId="55" borderId="10" xfId="31" applyNumberFormat="1" applyFont="1" applyFill="1" applyBorder="1" applyAlignment="1">
      <alignment vertical="center"/>
    </xf>
    <xf numFmtId="0" fontId="93" fillId="45" borderId="31" xfId="63" applyFont="1" applyFill="1" applyBorder="1" applyAlignment="1">
      <alignment vertical="center" wrapText="1"/>
    </xf>
    <xf numFmtId="0" fontId="57" fillId="45" borderId="17" xfId="63" applyFont="1" applyFill="1" applyBorder="1" applyAlignment="1">
      <alignment horizontal="center" vertical="center"/>
    </xf>
    <xf numFmtId="177" fontId="35" fillId="45" borderId="10" xfId="31" applyNumberFormat="1" applyFont="1" applyFill="1" applyBorder="1" applyAlignment="1">
      <alignment vertical="center"/>
    </xf>
    <xf numFmtId="177" fontId="40" fillId="45" borderId="17" xfId="31" applyNumberFormat="1" applyFont="1" applyFill="1" applyBorder="1" applyAlignment="1">
      <alignment vertical="center"/>
    </xf>
    <xf numFmtId="177" fontId="40" fillId="45" borderId="123" xfId="31" applyNumberFormat="1" applyFont="1" applyFill="1" applyBorder="1" applyAlignment="1">
      <alignment vertical="center"/>
    </xf>
    <xf numFmtId="0" fontId="57" fillId="45" borderId="32" xfId="63" applyFont="1" applyFill="1" applyBorder="1" applyAlignment="1">
      <alignment horizontal="center" vertical="center"/>
    </xf>
    <xf numFmtId="174" fontId="35" fillId="0" borderId="49" xfId="19" applyNumberFormat="1" applyFont="1" applyFill="1" applyBorder="1" applyAlignment="1">
      <alignment horizontal="center" vertical="center" wrapText="1"/>
    </xf>
    <xf numFmtId="174" fontId="35" fillId="0" borderId="49" xfId="19" applyNumberFormat="1" applyFont="1" applyFill="1" applyBorder="1" applyAlignment="1">
      <alignment vertical="center" wrapText="1"/>
    </xf>
    <xf numFmtId="174" fontId="40" fillId="0" borderId="79" xfId="19" applyNumberFormat="1" applyFont="1" applyFill="1" applyBorder="1" applyAlignment="1">
      <alignment vertical="center" wrapText="1"/>
    </xf>
    <xf numFmtId="174" fontId="54" fillId="0" borderId="79" xfId="19" applyNumberFormat="1" applyFont="1" applyFill="1" applyBorder="1" applyAlignment="1">
      <alignment vertical="center" wrapText="1"/>
    </xf>
    <xf numFmtId="178" fontId="40" fillId="0" borderId="79" xfId="56" applyNumberFormat="1" applyFont="1" applyFill="1" applyBorder="1" applyAlignment="1">
      <alignment vertical="center" wrapText="1"/>
    </xf>
    <xf numFmtId="178" fontId="40" fillId="0" borderId="79" xfId="175" applyNumberFormat="1" applyFont="1" applyFill="1" applyBorder="1" applyAlignment="1">
      <alignment vertical="center" wrapText="1"/>
    </xf>
    <xf numFmtId="166" fontId="52" fillId="0" borderId="50" xfId="56" applyFont="1" applyFill="1" applyBorder="1" applyAlignment="1">
      <alignment vertical="center" wrapText="1"/>
    </xf>
    <xf numFmtId="172" fontId="52" fillId="0" borderId="50" xfId="175" applyFont="1" applyFill="1" applyBorder="1" applyAlignment="1">
      <alignment vertical="center" wrapText="1"/>
    </xf>
    <xf numFmtId="0" fontId="12" fillId="0" borderId="0" xfId="0" applyFont="1"/>
    <xf numFmtId="0" fontId="12" fillId="0" borderId="0" xfId="29" applyFont="1" applyAlignment="1">
      <alignment vertical="center" wrapText="1"/>
    </xf>
    <xf numFmtId="0" fontId="40" fillId="41" borderId="65" xfId="57" applyFont="1" applyFill="1" applyBorder="1" applyAlignment="1">
      <alignment vertical="center" wrapText="1"/>
    </xf>
    <xf numFmtId="174" fontId="40" fillId="41" borderId="79" xfId="19" applyNumberFormat="1" applyFont="1" applyFill="1" applyBorder="1" applyAlignment="1">
      <alignment vertical="center" wrapText="1"/>
    </xf>
    <xf numFmtId="174" fontId="54" fillId="41" borderId="79" xfId="19" applyNumberFormat="1" applyFont="1" applyFill="1" applyBorder="1" applyAlignment="1">
      <alignment vertical="center" wrapText="1"/>
    </xf>
    <xf numFmtId="174" fontId="54" fillId="41" borderId="105" xfId="19" applyNumberFormat="1" applyFont="1" applyFill="1" applyBorder="1" applyAlignment="1">
      <alignment vertical="center" wrapText="1"/>
    </xf>
    <xf numFmtId="166" fontId="40" fillId="41" borderId="50" xfId="56" applyFont="1" applyFill="1" applyBorder="1" applyAlignment="1">
      <alignment vertical="center" wrapText="1"/>
    </xf>
    <xf numFmtId="172" fontId="40" fillId="41" borderId="50" xfId="175" applyFont="1" applyFill="1" applyBorder="1" applyAlignment="1">
      <alignment vertical="center" wrapText="1"/>
    </xf>
    <xf numFmtId="185" fontId="54" fillId="41" borderId="50" xfId="175" applyNumberFormat="1" applyFont="1" applyFill="1" applyBorder="1" applyAlignment="1">
      <alignment vertical="center" wrapText="1"/>
    </xf>
    <xf numFmtId="172" fontId="54" fillId="41" borderId="50" xfId="175" applyFont="1" applyFill="1" applyBorder="1" applyAlignment="1">
      <alignment vertical="center" wrapText="1"/>
    </xf>
    <xf numFmtId="185" fontId="54" fillId="41" borderId="129" xfId="175" applyNumberFormat="1" applyFont="1" applyFill="1" applyBorder="1" applyAlignment="1">
      <alignment vertical="center" wrapText="1"/>
    </xf>
    <xf numFmtId="174" fontId="54" fillId="41" borderId="49" xfId="19" applyNumberFormat="1" applyFont="1" applyFill="1" applyBorder="1" applyAlignment="1">
      <alignment vertical="center" wrapText="1"/>
    </xf>
    <xf numFmtId="174" fontId="54" fillId="41" borderId="132" xfId="19" applyNumberFormat="1" applyFont="1" applyFill="1" applyBorder="1" applyAlignment="1">
      <alignment vertical="center" wrapText="1"/>
    </xf>
    <xf numFmtId="167" fontId="40" fillId="41" borderId="79" xfId="19" applyFont="1" applyFill="1" applyBorder="1" applyAlignment="1">
      <alignment vertical="center" wrapText="1"/>
    </xf>
    <xf numFmtId="172" fontId="52" fillId="41" borderId="50" xfId="175" applyFont="1" applyFill="1" applyBorder="1" applyAlignment="1">
      <alignment vertical="center" wrapText="1"/>
    </xf>
    <xf numFmtId="172" fontId="75" fillId="41" borderId="50" xfId="175" applyFont="1" applyFill="1" applyBorder="1" applyAlignment="1">
      <alignment vertical="center" wrapText="1"/>
    </xf>
    <xf numFmtId="178" fontId="40" fillId="41" borderId="79" xfId="175" applyNumberFormat="1" applyFont="1" applyFill="1" applyBorder="1" applyAlignment="1">
      <alignment vertical="center" wrapText="1"/>
    </xf>
    <xf numFmtId="178" fontId="54" fillId="41" borderId="79" xfId="175" applyNumberFormat="1" applyFont="1" applyFill="1" applyBorder="1" applyAlignment="1">
      <alignment vertical="center" wrapText="1"/>
    </xf>
    <xf numFmtId="178" fontId="54" fillId="41" borderId="105" xfId="175" applyNumberFormat="1" applyFont="1" applyFill="1" applyBorder="1" applyAlignment="1">
      <alignment vertical="center" wrapText="1"/>
    </xf>
    <xf numFmtId="9" fontId="12" fillId="0" borderId="0" xfId="31" applyFont="1" applyAlignment="1">
      <alignment vertical="center" wrapText="1"/>
    </xf>
    <xf numFmtId="167" fontId="115" fillId="0" borderId="0" xfId="29" applyNumberFormat="1" applyFont="1" applyAlignment="1">
      <alignment vertical="center" wrapText="1"/>
    </xf>
    <xf numFmtId="0" fontId="116" fillId="0" borderId="0" xfId="29" applyFont="1" applyAlignment="1">
      <alignment vertical="center" wrapText="1"/>
    </xf>
    <xf numFmtId="174" fontId="58" fillId="0" borderId="0" xfId="19" applyNumberFormat="1" applyFont="1" applyAlignment="1">
      <alignment vertical="center"/>
    </xf>
    <xf numFmtId="167" fontId="11" fillId="0" borderId="0" xfId="19" applyAlignment="1">
      <alignment vertical="center"/>
    </xf>
    <xf numFmtId="173" fontId="91" fillId="32" borderId="79" xfId="19" applyNumberFormat="1" applyFont="1" applyFill="1" applyBorder="1" applyAlignment="1">
      <alignment horizontal="right" vertical="center"/>
    </xf>
    <xf numFmtId="165" fontId="40" fillId="25" borderId="70" xfId="0" applyNumberFormat="1" applyFont="1" applyFill="1" applyBorder="1"/>
    <xf numFmtId="165" fontId="35" fillId="25" borderId="71" xfId="0" applyNumberFormat="1" applyFont="1" applyFill="1" applyBorder="1"/>
    <xf numFmtId="0" fontId="94" fillId="0" borderId="12" xfId="31" applyNumberFormat="1" applyFont="1" applyFill="1" applyBorder="1" applyAlignment="1">
      <alignment vertical="center" wrapText="1"/>
    </xf>
    <xf numFmtId="174" fontId="0" fillId="0" borderId="0" xfId="0" applyNumberFormat="1"/>
    <xf numFmtId="193" fontId="35" fillId="0" borderId="12" xfId="175" applyNumberFormat="1" applyFont="1" applyBorder="1" applyAlignment="1">
      <alignment vertical="center"/>
    </xf>
    <xf numFmtId="193" fontId="35" fillId="0" borderId="14" xfId="175" applyNumberFormat="1" applyFont="1" applyBorder="1" applyAlignment="1">
      <alignment vertical="center"/>
    </xf>
    <xf numFmtId="193" fontId="40" fillId="0" borderId="42" xfId="62" applyNumberFormat="1" applyFont="1" applyBorder="1" applyAlignment="1">
      <alignment vertical="center"/>
    </xf>
    <xf numFmtId="193" fontId="40" fillId="0" borderId="44" xfId="62" applyNumberFormat="1" applyFont="1" applyBorder="1" applyAlignment="1">
      <alignment vertical="center"/>
    </xf>
    <xf numFmtId="167" fontId="0" fillId="0" borderId="12" xfId="19" applyFont="1" applyBorder="1" applyAlignment="1">
      <alignment horizontal="center" vertical="center" wrapText="1"/>
    </xf>
    <xf numFmtId="174" fontId="40" fillId="41" borderId="49" xfId="19" applyNumberFormat="1" applyFont="1" applyFill="1" applyBorder="1" applyAlignment="1">
      <alignment vertical="center" wrapText="1"/>
    </xf>
    <xf numFmtId="167" fontId="0" fillId="28" borderId="12" xfId="19" applyFont="1" applyFill="1" applyBorder="1" applyAlignment="1">
      <alignment horizontal="center" vertical="center" wrapText="1"/>
    </xf>
    <xf numFmtId="185" fontId="0" fillId="0" borderId="0" xfId="0" applyNumberFormat="1" applyAlignment="1">
      <alignment horizontal="center" vertical="center"/>
    </xf>
    <xf numFmtId="181" fontId="40" fillId="0" borderId="0" xfId="19" applyNumberFormat="1" applyFont="1" applyAlignment="1">
      <alignment vertical="center"/>
    </xf>
    <xf numFmtId="174" fontId="40" fillId="0" borderId="0" xfId="19" applyNumberFormat="1" applyFont="1" applyAlignment="1">
      <alignment vertical="center"/>
    </xf>
    <xf numFmtId="0" fontId="35" fillId="0" borderId="12" xfId="31" applyNumberFormat="1" applyFont="1" applyBorder="1" applyAlignment="1">
      <alignment horizontal="center" vertical="center"/>
    </xf>
    <xf numFmtId="172" fontId="0" fillId="0" borderId="12" xfId="175" applyFont="1" applyBorder="1" applyAlignment="1">
      <alignment horizontal="center" vertical="center"/>
    </xf>
    <xf numFmtId="172" fontId="0" fillId="28" borderId="12" xfId="175" applyFont="1" applyFill="1" applyBorder="1" applyAlignment="1">
      <alignment horizontal="center" vertical="center" wrapText="1"/>
    </xf>
    <xf numFmtId="17" fontId="54" fillId="51" borderId="12" xfId="0" quotePrefix="1" applyNumberFormat="1" applyFont="1" applyFill="1" applyBorder="1" applyAlignment="1">
      <alignment horizontal="center" vertical="center" wrapText="1"/>
    </xf>
    <xf numFmtId="0" fontId="54" fillId="51" borderId="12" xfId="0" quotePrefix="1" applyFont="1" applyFill="1" applyBorder="1" applyAlignment="1">
      <alignment horizontal="center" vertical="center" wrapText="1"/>
    </xf>
    <xf numFmtId="193" fontId="40" fillId="0" borderId="79" xfId="175" applyNumberFormat="1" applyFont="1" applyFill="1" applyBorder="1" applyAlignment="1">
      <alignment vertical="center" wrapText="1"/>
    </xf>
    <xf numFmtId="193" fontId="40" fillId="41" borderId="50" xfId="19" applyNumberFormat="1" applyFont="1" applyFill="1" applyBorder="1" applyAlignment="1">
      <alignment vertical="center" wrapText="1"/>
    </xf>
    <xf numFmtId="193" fontId="40" fillId="0" borderId="50" xfId="19" applyNumberFormat="1" applyFont="1" applyFill="1" applyBorder="1" applyAlignment="1">
      <alignment vertical="center" wrapText="1"/>
    </xf>
    <xf numFmtId="193" fontId="40" fillId="0" borderId="79" xfId="19" applyNumberFormat="1" applyFont="1" applyFill="1" applyBorder="1" applyAlignment="1">
      <alignment vertical="center" wrapText="1"/>
    </xf>
    <xf numFmtId="174" fontId="35" fillId="0" borderId="79" xfId="19" applyNumberFormat="1" applyFont="1" applyBorder="1" applyAlignment="1">
      <alignment horizontal="center" vertical="center" shrinkToFit="1"/>
    </xf>
    <xf numFmtId="167" fontId="11" fillId="0" borderId="0" xfId="19" applyFont="1" applyAlignment="1">
      <alignment wrapText="1"/>
    </xf>
    <xf numFmtId="174" fontId="103" fillId="0" borderId="65" xfId="19" applyNumberFormat="1" applyFont="1" applyBorder="1" applyAlignment="1">
      <alignment vertical="center" wrapText="1"/>
    </xf>
    <xf numFmtId="0" fontId="92" fillId="0" borderId="79" xfId="0" applyFont="1" applyBorder="1" applyAlignment="1">
      <alignment vertical="center" wrapText="1" shrinkToFit="1"/>
    </xf>
    <xf numFmtId="14" fontId="92" fillId="0" borderId="26" xfId="0" applyNumberFormat="1" applyFont="1" applyBorder="1" applyAlignment="1">
      <alignment horizontal="center" vertical="center" wrapText="1" shrinkToFit="1"/>
    </xf>
    <xf numFmtId="174" fontId="90" fillId="0" borderId="26" xfId="0" applyNumberFormat="1" applyFont="1" applyBorder="1" applyAlignment="1">
      <alignment horizontal="right" vertical="center" wrapText="1" shrinkToFit="1"/>
    </xf>
    <xf numFmtId="174" fontId="90" fillId="0" borderId="26" xfId="19" applyNumberFormat="1" applyFont="1" applyFill="1" applyBorder="1" applyAlignment="1">
      <alignment horizontal="right" vertical="center" wrapText="1"/>
    </xf>
    <xf numFmtId="167" fontId="90" fillId="0" borderId="26" xfId="19" applyFont="1" applyFill="1" applyBorder="1" applyAlignment="1">
      <alignment horizontal="right" vertical="center" wrapText="1" shrinkToFit="1"/>
    </xf>
    <xf numFmtId="167" fontId="90" fillId="0" borderId="26" xfId="19" applyFont="1" applyFill="1" applyBorder="1" applyAlignment="1">
      <alignment horizontal="center" vertical="center" wrapText="1" shrinkToFit="1"/>
    </xf>
    <xf numFmtId="173" fontId="90" fillId="0" borderId="26" xfId="0" applyNumberFormat="1" applyFont="1" applyBorder="1" applyAlignment="1">
      <alignment horizontal="right" vertical="center" wrapText="1" shrinkToFit="1"/>
    </xf>
    <xf numFmtId="165" fontId="90" fillId="0" borderId="26" xfId="29" applyNumberFormat="1" applyFont="1" applyBorder="1" applyAlignment="1">
      <alignment horizontal="right" vertical="center" wrapText="1"/>
    </xf>
    <xf numFmtId="167" fontId="90" fillId="0" borderId="26" xfId="19" applyFont="1" applyFill="1" applyBorder="1" applyAlignment="1">
      <alignment horizontal="right" vertical="center" wrapText="1"/>
    </xf>
    <xf numFmtId="165" fontId="90" fillId="0" borderId="26" xfId="0" applyNumberFormat="1" applyFont="1" applyBorder="1" applyAlignment="1">
      <alignment horizontal="right" vertical="center" wrapText="1"/>
    </xf>
    <xf numFmtId="173" fontId="90" fillId="0" borderId="26" xfId="19" applyNumberFormat="1" applyFont="1" applyFill="1" applyBorder="1" applyAlignment="1">
      <alignment horizontal="right" vertical="center" wrapText="1"/>
    </xf>
    <xf numFmtId="0" fontId="89" fillId="0" borderId="0" xfId="0" applyFont="1" applyAlignment="1">
      <alignment vertical="center" wrapText="1"/>
    </xf>
    <xf numFmtId="167" fontId="90" fillId="0" borderId="0" xfId="0" applyNumberFormat="1" applyFont="1" applyAlignment="1">
      <alignment vertical="center" wrapText="1"/>
    </xf>
    <xf numFmtId="165" fontId="90" fillId="0" borderId="0" xfId="0" applyNumberFormat="1" applyFont="1" applyAlignment="1">
      <alignment vertical="center" wrapText="1"/>
    </xf>
    <xf numFmtId="0" fontId="90" fillId="0" borderId="0" xfId="0" applyFont="1" applyAlignment="1">
      <alignment vertical="center" wrapText="1"/>
    </xf>
    <xf numFmtId="14" fontId="92" fillId="0" borderId="79" xfId="0" applyNumberFormat="1" applyFont="1" applyBorder="1" applyAlignment="1">
      <alignment horizontal="center" vertical="center" wrapText="1" shrinkToFit="1"/>
    </xf>
    <xf numFmtId="174" fontId="90" fillId="0" borderId="79" xfId="0" applyNumberFormat="1" applyFont="1" applyBorder="1" applyAlignment="1">
      <alignment horizontal="right" vertical="center" wrapText="1" shrinkToFit="1"/>
    </xf>
    <xf numFmtId="174" fontId="90" fillId="0" borderId="79" xfId="19" applyNumberFormat="1" applyFont="1" applyFill="1" applyBorder="1" applyAlignment="1">
      <alignment horizontal="right" vertical="center" wrapText="1"/>
    </xf>
    <xf numFmtId="167" fontId="90" fillId="0" borderId="79" xfId="19" applyFont="1" applyFill="1" applyBorder="1" applyAlignment="1">
      <alignment horizontal="right" vertical="center" wrapText="1" shrinkToFit="1"/>
    </xf>
    <xf numFmtId="167" fontId="90" fillId="0" borderId="79" xfId="19" applyFont="1" applyFill="1" applyBorder="1" applyAlignment="1">
      <alignment horizontal="center" vertical="center" wrapText="1" shrinkToFit="1"/>
    </xf>
    <xf numFmtId="173" fontId="90" fillId="0" borderId="79" xfId="0" applyNumberFormat="1" applyFont="1" applyBorder="1" applyAlignment="1">
      <alignment horizontal="right" vertical="center" wrapText="1" shrinkToFit="1"/>
    </xf>
    <xf numFmtId="165" fontId="90" fillId="0" borderId="79" xfId="29" applyNumberFormat="1" applyFont="1" applyBorder="1" applyAlignment="1">
      <alignment horizontal="right" vertical="center" wrapText="1"/>
    </xf>
    <xf numFmtId="167" fontId="90" fillId="0" borderId="79" xfId="19" applyFont="1" applyFill="1" applyBorder="1" applyAlignment="1">
      <alignment horizontal="right" vertical="center" wrapText="1"/>
    </xf>
    <xf numFmtId="165" fontId="90" fillId="0" borderId="79" xfId="0" applyNumberFormat="1" applyFont="1" applyBorder="1" applyAlignment="1">
      <alignment horizontal="right" vertical="center" wrapText="1"/>
    </xf>
    <xf numFmtId="173" fontId="90" fillId="0" borderId="79" xfId="19" applyNumberFormat="1" applyFont="1" applyFill="1" applyBorder="1" applyAlignment="1">
      <alignment horizontal="right" vertical="center" wrapText="1"/>
    </xf>
    <xf numFmtId="193" fontId="0" fillId="0" borderId="12" xfId="19" applyNumberFormat="1" applyFont="1" applyBorder="1" applyAlignment="1">
      <alignment horizontal="center" vertical="center"/>
    </xf>
    <xf numFmtId="174" fontId="0" fillId="0" borderId="12" xfId="19" applyNumberFormat="1" applyFont="1" applyBorder="1" applyAlignment="1">
      <alignment horizontal="center" vertical="center" wrapText="1"/>
    </xf>
    <xf numFmtId="172" fontId="40" fillId="0" borderId="50" xfId="175" applyFont="1" applyFill="1" applyBorder="1" applyAlignment="1">
      <alignment vertical="center" wrapText="1"/>
    </xf>
    <xf numFmtId="185" fontId="40" fillId="0" borderId="50" xfId="175" applyNumberFormat="1" applyFont="1" applyFill="1" applyBorder="1" applyAlignment="1">
      <alignment vertical="center" wrapText="1"/>
    </xf>
    <xf numFmtId="185" fontId="40" fillId="41" borderId="50" xfId="175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93" fontId="0" fillId="28" borderId="12" xfId="175" applyNumberFormat="1" applyFont="1" applyFill="1" applyBorder="1" applyAlignment="1">
      <alignment horizontal="center" vertical="center" wrapText="1"/>
    </xf>
    <xf numFmtId="193" fontId="0" fillId="28" borderId="12" xfId="19" applyNumberFormat="1" applyFont="1" applyFill="1" applyBorder="1" applyAlignment="1">
      <alignment horizontal="center" vertical="center" wrapText="1"/>
    </xf>
    <xf numFmtId="0" fontId="11" fillId="0" borderId="79" xfId="0" applyFont="1" applyBorder="1" applyAlignment="1">
      <alignment vertical="center"/>
    </xf>
    <xf numFmtId="174" fontId="117" fillId="42" borderId="16" xfId="19" applyNumberFormat="1" applyFont="1" applyFill="1" applyBorder="1" applyAlignment="1">
      <alignment horizontal="center" vertical="center" wrapText="1"/>
    </xf>
    <xf numFmtId="0" fontId="40" fillId="25" borderId="149" xfId="0" applyFont="1" applyFill="1" applyBorder="1"/>
    <xf numFmtId="0" fontId="40" fillId="25" borderId="70" xfId="0" applyFont="1" applyFill="1" applyBorder="1"/>
    <xf numFmtId="174" fontId="12" fillId="0" borderId="0" xfId="0" applyNumberFormat="1" applyFont="1"/>
    <xf numFmtId="0" fontId="94" fillId="48" borderId="12" xfId="0" applyFont="1" applyFill="1" applyBorder="1" applyAlignment="1">
      <alignment vertical="center"/>
    </xf>
    <xf numFmtId="174" fontId="94" fillId="48" borderId="117" xfId="199" applyNumberFormat="1" applyFont="1" applyFill="1" applyBorder="1" applyAlignment="1">
      <alignment horizontal="left" vertical="center"/>
    </xf>
    <xf numFmtId="41" fontId="94" fillId="48" borderId="12" xfId="0" applyNumberFormat="1" applyFont="1" applyFill="1" applyBorder="1" applyAlignment="1">
      <alignment horizontal="center" vertical="center"/>
    </xf>
    <xf numFmtId="0" fontId="94" fillId="0" borderId="12" xfId="0" applyFont="1" applyBorder="1" applyAlignment="1">
      <alignment horizontal="center" vertical="center"/>
    </xf>
    <xf numFmtId="3" fontId="93" fillId="28" borderId="12" xfId="0" applyNumberFormat="1" applyFont="1" applyFill="1" applyBorder="1" applyAlignment="1">
      <alignment vertical="center"/>
    </xf>
    <xf numFmtId="174" fontId="94" fillId="0" borderId="12" xfId="199" applyNumberFormat="1" applyFont="1" applyBorder="1" applyAlignment="1">
      <alignment vertical="center"/>
    </xf>
    <xf numFmtId="0" fontId="94" fillId="28" borderId="12" xfId="0" applyFont="1" applyFill="1" applyBorder="1" applyAlignment="1">
      <alignment vertical="center"/>
    </xf>
    <xf numFmtId="174" fontId="94" fillId="0" borderId="12" xfId="199" applyNumberFormat="1" applyFont="1" applyBorder="1" applyAlignment="1">
      <alignment horizontal="left" vertical="center"/>
    </xf>
    <xf numFmtId="3" fontId="0" fillId="0" borderId="0" xfId="0" applyNumberFormat="1"/>
    <xf numFmtId="174" fontId="93" fillId="28" borderId="12" xfId="199" applyNumberFormat="1" applyFont="1" applyFill="1" applyBorder="1" applyAlignment="1">
      <alignment horizontal="left" vertical="center"/>
    </xf>
    <xf numFmtId="165" fontId="91" fillId="32" borderId="26" xfId="0" applyNumberFormat="1" applyFont="1" applyFill="1" applyBorder="1" applyAlignment="1">
      <alignment horizontal="right" vertical="center" wrapText="1"/>
    </xf>
    <xf numFmtId="165" fontId="91" fillId="32" borderId="79" xfId="0" applyNumberFormat="1" applyFont="1" applyFill="1" applyBorder="1" applyAlignment="1">
      <alignment horizontal="right" vertical="center" wrapText="1"/>
    </xf>
    <xf numFmtId="172" fontId="52" fillId="0" borderId="16" xfId="175" applyFont="1" applyFill="1" applyBorder="1" applyAlignment="1">
      <alignment vertical="center" wrapText="1"/>
    </xf>
    <xf numFmtId="174" fontId="0" fillId="0" borderId="79" xfId="19" applyNumberFormat="1" applyFont="1" applyBorder="1" applyAlignment="1">
      <alignment horizontal="center" vertical="center" wrapText="1"/>
    </xf>
    <xf numFmtId="178" fontId="94" fillId="0" borderId="12" xfId="65" applyNumberFormat="1" applyFont="1" applyFill="1" applyBorder="1" applyAlignment="1">
      <alignment vertical="center"/>
    </xf>
    <xf numFmtId="174" fontId="94" fillId="0" borderId="12" xfId="19" applyNumberFormat="1" applyFont="1" applyFill="1" applyBorder="1" applyAlignment="1">
      <alignment vertical="center"/>
    </xf>
    <xf numFmtId="173" fontId="0" fillId="25" borderId="0" xfId="0" applyNumberFormat="1" applyFill="1"/>
    <xf numFmtId="43" fontId="0" fillId="0" borderId="0" xfId="0" applyNumberFormat="1"/>
    <xf numFmtId="174" fontId="35" fillId="0" borderId="16" xfId="19" applyNumberFormat="1" applyFont="1" applyFill="1" applyBorder="1" applyAlignment="1">
      <alignment vertical="center" wrapText="1"/>
    </xf>
    <xf numFmtId="174" fontId="40" fillId="0" borderId="16" xfId="19" applyNumberFormat="1" applyFont="1" applyFill="1" applyBorder="1" applyAlignment="1">
      <alignment vertical="center" wrapText="1"/>
    </xf>
    <xf numFmtId="167" fontId="0" fillId="0" borderId="0" xfId="19" applyFont="1"/>
    <xf numFmtId="0" fontId="11" fillId="25" borderId="0" xfId="29" applyFill="1" applyAlignment="1">
      <alignment vertical="center"/>
    </xf>
    <xf numFmtId="167" fontId="119" fillId="0" borderId="0" xfId="0" applyNumberFormat="1" applyFont="1" applyAlignment="1">
      <alignment vertical="center" wrapText="1"/>
    </xf>
    <xf numFmtId="174" fontId="12" fillId="0" borderId="0" xfId="19" applyNumberFormat="1" applyFont="1"/>
    <xf numFmtId="165" fontId="11" fillId="0" borderId="12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74" fontId="11" fillId="0" borderId="12" xfId="19" applyNumberFormat="1" applyFont="1" applyBorder="1" applyAlignment="1">
      <alignment horizontal="center" vertical="center" wrapText="1"/>
    </xf>
    <xf numFmtId="167" fontId="12" fillId="0" borderId="0" xfId="29" applyNumberFormat="1" applyFont="1" applyAlignment="1">
      <alignment horizontal="center" vertical="center" wrapText="1"/>
    </xf>
    <xf numFmtId="167" fontId="12" fillId="0" borderId="0" xfId="0" applyNumberFormat="1" applyFont="1"/>
    <xf numFmtId="174" fontId="36" fillId="0" borderId="12" xfId="19" applyNumberFormat="1" applyFont="1" applyBorder="1" applyAlignment="1">
      <alignment horizontal="center" vertical="center" wrapText="1"/>
    </xf>
    <xf numFmtId="174" fontId="36" fillId="0" borderId="12" xfId="19" applyNumberFormat="1" applyFont="1" applyBorder="1" applyAlignment="1">
      <alignment horizontal="center" vertical="center"/>
    </xf>
    <xf numFmtId="165" fontId="53" fillId="0" borderId="12" xfId="29" applyNumberFormat="1" applyFont="1" applyBorder="1" applyAlignment="1">
      <alignment horizontal="center" vertical="center" wrapText="1"/>
    </xf>
    <xf numFmtId="174" fontId="94" fillId="0" borderId="12" xfId="19" applyNumberFormat="1" applyFont="1" applyBorder="1" applyAlignment="1">
      <alignment horizontal="center" vertical="center"/>
    </xf>
    <xf numFmtId="174" fontId="35" fillId="0" borderId="0" xfId="62" applyNumberFormat="1" applyFont="1" applyFill="1" applyAlignment="1">
      <alignment vertical="center"/>
    </xf>
    <xf numFmtId="0" fontId="11" fillId="25" borderId="0" xfId="0" applyFont="1" applyFill="1"/>
    <xf numFmtId="185" fontId="40" fillId="0" borderId="16" xfId="175" applyNumberFormat="1" applyFont="1" applyFill="1" applyBorder="1" applyAlignment="1">
      <alignment vertical="center" wrapText="1"/>
    </xf>
    <xf numFmtId="0" fontId="11" fillId="0" borderId="0" xfId="0" quotePrefix="1" applyFont="1" applyAlignment="1">
      <alignment vertical="center" wrapText="1"/>
    </xf>
    <xf numFmtId="174" fontId="51" fillId="0" borderId="0" xfId="19" applyNumberFormat="1" applyFont="1"/>
    <xf numFmtId="174" fontId="52" fillId="0" borderId="0" xfId="19" applyNumberFormat="1" applyFont="1" applyAlignment="1">
      <alignment horizontal="center" vertical="center"/>
    </xf>
    <xf numFmtId="174" fontId="35" fillId="0" borderId="0" xfId="19" applyNumberFormat="1" applyFont="1"/>
    <xf numFmtId="0" fontId="94" fillId="0" borderId="0" xfId="0" applyFont="1" applyAlignment="1">
      <alignment horizontal="right" vertical="center"/>
    </xf>
    <xf numFmtId="14" fontId="35" fillId="0" borderId="79" xfId="0" applyNumberFormat="1" applyFont="1" applyBorder="1" applyAlignment="1">
      <alignment horizontal="center" vertical="center" shrinkToFit="1"/>
    </xf>
    <xf numFmtId="10" fontId="34" fillId="28" borderId="50" xfId="60" applyNumberFormat="1" applyFont="1" applyFill="1" applyBorder="1" applyAlignment="1">
      <alignment horizontal="center" vertical="center"/>
    </xf>
    <xf numFmtId="9" fontId="34" fillId="28" borderId="50" xfId="60" applyFont="1" applyFill="1" applyBorder="1" applyAlignment="1">
      <alignment horizontal="center" vertical="center"/>
    </xf>
    <xf numFmtId="9" fontId="34" fillId="28" borderId="129" xfId="60" applyFont="1" applyFill="1" applyBorder="1" applyAlignment="1">
      <alignment horizontal="center" vertical="center"/>
    </xf>
    <xf numFmtId="0" fontId="11" fillId="0" borderId="49" xfId="59" applyBorder="1" applyAlignment="1">
      <alignment vertical="center"/>
    </xf>
    <xf numFmtId="174" fontId="11" fillId="0" borderId="49" xfId="19" applyNumberFormat="1" applyFont="1" applyBorder="1" applyAlignment="1">
      <alignment vertical="center"/>
    </xf>
    <xf numFmtId="9" fontId="11" fillId="0" borderId="49" xfId="31" applyFont="1" applyBorder="1" applyAlignment="1">
      <alignment vertical="center"/>
    </xf>
    <xf numFmtId="0" fontId="11" fillId="0" borderId="79" xfId="59" applyBorder="1" applyAlignment="1">
      <alignment vertical="center"/>
    </xf>
    <xf numFmtId="174" fontId="11" fillId="0" borderId="79" xfId="19" applyNumberFormat="1" applyFont="1" applyBorder="1" applyAlignment="1">
      <alignment vertical="center"/>
    </xf>
    <xf numFmtId="9" fontId="11" fillId="0" borderId="79" xfId="31" applyFont="1" applyBorder="1" applyAlignment="1">
      <alignment vertical="center"/>
    </xf>
    <xf numFmtId="0" fontId="11" fillId="0" borderId="77" xfId="59" applyBorder="1" applyAlignment="1">
      <alignment vertical="center"/>
    </xf>
    <xf numFmtId="174" fontId="11" fillId="0" borderId="77" xfId="19" applyNumberFormat="1" applyFont="1" applyBorder="1" applyAlignment="1">
      <alignment vertical="center"/>
    </xf>
    <xf numFmtId="9" fontId="11" fillId="0" borderId="77" xfId="31" applyFont="1" applyBorder="1" applyAlignment="1">
      <alignment vertical="center"/>
    </xf>
    <xf numFmtId="0" fontId="11" fillId="0" borderId="26" xfId="59" applyBorder="1" applyAlignment="1">
      <alignment vertical="center"/>
    </xf>
    <xf numFmtId="174" fontId="11" fillId="0" borderId="26" xfId="19" applyNumberFormat="1" applyFont="1" applyBorder="1" applyAlignment="1">
      <alignment vertical="center"/>
    </xf>
    <xf numFmtId="9" fontId="11" fillId="0" borderId="26" xfId="31" applyFont="1" applyBorder="1" applyAlignment="1">
      <alignment vertical="center"/>
    </xf>
    <xf numFmtId="3" fontId="11" fillId="0" borderId="26" xfId="59" applyNumberFormat="1" applyBorder="1" applyAlignment="1">
      <alignment vertical="center"/>
    </xf>
    <xf numFmtId="0" fontId="11" fillId="28" borderId="81" xfId="59" applyFill="1" applyBorder="1" applyAlignment="1">
      <alignment vertical="center"/>
    </xf>
    <xf numFmtId="174" fontId="11" fillId="28" borderId="81" xfId="19" applyNumberFormat="1" applyFont="1" applyFill="1" applyBorder="1" applyAlignment="1">
      <alignment vertical="center"/>
    </xf>
    <xf numFmtId="9" fontId="11" fillId="28" borderId="81" xfId="31" applyFont="1" applyFill="1" applyBorder="1" applyAlignment="1">
      <alignment vertical="center"/>
    </xf>
    <xf numFmtId="0" fontId="11" fillId="28" borderId="79" xfId="59" applyFill="1" applyBorder="1" applyAlignment="1">
      <alignment vertical="center"/>
    </xf>
    <xf numFmtId="174" fontId="11" fillId="28" borderId="79" xfId="19" applyNumberFormat="1" applyFont="1" applyFill="1" applyBorder="1" applyAlignment="1">
      <alignment vertical="center"/>
    </xf>
    <xf numFmtId="9" fontId="11" fillId="28" borderId="79" xfId="31" applyFont="1" applyFill="1" applyBorder="1" applyAlignment="1">
      <alignment vertical="center"/>
    </xf>
    <xf numFmtId="0" fontId="11" fillId="28" borderId="50" xfId="59" applyFill="1" applyBorder="1" applyAlignment="1">
      <alignment vertical="center"/>
    </xf>
    <xf numFmtId="174" fontId="11" fillId="28" borderId="50" xfId="19" applyNumberFormat="1" applyFont="1" applyFill="1" applyBorder="1" applyAlignment="1">
      <alignment vertical="center"/>
    </xf>
    <xf numFmtId="9" fontId="11" fillId="28" borderId="50" xfId="31" applyFont="1" applyFill="1" applyBorder="1" applyAlignment="1">
      <alignment vertical="center"/>
    </xf>
    <xf numFmtId="174" fontId="11" fillId="0" borderId="0" xfId="0" applyNumberFormat="1" applyFont="1"/>
    <xf numFmtId="10" fontId="34" fillId="34" borderId="50" xfId="60" applyNumberFormat="1" applyFont="1" applyFill="1" applyBorder="1" applyAlignment="1">
      <alignment horizontal="center" vertical="center"/>
    </xf>
    <xf numFmtId="9" fontId="34" fillId="34" borderId="50" xfId="60" applyFont="1" applyFill="1" applyBorder="1" applyAlignment="1">
      <alignment horizontal="center" vertical="center"/>
    </xf>
    <xf numFmtId="174" fontId="34" fillId="34" borderId="50" xfId="19" applyNumberFormat="1" applyFont="1" applyFill="1" applyBorder="1" applyAlignment="1">
      <alignment horizontal="center" vertical="center"/>
    </xf>
    <xf numFmtId="174" fontId="11" fillId="0" borderId="28" xfId="22" applyNumberFormat="1" applyFont="1" applyBorder="1" applyAlignment="1">
      <alignment vertical="center"/>
    </xf>
    <xf numFmtId="177" fontId="11" fillId="0" borderId="49" xfId="60" applyNumberFormat="1" applyFont="1" applyBorder="1" applyAlignment="1">
      <alignment vertical="center"/>
    </xf>
    <xf numFmtId="174" fontId="11" fillId="0" borderId="28" xfId="19" applyNumberFormat="1" applyFont="1" applyBorder="1" applyAlignment="1">
      <alignment vertical="center"/>
    </xf>
    <xf numFmtId="9" fontId="11" fillId="0" borderId="49" xfId="60" applyFont="1" applyBorder="1" applyAlignment="1">
      <alignment vertical="center"/>
    </xf>
    <xf numFmtId="0" fontId="11" fillId="0" borderId="75" xfId="59" applyBorder="1" applyAlignment="1">
      <alignment vertical="center"/>
    </xf>
    <xf numFmtId="174" fontId="11" fillId="0" borderId="27" xfId="22" applyNumberFormat="1" applyFont="1" applyBorder="1" applyAlignment="1">
      <alignment vertical="center"/>
    </xf>
    <xf numFmtId="177" fontId="11" fillId="0" borderId="79" xfId="60" applyNumberFormat="1" applyFont="1" applyBorder="1" applyAlignment="1">
      <alignment vertical="center"/>
    </xf>
    <xf numFmtId="177" fontId="11" fillId="0" borderId="75" xfId="60" applyNumberFormat="1" applyFont="1" applyBorder="1" applyAlignment="1">
      <alignment vertical="center"/>
    </xf>
    <xf numFmtId="174" fontId="11" fillId="0" borderId="27" xfId="19" applyNumberFormat="1" applyFont="1" applyBorder="1" applyAlignment="1">
      <alignment vertical="center"/>
    </xf>
    <xf numFmtId="9" fontId="11" fillId="0" borderId="75" xfId="60" applyFont="1" applyBorder="1" applyAlignment="1">
      <alignment vertical="center"/>
    </xf>
    <xf numFmtId="177" fontId="11" fillId="0" borderId="77" xfId="60" applyNumberFormat="1" applyFont="1" applyBorder="1" applyAlignment="1">
      <alignment vertical="center"/>
    </xf>
    <xf numFmtId="174" fontId="11" fillId="0" borderId="77" xfId="22" applyNumberFormat="1" applyFont="1" applyBorder="1" applyAlignment="1">
      <alignment vertical="center"/>
    </xf>
    <xf numFmtId="9" fontId="11" fillId="0" borderId="77" xfId="60" applyFont="1" applyBorder="1" applyAlignment="1">
      <alignment vertical="center"/>
    </xf>
    <xf numFmtId="177" fontId="11" fillId="0" borderId="26" xfId="60" applyNumberFormat="1" applyFont="1" applyBorder="1" applyAlignment="1">
      <alignment vertical="center"/>
    </xf>
    <xf numFmtId="174" fontId="11" fillId="0" borderId="26" xfId="22" applyNumberFormat="1" applyFont="1" applyBorder="1" applyAlignment="1">
      <alignment vertical="center"/>
    </xf>
    <xf numFmtId="9" fontId="11" fillId="0" borderId="26" xfId="60" applyFont="1" applyBorder="1" applyAlignment="1">
      <alignment vertical="center"/>
    </xf>
    <xf numFmtId="174" fontId="11" fillId="0" borderId="26" xfId="19" applyNumberFormat="1" applyFont="1" applyFill="1" applyBorder="1" applyAlignment="1">
      <alignment vertical="center"/>
    </xf>
    <xf numFmtId="9" fontId="11" fillId="0" borderId="26" xfId="60" applyFont="1" applyFill="1" applyBorder="1" applyAlignment="1">
      <alignment vertical="center"/>
    </xf>
    <xf numFmtId="174" fontId="11" fillId="0" borderId="75" xfId="19" applyNumberFormat="1" applyFont="1" applyBorder="1" applyAlignment="1">
      <alignment vertical="center"/>
    </xf>
    <xf numFmtId="174" fontId="11" fillId="0" borderId="75" xfId="22" applyNumberFormat="1" applyFont="1" applyBorder="1" applyAlignment="1">
      <alignment vertical="center"/>
    </xf>
    <xf numFmtId="174" fontId="11" fillId="0" borderId="75" xfId="19" applyNumberFormat="1" applyFont="1" applyFill="1" applyBorder="1" applyAlignment="1">
      <alignment vertical="center"/>
    </xf>
    <xf numFmtId="9" fontId="11" fillId="0" borderId="75" xfId="60" applyFont="1" applyFill="1" applyBorder="1" applyAlignment="1">
      <alignment vertical="center"/>
    </xf>
    <xf numFmtId="174" fontId="11" fillId="0" borderId="77" xfId="19" applyNumberFormat="1" applyFont="1" applyFill="1" applyBorder="1" applyAlignment="1">
      <alignment vertical="center"/>
    </xf>
    <xf numFmtId="9" fontId="11" fillId="0" borderId="77" xfId="60" applyFont="1" applyFill="1" applyBorder="1" applyAlignment="1">
      <alignment vertical="center"/>
    </xf>
    <xf numFmtId="174" fontId="11" fillId="0" borderId="27" xfId="19" applyNumberFormat="1" applyFont="1" applyFill="1" applyBorder="1" applyAlignment="1">
      <alignment vertical="center"/>
    </xf>
    <xf numFmtId="174" fontId="11" fillId="0" borderId="27" xfId="22" applyNumberFormat="1" applyFont="1" applyFill="1" applyBorder="1" applyAlignment="1">
      <alignment vertical="center"/>
    </xf>
    <xf numFmtId="174" fontId="11" fillId="0" borderId="79" xfId="22" applyNumberFormat="1" applyFont="1" applyBorder="1" applyAlignment="1">
      <alignment vertical="center"/>
    </xf>
    <xf numFmtId="0" fontId="11" fillId="34" borderId="28" xfId="59" applyFill="1" applyBorder="1" applyAlignment="1">
      <alignment vertical="center"/>
    </xf>
    <xf numFmtId="174" fontId="11" fillId="34" borderId="81" xfId="19" applyNumberFormat="1" applyFont="1" applyFill="1" applyBorder="1" applyAlignment="1">
      <alignment vertical="center"/>
    </xf>
    <xf numFmtId="177" fontId="11" fillId="34" borderId="28" xfId="60" applyNumberFormat="1" applyFont="1" applyFill="1" applyBorder="1" applyAlignment="1">
      <alignment vertical="center"/>
    </xf>
    <xf numFmtId="9" fontId="11" fillId="34" borderId="28" xfId="60" applyFont="1" applyFill="1" applyBorder="1" applyAlignment="1">
      <alignment vertical="center"/>
    </xf>
    <xf numFmtId="0" fontId="11" fillId="34" borderId="27" xfId="59" applyFill="1" applyBorder="1" applyAlignment="1">
      <alignment vertical="center"/>
    </xf>
    <xf numFmtId="174" fontId="11" fillId="34" borderId="79" xfId="19" applyNumberFormat="1" applyFont="1" applyFill="1" applyBorder="1" applyAlignment="1">
      <alignment vertical="center"/>
    </xf>
    <xf numFmtId="177" fontId="11" fillId="34" borderId="79" xfId="60" applyNumberFormat="1" applyFont="1" applyFill="1" applyBorder="1" applyAlignment="1">
      <alignment vertical="center"/>
    </xf>
    <xf numFmtId="177" fontId="11" fillId="34" borderId="27" xfId="60" applyNumberFormat="1" applyFont="1" applyFill="1" applyBorder="1" applyAlignment="1">
      <alignment vertical="center"/>
    </xf>
    <xf numFmtId="9" fontId="11" fillId="34" borderId="27" xfId="60" applyFont="1" applyFill="1" applyBorder="1" applyAlignment="1">
      <alignment vertical="center"/>
    </xf>
    <xf numFmtId="0" fontId="11" fillId="34" borderId="50" xfId="59" applyFill="1" applyBorder="1" applyAlignment="1">
      <alignment vertical="center"/>
    </xf>
    <xf numFmtId="174" fontId="11" fillId="34" borderId="50" xfId="22" applyNumberFormat="1" applyFont="1" applyFill="1" applyBorder="1" applyAlignment="1">
      <alignment vertical="center"/>
    </xf>
    <xf numFmtId="177" fontId="11" fillId="34" borderId="50" xfId="60" applyNumberFormat="1" applyFont="1" applyFill="1" applyBorder="1" applyAlignment="1">
      <alignment vertical="center"/>
    </xf>
    <xf numFmtId="9" fontId="11" fillId="34" borderId="50" xfId="60" applyFont="1" applyFill="1" applyBorder="1" applyAlignment="1">
      <alignment vertical="center"/>
    </xf>
    <xf numFmtId="174" fontId="11" fillId="34" borderId="50" xfId="19" applyNumberFormat="1" applyFont="1" applyFill="1" applyBorder="1" applyAlignment="1">
      <alignment vertical="center"/>
    </xf>
    <xf numFmtId="10" fontId="34" fillId="41" borderId="50" xfId="60" applyNumberFormat="1" applyFont="1" applyFill="1" applyBorder="1" applyAlignment="1">
      <alignment horizontal="center" vertical="center"/>
    </xf>
    <xf numFmtId="9" fontId="34" fillId="41" borderId="50" xfId="60" applyFont="1" applyFill="1" applyBorder="1" applyAlignment="1">
      <alignment horizontal="center" vertical="center"/>
    </xf>
    <xf numFmtId="174" fontId="34" fillId="41" borderId="50" xfId="19" applyNumberFormat="1" applyFont="1" applyFill="1" applyBorder="1" applyAlignment="1">
      <alignment horizontal="center" vertical="center"/>
    </xf>
    <xf numFmtId="9" fontId="11" fillId="0" borderId="79" xfId="60" applyFont="1" applyBorder="1" applyAlignment="1">
      <alignment vertical="center"/>
    </xf>
    <xf numFmtId="174" fontId="11" fillId="0" borderId="26" xfId="22" applyNumberFormat="1" applyFont="1" applyFill="1" applyBorder="1" applyAlignment="1">
      <alignment vertical="center"/>
    </xf>
    <xf numFmtId="174" fontId="11" fillId="0" borderId="75" xfId="22" applyNumberFormat="1" applyFont="1" applyFill="1" applyBorder="1" applyAlignment="1">
      <alignment vertical="center"/>
    </xf>
    <xf numFmtId="167" fontId="11" fillId="0" borderId="77" xfId="22" applyFont="1" applyFill="1" applyBorder="1" applyAlignment="1">
      <alignment vertical="center"/>
    </xf>
    <xf numFmtId="0" fontId="11" fillId="41" borderId="28" xfId="59" applyFill="1" applyBorder="1" applyAlignment="1">
      <alignment vertical="center"/>
    </xf>
    <xf numFmtId="174" fontId="11" fillId="41" borderId="81" xfId="19" applyNumberFormat="1" applyFont="1" applyFill="1" applyBorder="1" applyAlignment="1">
      <alignment vertical="center"/>
    </xf>
    <xf numFmtId="9" fontId="11" fillId="41" borderId="28" xfId="60" applyFont="1" applyFill="1" applyBorder="1" applyAlignment="1">
      <alignment vertical="center"/>
    </xf>
    <xf numFmtId="0" fontId="11" fillId="41" borderId="27" xfId="59" applyFill="1" applyBorder="1" applyAlignment="1">
      <alignment vertical="center"/>
    </xf>
    <xf numFmtId="174" fontId="11" fillId="41" borderId="79" xfId="19" applyNumberFormat="1" applyFont="1" applyFill="1" applyBorder="1" applyAlignment="1">
      <alignment vertical="center"/>
    </xf>
    <xf numFmtId="9" fontId="11" fillId="41" borderId="79" xfId="60" applyFont="1" applyFill="1" applyBorder="1" applyAlignment="1">
      <alignment vertical="center"/>
    </xf>
    <xf numFmtId="9" fontId="11" fillId="41" borderId="27" xfId="60" applyFont="1" applyFill="1" applyBorder="1" applyAlignment="1">
      <alignment vertical="center"/>
    </xf>
    <xf numFmtId="0" fontId="11" fillId="41" borderId="50" xfId="59" applyFill="1" applyBorder="1" applyAlignment="1">
      <alignment vertical="center"/>
    </xf>
    <xf numFmtId="174" fontId="11" fillId="41" borderId="50" xfId="22" applyNumberFormat="1" applyFont="1" applyFill="1" applyBorder="1" applyAlignment="1">
      <alignment vertical="center"/>
    </xf>
    <xf numFmtId="9" fontId="11" fillId="41" borderId="50" xfId="60" applyFont="1" applyFill="1" applyBorder="1" applyAlignment="1">
      <alignment vertical="center"/>
    </xf>
    <xf numFmtId="10" fontId="34" fillId="49" borderId="50" xfId="60" applyNumberFormat="1" applyFont="1" applyFill="1" applyBorder="1" applyAlignment="1">
      <alignment horizontal="center" vertical="center"/>
    </xf>
    <xf numFmtId="9" fontId="34" fillId="49" borderId="50" xfId="60" applyFont="1" applyFill="1" applyBorder="1" applyAlignment="1">
      <alignment horizontal="center" vertical="center"/>
    </xf>
    <xf numFmtId="174" fontId="34" fillId="49" borderId="50" xfId="19" applyNumberFormat="1" applyFont="1" applyFill="1" applyBorder="1" applyAlignment="1">
      <alignment horizontal="center" vertical="center"/>
    </xf>
    <xf numFmtId="174" fontId="11" fillId="0" borderId="28" xfId="22" applyNumberFormat="1" applyFont="1" applyFill="1" applyBorder="1" applyAlignment="1">
      <alignment vertical="center"/>
    </xf>
    <xf numFmtId="9" fontId="11" fillId="0" borderId="49" xfId="60" applyFont="1" applyFill="1" applyBorder="1" applyAlignment="1">
      <alignment vertical="center"/>
    </xf>
    <xf numFmtId="174" fontId="11" fillId="0" borderId="28" xfId="19" applyNumberFormat="1" applyFont="1" applyFill="1" applyBorder="1" applyAlignment="1">
      <alignment vertical="center"/>
    </xf>
    <xf numFmtId="9" fontId="11" fillId="0" borderId="79" xfId="60" applyFont="1" applyFill="1" applyBorder="1" applyAlignment="1">
      <alignment vertical="center"/>
    </xf>
    <xf numFmtId="174" fontId="11" fillId="0" borderId="77" xfId="22" applyNumberFormat="1" applyFont="1" applyFill="1" applyBorder="1" applyAlignment="1">
      <alignment vertical="center"/>
    </xf>
    <xf numFmtId="174" fontId="11" fillId="0" borderId="79" xfId="22" applyNumberFormat="1" applyFont="1" applyFill="1" applyBorder="1" applyAlignment="1">
      <alignment vertical="center"/>
    </xf>
    <xf numFmtId="0" fontId="11" fillId="49" borderId="28" xfId="59" applyFill="1" applyBorder="1" applyAlignment="1">
      <alignment vertical="center"/>
    </xf>
    <xf numFmtId="174" fontId="11" fillId="49" borderId="81" xfId="19" applyNumberFormat="1" applyFont="1" applyFill="1" applyBorder="1" applyAlignment="1">
      <alignment vertical="center"/>
    </xf>
    <xf numFmtId="9" fontId="11" fillId="49" borderId="28" xfId="60" applyFont="1" applyFill="1" applyBorder="1" applyAlignment="1">
      <alignment vertical="center"/>
    </xf>
    <xf numFmtId="174" fontId="11" fillId="49" borderId="81" xfId="22" applyNumberFormat="1" applyFont="1" applyFill="1" applyBorder="1" applyAlignment="1">
      <alignment vertical="center"/>
    </xf>
    <xf numFmtId="0" fontId="11" fillId="49" borderId="27" xfId="59" applyFill="1" applyBorder="1" applyAlignment="1">
      <alignment vertical="center"/>
    </xf>
    <xf numFmtId="174" fontId="11" fillId="49" borderId="79" xfId="19" applyNumberFormat="1" applyFont="1" applyFill="1" applyBorder="1" applyAlignment="1">
      <alignment vertical="center"/>
    </xf>
    <xf numFmtId="9" fontId="11" fillId="49" borderId="79" xfId="60" applyFont="1" applyFill="1" applyBorder="1" applyAlignment="1">
      <alignment vertical="center"/>
    </xf>
    <xf numFmtId="9" fontId="11" fillId="49" borderId="27" xfId="60" applyFont="1" applyFill="1" applyBorder="1" applyAlignment="1">
      <alignment vertical="center"/>
    </xf>
    <xf numFmtId="174" fontId="11" fillId="49" borderId="79" xfId="22" applyNumberFormat="1" applyFont="1" applyFill="1" applyBorder="1" applyAlignment="1">
      <alignment vertical="center"/>
    </xf>
    <xf numFmtId="0" fontId="11" fillId="49" borderId="50" xfId="59" applyFill="1" applyBorder="1" applyAlignment="1">
      <alignment vertical="center"/>
    </xf>
    <xf numFmtId="174" fontId="11" fillId="49" borderId="50" xfId="22" applyNumberFormat="1" applyFont="1" applyFill="1" applyBorder="1" applyAlignment="1">
      <alignment vertical="center"/>
    </xf>
    <xf numFmtId="9" fontId="11" fillId="49" borderId="50" xfId="60" applyFont="1" applyFill="1" applyBorder="1" applyAlignment="1">
      <alignment vertical="center"/>
    </xf>
    <xf numFmtId="174" fontId="11" fillId="49" borderId="50" xfId="19" applyNumberFormat="1" applyFont="1" applyFill="1" applyBorder="1" applyAlignment="1">
      <alignment vertical="center"/>
    </xf>
    <xf numFmtId="167" fontId="11" fillId="49" borderId="50" xfId="19" applyFont="1" applyFill="1" applyBorder="1" applyAlignment="1">
      <alignment vertical="center"/>
    </xf>
    <xf numFmtId="10" fontId="34" fillId="43" borderId="50" xfId="60" applyNumberFormat="1" applyFont="1" applyFill="1" applyBorder="1" applyAlignment="1">
      <alignment horizontal="center" vertical="center"/>
    </xf>
    <xf numFmtId="9" fontId="34" fillId="43" borderId="50" xfId="60" applyFont="1" applyFill="1" applyBorder="1" applyAlignment="1">
      <alignment horizontal="center" vertical="center"/>
    </xf>
    <xf numFmtId="174" fontId="34" fillId="43" borderId="50" xfId="19" applyNumberFormat="1" applyFont="1" applyFill="1" applyBorder="1" applyAlignment="1">
      <alignment horizontal="center" vertical="center"/>
    </xf>
    <xf numFmtId="167" fontId="11" fillId="0" borderId="77" xfId="22" applyFont="1" applyBorder="1" applyAlignment="1">
      <alignment vertical="center"/>
    </xf>
    <xf numFmtId="0" fontId="11" fillId="0" borderId="77" xfId="19" applyNumberFormat="1" applyFont="1" applyBorder="1" applyAlignment="1">
      <alignment vertical="center"/>
    </xf>
    <xf numFmtId="0" fontId="11" fillId="25" borderId="28" xfId="59" applyFill="1" applyBorder="1" applyAlignment="1">
      <alignment vertical="center"/>
    </xf>
    <xf numFmtId="174" fontId="11" fillId="25" borderId="81" xfId="19" applyNumberFormat="1" applyFont="1" applyFill="1" applyBorder="1" applyAlignment="1">
      <alignment vertical="center"/>
    </xf>
    <xf numFmtId="9" fontId="11" fillId="25" borderId="28" xfId="60" applyFont="1" applyFill="1" applyBorder="1" applyAlignment="1">
      <alignment vertical="center"/>
    </xf>
    <xf numFmtId="0" fontId="11" fillId="25" borderId="27" xfId="59" applyFill="1" applyBorder="1" applyAlignment="1">
      <alignment vertical="center"/>
    </xf>
    <xf numFmtId="174" fontId="11" fillId="25" borderId="79" xfId="19" applyNumberFormat="1" applyFont="1" applyFill="1" applyBorder="1" applyAlignment="1">
      <alignment vertical="center"/>
    </xf>
    <xf numFmtId="9" fontId="11" fillId="25" borderId="27" xfId="60" applyFont="1" applyFill="1" applyBorder="1" applyAlignment="1">
      <alignment vertical="center"/>
    </xf>
    <xf numFmtId="0" fontId="11" fillId="25" borderId="50" xfId="59" applyFill="1" applyBorder="1" applyAlignment="1">
      <alignment vertical="center"/>
    </xf>
    <xf numFmtId="174" fontId="11" fillId="25" borderId="50" xfId="19" applyNumberFormat="1" applyFont="1" applyFill="1" applyBorder="1" applyAlignment="1">
      <alignment vertical="center"/>
    </xf>
    <xf numFmtId="9" fontId="11" fillId="25" borderId="50" xfId="60" applyFont="1" applyFill="1" applyBorder="1" applyAlignment="1">
      <alignment vertical="center"/>
    </xf>
    <xf numFmtId="167" fontId="11" fillId="25" borderId="50" xfId="19" applyFont="1" applyFill="1" applyBorder="1" applyAlignment="1">
      <alignment vertical="center"/>
    </xf>
    <xf numFmtId="10" fontId="34" fillId="35" borderId="50" xfId="60" applyNumberFormat="1" applyFont="1" applyFill="1" applyBorder="1" applyAlignment="1">
      <alignment horizontal="center" vertical="center"/>
    </xf>
    <xf numFmtId="9" fontId="34" fillId="35" borderId="50" xfId="60" applyFont="1" applyFill="1" applyBorder="1" applyAlignment="1">
      <alignment horizontal="center" vertical="center"/>
    </xf>
    <xf numFmtId="174" fontId="11" fillId="0" borderId="49" xfId="22" applyNumberFormat="1" applyFont="1" applyBorder="1" applyAlignment="1">
      <alignment vertical="center"/>
    </xf>
    <xf numFmtId="174" fontId="11" fillId="25" borderId="28" xfId="22" applyNumberFormat="1" applyFont="1" applyFill="1" applyBorder="1" applyAlignment="1">
      <alignment vertical="center"/>
    </xf>
    <xf numFmtId="177" fontId="11" fillId="25" borderId="28" xfId="60" applyNumberFormat="1" applyFont="1" applyFill="1" applyBorder="1" applyAlignment="1">
      <alignment vertical="center"/>
    </xf>
    <xf numFmtId="174" fontId="11" fillId="25" borderId="27" xfId="22" applyNumberFormat="1" applyFont="1" applyFill="1" applyBorder="1" applyAlignment="1">
      <alignment vertical="center"/>
    </xf>
    <xf numFmtId="177" fontId="11" fillId="25" borderId="27" xfId="60" applyNumberFormat="1" applyFont="1" applyFill="1" applyBorder="1" applyAlignment="1">
      <alignment vertical="center"/>
    </xf>
    <xf numFmtId="9" fontId="11" fillId="25" borderId="79" xfId="60" applyFont="1" applyFill="1" applyBorder="1" applyAlignment="1">
      <alignment vertical="center"/>
    </xf>
    <xf numFmtId="174" fontId="11" fillId="25" borderId="50" xfId="22" applyNumberFormat="1" applyFont="1" applyFill="1" applyBorder="1" applyAlignment="1">
      <alignment vertical="center"/>
    </xf>
    <xf numFmtId="177" fontId="11" fillId="25" borderId="50" xfId="60" applyNumberFormat="1" applyFont="1" applyFill="1" applyBorder="1" applyAlignment="1">
      <alignment vertical="center"/>
    </xf>
    <xf numFmtId="10" fontId="34" fillId="47" borderId="50" xfId="60" applyNumberFormat="1" applyFont="1" applyFill="1" applyBorder="1" applyAlignment="1">
      <alignment horizontal="center" vertical="center"/>
    </xf>
    <xf numFmtId="9" fontId="34" fillId="47" borderId="50" xfId="60" applyFont="1" applyFill="1" applyBorder="1" applyAlignment="1">
      <alignment horizontal="center" vertical="center"/>
    </xf>
    <xf numFmtId="10" fontId="11" fillId="0" borderId="49" xfId="60" applyNumberFormat="1" applyFont="1" applyBorder="1" applyAlignment="1">
      <alignment vertical="center"/>
    </xf>
    <xf numFmtId="10" fontId="11" fillId="0" borderId="75" xfId="60" applyNumberFormat="1" applyFont="1" applyBorder="1" applyAlignment="1">
      <alignment vertical="center"/>
    </xf>
    <xf numFmtId="10" fontId="11" fillId="0" borderId="77" xfId="60" applyNumberFormat="1" applyFont="1" applyBorder="1" applyAlignment="1">
      <alignment vertical="center"/>
    </xf>
    <xf numFmtId="10" fontId="11" fillId="0" borderId="26" xfId="60" applyNumberFormat="1" applyFont="1" applyBorder="1" applyAlignment="1">
      <alignment vertical="center"/>
    </xf>
    <xf numFmtId="10" fontId="11" fillId="25" borderId="28" xfId="60" applyNumberFormat="1" applyFont="1" applyFill="1" applyBorder="1" applyAlignment="1">
      <alignment vertical="center"/>
    </xf>
    <xf numFmtId="10" fontId="11" fillId="25" borderId="27" xfId="60" applyNumberFormat="1" applyFont="1" applyFill="1" applyBorder="1" applyAlignment="1">
      <alignment vertical="center"/>
    </xf>
    <xf numFmtId="167" fontId="11" fillId="25" borderId="27" xfId="19" applyFont="1" applyFill="1" applyBorder="1" applyAlignment="1">
      <alignment vertical="center"/>
    </xf>
    <xf numFmtId="173" fontId="11" fillId="25" borderId="27" xfId="22" applyNumberFormat="1" applyFont="1" applyFill="1" applyBorder="1" applyAlignment="1">
      <alignment vertical="center"/>
    </xf>
    <xf numFmtId="10" fontId="11" fillId="25" borderId="50" xfId="60" applyNumberFormat="1" applyFont="1" applyFill="1" applyBorder="1" applyAlignment="1">
      <alignment vertical="center"/>
    </xf>
    <xf numFmtId="10" fontId="34" fillId="24" borderId="50" xfId="60" applyNumberFormat="1" applyFont="1" applyFill="1" applyBorder="1" applyAlignment="1">
      <alignment horizontal="center" vertical="center"/>
    </xf>
    <xf numFmtId="9" fontId="34" fillId="24" borderId="50" xfId="60" applyFont="1" applyFill="1" applyBorder="1" applyAlignment="1">
      <alignment horizontal="center" vertical="center"/>
    </xf>
    <xf numFmtId="174" fontId="71" fillId="0" borderId="20" xfId="19" applyNumberFormat="1" applyFont="1" applyFill="1" applyBorder="1" applyAlignment="1">
      <alignment vertical="center"/>
    </xf>
    <xf numFmtId="178" fontId="71" fillId="0" borderId="20" xfId="65" applyNumberFormat="1" applyFont="1" applyFill="1" applyBorder="1" applyAlignment="1">
      <alignment vertical="center"/>
    </xf>
    <xf numFmtId="174" fontId="11" fillId="0" borderId="77" xfId="19" applyNumberFormat="1" applyBorder="1" applyAlignment="1">
      <alignment vertical="center"/>
    </xf>
    <xf numFmtId="174" fontId="11" fillId="0" borderId="26" xfId="19" applyNumberFormat="1" applyBorder="1" applyAlignment="1">
      <alignment vertical="center"/>
    </xf>
    <xf numFmtId="174" fontId="11" fillId="0" borderId="79" xfId="19" applyNumberFormat="1" applyBorder="1" applyAlignment="1">
      <alignment vertical="center"/>
    </xf>
    <xf numFmtId="174" fontId="11" fillId="28" borderId="81" xfId="19" applyNumberFormat="1" applyFill="1" applyBorder="1" applyAlignment="1">
      <alignment vertical="center"/>
    </xf>
    <xf numFmtId="174" fontId="11" fillId="28" borderId="79" xfId="19" applyNumberFormat="1" applyFill="1" applyBorder="1" applyAlignment="1">
      <alignment vertical="center"/>
    </xf>
    <xf numFmtId="174" fontId="11" fillId="28" borderId="50" xfId="19" applyNumberFormat="1" applyFill="1" applyBorder="1" applyAlignment="1">
      <alignment vertical="center"/>
    </xf>
    <xf numFmtId="174" fontId="11" fillId="0" borderId="49" xfId="19" applyNumberFormat="1" applyBorder="1" applyAlignment="1">
      <alignment vertical="center"/>
    </xf>
    <xf numFmtId="177" fontId="34" fillId="45" borderId="101" xfId="31" applyNumberFormat="1" applyFont="1" applyFill="1" applyBorder="1" applyAlignment="1">
      <alignment horizontal="right" vertical="center" wrapText="1"/>
    </xf>
    <xf numFmtId="0" fontId="93" fillId="33" borderId="30" xfId="29" applyFont="1" applyFill="1" applyBorder="1" applyAlignment="1">
      <alignment vertical="center"/>
    </xf>
    <xf numFmtId="0" fontId="93" fillId="28" borderId="30" xfId="29" applyFont="1" applyFill="1" applyBorder="1" applyAlignment="1">
      <alignment vertical="center"/>
    </xf>
    <xf numFmtId="0" fontId="93" fillId="48" borderId="30" xfId="29" applyFont="1" applyFill="1" applyBorder="1" applyAlignment="1">
      <alignment vertical="center"/>
    </xf>
    <xf numFmtId="0" fontId="40" fillId="48" borderId="30" xfId="29" applyFont="1" applyFill="1" applyBorder="1" applyAlignment="1">
      <alignment vertical="center"/>
    </xf>
    <xf numFmtId="0" fontId="93" fillId="41" borderId="30" xfId="29" applyFont="1" applyFill="1" applyBorder="1" applyAlignment="1">
      <alignment vertical="center"/>
    </xf>
    <xf numFmtId="0" fontId="93" fillId="33" borderId="31" xfId="63" applyFont="1" applyFill="1" applyBorder="1" applyAlignment="1">
      <alignment horizontal="center" vertical="center"/>
    </xf>
    <xf numFmtId="0" fontId="70" fillId="33" borderId="32" xfId="63" applyFont="1" applyFill="1" applyBorder="1" applyAlignment="1">
      <alignment horizontal="center" vertical="center"/>
    </xf>
    <xf numFmtId="10" fontId="40" fillId="33" borderId="10" xfId="64" applyNumberFormat="1" applyFont="1" applyFill="1" applyBorder="1" applyAlignment="1">
      <alignment vertical="center"/>
    </xf>
    <xf numFmtId="10" fontId="40" fillId="33" borderId="33" xfId="64" applyNumberFormat="1" applyFont="1" applyFill="1" applyBorder="1" applyAlignment="1">
      <alignment vertical="center"/>
    </xf>
    <xf numFmtId="0" fontId="93" fillId="28" borderId="31" xfId="63" applyFont="1" applyFill="1" applyBorder="1" applyAlignment="1">
      <alignment horizontal="center" vertical="center"/>
    </xf>
    <xf numFmtId="0" fontId="70" fillId="28" borderId="32" xfId="63" applyFont="1" applyFill="1" applyBorder="1" applyAlignment="1">
      <alignment horizontal="center" vertical="center"/>
    </xf>
    <xf numFmtId="10" fontId="40" fillId="28" borderId="10" xfId="64" applyNumberFormat="1" applyFont="1" applyFill="1" applyBorder="1" applyAlignment="1">
      <alignment vertical="center"/>
    </xf>
    <xf numFmtId="10" fontId="40" fillId="28" borderId="33" xfId="64" applyNumberFormat="1" applyFont="1" applyFill="1" applyBorder="1" applyAlignment="1">
      <alignment vertical="center"/>
    </xf>
    <xf numFmtId="0" fontId="93" fillId="48" borderId="31" xfId="63" applyFont="1" applyFill="1" applyBorder="1" applyAlignment="1">
      <alignment horizontal="center" vertical="center"/>
    </xf>
    <xf numFmtId="0" fontId="70" fillId="48" borderId="32" xfId="63" applyFont="1" applyFill="1" applyBorder="1" applyAlignment="1">
      <alignment horizontal="center" vertical="center"/>
    </xf>
    <xf numFmtId="10" fontId="40" fillId="48" borderId="10" xfId="64" applyNumberFormat="1" applyFont="1" applyFill="1" applyBorder="1" applyAlignment="1">
      <alignment vertical="center"/>
    </xf>
    <xf numFmtId="10" fontId="40" fillId="48" borderId="33" xfId="64" applyNumberFormat="1" applyFont="1" applyFill="1" applyBorder="1" applyAlignment="1">
      <alignment vertical="center"/>
    </xf>
    <xf numFmtId="10" fontId="40" fillId="48" borderId="17" xfId="64" applyNumberFormat="1" applyFont="1" applyFill="1" applyBorder="1" applyAlignment="1">
      <alignment vertical="center"/>
    </xf>
    <xf numFmtId="10" fontId="40" fillId="48" borderId="123" xfId="64" applyNumberFormat="1" applyFont="1" applyFill="1" applyBorder="1" applyAlignment="1">
      <alignment vertical="center"/>
    </xf>
    <xf numFmtId="0" fontId="93" fillId="41" borderId="31" xfId="63" applyFont="1" applyFill="1" applyBorder="1" applyAlignment="1">
      <alignment horizontal="center" vertical="center"/>
    </xf>
    <xf numFmtId="0" fontId="70" fillId="41" borderId="32" xfId="63" applyFont="1" applyFill="1" applyBorder="1" applyAlignment="1">
      <alignment horizontal="center" vertical="center"/>
    </xf>
    <xf numFmtId="177" fontId="40" fillId="41" borderId="10" xfId="31" applyNumberFormat="1" applyFont="1" applyFill="1" applyBorder="1" applyAlignment="1">
      <alignment vertical="center"/>
    </xf>
    <xf numFmtId="177" fontId="40" fillId="41" borderId="17" xfId="31" applyNumberFormat="1" applyFont="1" applyFill="1" applyBorder="1" applyAlignment="1">
      <alignment vertical="center"/>
    </xf>
    <xf numFmtId="177" fontId="40" fillId="41" borderId="123" xfId="31" applyNumberFormat="1" applyFont="1" applyFill="1" applyBorder="1" applyAlignment="1">
      <alignment vertical="center"/>
    </xf>
    <xf numFmtId="177" fontId="40" fillId="41" borderId="10" xfId="64" applyNumberFormat="1" applyFont="1" applyFill="1" applyBorder="1" applyAlignment="1">
      <alignment vertical="center"/>
    </xf>
    <xf numFmtId="177" fontId="40" fillId="41" borderId="17" xfId="64" applyNumberFormat="1" applyFont="1" applyFill="1" applyBorder="1" applyAlignment="1">
      <alignment vertical="center"/>
    </xf>
    <xf numFmtId="177" fontId="40" fillId="41" borderId="123" xfId="64" applyNumberFormat="1" applyFont="1" applyFill="1" applyBorder="1" applyAlignment="1">
      <alignment vertical="center"/>
    </xf>
    <xf numFmtId="10" fontId="40" fillId="41" borderId="10" xfId="64" applyNumberFormat="1" applyFont="1" applyFill="1" applyBorder="1" applyAlignment="1">
      <alignment vertical="center"/>
    </xf>
    <xf numFmtId="10" fontId="40" fillId="41" borderId="33" xfId="64" applyNumberFormat="1" applyFont="1" applyFill="1" applyBorder="1" applyAlignment="1">
      <alignment vertical="center"/>
    </xf>
    <xf numFmtId="10" fontId="40" fillId="41" borderId="17" xfId="64" applyNumberFormat="1" applyFont="1" applyFill="1" applyBorder="1" applyAlignment="1">
      <alignment vertical="center"/>
    </xf>
    <xf numFmtId="10" fontId="40" fillId="41" borderId="123" xfId="64" applyNumberFormat="1" applyFont="1" applyFill="1" applyBorder="1" applyAlignment="1">
      <alignment vertical="center"/>
    </xf>
    <xf numFmtId="174" fontId="94" fillId="0" borderId="20" xfId="19" applyNumberFormat="1" applyFont="1" applyFill="1" applyBorder="1" applyAlignment="1">
      <alignment vertical="center"/>
    </xf>
    <xf numFmtId="0" fontId="118" fillId="0" borderId="0" xfId="63" applyFont="1" applyAlignment="1">
      <alignment vertical="center"/>
    </xf>
    <xf numFmtId="0" fontId="11" fillId="45" borderId="81" xfId="59" applyFill="1" applyBorder="1" applyAlignment="1">
      <alignment vertical="center"/>
    </xf>
    <xf numFmtId="174" fontId="11" fillId="45" borderId="81" xfId="19" applyNumberFormat="1" applyFont="1" applyFill="1" applyBorder="1" applyAlignment="1">
      <alignment vertical="center"/>
    </xf>
    <xf numFmtId="9" fontId="11" fillId="45" borderId="81" xfId="31" applyFont="1" applyFill="1" applyBorder="1" applyAlignment="1">
      <alignment vertical="center"/>
    </xf>
    <xf numFmtId="174" fontId="11" fillId="45" borderId="81" xfId="19" applyNumberFormat="1" applyFill="1" applyBorder="1" applyAlignment="1">
      <alignment vertical="center"/>
    </xf>
    <xf numFmtId="0" fontId="11" fillId="45" borderId="79" xfId="59" applyFill="1" applyBorder="1" applyAlignment="1">
      <alignment vertical="center"/>
    </xf>
    <xf numFmtId="174" fontId="11" fillId="45" borderId="79" xfId="19" applyNumberFormat="1" applyFont="1" applyFill="1" applyBorder="1" applyAlignment="1">
      <alignment vertical="center"/>
    </xf>
    <xf numFmtId="9" fontId="11" fillId="45" borderId="79" xfId="31" applyFont="1" applyFill="1" applyBorder="1" applyAlignment="1">
      <alignment vertical="center"/>
    </xf>
    <xf numFmtId="174" fontId="11" fillId="45" borderId="79" xfId="19" applyNumberFormat="1" applyFill="1" applyBorder="1" applyAlignment="1">
      <alignment vertical="center"/>
    </xf>
    <xf numFmtId="0" fontId="11" fillId="45" borderId="50" xfId="59" applyFill="1" applyBorder="1" applyAlignment="1">
      <alignment vertical="center"/>
    </xf>
    <xf numFmtId="174" fontId="11" fillId="45" borderId="50" xfId="19" applyNumberFormat="1" applyFont="1" applyFill="1" applyBorder="1" applyAlignment="1">
      <alignment vertical="center"/>
    </xf>
    <xf numFmtId="9" fontId="11" fillId="45" borderId="50" xfId="31" applyFont="1" applyFill="1" applyBorder="1" applyAlignment="1">
      <alignment vertical="center"/>
    </xf>
    <xf numFmtId="174" fontId="11" fillId="45" borderId="50" xfId="19" applyNumberFormat="1" applyFill="1" applyBorder="1" applyAlignment="1">
      <alignment vertical="center"/>
    </xf>
    <xf numFmtId="10" fontId="34" fillId="45" borderId="50" xfId="60" applyNumberFormat="1" applyFont="1" applyFill="1" applyBorder="1" applyAlignment="1">
      <alignment horizontal="center" vertical="center"/>
    </xf>
    <xf numFmtId="9" fontId="34" fillId="45" borderId="50" xfId="60" applyFont="1" applyFill="1" applyBorder="1" applyAlignment="1">
      <alignment horizontal="center" vertical="center"/>
    </xf>
    <xf numFmtId="174" fontId="34" fillId="45" borderId="50" xfId="19" applyNumberFormat="1" applyFont="1" applyFill="1" applyBorder="1" applyAlignment="1">
      <alignment horizontal="center" vertical="center"/>
    </xf>
    <xf numFmtId="9" fontId="34" fillId="45" borderId="129" xfId="60" applyFont="1" applyFill="1" applyBorder="1" applyAlignment="1">
      <alignment horizontal="center" vertical="center"/>
    </xf>
    <xf numFmtId="0" fontId="93" fillId="0" borderId="79" xfId="29" quotePrefix="1" applyFont="1" applyBorder="1" applyAlignment="1">
      <alignment vertical="center" wrapText="1"/>
    </xf>
    <xf numFmtId="0" fontId="93" fillId="0" borderId="26" xfId="57" applyFont="1" applyBorder="1" applyAlignment="1">
      <alignment vertical="center" wrapText="1"/>
    </xf>
    <xf numFmtId="0" fontId="93" fillId="0" borderId="79" xfId="57" applyFont="1" applyBorder="1" applyAlignment="1">
      <alignment vertical="center" wrapText="1"/>
    </xf>
    <xf numFmtId="0" fontId="93" fillId="0" borderId="79" xfId="57" quotePrefix="1" applyFont="1" applyBorder="1" applyAlignment="1">
      <alignment vertical="center" wrapText="1"/>
    </xf>
    <xf numFmtId="0" fontId="94" fillId="0" borderId="79" xfId="57" quotePrefix="1" applyFont="1" applyBorder="1" applyAlignment="1">
      <alignment vertical="center" wrapText="1"/>
    </xf>
    <xf numFmtId="0" fontId="94" fillId="0" borderId="79" xfId="29" quotePrefix="1" applyFont="1" applyBorder="1" applyAlignment="1">
      <alignment vertical="center" wrapText="1"/>
    </xf>
    <xf numFmtId="177" fontId="11" fillId="28" borderId="152" xfId="31" applyNumberFormat="1" applyFont="1" applyFill="1" applyBorder="1" applyAlignment="1">
      <alignment horizontal="right" vertical="center"/>
    </xf>
    <xf numFmtId="177" fontId="0" fillId="0" borderId="153" xfId="31" applyNumberFormat="1" applyFont="1" applyBorder="1" applyAlignment="1">
      <alignment horizontal="right" vertical="center"/>
    </xf>
    <xf numFmtId="177" fontId="34" fillId="52" borderId="153" xfId="31" applyNumberFormat="1" applyFont="1" applyFill="1" applyBorder="1" applyAlignment="1">
      <alignment horizontal="right" vertical="center"/>
    </xf>
    <xf numFmtId="177" fontId="34" fillId="52" borderId="154" xfId="31" applyNumberFormat="1" applyFont="1" applyFill="1" applyBorder="1" applyAlignment="1">
      <alignment horizontal="right" vertical="center"/>
    </xf>
    <xf numFmtId="177" fontId="34" fillId="28" borderId="155" xfId="31" applyNumberFormat="1" applyFont="1" applyFill="1" applyBorder="1" applyAlignment="1">
      <alignment horizontal="right" vertical="center"/>
    </xf>
    <xf numFmtId="0" fontId="34" fillId="52" borderId="79" xfId="31" applyNumberFormat="1" applyFont="1" applyFill="1" applyBorder="1" applyAlignment="1">
      <alignment horizontal="right" vertical="center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9" fontId="52" fillId="41" borderId="12" xfId="31" applyFont="1" applyFill="1" applyBorder="1" applyAlignment="1">
      <alignment horizontal="center" vertical="center" wrapText="1"/>
    </xf>
    <xf numFmtId="167" fontId="35" fillId="0" borderId="26" xfId="19" applyFont="1" applyBorder="1" applyAlignment="1">
      <alignment vertical="center" wrapText="1"/>
    </xf>
    <xf numFmtId="167" fontId="35" fillId="0" borderId="79" xfId="19" applyFont="1" applyBorder="1" applyAlignment="1">
      <alignment vertical="center" wrapText="1"/>
    </xf>
    <xf numFmtId="177" fontId="94" fillId="0" borderId="12" xfId="31" applyNumberFormat="1" applyFont="1" applyFill="1" applyBorder="1" applyAlignment="1">
      <alignment horizontal="center" vertical="center" wrapText="1"/>
    </xf>
    <xf numFmtId="193" fontId="35" fillId="0" borderId="12" xfId="19" applyNumberFormat="1" applyFont="1" applyBorder="1" applyAlignment="1">
      <alignment vertical="center"/>
    </xf>
    <xf numFmtId="9" fontId="35" fillId="54" borderId="10" xfId="31" applyFont="1" applyFill="1" applyBorder="1" applyAlignment="1">
      <alignment vertical="center"/>
    </xf>
    <xf numFmtId="174" fontId="83" fillId="0" borderId="0" xfId="29" applyNumberFormat="1" applyFont="1" applyAlignment="1">
      <alignment horizontal="center" vertical="center"/>
    </xf>
    <xf numFmtId="185" fontId="0" fillId="0" borderId="105" xfId="259" applyNumberFormat="1" applyFont="1" applyBorder="1" applyAlignment="1">
      <alignment vertical="center"/>
    </xf>
    <xf numFmtId="185" fontId="34" fillId="52" borderId="105" xfId="259" applyNumberFormat="1" applyFont="1" applyFill="1" applyBorder="1" applyAlignment="1">
      <alignment horizontal="center" vertical="center"/>
    </xf>
    <xf numFmtId="177" fontId="34" fillId="52" borderId="74" xfId="60" applyNumberFormat="1" applyFont="1" applyFill="1" applyBorder="1" applyAlignment="1">
      <alignment horizontal="right" vertical="center" wrapText="1"/>
    </xf>
    <xf numFmtId="9" fontId="34" fillId="52" borderId="79" xfId="60" applyFont="1" applyFill="1" applyBorder="1" applyAlignment="1">
      <alignment horizontal="right" vertical="center"/>
    </xf>
    <xf numFmtId="177" fontId="34" fillId="52" borderId="105" xfId="60" applyNumberFormat="1" applyFont="1" applyFill="1" applyBorder="1" applyAlignment="1">
      <alignment horizontal="right" vertical="center"/>
    </xf>
    <xf numFmtId="177" fontId="34" fillId="52" borderId="136" xfId="60" applyNumberFormat="1" applyFont="1" applyFill="1" applyBorder="1" applyAlignment="1">
      <alignment horizontal="right" vertical="center" wrapText="1"/>
    </xf>
    <xf numFmtId="9" fontId="34" fillId="52" borderId="137" xfId="60" applyFont="1" applyFill="1" applyBorder="1" applyAlignment="1">
      <alignment horizontal="right" vertical="center"/>
    </xf>
    <xf numFmtId="177" fontId="34" fillId="52" borderId="138" xfId="60" applyNumberFormat="1" applyFont="1" applyFill="1" applyBorder="1" applyAlignment="1">
      <alignment horizontal="right" vertical="center"/>
    </xf>
    <xf numFmtId="185" fontId="34" fillId="28" borderId="129" xfId="259" applyNumberFormat="1" applyFont="1" applyFill="1" applyBorder="1" applyAlignment="1">
      <alignment horizontal="center" vertical="center"/>
    </xf>
    <xf numFmtId="9" fontId="0" fillId="0" borderId="0" xfId="60" applyFont="1" applyAlignment="1">
      <alignment vertical="center"/>
    </xf>
    <xf numFmtId="193" fontId="0" fillId="28" borderId="12" xfId="259" applyNumberFormat="1" applyFont="1" applyFill="1" applyBorder="1" applyAlignment="1">
      <alignment horizontal="center" vertical="center" wrapText="1"/>
    </xf>
    <xf numFmtId="174" fontId="34" fillId="28" borderId="129" xfId="19" applyNumberFormat="1" applyFont="1" applyFill="1" applyBorder="1" applyAlignment="1">
      <alignment horizontal="center" vertical="center"/>
    </xf>
    <xf numFmtId="193" fontId="0" fillId="0" borderId="12" xfId="175" applyNumberFormat="1" applyFont="1" applyBorder="1" applyAlignment="1">
      <alignment horizontal="center" vertical="center"/>
    </xf>
    <xf numFmtId="181" fontId="0" fillId="0" borderId="12" xfId="19" applyNumberFormat="1" applyFont="1" applyBorder="1" applyAlignment="1">
      <alignment horizontal="center" vertical="center"/>
    </xf>
    <xf numFmtId="174" fontId="103" fillId="0" borderId="0" xfId="19" applyNumberFormat="1" applyFont="1" applyBorder="1" applyAlignment="1">
      <alignment vertical="center" wrapText="1"/>
    </xf>
    <xf numFmtId="0" fontId="34" fillId="28" borderId="157" xfId="0" applyFont="1" applyFill="1" applyBorder="1" applyAlignment="1">
      <alignment horizontal="center" vertical="center"/>
    </xf>
    <xf numFmtId="174" fontId="34" fillId="28" borderId="157" xfId="19" applyNumberFormat="1" applyFont="1" applyFill="1" applyBorder="1" applyAlignment="1">
      <alignment horizontal="center" vertical="center" wrapText="1"/>
    </xf>
    <xf numFmtId="174" fontId="34" fillId="28" borderId="157" xfId="19" applyNumberFormat="1" applyFont="1" applyFill="1" applyBorder="1" applyAlignment="1">
      <alignment horizontal="center" vertical="center"/>
    </xf>
    <xf numFmtId="185" fontId="34" fillId="28" borderId="157" xfId="175" applyNumberFormat="1" applyFont="1" applyFill="1" applyBorder="1" applyAlignment="1">
      <alignment horizontal="center" vertical="center"/>
    </xf>
    <xf numFmtId="177" fontId="34" fillId="28" borderId="157" xfId="31" applyNumberFormat="1" applyFont="1" applyFill="1" applyBorder="1" applyAlignment="1">
      <alignment horizontal="right" vertical="center"/>
    </xf>
    <xf numFmtId="185" fontId="34" fillId="28" borderId="157" xfId="259" applyNumberFormat="1" applyFont="1" applyFill="1" applyBorder="1" applyAlignment="1">
      <alignment horizontal="center" vertical="center"/>
    </xf>
    <xf numFmtId="174" fontId="34" fillId="28" borderId="158" xfId="19" applyNumberFormat="1" applyFont="1" applyFill="1" applyBorder="1" applyAlignment="1">
      <alignment horizontal="center" vertical="center" wrapText="1"/>
    </xf>
    <xf numFmtId="174" fontId="34" fillId="28" borderId="158" xfId="19" applyNumberFormat="1" applyFont="1" applyFill="1" applyBorder="1" applyAlignment="1">
      <alignment horizontal="center" vertical="center"/>
    </xf>
    <xf numFmtId="185" fontId="34" fillId="28" borderId="158" xfId="175" applyNumberFormat="1" applyFont="1" applyFill="1" applyBorder="1" applyAlignment="1">
      <alignment horizontal="center" vertical="center"/>
    </xf>
    <xf numFmtId="177" fontId="34" fillId="28" borderId="158" xfId="31" applyNumberFormat="1" applyFont="1" applyFill="1" applyBorder="1" applyAlignment="1">
      <alignment horizontal="right" vertical="center"/>
    </xf>
    <xf numFmtId="185" fontId="34" fillId="28" borderId="158" xfId="259" applyNumberFormat="1" applyFont="1" applyFill="1" applyBorder="1" applyAlignment="1">
      <alignment horizontal="center" vertical="center"/>
    </xf>
    <xf numFmtId="9" fontId="34" fillId="28" borderId="158" xfId="31" applyFont="1" applyFill="1" applyBorder="1" applyAlignment="1">
      <alignment horizontal="right" vertical="center"/>
    </xf>
    <xf numFmtId="0" fontId="34" fillId="28" borderId="158" xfId="0" applyFont="1" applyFill="1" applyBorder="1" applyAlignment="1">
      <alignment horizontal="left" vertical="center"/>
    </xf>
    <xf numFmtId="177" fontId="120" fillId="0" borderId="0" xfId="31" applyNumberFormat="1" applyFont="1" applyAlignment="1">
      <alignment horizontal="right" vertical="center"/>
    </xf>
    <xf numFmtId="174" fontId="120" fillId="0" borderId="0" xfId="19" applyNumberFormat="1" applyFont="1" applyAlignment="1">
      <alignment horizontal="right" vertical="center"/>
    </xf>
    <xf numFmtId="0" fontId="120" fillId="0" borderId="0" xfId="0" applyFont="1" applyAlignment="1">
      <alignment vertical="center"/>
    </xf>
    <xf numFmtId="174" fontId="120" fillId="0" borderId="0" xfId="19" applyNumberFormat="1" applyFont="1" applyAlignment="1">
      <alignment vertical="center"/>
    </xf>
    <xf numFmtId="185" fontId="0" fillId="0" borderId="12" xfId="19" applyNumberFormat="1" applyFont="1" applyBorder="1" applyAlignment="1">
      <alignment horizontal="center" vertical="center"/>
    </xf>
    <xf numFmtId="0" fontId="121" fillId="0" borderId="79" xfId="19" applyNumberFormat="1" applyFont="1" applyFill="1" applyBorder="1" applyAlignment="1">
      <alignment horizontal="center" vertical="center" wrapText="1"/>
    </xf>
    <xf numFmtId="187" fontId="121" fillId="0" borderId="79" xfId="19" applyNumberFormat="1" applyFont="1" applyFill="1" applyBorder="1" applyAlignment="1">
      <alignment horizontal="left" vertical="center" wrapText="1"/>
    </xf>
    <xf numFmtId="14" fontId="121" fillId="0" borderId="79" xfId="0" applyNumberFormat="1" applyFont="1" applyBorder="1" applyAlignment="1">
      <alignment horizontal="center" vertical="center" wrapText="1" shrinkToFit="1"/>
    </xf>
    <xf numFmtId="187" fontId="121" fillId="0" borderId="79" xfId="19" applyNumberFormat="1" applyFont="1" applyFill="1" applyBorder="1" applyAlignment="1">
      <alignment vertical="center" wrapText="1"/>
    </xf>
    <xf numFmtId="0" fontId="121" fillId="0" borderId="79" xfId="0" applyFont="1" applyBorder="1" applyAlignment="1">
      <alignment vertical="center" wrapText="1" shrinkToFit="1"/>
    </xf>
    <xf numFmtId="174" fontId="122" fillId="0" borderId="79" xfId="0" applyNumberFormat="1" applyFont="1" applyBorder="1" applyAlignment="1">
      <alignment horizontal="right" vertical="center" wrapText="1" shrinkToFit="1"/>
    </xf>
    <xf numFmtId="174" fontId="122" fillId="0" borderId="79" xfId="19" applyNumberFormat="1" applyFont="1" applyFill="1" applyBorder="1" applyAlignment="1">
      <alignment horizontal="right" vertical="center" wrapText="1"/>
    </xf>
    <xf numFmtId="167" fontId="122" fillId="0" borderId="79" xfId="19" applyFont="1" applyFill="1" applyBorder="1" applyAlignment="1">
      <alignment horizontal="right" vertical="center" wrapText="1" shrinkToFit="1"/>
    </xf>
    <xf numFmtId="167" fontId="122" fillId="0" borderId="79" xfId="19" applyFont="1" applyFill="1" applyBorder="1" applyAlignment="1">
      <alignment horizontal="center" vertical="center" wrapText="1" shrinkToFit="1"/>
    </xf>
    <xf numFmtId="173" fontId="122" fillId="0" borderId="79" xfId="0" applyNumberFormat="1" applyFont="1" applyBorder="1" applyAlignment="1">
      <alignment horizontal="right" vertical="center" wrapText="1" shrinkToFit="1"/>
    </xf>
    <xf numFmtId="165" fontId="122" fillId="0" borderId="79" xfId="29" applyNumberFormat="1" applyFont="1" applyBorder="1" applyAlignment="1">
      <alignment horizontal="right" vertical="center" wrapText="1"/>
    </xf>
    <xf numFmtId="174" fontId="122" fillId="0" borderId="79" xfId="19" applyNumberFormat="1" applyFont="1" applyFill="1" applyBorder="1" applyAlignment="1">
      <alignment horizontal="center" vertical="center" wrapText="1"/>
    </xf>
    <xf numFmtId="165" fontId="122" fillId="0" borderId="79" xfId="0" applyNumberFormat="1" applyFont="1" applyBorder="1" applyAlignment="1">
      <alignment horizontal="right" vertical="center" wrapText="1"/>
    </xf>
    <xf numFmtId="167" fontId="122" fillId="0" borderId="79" xfId="19" applyFont="1" applyFill="1" applyBorder="1" applyAlignment="1">
      <alignment horizontal="right" vertical="center" wrapText="1"/>
    </xf>
    <xf numFmtId="173" fontId="122" fillId="0" borderId="79" xfId="19" applyNumberFormat="1" applyFont="1" applyFill="1" applyBorder="1" applyAlignment="1">
      <alignment horizontal="right" vertical="center" wrapText="1"/>
    </xf>
    <xf numFmtId="165" fontId="123" fillId="32" borderId="79" xfId="0" applyNumberFormat="1" applyFont="1" applyFill="1" applyBorder="1" applyAlignment="1">
      <alignment horizontal="right" vertical="center" wrapText="1"/>
    </xf>
    <xf numFmtId="187" fontId="124" fillId="0" borderId="26" xfId="19" applyNumberFormat="1" applyFont="1" applyFill="1" applyBorder="1" applyAlignment="1">
      <alignment horizontal="left" vertical="center" wrapText="1"/>
    </xf>
    <xf numFmtId="0" fontId="125" fillId="0" borderId="0" xfId="0" applyFont="1" applyAlignment="1">
      <alignment vertical="center" wrapText="1"/>
    </xf>
    <xf numFmtId="167" fontId="122" fillId="0" borderId="0" xfId="0" applyNumberFormat="1" applyFont="1" applyAlignment="1">
      <alignment vertical="center" wrapText="1"/>
    </xf>
    <xf numFmtId="165" fontId="122" fillId="0" borderId="0" xfId="0" applyNumberFormat="1" applyFont="1" applyAlignment="1">
      <alignment vertical="center" wrapText="1"/>
    </xf>
    <xf numFmtId="0" fontId="122" fillId="0" borderId="0" xfId="0" applyFont="1" applyAlignment="1">
      <alignment vertical="center" wrapText="1"/>
    </xf>
    <xf numFmtId="165" fontId="94" fillId="0" borderId="0" xfId="0" applyNumberFormat="1" applyFont="1"/>
    <xf numFmtId="0" fontId="95" fillId="45" borderId="48" xfId="0" applyFont="1" applyFill="1" applyBorder="1" applyAlignment="1">
      <alignment horizontal="left" vertical="center" wrapText="1"/>
    </xf>
    <xf numFmtId="165" fontId="94" fillId="0" borderId="79" xfId="0" applyNumberFormat="1" applyFont="1" applyBorder="1" applyAlignment="1">
      <alignment vertical="center" wrapText="1"/>
    </xf>
    <xf numFmtId="165" fontId="93" fillId="25" borderId="70" xfId="0" applyNumberFormat="1" applyFont="1" applyFill="1" applyBorder="1"/>
    <xf numFmtId="165" fontId="94" fillId="0" borderId="0" xfId="0" applyNumberFormat="1" applyFont="1" applyAlignment="1">
      <alignment horizontal="left"/>
    </xf>
    <xf numFmtId="165" fontId="93" fillId="0" borderId="0" xfId="0" applyNumberFormat="1" applyFont="1"/>
    <xf numFmtId="0" fontId="94" fillId="0" borderId="0" xfId="0" applyFont="1" applyAlignment="1">
      <alignment horizontal="left"/>
    </xf>
    <xf numFmtId="0" fontId="126" fillId="0" borderId="0" xfId="0" applyFont="1" applyAlignment="1">
      <alignment horizontal="left"/>
    </xf>
    <xf numFmtId="0" fontId="126" fillId="0" borderId="12" xfId="0" applyFont="1" applyBorder="1" applyAlignment="1">
      <alignment horizontal="left"/>
    </xf>
    <xf numFmtId="0" fontId="109" fillId="0" borderId="12" xfId="0" applyFont="1" applyBorder="1" applyAlignment="1">
      <alignment horizontal="left"/>
    </xf>
    <xf numFmtId="174" fontId="11" fillId="0" borderId="0" xfId="29" applyNumberFormat="1" applyAlignment="1">
      <alignment vertical="center"/>
    </xf>
    <xf numFmtId="0" fontId="128" fillId="41" borderId="12" xfId="0" applyFont="1" applyFill="1" applyBorder="1" applyAlignment="1">
      <alignment horizontal="center" vertical="center" wrapText="1"/>
    </xf>
    <xf numFmtId="174" fontId="129" fillId="41" borderId="12" xfId="19" applyNumberFormat="1" applyFont="1" applyFill="1" applyBorder="1" applyAlignment="1">
      <alignment horizontal="center" vertical="center" wrapText="1"/>
    </xf>
    <xf numFmtId="9" fontId="129" fillId="41" borderId="12" xfId="31" applyFont="1" applyFill="1" applyBorder="1" applyAlignment="1">
      <alignment horizontal="center" vertical="center" wrapText="1"/>
    </xf>
    <xf numFmtId="174" fontId="130" fillId="0" borderId="81" xfId="19" applyNumberFormat="1" applyFont="1" applyBorder="1" applyAlignment="1">
      <alignment horizontal="center" vertical="center"/>
    </xf>
    <xf numFmtId="174" fontId="130" fillId="0" borderId="81" xfId="19" applyNumberFormat="1" applyFont="1" applyBorder="1" applyAlignment="1">
      <alignment horizontal="right" vertical="center"/>
    </xf>
    <xf numFmtId="174" fontId="130" fillId="0" borderId="79" xfId="19" applyNumberFormat="1" applyFont="1" applyBorder="1" applyAlignment="1">
      <alignment horizontal="right" vertical="center"/>
    </xf>
    <xf numFmtId="167" fontId="130" fillId="0" borderId="26" xfId="19" applyFont="1" applyBorder="1" applyAlignment="1">
      <alignment vertical="center" wrapText="1"/>
    </xf>
    <xf numFmtId="174" fontId="130" fillId="0" borderId="79" xfId="19" applyNumberFormat="1" applyFont="1" applyBorder="1" applyAlignment="1">
      <alignment horizontal="center" vertical="center"/>
    </xf>
    <xf numFmtId="167" fontId="130" fillId="0" borderId="79" xfId="19" applyFont="1" applyBorder="1" applyAlignment="1">
      <alignment vertical="center" wrapText="1"/>
    </xf>
    <xf numFmtId="174" fontId="131" fillId="50" borderId="11" xfId="19" applyNumberFormat="1" applyFont="1" applyFill="1" applyBorder="1" applyAlignment="1">
      <alignment horizontal="right" vertical="center"/>
    </xf>
    <xf numFmtId="165" fontId="72" fillId="0" borderId="79" xfId="0" applyNumberFormat="1" applyFont="1" applyBorder="1" applyAlignment="1">
      <alignment vertical="center" wrapText="1"/>
    </xf>
    <xf numFmtId="191" fontId="35" fillId="0" borderId="12" xfId="19" applyNumberFormat="1" applyFont="1" applyFill="1" applyBorder="1" applyAlignment="1">
      <alignment vertical="center"/>
    </xf>
    <xf numFmtId="174" fontId="53" fillId="0" borderId="0" xfId="19" applyNumberFormat="1" applyFont="1" applyAlignment="1">
      <alignment vertical="center"/>
    </xf>
    <xf numFmtId="0" fontId="132" fillId="0" borderId="0" xfId="0" applyFont="1" applyAlignment="1">
      <alignment horizontal="center" vertical="center"/>
    </xf>
    <xf numFmtId="3" fontId="132" fillId="0" borderId="0" xfId="0" applyNumberFormat="1" applyFont="1" applyAlignment="1">
      <alignment vertical="center"/>
    </xf>
    <xf numFmtId="3" fontId="133" fillId="0" borderId="0" xfId="0" applyNumberFormat="1" applyFont="1" applyAlignment="1">
      <alignment vertical="center"/>
    </xf>
    <xf numFmtId="174" fontId="132" fillId="0" borderId="0" xfId="19" applyNumberFormat="1" applyFont="1" applyAlignment="1">
      <alignment vertical="center"/>
    </xf>
    <xf numFmtId="0" fontId="132" fillId="0" borderId="0" xfId="0" applyFont="1" applyAlignment="1">
      <alignment vertical="center" wrapText="1"/>
    </xf>
    <xf numFmtId="0" fontId="135" fillId="41" borderId="12" xfId="0" applyFont="1" applyFill="1" applyBorder="1" applyAlignment="1">
      <alignment horizontal="center" vertical="center" wrapText="1"/>
    </xf>
    <xf numFmtId="174" fontId="136" fillId="41" borderId="12" xfId="19" applyNumberFormat="1" applyFont="1" applyFill="1" applyBorder="1" applyAlignment="1">
      <alignment horizontal="center" vertical="center" wrapText="1"/>
    </xf>
    <xf numFmtId="9" fontId="136" fillId="41" borderId="12" xfId="31" applyFont="1" applyFill="1" applyBorder="1" applyAlignment="1">
      <alignment horizontal="center" vertical="center" wrapText="1"/>
    </xf>
    <xf numFmtId="174" fontId="137" fillId="0" borderId="81" xfId="19" applyNumberFormat="1" applyFont="1" applyBorder="1" applyAlignment="1">
      <alignment horizontal="center" vertical="center"/>
    </xf>
    <xf numFmtId="174" fontId="137" fillId="0" borderId="81" xfId="19" applyNumberFormat="1" applyFont="1" applyBorder="1" applyAlignment="1">
      <alignment horizontal="right" vertical="center"/>
    </xf>
    <xf numFmtId="174" fontId="137" fillId="0" borderId="79" xfId="19" applyNumberFormat="1" applyFont="1" applyBorder="1" applyAlignment="1">
      <alignment horizontal="right" vertical="center"/>
    </xf>
    <xf numFmtId="167" fontId="137" fillId="0" borderId="26" xfId="19" applyFont="1" applyBorder="1" applyAlignment="1">
      <alignment vertical="center" wrapText="1"/>
    </xf>
    <xf numFmtId="174" fontId="137" fillId="0" borderId="79" xfId="19" applyNumberFormat="1" applyFont="1" applyBorder="1" applyAlignment="1">
      <alignment horizontal="center" vertical="center"/>
    </xf>
    <xf numFmtId="167" fontId="137" fillId="0" borderId="79" xfId="19" applyFont="1" applyBorder="1" applyAlignment="1">
      <alignment vertical="center" wrapText="1"/>
    </xf>
    <xf numFmtId="174" fontId="138" fillId="50" borderId="11" xfId="19" applyNumberFormat="1" applyFont="1" applyFill="1" applyBorder="1" applyAlignment="1">
      <alignment horizontal="right" vertical="center"/>
    </xf>
    <xf numFmtId="0" fontId="133" fillId="0" borderId="0" xfId="0" applyFont="1" applyAlignment="1">
      <alignment horizontal="center" vertical="center"/>
    </xf>
    <xf numFmtId="174" fontId="133" fillId="0" borderId="0" xfId="19" applyNumberFormat="1" applyFont="1" applyAlignment="1">
      <alignment vertical="center"/>
    </xf>
    <xf numFmtId="0" fontId="133" fillId="0" borderId="0" xfId="0" applyFont="1" applyAlignment="1">
      <alignment vertical="center" wrapText="1"/>
    </xf>
    <xf numFmtId="174" fontId="49" fillId="27" borderId="0" xfId="19" applyNumberFormat="1" applyFont="1" applyFill="1" applyAlignment="1">
      <alignment vertical="center"/>
    </xf>
    <xf numFmtId="18" fontId="99" fillId="41" borderId="12" xfId="0" applyNumberFormat="1" applyFont="1" applyFill="1" applyBorder="1" applyAlignment="1">
      <alignment horizontal="center" vertical="center" wrapText="1"/>
    </xf>
    <xf numFmtId="0" fontId="34" fillId="52" borderId="137" xfId="31" applyNumberFormat="1" applyFont="1" applyFill="1" applyBorder="1" applyAlignment="1">
      <alignment horizontal="right" vertical="center"/>
    </xf>
    <xf numFmtId="174" fontId="0" fillId="0" borderId="20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4" fontId="103" fillId="0" borderId="0" xfId="19" applyNumberFormat="1" applyFont="1" applyBorder="1" applyAlignment="1">
      <alignment horizontal="left" vertical="center" wrapText="1"/>
    </xf>
    <xf numFmtId="0" fontId="103" fillId="0" borderId="0" xfId="19" quotePrefix="1" applyNumberFormat="1" applyFont="1" applyBorder="1" applyAlignment="1">
      <alignment horizontal="left" vertical="center" wrapText="1"/>
    </xf>
    <xf numFmtId="0" fontId="103" fillId="0" borderId="0" xfId="19" applyNumberFormat="1" applyFont="1" applyBorder="1" applyAlignment="1">
      <alignment horizontal="left" vertical="center" wrapText="1"/>
    </xf>
    <xf numFmtId="0" fontId="103" fillId="0" borderId="65" xfId="0" applyFont="1" applyBorder="1" applyAlignment="1">
      <alignment horizontal="left" vertical="center" wrapText="1"/>
    </xf>
    <xf numFmtId="174" fontId="0" fillId="0" borderId="12" xfId="0" applyNumberFormat="1" applyBorder="1" applyAlignment="1">
      <alignment horizontal="center" vertical="center" wrapText="1"/>
    </xf>
    <xf numFmtId="0" fontId="103" fillId="45" borderId="94" xfId="0" applyFont="1" applyFill="1" applyBorder="1" applyAlignment="1">
      <alignment horizontal="center" vertical="center"/>
    </xf>
    <xf numFmtId="0" fontId="103" fillId="45" borderId="116" xfId="0" applyFont="1" applyFill="1" applyBorder="1" applyAlignment="1">
      <alignment horizontal="center" vertical="center"/>
    </xf>
    <xf numFmtId="0" fontId="103" fillId="45" borderId="103" xfId="0" applyFont="1" applyFill="1" applyBorder="1" applyAlignment="1">
      <alignment horizontal="center" vertical="center"/>
    </xf>
    <xf numFmtId="177" fontId="34" fillId="45" borderId="101" xfId="31" applyNumberFormat="1" applyFont="1" applyFill="1" applyBorder="1" applyAlignment="1">
      <alignment horizontal="right" vertical="center" wrapText="1"/>
    </xf>
    <xf numFmtId="177" fontId="34" fillId="45" borderId="130" xfId="31" applyNumberFormat="1" applyFont="1" applyFill="1" applyBorder="1" applyAlignment="1">
      <alignment horizontal="right" vertical="center" wrapText="1"/>
    </xf>
    <xf numFmtId="17" fontId="34" fillId="45" borderId="84" xfId="0" applyNumberFormat="1" applyFont="1" applyFill="1" applyBorder="1" applyAlignment="1">
      <alignment horizontal="center" vertical="center"/>
    </xf>
    <xf numFmtId="0" fontId="34" fillId="45" borderId="84" xfId="0" applyFont="1" applyFill="1" applyBorder="1" applyAlignment="1">
      <alignment horizontal="center" vertical="center"/>
    </xf>
    <xf numFmtId="17" fontId="34" fillId="45" borderId="84" xfId="0" quotePrefix="1" applyNumberFormat="1" applyFont="1" applyFill="1" applyBorder="1" applyAlignment="1">
      <alignment horizontal="center" vertical="center"/>
    </xf>
    <xf numFmtId="49" fontId="34" fillId="45" borderId="84" xfId="0" applyNumberFormat="1" applyFont="1" applyFill="1" applyBorder="1" applyAlignment="1">
      <alignment horizontal="center" vertical="center"/>
    </xf>
    <xf numFmtId="174" fontId="103" fillId="0" borderId="65" xfId="19" applyNumberFormat="1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74" fontId="50" fillId="0" borderId="0" xfId="19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74" fontId="68" fillId="0" borderId="0" xfId="19" applyNumberFormat="1" applyFont="1" applyAlignment="1">
      <alignment horizontal="center" vertical="center"/>
    </xf>
    <xf numFmtId="0" fontId="50" fillId="0" borderId="0" xfId="29" applyFont="1" applyAlignment="1">
      <alignment horizontal="center" vertical="center" wrapText="1"/>
    </xf>
    <xf numFmtId="0" fontId="93" fillId="38" borderId="52" xfId="29" applyFont="1" applyFill="1" applyBorder="1" applyAlignment="1">
      <alignment horizontal="center" vertical="center"/>
    </xf>
    <xf numFmtId="0" fontId="93" fillId="38" borderId="38" xfId="29" applyFont="1" applyFill="1" applyBorder="1" applyAlignment="1">
      <alignment horizontal="center" vertical="center"/>
    </xf>
    <xf numFmtId="174" fontId="94" fillId="0" borderId="0" xfId="19" applyNumberFormat="1" applyFont="1" applyFill="1" applyBorder="1" applyAlignment="1">
      <alignment horizontal="center" vertical="center" wrapText="1"/>
    </xf>
    <xf numFmtId="165" fontId="52" fillId="42" borderId="59" xfId="0" applyNumberFormat="1" applyFont="1" applyFill="1" applyBorder="1" applyAlignment="1">
      <alignment horizontal="center" vertical="center" wrapText="1"/>
    </xf>
    <xf numFmtId="165" fontId="52" fillId="42" borderId="128" xfId="0" applyNumberFormat="1" applyFont="1" applyFill="1" applyBorder="1" applyAlignment="1">
      <alignment horizontal="center" vertical="center" wrapText="1"/>
    </xf>
    <xf numFmtId="12" fontId="107" fillId="42" borderId="59" xfId="0" applyNumberFormat="1" applyFont="1" applyFill="1" applyBorder="1" applyAlignment="1">
      <alignment horizontal="center" vertical="center" wrapText="1"/>
    </xf>
    <xf numFmtId="165" fontId="107" fillId="42" borderId="128" xfId="0" applyNumberFormat="1" applyFont="1" applyFill="1" applyBorder="1" applyAlignment="1">
      <alignment horizontal="center" vertical="center" wrapText="1"/>
    </xf>
    <xf numFmtId="165" fontId="107" fillId="42" borderId="23" xfId="0" applyNumberFormat="1" applyFont="1" applyFill="1" applyBorder="1" applyAlignment="1">
      <alignment horizontal="center" vertical="center" wrapText="1"/>
    </xf>
    <xf numFmtId="165" fontId="107" fillId="42" borderId="0" xfId="0" applyNumberFormat="1" applyFont="1" applyFill="1" applyAlignment="1">
      <alignment horizontal="center" vertical="center" wrapText="1"/>
    </xf>
    <xf numFmtId="165" fontId="52" fillId="42" borderId="24" xfId="0" applyNumberFormat="1" applyFont="1" applyFill="1" applyBorder="1" applyAlignment="1">
      <alignment horizontal="center" vertical="center" wrapText="1"/>
    </xf>
    <xf numFmtId="165" fontId="52" fillId="42" borderId="99" xfId="0" applyNumberFormat="1" applyFont="1" applyFill="1" applyBorder="1" applyAlignment="1">
      <alignment horizontal="center" vertical="center" wrapText="1"/>
    </xf>
    <xf numFmtId="0" fontId="114" fillId="0" borderId="0" xfId="29" applyFont="1" applyAlignment="1">
      <alignment horizontal="center" vertical="center" wrapText="1"/>
    </xf>
    <xf numFmtId="165" fontId="52" fillId="42" borderId="58" xfId="0" applyNumberFormat="1" applyFont="1" applyFill="1" applyBorder="1" applyAlignment="1">
      <alignment horizontal="center" vertical="center" wrapText="1"/>
    </xf>
    <xf numFmtId="165" fontId="52" fillId="42" borderId="53" xfId="0" applyNumberFormat="1" applyFont="1" applyFill="1" applyBorder="1" applyAlignment="1">
      <alignment horizontal="center" vertical="center" wrapText="1"/>
    </xf>
    <xf numFmtId="0" fontId="52" fillId="42" borderId="15" xfId="0" applyFont="1" applyFill="1" applyBorder="1" applyAlignment="1">
      <alignment horizontal="center" vertical="center" wrapText="1"/>
    </xf>
    <xf numFmtId="0" fontId="52" fillId="42" borderId="16" xfId="0" applyFont="1" applyFill="1" applyBorder="1" applyAlignment="1">
      <alignment horizontal="center" vertical="center" wrapText="1"/>
    </xf>
    <xf numFmtId="165" fontId="52" fillId="42" borderId="15" xfId="0" applyNumberFormat="1" applyFont="1" applyFill="1" applyBorder="1" applyAlignment="1">
      <alignment horizontal="center" vertical="center" wrapText="1"/>
    </xf>
    <xf numFmtId="165" fontId="52" fillId="42" borderId="16" xfId="0" applyNumberFormat="1" applyFont="1" applyFill="1" applyBorder="1" applyAlignment="1">
      <alignment horizontal="center" vertical="center" wrapText="1"/>
    </xf>
    <xf numFmtId="174" fontId="52" fillId="42" borderId="25" xfId="19" applyNumberFormat="1" applyFont="1" applyFill="1" applyBorder="1" applyAlignment="1">
      <alignment horizontal="center" vertical="center" wrapText="1"/>
    </xf>
    <xf numFmtId="173" fontId="52" fillId="42" borderId="25" xfId="22" applyNumberFormat="1" applyFont="1" applyFill="1" applyBorder="1" applyAlignment="1">
      <alignment horizontal="center" vertical="center" wrapText="1"/>
    </xf>
    <xf numFmtId="0" fontId="52" fillId="42" borderId="18" xfId="29" applyFont="1" applyFill="1" applyBorder="1" applyAlignment="1">
      <alignment horizontal="center" vertical="center" wrapText="1"/>
    </xf>
    <xf numFmtId="0" fontId="52" fillId="42" borderId="19" xfId="29" applyFont="1" applyFill="1" applyBorder="1" applyAlignment="1">
      <alignment horizontal="center" vertical="center" wrapText="1"/>
    </xf>
    <xf numFmtId="0" fontId="52" fillId="42" borderId="23" xfId="29" applyFont="1" applyFill="1" applyBorder="1" applyAlignment="1">
      <alignment horizontal="center" vertical="center" wrapText="1"/>
    </xf>
    <xf numFmtId="0" fontId="52" fillId="42" borderId="24" xfId="29" applyFont="1" applyFill="1" applyBorder="1" applyAlignment="1">
      <alignment horizontal="center" vertical="center" wrapText="1"/>
    </xf>
    <xf numFmtId="165" fontId="52" fillId="42" borderId="15" xfId="29" applyNumberFormat="1" applyFont="1" applyFill="1" applyBorder="1" applyAlignment="1">
      <alignment horizontal="center" vertical="center" wrapText="1"/>
    </xf>
    <xf numFmtId="165" fontId="52" fillId="42" borderId="16" xfId="29" applyNumberFormat="1" applyFont="1" applyFill="1" applyBorder="1" applyAlignment="1">
      <alignment horizontal="center" vertical="center" wrapText="1"/>
    </xf>
    <xf numFmtId="165" fontId="52" fillId="42" borderId="22" xfId="0" applyNumberFormat="1" applyFont="1" applyFill="1" applyBorder="1" applyAlignment="1">
      <alignment horizontal="center" vertical="center" wrapText="1"/>
    </xf>
    <xf numFmtId="165" fontId="52" fillId="42" borderId="23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wrapText="1"/>
    </xf>
    <xf numFmtId="0" fontId="40" fillId="25" borderId="12" xfId="0" applyFont="1" applyFill="1" applyBorder="1" applyAlignment="1">
      <alignment horizontal="center"/>
    </xf>
    <xf numFmtId="174" fontId="109" fillId="0" borderId="20" xfId="19" applyNumberFormat="1" applyFont="1" applyBorder="1" applyAlignment="1">
      <alignment horizontal="center" vertical="center" wrapText="1"/>
    </xf>
    <xf numFmtId="174" fontId="109" fillId="0" borderId="21" xfId="19" applyNumberFormat="1" applyFont="1" applyBorder="1" applyAlignment="1">
      <alignment horizontal="center" vertical="center" wrapText="1"/>
    </xf>
    <xf numFmtId="174" fontId="94" fillId="0" borderId="20" xfId="19" applyNumberFormat="1" applyFont="1" applyBorder="1" applyAlignment="1">
      <alignment horizontal="center" vertical="center" wrapText="1"/>
    </xf>
    <xf numFmtId="174" fontId="94" fillId="0" borderId="21" xfId="19" applyNumberFormat="1" applyFont="1" applyBorder="1" applyAlignment="1">
      <alignment horizontal="center" vertical="center" wrapText="1"/>
    </xf>
    <xf numFmtId="0" fontId="11" fillId="0" borderId="65" xfId="0" applyFont="1" applyBorder="1" applyAlignment="1">
      <alignment vertical="center" wrapText="1"/>
    </xf>
    <xf numFmtId="0" fontId="0" fillId="0" borderId="65" xfId="0" applyBorder="1" applyAlignment="1">
      <alignment vertical="center"/>
    </xf>
    <xf numFmtId="0" fontId="66" fillId="0" borderId="104" xfId="29" applyFont="1" applyBorder="1" applyAlignment="1">
      <alignment horizontal="center" vertical="center" wrapText="1"/>
    </xf>
    <xf numFmtId="0" fontId="66" fillId="0" borderId="150" xfId="29" applyFont="1" applyBorder="1" applyAlignment="1">
      <alignment horizontal="center" vertical="center" wrapText="1"/>
    </xf>
    <xf numFmtId="0" fontId="66" fillId="0" borderId="151" xfId="29" applyFont="1" applyBorder="1" applyAlignment="1">
      <alignment horizontal="center" vertical="center" wrapText="1"/>
    </xf>
    <xf numFmtId="0" fontId="87" fillId="0" borderId="79" xfId="57" applyFont="1" applyBorder="1" applyAlignment="1">
      <alignment horizontal="center" vertical="center" wrapText="1"/>
    </xf>
    <xf numFmtId="0" fontId="87" fillId="0" borderId="50" xfId="57" applyFont="1" applyBorder="1" applyAlignment="1">
      <alignment horizontal="center" vertical="center" wrapText="1"/>
    </xf>
    <xf numFmtId="0" fontId="66" fillId="0" borderId="54" xfId="29" applyFont="1" applyBorder="1" applyAlignment="1">
      <alignment horizontal="center" vertical="center" wrapText="1"/>
    </xf>
    <xf numFmtId="0" fontId="66" fillId="0" borderId="74" xfId="29" applyFont="1" applyBorder="1" applyAlignment="1">
      <alignment horizontal="center" vertical="center" wrapText="1"/>
    </xf>
    <xf numFmtId="0" fontId="66" fillId="0" borderId="55" xfId="29" applyFont="1" applyBorder="1" applyAlignment="1">
      <alignment horizontal="center" vertical="center" wrapText="1"/>
    </xf>
    <xf numFmtId="0" fontId="35" fillId="0" borderId="79" xfId="57" applyFont="1" applyBorder="1" applyAlignment="1">
      <alignment horizontal="center" vertical="center" wrapText="1"/>
    </xf>
    <xf numFmtId="0" fontId="77" fillId="41" borderId="79" xfId="57" applyFont="1" applyFill="1" applyBorder="1" applyAlignment="1">
      <alignment horizontal="center" vertical="center" wrapText="1"/>
    </xf>
    <xf numFmtId="0" fontId="77" fillId="41" borderId="50" xfId="57" applyFont="1" applyFill="1" applyBorder="1" applyAlignment="1">
      <alignment horizontal="center" vertical="center" wrapText="1"/>
    </xf>
    <xf numFmtId="0" fontId="76" fillId="28" borderId="94" xfId="57" applyFont="1" applyFill="1" applyBorder="1" applyAlignment="1">
      <alignment horizontal="center" vertical="center" wrapText="1"/>
    </xf>
    <xf numFmtId="0" fontId="76" fillId="28" borderId="98" xfId="57" applyFont="1" applyFill="1" applyBorder="1" applyAlignment="1">
      <alignment horizontal="center" vertical="center" wrapText="1"/>
    </xf>
    <xf numFmtId="174" fontId="54" fillId="34" borderId="93" xfId="22" applyNumberFormat="1" applyFont="1" applyFill="1" applyBorder="1" applyAlignment="1">
      <alignment horizontal="center" vertical="center" wrapText="1"/>
    </xf>
    <xf numFmtId="174" fontId="54" fillId="34" borderId="142" xfId="22" applyNumberFormat="1" applyFont="1" applyFill="1" applyBorder="1" applyAlignment="1">
      <alignment horizontal="center" vertical="center" wrapText="1"/>
    </xf>
    <xf numFmtId="174" fontId="54" fillId="34" borderId="65" xfId="22" applyNumberFormat="1" applyFont="1" applyFill="1" applyBorder="1" applyAlignment="1">
      <alignment horizontal="center" vertical="center" wrapText="1"/>
    </xf>
    <xf numFmtId="174" fontId="54" fillId="34" borderId="143" xfId="22" applyNumberFormat="1" applyFont="1" applyFill="1" applyBorder="1" applyAlignment="1">
      <alignment horizontal="center" vertical="center" wrapText="1"/>
    </xf>
    <xf numFmtId="192" fontId="40" fillId="41" borderId="72" xfId="22" applyNumberFormat="1" applyFont="1" applyFill="1" applyBorder="1" applyAlignment="1">
      <alignment horizontal="center" vertical="center" wrapText="1"/>
    </xf>
    <xf numFmtId="192" fontId="40" fillId="41" borderId="83" xfId="22" applyNumberFormat="1" applyFont="1" applyFill="1" applyBorder="1" applyAlignment="1">
      <alignment horizontal="center" vertical="center" wrapText="1"/>
    </xf>
    <xf numFmtId="174" fontId="54" fillId="41" borderId="126" xfId="22" applyNumberFormat="1" applyFont="1" applyFill="1" applyBorder="1" applyAlignment="1">
      <alignment horizontal="center" vertical="center" wrapText="1"/>
    </xf>
    <xf numFmtId="174" fontId="54" fillId="41" borderId="98" xfId="22" applyNumberFormat="1" applyFont="1" applyFill="1" applyBorder="1" applyAlignment="1">
      <alignment horizontal="center" vertical="center" wrapText="1"/>
    </xf>
    <xf numFmtId="174" fontId="54" fillId="41" borderId="116" xfId="22" applyNumberFormat="1" applyFont="1" applyFill="1" applyBorder="1" applyAlignment="1">
      <alignment horizontal="center" vertical="center" wrapText="1"/>
    </xf>
    <xf numFmtId="174" fontId="54" fillId="41" borderId="103" xfId="22" applyNumberFormat="1" applyFont="1" applyFill="1" applyBorder="1" applyAlignment="1">
      <alignment horizontal="center" vertical="center" wrapText="1"/>
    </xf>
    <xf numFmtId="0" fontId="66" fillId="28" borderId="94" xfId="57" applyFont="1" applyFill="1" applyBorder="1" applyAlignment="1">
      <alignment horizontal="center" vertical="center" wrapText="1"/>
    </xf>
    <xf numFmtId="0" fontId="66" fillId="28" borderId="98" xfId="57" applyFont="1" applyFill="1" applyBorder="1" applyAlignment="1">
      <alignment horizontal="center" vertical="center" wrapText="1"/>
    </xf>
    <xf numFmtId="0" fontId="93" fillId="0" borderId="26" xfId="57" applyFont="1" applyBorder="1" applyAlignment="1">
      <alignment horizontal="center" vertical="center" wrapText="1"/>
    </xf>
    <xf numFmtId="0" fontId="93" fillId="0" borderId="79" xfId="57" applyFont="1" applyBorder="1" applyAlignment="1">
      <alignment horizontal="center" vertical="center" wrapText="1"/>
    </xf>
    <xf numFmtId="0" fontId="93" fillId="0" borderId="79" xfId="57" quotePrefix="1" applyFont="1" applyBorder="1" applyAlignment="1">
      <alignment horizontal="center" vertical="center" wrapText="1"/>
    </xf>
    <xf numFmtId="167" fontId="12" fillId="0" borderId="65" xfId="29" applyNumberFormat="1" applyFont="1" applyBorder="1" applyAlignment="1">
      <alignment horizontal="center" vertical="center" wrapText="1"/>
    </xf>
    <xf numFmtId="192" fontId="40" fillId="34" borderId="72" xfId="22" applyNumberFormat="1" applyFont="1" applyFill="1" applyBorder="1" applyAlignment="1">
      <alignment horizontal="center" vertical="center" wrapText="1"/>
    </xf>
    <xf numFmtId="192" fontId="40" fillId="34" borderId="83" xfId="22" applyNumberFormat="1" applyFont="1" applyFill="1" applyBorder="1" applyAlignment="1">
      <alignment horizontal="center" vertical="center" wrapText="1"/>
    </xf>
    <xf numFmtId="174" fontId="54" fillId="34" borderId="126" xfId="22" applyNumberFormat="1" applyFont="1" applyFill="1" applyBorder="1" applyAlignment="1">
      <alignment horizontal="center" vertical="center" wrapText="1"/>
    </xf>
    <xf numFmtId="174" fontId="54" fillId="34" borderId="98" xfId="22" applyNumberFormat="1" applyFont="1" applyFill="1" applyBorder="1" applyAlignment="1">
      <alignment horizontal="center" vertical="center" wrapText="1"/>
    </xf>
    <xf numFmtId="174" fontId="54" fillId="34" borderId="116" xfId="22" applyNumberFormat="1" applyFont="1" applyFill="1" applyBorder="1" applyAlignment="1">
      <alignment horizontal="center" vertical="center" wrapText="1"/>
    </xf>
    <xf numFmtId="174" fontId="54" fillId="34" borderId="103" xfId="22" applyNumberFormat="1" applyFont="1" applyFill="1" applyBorder="1" applyAlignment="1">
      <alignment horizontal="center" vertical="center" wrapText="1"/>
    </xf>
    <xf numFmtId="192" fontId="40" fillId="32" borderId="72" xfId="22" applyNumberFormat="1" applyFont="1" applyFill="1" applyBorder="1" applyAlignment="1">
      <alignment horizontal="center" vertical="center" wrapText="1"/>
    </xf>
    <xf numFmtId="192" fontId="40" fillId="32" borderId="83" xfId="22" applyNumberFormat="1" applyFont="1" applyFill="1" applyBorder="1" applyAlignment="1">
      <alignment horizontal="center" vertical="center" wrapText="1"/>
    </xf>
    <xf numFmtId="0" fontId="93" fillId="0" borderId="79" xfId="29" quotePrefix="1" applyFont="1" applyBorder="1" applyAlignment="1">
      <alignment horizontal="center" vertical="center" wrapText="1"/>
    </xf>
    <xf numFmtId="0" fontId="66" fillId="0" borderId="82" xfId="29" applyFont="1" applyBorder="1" applyAlignment="1">
      <alignment horizontal="center" vertical="center" wrapText="1"/>
    </xf>
    <xf numFmtId="0" fontId="66" fillId="0" borderId="88" xfId="29" applyFont="1" applyBorder="1" applyAlignment="1">
      <alignment horizontal="center" vertical="center" wrapText="1"/>
    </xf>
    <xf numFmtId="0" fontId="66" fillId="0" borderId="89" xfId="29" applyFont="1" applyBorder="1" applyAlignment="1">
      <alignment horizontal="center" vertical="center" wrapText="1"/>
    </xf>
    <xf numFmtId="0" fontId="35" fillId="0" borderId="84" xfId="57" applyFont="1" applyBorder="1" applyAlignment="1">
      <alignment horizontal="center" vertical="center" wrapText="1"/>
    </xf>
    <xf numFmtId="0" fontId="77" fillId="28" borderId="84" xfId="57" applyFont="1" applyFill="1" applyBorder="1" applyAlignment="1">
      <alignment horizontal="center" vertical="center" wrapText="1"/>
    </xf>
    <xf numFmtId="0" fontId="66" fillId="0" borderId="94" xfId="29" applyFont="1" applyBorder="1" applyAlignment="1">
      <alignment horizontal="center" vertical="center" wrapText="1"/>
    </xf>
    <xf numFmtId="0" fontId="77" fillId="0" borderId="84" xfId="57" applyFont="1" applyBorder="1" applyAlignment="1">
      <alignment horizontal="center" vertical="center" wrapText="1"/>
    </xf>
    <xf numFmtId="0" fontId="66" fillId="0" borderId="95" xfId="29" applyFont="1" applyBorder="1" applyAlignment="1">
      <alignment horizontal="center" vertical="center" wrapText="1"/>
    </xf>
    <xf numFmtId="0" fontId="66" fillId="0" borderId="96" xfId="29" applyFont="1" applyBorder="1" applyAlignment="1">
      <alignment horizontal="center" vertical="center" wrapText="1"/>
    </xf>
    <xf numFmtId="0" fontId="66" fillId="0" borderId="97" xfId="29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66" fillId="0" borderId="84" xfId="29" applyFont="1" applyBorder="1" applyAlignment="1">
      <alignment horizontal="center" vertical="center" wrapText="1"/>
    </xf>
    <xf numFmtId="0" fontId="87" fillId="0" borderId="84" xfId="57" applyFont="1" applyBorder="1" applyAlignment="1">
      <alignment horizontal="center" vertical="center" wrapText="1"/>
    </xf>
    <xf numFmtId="174" fontId="54" fillId="32" borderId="126" xfId="22" applyNumberFormat="1" applyFont="1" applyFill="1" applyBorder="1" applyAlignment="1">
      <alignment horizontal="center" vertical="center" wrapText="1"/>
    </xf>
    <xf numFmtId="174" fontId="54" fillId="32" borderId="98" xfId="22" applyNumberFormat="1" applyFont="1" applyFill="1" applyBorder="1" applyAlignment="1">
      <alignment horizontal="center" vertical="center" wrapText="1"/>
    </xf>
    <xf numFmtId="174" fontId="54" fillId="32" borderId="116" xfId="22" applyNumberFormat="1" applyFont="1" applyFill="1" applyBorder="1" applyAlignment="1">
      <alignment horizontal="center" vertical="center" wrapText="1"/>
    </xf>
    <xf numFmtId="174" fontId="54" fillId="32" borderId="103" xfId="22" applyNumberFormat="1" applyFont="1" applyFill="1" applyBorder="1" applyAlignment="1">
      <alignment horizontal="center" vertical="center" wrapText="1"/>
    </xf>
    <xf numFmtId="192" fontId="40" fillId="49" borderId="72" xfId="22" applyNumberFormat="1" applyFont="1" applyFill="1" applyBorder="1" applyAlignment="1">
      <alignment horizontal="center" vertical="center" wrapText="1"/>
    </xf>
    <xf numFmtId="192" fontId="40" fillId="49" borderId="83" xfId="22" applyNumberFormat="1" applyFont="1" applyFill="1" applyBorder="1" applyAlignment="1">
      <alignment horizontal="center" vertical="center" wrapText="1"/>
    </xf>
    <xf numFmtId="174" fontId="54" fillId="49" borderId="126" xfId="22" applyNumberFormat="1" applyFont="1" applyFill="1" applyBorder="1" applyAlignment="1">
      <alignment horizontal="center" vertical="center" wrapText="1"/>
    </xf>
    <xf numFmtId="174" fontId="54" fillId="49" borderId="98" xfId="22" applyNumberFormat="1" applyFont="1" applyFill="1" applyBorder="1" applyAlignment="1">
      <alignment horizontal="center" vertical="center" wrapText="1"/>
    </xf>
    <xf numFmtId="174" fontId="54" fillId="49" borderId="116" xfId="22" applyNumberFormat="1" applyFont="1" applyFill="1" applyBorder="1" applyAlignment="1">
      <alignment horizontal="center" vertical="center" wrapText="1"/>
    </xf>
    <xf numFmtId="174" fontId="54" fillId="49" borderId="103" xfId="22" applyNumberFormat="1" applyFont="1" applyFill="1" applyBorder="1" applyAlignment="1">
      <alignment horizontal="center" vertical="center" wrapText="1"/>
    </xf>
    <xf numFmtId="192" fontId="40" fillId="40" borderId="72" xfId="22" applyNumberFormat="1" applyFont="1" applyFill="1" applyBorder="1" applyAlignment="1">
      <alignment horizontal="center" vertical="center" wrapText="1"/>
    </xf>
    <xf numFmtId="192" fontId="40" fillId="40" borderId="83" xfId="22" applyNumberFormat="1" applyFont="1" applyFill="1" applyBorder="1" applyAlignment="1">
      <alignment horizontal="center" vertical="center" wrapText="1"/>
    </xf>
    <xf numFmtId="174" fontId="54" fillId="40" borderId="100" xfId="22" applyNumberFormat="1" applyFont="1" applyFill="1" applyBorder="1" applyAlignment="1">
      <alignment horizontal="center" vertical="center" wrapText="1"/>
    </xf>
    <xf numFmtId="174" fontId="54" fillId="40" borderId="102" xfId="22" applyNumberFormat="1" applyFont="1" applyFill="1" applyBorder="1" applyAlignment="1">
      <alignment horizontal="center" vertical="center" wrapText="1"/>
    </xf>
    <xf numFmtId="174" fontId="54" fillId="40" borderId="103" xfId="22" applyNumberFormat="1" applyFont="1" applyFill="1" applyBorder="1" applyAlignment="1">
      <alignment horizontal="center" vertical="center" wrapText="1"/>
    </xf>
    <xf numFmtId="174" fontId="40" fillId="33" borderId="72" xfId="22" applyNumberFormat="1" applyFont="1" applyFill="1" applyBorder="1" applyAlignment="1">
      <alignment horizontal="center" vertical="center" wrapText="1"/>
    </xf>
    <xf numFmtId="174" fontId="40" fillId="33" borderId="83" xfId="22" applyNumberFormat="1" applyFont="1" applyFill="1" applyBorder="1" applyAlignment="1">
      <alignment horizontal="center" vertical="center" wrapText="1"/>
    </xf>
    <xf numFmtId="174" fontId="40" fillId="33" borderId="93" xfId="22" applyNumberFormat="1" applyFont="1" applyFill="1" applyBorder="1" applyAlignment="1">
      <alignment horizontal="center" vertical="center" wrapText="1"/>
    </xf>
    <xf numFmtId="174" fontId="40" fillId="33" borderId="100" xfId="22" applyNumberFormat="1" applyFont="1" applyFill="1" applyBorder="1" applyAlignment="1">
      <alignment horizontal="center" vertical="center" wrapText="1"/>
    </xf>
    <xf numFmtId="174" fontId="40" fillId="33" borderId="102" xfId="22" applyNumberFormat="1" applyFont="1" applyFill="1" applyBorder="1" applyAlignment="1">
      <alignment horizontal="center" vertical="center" wrapText="1"/>
    </xf>
    <xf numFmtId="174" fontId="40" fillId="48" borderId="100" xfId="22" applyNumberFormat="1" applyFont="1" applyFill="1" applyBorder="1" applyAlignment="1">
      <alignment horizontal="center" vertical="center" wrapText="1"/>
    </xf>
    <xf numFmtId="174" fontId="40" fillId="48" borderId="98" xfId="22" applyNumberFormat="1" applyFont="1" applyFill="1" applyBorder="1" applyAlignment="1">
      <alignment horizontal="center" vertical="center" wrapText="1"/>
    </xf>
    <xf numFmtId="174" fontId="40" fillId="36" borderId="72" xfId="22" applyNumberFormat="1" applyFont="1" applyFill="1" applyBorder="1" applyAlignment="1">
      <alignment horizontal="center" vertical="center" wrapText="1"/>
    </xf>
    <xf numFmtId="174" fontId="40" fillId="36" borderId="83" xfId="22" applyNumberFormat="1" applyFont="1" applyFill="1" applyBorder="1" applyAlignment="1">
      <alignment horizontal="center" vertical="center" wrapText="1"/>
    </xf>
    <xf numFmtId="174" fontId="40" fillId="36" borderId="93" xfId="22" applyNumberFormat="1" applyFont="1" applyFill="1" applyBorder="1" applyAlignment="1">
      <alignment horizontal="center" vertical="center" wrapText="1"/>
    </xf>
    <xf numFmtId="174" fontId="40" fillId="35" borderId="61" xfId="22" applyNumberFormat="1" applyFont="1" applyFill="1" applyBorder="1" applyAlignment="1">
      <alignment horizontal="center" vertical="center" wrapText="1"/>
    </xf>
    <xf numFmtId="174" fontId="40" fillId="35" borderId="62" xfId="22" applyNumberFormat="1" applyFont="1" applyFill="1" applyBorder="1" applyAlignment="1">
      <alignment horizontal="center" vertical="center" wrapText="1"/>
    </xf>
    <xf numFmtId="174" fontId="40" fillId="35" borderId="100" xfId="22" applyNumberFormat="1" applyFont="1" applyFill="1" applyBorder="1" applyAlignment="1">
      <alignment horizontal="center" vertical="center" wrapText="1"/>
    </xf>
    <xf numFmtId="174" fontId="40" fillId="35" borderId="102" xfId="22" applyNumberFormat="1" applyFont="1" applyFill="1" applyBorder="1" applyAlignment="1">
      <alignment horizontal="center" vertical="center" wrapText="1"/>
    </xf>
    <xf numFmtId="174" fontId="40" fillId="45" borderId="100" xfId="22" applyNumberFormat="1" applyFont="1" applyFill="1" applyBorder="1" applyAlignment="1">
      <alignment horizontal="center" vertical="center" wrapText="1"/>
    </xf>
    <xf numFmtId="174" fontId="40" fillId="45" borderId="98" xfId="22" applyNumberFormat="1" applyFont="1" applyFill="1" applyBorder="1" applyAlignment="1">
      <alignment horizontal="center" vertical="center" wrapText="1"/>
    </xf>
    <xf numFmtId="174" fontId="40" fillId="36" borderId="100" xfId="22" applyNumberFormat="1" applyFont="1" applyFill="1" applyBorder="1" applyAlignment="1">
      <alignment horizontal="center" vertical="center" wrapText="1"/>
    </xf>
    <xf numFmtId="174" fontId="40" fillId="36" borderId="102" xfId="22" applyNumberFormat="1" applyFont="1" applyFill="1" applyBorder="1" applyAlignment="1">
      <alignment horizontal="center" vertical="center" wrapText="1"/>
    </xf>
    <xf numFmtId="174" fontId="40" fillId="42" borderId="100" xfId="22" applyNumberFormat="1" applyFont="1" applyFill="1" applyBorder="1" applyAlignment="1">
      <alignment horizontal="center" vertical="center" wrapText="1"/>
    </xf>
    <xf numFmtId="174" fontId="40" fillId="42" borderId="98" xfId="22" applyNumberFormat="1" applyFont="1" applyFill="1" applyBorder="1" applyAlignment="1">
      <alignment horizontal="center" vertical="center" wrapText="1"/>
    </xf>
    <xf numFmtId="0" fontId="34" fillId="28" borderId="60" xfId="59" applyFont="1" applyFill="1" applyBorder="1" applyAlignment="1">
      <alignment horizontal="center" vertical="center" wrapText="1"/>
    </xf>
    <xf numFmtId="0" fontId="34" fillId="28" borderId="74" xfId="59" applyFont="1" applyFill="1" applyBorder="1" applyAlignment="1">
      <alignment horizontal="center" vertical="center"/>
    </xf>
    <xf numFmtId="0" fontId="34" fillId="28" borderId="55" xfId="59" applyFont="1" applyFill="1" applyBorder="1" applyAlignment="1">
      <alignment horizontal="center" vertical="center"/>
    </xf>
    <xf numFmtId="0" fontId="34" fillId="28" borderId="146" xfId="59" applyFont="1" applyFill="1" applyBorder="1" applyAlignment="1">
      <alignment horizontal="center" vertical="center"/>
    </xf>
    <xf numFmtId="0" fontId="34" fillId="28" borderId="147" xfId="59" applyFont="1" applyFill="1" applyBorder="1" applyAlignment="1">
      <alignment horizontal="center" vertical="center"/>
    </xf>
    <xf numFmtId="0" fontId="34" fillId="0" borderId="54" xfId="59" applyFont="1" applyBorder="1" applyAlignment="1">
      <alignment horizontal="center" vertical="center" wrapText="1"/>
    </xf>
    <xf numFmtId="0" fontId="34" fillId="0" borderId="74" xfId="59" applyFont="1" applyBorder="1" applyAlignment="1">
      <alignment horizontal="center" vertical="center"/>
    </xf>
    <xf numFmtId="0" fontId="34" fillId="0" borderId="76" xfId="59" applyFont="1" applyBorder="1" applyAlignment="1">
      <alignment horizontal="center" vertical="center"/>
    </xf>
    <xf numFmtId="0" fontId="34" fillId="0" borderId="78" xfId="59" applyFont="1" applyBorder="1" applyAlignment="1">
      <alignment horizontal="center" vertical="center"/>
    </xf>
    <xf numFmtId="0" fontId="34" fillId="0" borderId="78" xfId="59" applyFont="1" applyBorder="1" applyAlignment="1">
      <alignment horizontal="center" vertical="center" wrapText="1"/>
    </xf>
    <xf numFmtId="0" fontId="34" fillId="28" borderId="54" xfId="59" applyFont="1" applyFill="1" applyBorder="1" applyAlignment="1">
      <alignment horizontal="center" vertical="center"/>
    </xf>
    <xf numFmtId="0" fontId="34" fillId="28" borderId="49" xfId="59" applyFont="1" applyFill="1" applyBorder="1" applyAlignment="1">
      <alignment horizontal="center" vertical="center"/>
    </xf>
    <xf numFmtId="0" fontId="34" fillId="28" borderId="50" xfId="59" applyFont="1" applyFill="1" applyBorder="1" applyAlignment="1">
      <alignment horizontal="center" vertical="center"/>
    </xf>
    <xf numFmtId="0" fontId="34" fillId="24" borderId="49" xfId="59" applyFont="1" applyFill="1" applyBorder="1" applyAlignment="1">
      <alignment horizontal="center" vertical="center"/>
    </xf>
    <xf numFmtId="0" fontId="34" fillId="26" borderId="54" xfId="59" applyFont="1" applyFill="1" applyBorder="1" applyAlignment="1">
      <alignment horizontal="center" vertical="center"/>
    </xf>
    <xf numFmtId="0" fontId="34" fillId="26" borderId="49" xfId="59" applyFont="1" applyFill="1" applyBorder="1" applyAlignment="1">
      <alignment horizontal="center" vertical="center"/>
    </xf>
    <xf numFmtId="0" fontId="34" fillId="26" borderId="55" xfId="59" applyFont="1" applyFill="1" applyBorder="1" applyAlignment="1">
      <alignment horizontal="center" vertical="center"/>
    </xf>
    <xf numFmtId="0" fontId="34" fillId="26" borderId="50" xfId="59" applyFont="1" applyFill="1" applyBorder="1" applyAlignment="1">
      <alignment horizontal="center" vertical="center"/>
    </xf>
    <xf numFmtId="0" fontId="34" fillId="25" borderId="60" xfId="59" applyFont="1" applyFill="1" applyBorder="1" applyAlignment="1">
      <alignment horizontal="center" vertical="center" wrapText="1"/>
    </xf>
    <xf numFmtId="0" fontId="34" fillId="25" borderId="57" xfId="59" applyFont="1" applyFill="1" applyBorder="1" applyAlignment="1">
      <alignment horizontal="center" vertical="center"/>
    </xf>
    <xf numFmtId="0" fontId="34" fillId="25" borderId="55" xfId="59" applyFont="1" applyFill="1" applyBorder="1" applyAlignment="1">
      <alignment horizontal="center" vertical="center"/>
    </xf>
    <xf numFmtId="0" fontId="34" fillId="45" borderId="54" xfId="59" applyFont="1" applyFill="1" applyBorder="1" applyAlignment="1">
      <alignment horizontal="center" vertical="center"/>
    </xf>
    <xf numFmtId="0" fontId="34" fillId="45" borderId="49" xfId="59" applyFont="1" applyFill="1" applyBorder="1" applyAlignment="1">
      <alignment horizontal="center" vertical="center"/>
    </xf>
    <xf numFmtId="0" fontId="34" fillId="45" borderId="55" xfId="59" applyFont="1" applyFill="1" applyBorder="1" applyAlignment="1">
      <alignment horizontal="center" vertical="center"/>
    </xf>
    <xf numFmtId="0" fontId="34" fillId="45" borderId="50" xfId="59" applyFont="1" applyFill="1" applyBorder="1" applyAlignment="1">
      <alignment horizontal="center" vertical="center"/>
    </xf>
    <xf numFmtId="0" fontId="34" fillId="34" borderId="54" xfId="59" applyFont="1" applyFill="1" applyBorder="1" applyAlignment="1">
      <alignment horizontal="center" vertical="center"/>
    </xf>
    <xf numFmtId="0" fontId="34" fillId="34" borderId="49" xfId="59" applyFont="1" applyFill="1" applyBorder="1" applyAlignment="1">
      <alignment horizontal="center" vertical="center"/>
    </xf>
    <xf numFmtId="0" fontId="34" fillId="34" borderId="55" xfId="59" applyFont="1" applyFill="1" applyBorder="1" applyAlignment="1">
      <alignment horizontal="center" vertical="center"/>
    </xf>
    <xf numFmtId="0" fontId="34" fillId="34" borderId="50" xfId="59" applyFont="1" applyFill="1" applyBorder="1" applyAlignment="1">
      <alignment horizontal="center" vertical="center"/>
    </xf>
    <xf numFmtId="0" fontId="34" fillId="45" borderId="60" xfId="59" applyFont="1" applyFill="1" applyBorder="1" applyAlignment="1">
      <alignment horizontal="center" vertical="center" wrapText="1"/>
    </xf>
    <xf numFmtId="0" fontId="34" fillId="45" borderId="74" xfId="59" applyFont="1" applyFill="1" applyBorder="1" applyAlignment="1">
      <alignment horizontal="center" vertical="center"/>
    </xf>
    <xf numFmtId="0" fontId="34" fillId="47" borderId="49" xfId="59" applyFont="1" applyFill="1" applyBorder="1" applyAlignment="1">
      <alignment horizontal="center" vertical="center"/>
    </xf>
    <xf numFmtId="0" fontId="34" fillId="49" borderId="49" xfId="59" applyFont="1" applyFill="1" applyBorder="1" applyAlignment="1">
      <alignment horizontal="center" vertical="center"/>
    </xf>
    <xf numFmtId="0" fontId="34" fillId="34" borderId="60" xfId="59" applyFont="1" applyFill="1" applyBorder="1" applyAlignment="1">
      <alignment horizontal="center" vertical="center" wrapText="1"/>
    </xf>
    <xf numFmtId="0" fontId="34" fillId="34" borderId="57" xfId="59" applyFont="1" applyFill="1" applyBorder="1" applyAlignment="1">
      <alignment horizontal="center" vertical="center"/>
    </xf>
    <xf numFmtId="0" fontId="34" fillId="49" borderId="60" xfId="59" applyFont="1" applyFill="1" applyBorder="1" applyAlignment="1">
      <alignment horizontal="center" vertical="center" wrapText="1"/>
    </xf>
    <xf numFmtId="0" fontId="34" fillId="49" borderId="57" xfId="59" applyFont="1" applyFill="1" applyBorder="1" applyAlignment="1">
      <alignment horizontal="center" vertical="center"/>
    </xf>
    <xf numFmtId="0" fontId="34" fillId="49" borderId="55" xfId="59" applyFont="1" applyFill="1" applyBorder="1" applyAlignment="1">
      <alignment horizontal="center" vertical="center"/>
    </xf>
    <xf numFmtId="0" fontId="34" fillId="41" borderId="54" xfId="59" applyFont="1" applyFill="1" applyBorder="1" applyAlignment="1">
      <alignment horizontal="center" vertical="center"/>
    </xf>
    <xf numFmtId="0" fontId="34" fillId="41" borderId="49" xfId="59" applyFont="1" applyFill="1" applyBorder="1" applyAlignment="1">
      <alignment horizontal="center" vertical="center"/>
    </xf>
    <xf numFmtId="0" fontId="34" fillId="41" borderId="55" xfId="59" applyFont="1" applyFill="1" applyBorder="1" applyAlignment="1">
      <alignment horizontal="center" vertical="center"/>
    </xf>
    <xf numFmtId="0" fontId="34" fillId="41" borderId="50" xfId="59" applyFont="1" applyFill="1" applyBorder="1" applyAlignment="1">
      <alignment horizontal="center" vertical="center"/>
    </xf>
    <xf numFmtId="0" fontId="34" fillId="41" borderId="60" xfId="59" applyFont="1" applyFill="1" applyBorder="1" applyAlignment="1">
      <alignment horizontal="center" vertical="center" wrapText="1"/>
    </xf>
    <xf numFmtId="0" fontId="34" fillId="41" borderId="57" xfId="59" applyFont="1" applyFill="1" applyBorder="1" applyAlignment="1">
      <alignment horizontal="center" vertical="center"/>
    </xf>
    <xf numFmtId="0" fontId="34" fillId="49" borderId="54" xfId="59" applyFont="1" applyFill="1" applyBorder="1" applyAlignment="1">
      <alignment horizontal="center" vertical="center"/>
    </xf>
    <xf numFmtId="0" fontId="34" fillId="49" borderId="50" xfId="59" applyFont="1" applyFill="1" applyBorder="1" applyAlignment="1">
      <alignment horizontal="center" vertical="center"/>
    </xf>
    <xf numFmtId="0" fontId="34" fillId="43" borderId="49" xfId="59" applyFont="1" applyFill="1" applyBorder="1" applyAlignment="1">
      <alignment horizontal="center" vertical="center"/>
    </xf>
    <xf numFmtId="0" fontId="34" fillId="35" borderId="49" xfId="59" applyFont="1" applyFill="1" applyBorder="1" applyAlignment="1">
      <alignment horizontal="center" vertical="center"/>
    </xf>
    <xf numFmtId="0" fontId="34" fillId="45" borderId="146" xfId="59" applyFont="1" applyFill="1" applyBorder="1" applyAlignment="1">
      <alignment horizontal="center" vertical="center"/>
    </xf>
    <xf numFmtId="0" fontId="34" fillId="45" borderId="147" xfId="59" applyFont="1" applyFill="1" applyBorder="1" applyAlignment="1">
      <alignment horizontal="center" vertical="center"/>
    </xf>
    <xf numFmtId="0" fontId="34" fillId="45" borderId="148" xfId="59" applyFont="1" applyFill="1" applyBorder="1" applyAlignment="1">
      <alignment horizontal="center" vertical="center"/>
    </xf>
    <xf numFmtId="0" fontId="57" fillId="0" borderId="34" xfId="63" applyFont="1" applyBorder="1" applyAlignment="1">
      <alignment horizontal="center" vertical="center"/>
    </xf>
    <xf numFmtId="0" fontId="94" fillId="0" borderId="34" xfId="63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5" fillId="0" borderId="12" xfId="19" quotePrefix="1" applyNumberFormat="1" applyFont="1" applyBorder="1" applyAlignment="1">
      <alignment horizontal="center" vertical="center"/>
    </xf>
    <xf numFmtId="49" fontId="35" fillId="0" borderId="12" xfId="19" applyNumberFormat="1" applyFont="1" applyBorder="1" applyAlignment="1">
      <alignment horizontal="center" vertical="center"/>
    </xf>
    <xf numFmtId="192" fontId="35" fillId="0" borderId="12" xfId="19" quotePrefix="1" applyNumberFormat="1" applyFont="1" applyBorder="1" applyAlignment="1">
      <alignment horizontal="center" vertical="center"/>
    </xf>
    <xf numFmtId="192" fontId="35" fillId="0" borderId="12" xfId="19" applyNumberFormat="1" applyFont="1" applyBorder="1" applyAlignment="1">
      <alignment horizontal="center" vertical="center"/>
    </xf>
    <xf numFmtId="4" fontId="35" fillId="0" borderId="12" xfId="19" applyNumberFormat="1" applyFont="1" applyBorder="1" applyAlignment="1">
      <alignment horizontal="center" vertical="center"/>
    </xf>
    <xf numFmtId="174" fontId="52" fillId="42" borderId="12" xfId="19" applyNumberFormat="1" applyFont="1" applyFill="1" applyBorder="1" applyAlignment="1">
      <alignment horizontal="center" vertical="center" wrapText="1"/>
    </xf>
    <xf numFmtId="165" fontId="52" fillId="42" borderId="29" xfId="29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7" fontId="83" fillId="28" borderId="156" xfId="0" applyNumberFormat="1" applyFont="1" applyFill="1" applyBorder="1" applyAlignment="1">
      <alignment horizontal="center" vertical="center"/>
    </xf>
    <xf numFmtId="0" fontId="83" fillId="28" borderId="156" xfId="0" applyFont="1" applyFill="1" applyBorder="1" applyAlignment="1">
      <alignment horizontal="center" vertical="center"/>
    </xf>
    <xf numFmtId="17" fontId="83" fillId="25" borderId="156" xfId="0" applyNumberFormat="1" applyFont="1" applyFill="1" applyBorder="1" applyAlignment="1">
      <alignment horizontal="center" vertical="center"/>
    </xf>
    <xf numFmtId="0" fontId="83" fillId="25" borderId="156" xfId="0" applyFont="1" applyFill="1" applyBorder="1" applyAlignment="1">
      <alignment horizontal="center" vertical="center"/>
    </xf>
    <xf numFmtId="17" fontId="127" fillId="45" borderId="156" xfId="0" applyNumberFormat="1" applyFont="1" applyFill="1" applyBorder="1" applyAlignment="1">
      <alignment horizontal="center" vertical="center"/>
    </xf>
    <xf numFmtId="0" fontId="127" fillId="45" borderId="156" xfId="0" applyFont="1" applyFill="1" applyBorder="1" applyAlignment="1">
      <alignment horizontal="center" vertical="center"/>
    </xf>
    <xf numFmtId="17" fontId="134" fillId="39" borderId="156" xfId="0" applyNumberFormat="1" applyFont="1" applyFill="1" applyBorder="1" applyAlignment="1">
      <alignment horizontal="center" vertical="center"/>
    </xf>
    <xf numFmtId="0" fontId="134" fillId="39" borderId="156" xfId="0" applyFont="1" applyFill="1" applyBorder="1" applyAlignment="1">
      <alignment horizontal="center" vertical="center"/>
    </xf>
  </cellXfs>
  <cellStyles count="890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Comma" xfId="19" builtinId="3"/>
    <cellStyle name="Comma [0]" xfId="105" builtinId="6"/>
    <cellStyle name="Comma [0] 2" xfId="66" xr:uid="{00000000-0005-0000-0000-000014000000}"/>
    <cellStyle name="Comma [0] 2 2" xfId="145" xr:uid="{00000000-0005-0000-0000-000015000000}"/>
    <cellStyle name="Comma [0] 2 2 2" xfId="249" xr:uid="{00000000-0005-0000-0000-000016000000}"/>
    <cellStyle name="Comma [0] 2 2 3" xfId="378" xr:uid="{00000000-0005-0000-0000-000017000000}"/>
    <cellStyle name="Comma [0] 2 3" xfId="181" xr:uid="{00000000-0005-0000-0000-000018000000}"/>
    <cellStyle name="Comma [0] 2 3 2" xfId="262" xr:uid="{00000000-0005-0000-0000-000019000000}"/>
    <cellStyle name="Comma [0] 2 3 3" xfId="394" xr:uid="{00000000-0005-0000-0000-00001A000000}"/>
    <cellStyle name="Comma [0] 2 4" xfId="186" xr:uid="{00000000-0005-0000-0000-00001B000000}"/>
    <cellStyle name="Comma [0] 2 4 2" xfId="264" xr:uid="{00000000-0005-0000-0000-00001C000000}"/>
    <cellStyle name="Comma [0] 2 5" xfId="209" xr:uid="{00000000-0005-0000-0000-00001D000000}"/>
    <cellStyle name="Comma [0] 2 6" xfId="274" xr:uid="{00000000-0005-0000-0000-00001E000000}"/>
    <cellStyle name="Comma [0] 2 7" xfId="280" xr:uid="{00000000-0005-0000-0000-00001F000000}"/>
    <cellStyle name="Comma [0] 2 8" xfId="288" xr:uid="{00000000-0005-0000-0000-000020000000}"/>
    <cellStyle name="Comma [0] 2 9" xfId="359" xr:uid="{00000000-0005-0000-0000-000021000000}"/>
    <cellStyle name="Comma [0] 3" xfId="138" xr:uid="{00000000-0005-0000-0000-000022000000}"/>
    <cellStyle name="Comma [0] 3 2" xfId="146" xr:uid="{00000000-0005-0000-0000-000023000000}"/>
    <cellStyle name="Comma [0] 3 3" xfId="244" xr:uid="{00000000-0005-0000-0000-000024000000}"/>
    <cellStyle name="Comma [0] 3 4" xfId="377" xr:uid="{00000000-0005-0000-0000-000025000000}"/>
    <cellStyle name="Comma [0] 4" xfId="147" xr:uid="{00000000-0005-0000-0000-000026000000}"/>
    <cellStyle name="Comma [0] 4 2" xfId="182" xr:uid="{00000000-0005-0000-0000-000027000000}"/>
    <cellStyle name="Comma [0] 4 2 2" xfId="263" xr:uid="{00000000-0005-0000-0000-000028000000}"/>
    <cellStyle name="Comma [0] 4 3" xfId="187" xr:uid="{00000000-0005-0000-0000-000029000000}"/>
    <cellStyle name="Comma [0] 4 3 2" xfId="265" xr:uid="{00000000-0005-0000-0000-00002A000000}"/>
    <cellStyle name="Comma [0] 4 4" xfId="250" xr:uid="{00000000-0005-0000-0000-00002B000000}"/>
    <cellStyle name="Comma [0] 4 5" xfId="275" xr:uid="{00000000-0005-0000-0000-00002C000000}"/>
    <cellStyle name="Comma [0] 4 6" xfId="281" xr:uid="{00000000-0005-0000-0000-00002D000000}"/>
    <cellStyle name="Comma [0] 4 7" xfId="289" xr:uid="{00000000-0005-0000-0000-00002E000000}"/>
    <cellStyle name="Comma [0] 5" xfId="224" xr:uid="{00000000-0005-0000-0000-00002F000000}"/>
    <cellStyle name="Comma [0] 6" xfId="272" xr:uid="{00000000-0005-0000-0000-000030000000}"/>
    <cellStyle name="Comma [0] 7" xfId="298" xr:uid="{00000000-0005-0000-0000-000031000000}"/>
    <cellStyle name="Comma 10" xfId="67" xr:uid="{00000000-0005-0000-0000-000032000000}"/>
    <cellStyle name="Comma 10 2" xfId="210" xr:uid="{00000000-0005-0000-0000-000033000000}"/>
    <cellStyle name="Comma 10 3" xfId="369" xr:uid="{00000000-0005-0000-0000-000034000000}"/>
    <cellStyle name="Comma 100" xfId="350" xr:uid="{00000000-0005-0000-0000-000035000000}"/>
    <cellStyle name="Comma 100 2" xfId="441" xr:uid="{00000000-0005-0000-0000-000036000000}"/>
    <cellStyle name="Comma 101" xfId="442" xr:uid="{00000000-0005-0000-0000-000037000000}"/>
    <cellStyle name="Comma 102" xfId="443" xr:uid="{00000000-0005-0000-0000-000038000000}"/>
    <cellStyle name="Comma 103" xfId="439" xr:uid="{00000000-0005-0000-0000-000039000000}"/>
    <cellStyle name="Comma 104" xfId="440" xr:uid="{00000000-0005-0000-0000-00003A000000}"/>
    <cellStyle name="Comma 105" xfId="444" xr:uid="{00000000-0005-0000-0000-00003B000000}"/>
    <cellStyle name="Comma 106" xfId="446" xr:uid="{00000000-0005-0000-0000-00003C000000}"/>
    <cellStyle name="Comma 107" xfId="447" xr:uid="{00000000-0005-0000-0000-00003D000000}"/>
    <cellStyle name="Comma 108" xfId="445" xr:uid="{00000000-0005-0000-0000-00003E000000}"/>
    <cellStyle name="Comma 109" xfId="448" xr:uid="{00000000-0005-0000-0000-00003F000000}"/>
    <cellStyle name="Comma 11" xfId="68" xr:uid="{00000000-0005-0000-0000-000040000000}"/>
    <cellStyle name="Comma 11 2" xfId="211" xr:uid="{00000000-0005-0000-0000-000041000000}"/>
    <cellStyle name="Comma 11 3" xfId="370" xr:uid="{00000000-0005-0000-0000-000042000000}"/>
    <cellStyle name="Comma 110" xfId="449" xr:uid="{00000000-0005-0000-0000-000043000000}"/>
    <cellStyle name="Comma 111" xfId="451" xr:uid="{00000000-0005-0000-0000-000044000000}"/>
    <cellStyle name="Comma 112" xfId="450" xr:uid="{00000000-0005-0000-0000-000045000000}"/>
    <cellStyle name="Comma 113" xfId="452" xr:uid="{00000000-0005-0000-0000-000046000000}"/>
    <cellStyle name="Comma 114" xfId="453" xr:uid="{00000000-0005-0000-0000-000047000000}"/>
    <cellStyle name="Comma 115" xfId="456" xr:uid="{00000000-0005-0000-0000-000048000000}"/>
    <cellStyle name="Comma 116" xfId="458" xr:uid="{00000000-0005-0000-0000-000049000000}"/>
    <cellStyle name="Comma 117" xfId="459" xr:uid="{00000000-0005-0000-0000-00004A000000}"/>
    <cellStyle name="Comma 118" xfId="455" xr:uid="{00000000-0005-0000-0000-00004B000000}"/>
    <cellStyle name="Comma 119" xfId="454" xr:uid="{00000000-0005-0000-0000-00004C000000}"/>
    <cellStyle name="Comma 12" xfId="69" xr:uid="{00000000-0005-0000-0000-00004D000000}"/>
    <cellStyle name="Comma 12 2" xfId="212" xr:uid="{00000000-0005-0000-0000-00004E000000}"/>
    <cellStyle name="Comma 12 3" xfId="365" xr:uid="{00000000-0005-0000-0000-00004F000000}"/>
    <cellStyle name="Comma 120" xfId="461" xr:uid="{00000000-0005-0000-0000-000050000000}"/>
    <cellStyle name="Comma 121" xfId="462" xr:uid="{00000000-0005-0000-0000-000051000000}"/>
    <cellStyle name="Comma 122" xfId="457" xr:uid="{00000000-0005-0000-0000-000052000000}"/>
    <cellStyle name="Comma 123" xfId="460" xr:uid="{00000000-0005-0000-0000-000053000000}"/>
    <cellStyle name="Comma 124" xfId="464" xr:uid="{00000000-0005-0000-0000-000054000000}"/>
    <cellStyle name="Comma 125" xfId="463" xr:uid="{00000000-0005-0000-0000-000055000000}"/>
    <cellStyle name="Comma 126" xfId="466" xr:uid="{00000000-0005-0000-0000-000056000000}"/>
    <cellStyle name="Comma 127" xfId="465" xr:uid="{00000000-0005-0000-0000-000057000000}"/>
    <cellStyle name="Comma 128" xfId="468" xr:uid="{00000000-0005-0000-0000-000058000000}"/>
    <cellStyle name="Comma 129" xfId="467" xr:uid="{00000000-0005-0000-0000-000059000000}"/>
    <cellStyle name="Comma 13" xfId="94" xr:uid="{00000000-0005-0000-0000-00005A000000}"/>
    <cellStyle name="Comma 130" xfId="470" xr:uid="{00000000-0005-0000-0000-00005B000000}"/>
    <cellStyle name="Comma 131" xfId="469" xr:uid="{00000000-0005-0000-0000-00005C000000}"/>
    <cellStyle name="Comma 132" xfId="474" xr:uid="{00000000-0005-0000-0000-00005D000000}"/>
    <cellStyle name="Comma 133" xfId="471" xr:uid="{00000000-0005-0000-0000-00005E000000}"/>
    <cellStyle name="Comma 134" xfId="472" xr:uid="{00000000-0005-0000-0000-00005F000000}"/>
    <cellStyle name="Comma 135" xfId="475" xr:uid="{00000000-0005-0000-0000-000060000000}"/>
    <cellStyle name="Comma 136" xfId="473" xr:uid="{00000000-0005-0000-0000-000061000000}"/>
    <cellStyle name="Comma 137" xfId="476" xr:uid="{00000000-0005-0000-0000-000062000000}"/>
    <cellStyle name="Comma 138" xfId="477" xr:uid="{00000000-0005-0000-0000-000063000000}"/>
    <cellStyle name="Comma 139" xfId="478" xr:uid="{00000000-0005-0000-0000-000064000000}"/>
    <cellStyle name="Comma 14" xfId="98" xr:uid="{00000000-0005-0000-0000-000065000000}"/>
    <cellStyle name="Comma 140" xfId="480" xr:uid="{00000000-0005-0000-0000-000066000000}"/>
    <cellStyle name="Comma 141" xfId="479" xr:uid="{00000000-0005-0000-0000-000067000000}"/>
    <cellStyle name="Comma 142" xfId="483" xr:uid="{00000000-0005-0000-0000-000068000000}"/>
    <cellStyle name="Comma 143" xfId="481" xr:uid="{00000000-0005-0000-0000-000069000000}"/>
    <cellStyle name="Comma 144" xfId="484" xr:uid="{00000000-0005-0000-0000-00006A000000}"/>
    <cellStyle name="Comma 145" xfId="485" xr:uid="{00000000-0005-0000-0000-00006B000000}"/>
    <cellStyle name="Comma 146" xfId="486" xr:uid="{00000000-0005-0000-0000-00006C000000}"/>
    <cellStyle name="Comma 147" xfId="487" xr:uid="{00000000-0005-0000-0000-00006D000000}"/>
    <cellStyle name="Comma 148" xfId="488" xr:uid="{00000000-0005-0000-0000-00006E000000}"/>
    <cellStyle name="Comma 149" xfId="482" xr:uid="{00000000-0005-0000-0000-00006F000000}"/>
    <cellStyle name="Comma 15" xfId="97" xr:uid="{00000000-0005-0000-0000-000070000000}"/>
    <cellStyle name="Comma 150" xfId="489" xr:uid="{00000000-0005-0000-0000-000071000000}"/>
    <cellStyle name="Comma 151" xfId="490" xr:uid="{00000000-0005-0000-0000-000072000000}"/>
    <cellStyle name="Comma 152" xfId="491" xr:uid="{00000000-0005-0000-0000-000073000000}"/>
    <cellStyle name="Comma 153" xfId="493" xr:uid="{00000000-0005-0000-0000-000074000000}"/>
    <cellStyle name="Comma 154" xfId="494" xr:uid="{00000000-0005-0000-0000-000075000000}"/>
    <cellStyle name="Comma 155" xfId="495" xr:uid="{00000000-0005-0000-0000-000076000000}"/>
    <cellStyle name="Comma 156" xfId="496" xr:uid="{00000000-0005-0000-0000-000077000000}"/>
    <cellStyle name="Comma 157" xfId="501" xr:uid="{00000000-0005-0000-0000-000078000000}"/>
    <cellStyle name="Comma 158" xfId="502" xr:uid="{00000000-0005-0000-0000-000079000000}"/>
    <cellStyle name="Comma 159" xfId="500" xr:uid="{00000000-0005-0000-0000-00007A000000}"/>
    <cellStyle name="Comma 16" xfId="100" xr:uid="{00000000-0005-0000-0000-00007B000000}"/>
    <cellStyle name="Comma 160" xfId="498" xr:uid="{00000000-0005-0000-0000-00007C000000}"/>
    <cellStyle name="Comma 161" xfId="499" xr:uid="{00000000-0005-0000-0000-00007D000000}"/>
    <cellStyle name="Comma 162" xfId="497" xr:uid="{00000000-0005-0000-0000-00007E000000}"/>
    <cellStyle name="Comma 163" xfId="504" xr:uid="{00000000-0005-0000-0000-00007F000000}"/>
    <cellStyle name="Comma 164" xfId="503" xr:uid="{00000000-0005-0000-0000-000080000000}"/>
    <cellStyle name="Comma 165" xfId="492" xr:uid="{00000000-0005-0000-0000-000081000000}"/>
    <cellStyle name="Comma 166" xfId="505" xr:uid="{00000000-0005-0000-0000-000082000000}"/>
    <cellStyle name="Comma 167" xfId="509" xr:uid="{00000000-0005-0000-0000-000083000000}"/>
    <cellStyle name="Comma 168" xfId="510" xr:uid="{00000000-0005-0000-0000-000084000000}"/>
    <cellStyle name="Comma 169" xfId="508" xr:uid="{00000000-0005-0000-0000-000085000000}"/>
    <cellStyle name="Comma 17" xfId="99" xr:uid="{00000000-0005-0000-0000-000086000000}"/>
    <cellStyle name="Comma 170" xfId="511" xr:uid="{00000000-0005-0000-0000-000087000000}"/>
    <cellStyle name="Comma 171" xfId="512" xr:uid="{00000000-0005-0000-0000-000088000000}"/>
    <cellStyle name="Comma 172" xfId="514" xr:uid="{00000000-0005-0000-0000-000089000000}"/>
    <cellStyle name="Comma 173" xfId="506" xr:uid="{00000000-0005-0000-0000-00008A000000}"/>
    <cellStyle name="Comma 174" xfId="507" xr:uid="{00000000-0005-0000-0000-00008B000000}"/>
    <cellStyle name="Comma 175" xfId="513" xr:uid="{00000000-0005-0000-0000-00008C000000}"/>
    <cellStyle name="Comma 176" xfId="515" xr:uid="{00000000-0005-0000-0000-00008D000000}"/>
    <cellStyle name="Comma 177" xfId="516" xr:uid="{00000000-0005-0000-0000-00008E000000}"/>
    <cellStyle name="Comma 178" xfId="517" xr:uid="{00000000-0005-0000-0000-00008F000000}"/>
    <cellStyle name="Comma 179" xfId="518" xr:uid="{00000000-0005-0000-0000-000090000000}"/>
    <cellStyle name="Comma 18" xfId="102" xr:uid="{00000000-0005-0000-0000-000091000000}"/>
    <cellStyle name="Comma 180" xfId="519" xr:uid="{00000000-0005-0000-0000-000092000000}"/>
    <cellStyle name="Comma 181" xfId="520" xr:uid="{00000000-0005-0000-0000-000093000000}"/>
    <cellStyle name="Comma 182" xfId="522" xr:uid="{00000000-0005-0000-0000-000094000000}"/>
    <cellStyle name="Comma 183" xfId="521" xr:uid="{00000000-0005-0000-0000-000095000000}"/>
    <cellStyle name="Comma 184" xfId="525" xr:uid="{00000000-0005-0000-0000-000096000000}"/>
    <cellStyle name="Comma 185" xfId="523" xr:uid="{00000000-0005-0000-0000-000097000000}"/>
    <cellStyle name="Comma 186" xfId="524" xr:uid="{00000000-0005-0000-0000-000098000000}"/>
    <cellStyle name="Comma 187" xfId="526" xr:uid="{00000000-0005-0000-0000-000099000000}"/>
    <cellStyle name="Comma 188" xfId="528" xr:uid="{00000000-0005-0000-0000-00009A000000}"/>
    <cellStyle name="Comma 189" xfId="529" xr:uid="{00000000-0005-0000-0000-00009B000000}"/>
    <cellStyle name="Comma 19" xfId="101" xr:uid="{00000000-0005-0000-0000-00009C000000}"/>
    <cellStyle name="Comma 19 2" xfId="221" xr:uid="{00000000-0005-0000-0000-00009D000000}"/>
    <cellStyle name="Comma 19 3" xfId="373" xr:uid="{00000000-0005-0000-0000-00009E000000}"/>
    <cellStyle name="Comma 190" xfId="527" xr:uid="{00000000-0005-0000-0000-00009F000000}"/>
    <cellStyle name="Comma 191" xfId="531" xr:uid="{00000000-0005-0000-0000-0000A0000000}"/>
    <cellStyle name="Comma 192" xfId="532" xr:uid="{00000000-0005-0000-0000-0000A1000000}"/>
    <cellStyle name="Comma 193" xfId="534" xr:uid="{00000000-0005-0000-0000-0000A2000000}"/>
    <cellStyle name="Comma 194" xfId="535" xr:uid="{00000000-0005-0000-0000-0000A3000000}"/>
    <cellStyle name="Comma 195" xfId="536" xr:uid="{00000000-0005-0000-0000-0000A4000000}"/>
    <cellStyle name="Comma 196" xfId="533" xr:uid="{00000000-0005-0000-0000-0000A5000000}"/>
    <cellStyle name="Comma 197" xfId="530" xr:uid="{00000000-0005-0000-0000-0000A6000000}"/>
    <cellStyle name="Comma 198" xfId="538" xr:uid="{00000000-0005-0000-0000-0000A7000000}"/>
    <cellStyle name="Comma 199" xfId="539" xr:uid="{00000000-0005-0000-0000-0000A8000000}"/>
    <cellStyle name="Comma 2" xfId="20" xr:uid="{00000000-0005-0000-0000-0000A9000000}"/>
    <cellStyle name="Comma 2 2" xfId="21" xr:uid="{00000000-0005-0000-0000-0000AA000000}"/>
    <cellStyle name="Comma 2 2 2" xfId="22" xr:uid="{00000000-0005-0000-0000-0000AB000000}"/>
    <cellStyle name="Comma 2 2 2 2" xfId="199" xr:uid="{00000000-0005-0000-0000-0000AC000000}"/>
    <cellStyle name="Comma 2 2 3" xfId="70" xr:uid="{00000000-0005-0000-0000-0000AD000000}"/>
    <cellStyle name="Comma 2 2 3 2" xfId="213" xr:uid="{00000000-0005-0000-0000-0000AE000000}"/>
    <cellStyle name="Comma 2 2 4" xfId="198" xr:uid="{00000000-0005-0000-0000-0000AF000000}"/>
    <cellStyle name="Comma 2 2 5" xfId="379" xr:uid="{00000000-0005-0000-0000-0000B0000000}"/>
    <cellStyle name="Comma 2 3" xfId="148" xr:uid="{00000000-0005-0000-0000-0000B1000000}"/>
    <cellStyle name="Comma 2 3 2" xfId="355" xr:uid="{00000000-0005-0000-0000-0000B2000000}"/>
    <cellStyle name="Comma 2 4" xfId="197" xr:uid="{00000000-0005-0000-0000-0000B3000000}"/>
    <cellStyle name="Comma 2 4 2" xfId="395" xr:uid="{00000000-0005-0000-0000-0000B4000000}"/>
    <cellStyle name="Comma 2 5" xfId="431" xr:uid="{00000000-0005-0000-0000-0000B5000000}"/>
    <cellStyle name="Comma 20" xfId="103" xr:uid="{00000000-0005-0000-0000-0000B6000000}"/>
    <cellStyle name="Comma 20 2" xfId="222" xr:uid="{00000000-0005-0000-0000-0000B7000000}"/>
    <cellStyle name="Comma 20 3" xfId="372" xr:uid="{00000000-0005-0000-0000-0000B8000000}"/>
    <cellStyle name="Comma 200" xfId="537" xr:uid="{00000000-0005-0000-0000-0000B9000000}"/>
    <cellStyle name="Comma 201" xfId="541" xr:uid="{00000000-0005-0000-0000-0000BA000000}"/>
    <cellStyle name="Comma 202" xfId="540" xr:uid="{00000000-0005-0000-0000-0000BB000000}"/>
    <cellStyle name="Comma 203" xfId="543" xr:uid="{00000000-0005-0000-0000-0000BC000000}"/>
    <cellStyle name="Comma 204" xfId="542" xr:uid="{00000000-0005-0000-0000-0000BD000000}"/>
    <cellStyle name="Comma 205" xfId="545" xr:uid="{00000000-0005-0000-0000-0000BE000000}"/>
    <cellStyle name="Comma 206" xfId="546" xr:uid="{00000000-0005-0000-0000-0000BF000000}"/>
    <cellStyle name="Comma 207" xfId="548" xr:uid="{00000000-0005-0000-0000-0000C0000000}"/>
    <cellStyle name="Comma 208" xfId="547" xr:uid="{00000000-0005-0000-0000-0000C1000000}"/>
    <cellStyle name="Comma 209" xfId="544" xr:uid="{00000000-0005-0000-0000-0000C2000000}"/>
    <cellStyle name="Comma 21" xfId="104" xr:uid="{00000000-0005-0000-0000-0000C3000000}"/>
    <cellStyle name="Comma 21 2" xfId="223" xr:uid="{00000000-0005-0000-0000-0000C4000000}"/>
    <cellStyle name="Comma 21 3" xfId="374" xr:uid="{00000000-0005-0000-0000-0000C5000000}"/>
    <cellStyle name="Comma 210" xfId="549" xr:uid="{00000000-0005-0000-0000-0000C6000000}"/>
    <cellStyle name="Comma 211" xfId="550" xr:uid="{00000000-0005-0000-0000-0000C7000000}"/>
    <cellStyle name="Comma 212" xfId="551" xr:uid="{00000000-0005-0000-0000-0000C8000000}"/>
    <cellStyle name="Comma 213" xfId="554" xr:uid="{00000000-0005-0000-0000-0000C9000000}"/>
    <cellStyle name="Comma 214" xfId="555" xr:uid="{00000000-0005-0000-0000-0000CA000000}"/>
    <cellStyle name="Comma 215" xfId="556" xr:uid="{00000000-0005-0000-0000-0000CB000000}"/>
    <cellStyle name="Comma 216" xfId="552" xr:uid="{00000000-0005-0000-0000-0000CC000000}"/>
    <cellStyle name="Comma 217" xfId="557" xr:uid="{00000000-0005-0000-0000-0000CD000000}"/>
    <cellStyle name="Comma 218" xfId="553" xr:uid="{00000000-0005-0000-0000-0000CE000000}"/>
    <cellStyle name="Comma 219" xfId="558" xr:uid="{00000000-0005-0000-0000-0000CF000000}"/>
    <cellStyle name="Comma 22" xfId="106" xr:uid="{00000000-0005-0000-0000-0000D0000000}"/>
    <cellStyle name="Comma 22 2" xfId="376" xr:uid="{00000000-0005-0000-0000-0000D1000000}"/>
    <cellStyle name="Comma 220" xfId="559" xr:uid="{00000000-0005-0000-0000-0000D2000000}"/>
    <cellStyle name="Comma 221" xfId="561" xr:uid="{00000000-0005-0000-0000-0000D3000000}"/>
    <cellStyle name="Comma 222" xfId="560" xr:uid="{00000000-0005-0000-0000-0000D4000000}"/>
    <cellStyle name="Comma 223" xfId="564" xr:uid="{00000000-0005-0000-0000-0000D5000000}"/>
    <cellStyle name="Comma 224" xfId="562" xr:uid="{00000000-0005-0000-0000-0000D6000000}"/>
    <cellStyle name="Comma 225" xfId="563" xr:uid="{00000000-0005-0000-0000-0000D7000000}"/>
    <cellStyle name="Comma 226" xfId="565" xr:uid="{00000000-0005-0000-0000-0000D8000000}"/>
    <cellStyle name="Comma 227" xfId="567" xr:uid="{00000000-0005-0000-0000-0000D9000000}"/>
    <cellStyle name="Comma 228" xfId="569" xr:uid="{00000000-0005-0000-0000-0000DA000000}"/>
    <cellStyle name="Comma 229" xfId="568" xr:uid="{00000000-0005-0000-0000-0000DB000000}"/>
    <cellStyle name="Comma 23" xfId="107" xr:uid="{00000000-0005-0000-0000-0000DC000000}"/>
    <cellStyle name="Comma 23 2" xfId="387" xr:uid="{00000000-0005-0000-0000-0000DD000000}"/>
    <cellStyle name="Comma 230" xfId="570" xr:uid="{00000000-0005-0000-0000-0000DE000000}"/>
    <cellStyle name="Comma 231" xfId="571" xr:uid="{00000000-0005-0000-0000-0000DF000000}"/>
    <cellStyle name="Comma 232" xfId="574" xr:uid="{00000000-0005-0000-0000-0000E0000000}"/>
    <cellStyle name="Comma 233" xfId="566" xr:uid="{00000000-0005-0000-0000-0000E1000000}"/>
    <cellStyle name="Comma 234" xfId="572" xr:uid="{00000000-0005-0000-0000-0000E2000000}"/>
    <cellStyle name="Comma 235" xfId="573" xr:uid="{00000000-0005-0000-0000-0000E3000000}"/>
    <cellStyle name="Comma 236" xfId="576" xr:uid="{00000000-0005-0000-0000-0000E4000000}"/>
    <cellStyle name="Comma 237" xfId="575" xr:uid="{00000000-0005-0000-0000-0000E5000000}"/>
    <cellStyle name="Comma 238" xfId="578" xr:uid="{00000000-0005-0000-0000-0000E6000000}"/>
    <cellStyle name="Comma 239" xfId="577" xr:uid="{00000000-0005-0000-0000-0000E7000000}"/>
    <cellStyle name="Comma 24" xfId="117" xr:uid="{00000000-0005-0000-0000-0000E8000000}"/>
    <cellStyle name="Comma 24 2" xfId="389" xr:uid="{00000000-0005-0000-0000-0000E9000000}"/>
    <cellStyle name="Comma 240" xfId="581" xr:uid="{00000000-0005-0000-0000-0000EA000000}"/>
    <cellStyle name="Comma 241" xfId="579" xr:uid="{00000000-0005-0000-0000-0000EB000000}"/>
    <cellStyle name="Comma 242" xfId="580" xr:uid="{00000000-0005-0000-0000-0000EC000000}"/>
    <cellStyle name="Comma 243" xfId="584" xr:uid="{00000000-0005-0000-0000-0000ED000000}"/>
    <cellStyle name="Comma 244" xfId="586" xr:uid="{00000000-0005-0000-0000-0000EE000000}"/>
    <cellStyle name="Comma 245" xfId="582" xr:uid="{00000000-0005-0000-0000-0000EF000000}"/>
    <cellStyle name="Comma 246" xfId="585" xr:uid="{00000000-0005-0000-0000-0000F0000000}"/>
    <cellStyle name="Comma 247" xfId="587" xr:uid="{00000000-0005-0000-0000-0000F1000000}"/>
    <cellStyle name="Comma 248" xfId="588" xr:uid="{00000000-0005-0000-0000-0000F2000000}"/>
    <cellStyle name="Comma 249" xfId="583" xr:uid="{00000000-0005-0000-0000-0000F3000000}"/>
    <cellStyle name="Comma 25" xfId="116" xr:uid="{00000000-0005-0000-0000-0000F4000000}"/>
    <cellStyle name="Comma 250" xfId="589" xr:uid="{00000000-0005-0000-0000-0000F5000000}"/>
    <cellStyle name="Comma 251" xfId="591" xr:uid="{00000000-0005-0000-0000-0000F6000000}"/>
    <cellStyle name="Comma 252" xfId="590" xr:uid="{00000000-0005-0000-0000-0000F7000000}"/>
    <cellStyle name="Comma 253" xfId="594" xr:uid="{00000000-0005-0000-0000-0000F8000000}"/>
    <cellStyle name="Comma 254" xfId="592" xr:uid="{00000000-0005-0000-0000-0000F9000000}"/>
    <cellStyle name="Comma 255" xfId="593" xr:uid="{00000000-0005-0000-0000-0000FA000000}"/>
    <cellStyle name="Comma 256" xfId="596" xr:uid="{00000000-0005-0000-0000-0000FB000000}"/>
    <cellStyle name="Comma 257" xfId="597" xr:uid="{00000000-0005-0000-0000-0000FC000000}"/>
    <cellStyle name="Comma 258" xfId="595" xr:uid="{00000000-0005-0000-0000-0000FD000000}"/>
    <cellStyle name="Comma 259" xfId="598" xr:uid="{00000000-0005-0000-0000-0000FE000000}"/>
    <cellStyle name="Comma 26" xfId="119" xr:uid="{00000000-0005-0000-0000-0000FF000000}"/>
    <cellStyle name="Comma 260" xfId="599" xr:uid="{00000000-0005-0000-0000-000000010000}"/>
    <cellStyle name="Comma 261" xfId="600" xr:uid="{00000000-0005-0000-0000-000001010000}"/>
    <cellStyle name="Comma 262" xfId="601" xr:uid="{00000000-0005-0000-0000-000002010000}"/>
    <cellStyle name="Comma 263" xfId="604" xr:uid="{00000000-0005-0000-0000-000003010000}"/>
    <cellStyle name="Comma 264" xfId="602" xr:uid="{00000000-0005-0000-0000-000004010000}"/>
    <cellStyle name="Comma 265" xfId="603" xr:uid="{00000000-0005-0000-0000-000005010000}"/>
    <cellStyle name="Comma 266" xfId="605" xr:uid="{00000000-0005-0000-0000-000006010000}"/>
    <cellStyle name="Comma 267" xfId="607" xr:uid="{00000000-0005-0000-0000-000007010000}"/>
    <cellStyle name="Comma 268" xfId="609" xr:uid="{00000000-0005-0000-0000-000008010000}"/>
    <cellStyle name="Comma 269" xfId="610" xr:uid="{00000000-0005-0000-0000-000009010000}"/>
    <cellStyle name="Comma 27" xfId="118" xr:uid="{00000000-0005-0000-0000-00000A010000}"/>
    <cellStyle name="Comma 27 2" xfId="231" xr:uid="{00000000-0005-0000-0000-00000B010000}"/>
    <cellStyle name="Comma 27 3" xfId="388" xr:uid="{00000000-0005-0000-0000-00000C010000}"/>
    <cellStyle name="Comma 270" xfId="606" xr:uid="{00000000-0005-0000-0000-00000D010000}"/>
    <cellStyle name="Comma 271" xfId="608" xr:uid="{00000000-0005-0000-0000-00000E010000}"/>
    <cellStyle name="Comma 272" xfId="614" xr:uid="{00000000-0005-0000-0000-00000F010000}"/>
    <cellStyle name="Comma 273" xfId="612" xr:uid="{00000000-0005-0000-0000-000010010000}"/>
    <cellStyle name="Comma 274" xfId="613" xr:uid="{00000000-0005-0000-0000-000011010000}"/>
    <cellStyle name="Comma 275" xfId="611" xr:uid="{00000000-0005-0000-0000-000012010000}"/>
    <cellStyle name="Comma 276" xfId="617" xr:uid="{00000000-0005-0000-0000-000013010000}"/>
    <cellStyle name="Comma 277" xfId="615" xr:uid="{00000000-0005-0000-0000-000014010000}"/>
    <cellStyle name="Comma 278" xfId="620" xr:uid="{00000000-0005-0000-0000-000015010000}"/>
    <cellStyle name="Comma 279" xfId="621" xr:uid="{00000000-0005-0000-0000-000016010000}"/>
    <cellStyle name="Comma 28" xfId="120" xr:uid="{00000000-0005-0000-0000-000017010000}"/>
    <cellStyle name="Comma 28 2" xfId="232" xr:uid="{00000000-0005-0000-0000-000018010000}"/>
    <cellStyle name="Comma 28 3" xfId="390" xr:uid="{00000000-0005-0000-0000-000019010000}"/>
    <cellStyle name="Comma 280" xfId="619" xr:uid="{00000000-0005-0000-0000-00001A010000}"/>
    <cellStyle name="Comma 281" xfId="616" xr:uid="{00000000-0005-0000-0000-00001B010000}"/>
    <cellStyle name="Comma 282" xfId="618" xr:uid="{00000000-0005-0000-0000-00001C010000}"/>
    <cellStyle name="Comma 283" xfId="622" xr:uid="{00000000-0005-0000-0000-00001D010000}"/>
    <cellStyle name="Comma 284" xfId="623" xr:uid="{00000000-0005-0000-0000-00001E010000}"/>
    <cellStyle name="Comma 285" xfId="625" xr:uid="{00000000-0005-0000-0000-00001F010000}"/>
    <cellStyle name="Comma 286" xfId="624" xr:uid="{00000000-0005-0000-0000-000020010000}"/>
    <cellStyle name="Comma 287" xfId="626" xr:uid="{00000000-0005-0000-0000-000021010000}"/>
    <cellStyle name="Comma 288" xfId="627" xr:uid="{00000000-0005-0000-0000-000022010000}"/>
    <cellStyle name="Comma 289" xfId="632" xr:uid="{00000000-0005-0000-0000-000023010000}"/>
    <cellStyle name="Comma 29" xfId="122" xr:uid="{00000000-0005-0000-0000-000024010000}"/>
    <cellStyle name="Comma 290" xfId="630" xr:uid="{00000000-0005-0000-0000-000025010000}"/>
    <cellStyle name="Comma 291" xfId="629" xr:uid="{00000000-0005-0000-0000-000026010000}"/>
    <cellStyle name="Comma 292" xfId="633" xr:uid="{00000000-0005-0000-0000-000027010000}"/>
    <cellStyle name="Comma 293" xfId="631" xr:uid="{00000000-0005-0000-0000-000028010000}"/>
    <cellStyle name="Comma 294" xfId="634" xr:uid="{00000000-0005-0000-0000-000029010000}"/>
    <cellStyle name="Comma 295" xfId="636" xr:uid="{00000000-0005-0000-0000-00002A010000}"/>
    <cellStyle name="Comma 296" xfId="637" xr:uid="{00000000-0005-0000-0000-00002B010000}"/>
    <cellStyle name="Comma 297" xfId="638" xr:uid="{00000000-0005-0000-0000-00002C010000}"/>
    <cellStyle name="Comma 298" xfId="635" xr:uid="{00000000-0005-0000-0000-00002D010000}"/>
    <cellStyle name="Comma 299" xfId="639" xr:uid="{00000000-0005-0000-0000-00002E010000}"/>
    <cellStyle name="Comma 3" xfId="23" xr:uid="{00000000-0005-0000-0000-00002F010000}"/>
    <cellStyle name="Comma 3 2" xfId="24" xr:uid="{00000000-0005-0000-0000-000030010000}"/>
    <cellStyle name="Comma 3 2 2" xfId="110" xr:uid="{00000000-0005-0000-0000-000031010000}"/>
    <cellStyle name="Comma 3 2 2 2" xfId="227" xr:uid="{00000000-0005-0000-0000-000032010000}"/>
    <cellStyle name="Comma 3 2 3" xfId="201" xr:uid="{00000000-0005-0000-0000-000033010000}"/>
    <cellStyle name="Comma 3 2 4" xfId="380" xr:uid="{00000000-0005-0000-0000-000034010000}"/>
    <cellStyle name="Comma 3 3" xfId="109" xr:uid="{00000000-0005-0000-0000-000035010000}"/>
    <cellStyle name="Comma 3 3 2" xfId="226" xr:uid="{00000000-0005-0000-0000-000036010000}"/>
    <cellStyle name="Comma 3 4" xfId="200" xr:uid="{00000000-0005-0000-0000-000037010000}"/>
    <cellStyle name="Comma 3 5" xfId="361" xr:uid="{00000000-0005-0000-0000-000038010000}"/>
    <cellStyle name="Comma 30" xfId="121" xr:uid="{00000000-0005-0000-0000-000039010000}"/>
    <cellStyle name="Comma 30 2" xfId="391" xr:uid="{00000000-0005-0000-0000-00003A010000}"/>
    <cellStyle name="Comma 300" xfId="641" xr:uid="{00000000-0005-0000-0000-00003B010000}"/>
    <cellStyle name="Comma 301" xfId="642" xr:uid="{00000000-0005-0000-0000-00003C010000}"/>
    <cellStyle name="Comma 302" xfId="647" xr:uid="{00000000-0005-0000-0000-00003D010000}"/>
    <cellStyle name="Comma 303" xfId="649" xr:uid="{00000000-0005-0000-0000-00003E010000}"/>
    <cellStyle name="Comma 304" xfId="640" xr:uid="{00000000-0005-0000-0000-00003F010000}"/>
    <cellStyle name="Comma 305" xfId="648" xr:uid="{00000000-0005-0000-0000-000040010000}"/>
    <cellStyle name="Comma 306" xfId="646" xr:uid="{00000000-0005-0000-0000-000041010000}"/>
    <cellStyle name="Comma 307" xfId="643" xr:uid="{00000000-0005-0000-0000-000042010000}"/>
    <cellStyle name="Comma 308" xfId="645" xr:uid="{00000000-0005-0000-0000-000043010000}"/>
    <cellStyle name="Comma 309" xfId="644" xr:uid="{00000000-0005-0000-0000-000044010000}"/>
    <cellStyle name="Comma 31" xfId="123" xr:uid="{00000000-0005-0000-0000-000045010000}"/>
    <cellStyle name="Comma 31 2" xfId="233" xr:uid="{00000000-0005-0000-0000-000046010000}"/>
    <cellStyle name="Comma 31 3" xfId="392" xr:uid="{00000000-0005-0000-0000-000047010000}"/>
    <cellStyle name="Comma 310" xfId="650" xr:uid="{00000000-0005-0000-0000-000048010000}"/>
    <cellStyle name="Comma 311" xfId="651" xr:uid="{00000000-0005-0000-0000-000049010000}"/>
    <cellStyle name="Comma 312" xfId="653" xr:uid="{00000000-0005-0000-0000-00004A010000}"/>
    <cellStyle name="Comma 313" xfId="652" xr:uid="{00000000-0005-0000-0000-00004B010000}"/>
    <cellStyle name="Comma 314" xfId="654" xr:uid="{00000000-0005-0000-0000-00004C010000}"/>
    <cellStyle name="Comma 315" xfId="656" xr:uid="{00000000-0005-0000-0000-00004D010000}"/>
    <cellStyle name="Comma 316" xfId="655" xr:uid="{00000000-0005-0000-0000-00004E010000}"/>
    <cellStyle name="Comma 317" xfId="657" xr:uid="{00000000-0005-0000-0000-00004F010000}"/>
    <cellStyle name="Comma 318" xfId="658" xr:uid="{00000000-0005-0000-0000-000050010000}"/>
    <cellStyle name="Comma 319" xfId="659" xr:uid="{00000000-0005-0000-0000-000051010000}"/>
    <cellStyle name="Comma 32" xfId="124" xr:uid="{00000000-0005-0000-0000-000052010000}"/>
    <cellStyle name="Comma 32 2" xfId="234" xr:uid="{00000000-0005-0000-0000-000053010000}"/>
    <cellStyle name="Comma 32 3" xfId="393" xr:uid="{00000000-0005-0000-0000-000054010000}"/>
    <cellStyle name="Comma 320" xfId="660" xr:uid="{00000000-0005-0000-0000-000055010000}"/>
    <cellStyle name="Comma 321" xfId="661" xr:uid="{00000000-0005-0000-0000-000056010000}"/>
    <cellStyle name="Comma 322" xfId="663" xr:uid="{00000000-0005-0000-0000-000057010000}"/>
    <cellStyle name="Comma 323" xfId="664" xr:uid="{00000000-0005-0000-0000-000058010000}"/>
    <cellStyle name="Comma 324" xfId="665" xr:uid="{00000000-0005-0000-0000-000059010000}"/>
    <cellStyle name="Comma 325" xfId="662" xr:uid="{00000000-0005-0000-0000-00005A010000}"/>
    <cellStyle name="Comma 326" xfId="666" xr:uid="{00000000-0005-0000-0000-00005B010000}"/>
    <cellStyle name="Comma 327" xfId="667" xr:uid="{00000000-0005-0000-0000-00005C010000}"/>
    <cellStyle name="Comma 328" xfId="668" xr:uid="{00000000-0005-0000-0000-00005D010000}"/>
    <cellStyle name="Comma 329" xfId="669" xr:uid="{00000000-0005-0000-0000-00005E010000}"/>
    <cellStyle name="Comma 33" xfId="126" xr:uid="{00000000-0005-0000-0000-00005F010000}"/>
    <cellStyle name="Comma 330" xfId="670" xr:uid="{00000000-0005-0000-0000-000060010000}"/>
    <cellStyle name="Comma 331" xfId="671" xr:uid="{00000000-0005-0000-0000-000061010000}"/>
    <cellStyle name="Comma 332" xfId="672" xr:uid="{00000000-0005-0000-0000-000062010000}"/>
    <cellStyle name="Comma 333" xfId="673" xr:uid="{00000000-0005-0000-0000-000063010000}"/>
    <cellStyle name="Comma 334" xfId="674" xr:uid="{00000000-0005-0000-0000-000064010000}"/>
    <cellStyle name="Comma 335" xfId="675" xr:uid="{00000000-0005-0000-0000-000065010000}"/>
    <cellStyle name="Comma 336" xfId="676" xr:uid="{00000000-0005-0000-0000-000066010000}"/>
    <cellStyle name="Comma 337" xfId="681" xr:uid="{00000000-0005-0000-0000-000067010000}"/>
    <cellStyle name="Comma 338" xfId="682" xr:uid="{00000000-0005-0000-0000-000068010000}"/>
    <cellStyle name="Comma 339" xfId="677" xr:uid="{00000000-0005-0000-0000-000069010000}"/>
    <cellStyle name="Comma 34" xfId="125" xr:uid="{00000000-0005-0000-0000-00006A010000}"/>
    <cellStyle name="Comma 340" xfId="683" xr:uid="{00000000-0005-0000-0000-00006B010000}"/>
    <cellStyle name="Comma 341" xfId="684" xr:uid="{00000000-0005-0000-0000-00006C010000}"/>
    <cellStyle name="Comma 342" xfId="678" xr:uid="{00000000-0005-0000-0000-00006D010000}"/>
    <cellStyle name="Comma 343" xfId="685" xr:uid="{00000000-0005-0000-0000-00006E010000}"/>
    <cellStyle name="Comma 344" xfId="680" xr:uid="{00000000-0005-0000-0000-00006F010000}"/>
    <cellStyle name="Comma 345" xfId="679" xr:uid="{00000000-0005-0000-0000-000070010000}"/>
    <cellStyle name="Comma 346" xfId="686" xr:uid="{00000000-0005-0000-0000-000071010000}"/>
    <cellStyle name="Comma 347" xfId="688" xr:uid="{00000000-0005-0000-0000-000072010000}"/>
    <cellStyle name="Comma 348" xfId="687" xr:uid="{00000000-0005-0000-0000-000073010000}"/>
    <cellStyle name="Comma 349" xfId="689" xr:uid="{00000000-0005-0000-0000-000074010000}"/>
    <cellStyle name="Comma 35" xfId="127" xr:uid="{00000000-0005-0000-0000-000075010000}"/>
    <cellStyle name="Comma 35 2" xfId="235" xr:uid="{00000000-0005-0000-0000-000076010000}"/>
    <cellStyle name="Comma 35 3" xfId="396" xr:uid="{00000000-0005-0000-0000-000077010000}"/>
    <cellStyle name="Comma 350" xfId="690" xr:uid="{00000000-0005-0000-0000-000078010000}"/>
    <cellStyle name="Comma 351" xfId="691" xr:uid="{00000000-0005-0000-0000-000079010000}"/>
    <cellStyle name="Comma 352" xfId="692" xr:uid="{00000000-0005-0000-0000-00007A010000}"/>
    <cellStyle name="Comma 353" xfId="693" xr:uid="{00000000-0005-0000-0000-00007B010000}"/>
    <cellStyle name="Comma 354" xfId="695" xr:uid="{00000000-0005-0000-0000-00007C010000}"/>
    <cellStyle name="Comma 355" xfId="696" xr:uid="{00000000-0005-0000-0000-00007D010000}"/>
    <cellStyle name="Comma 356" xfId="694" xr:uid="{00000000-0005-0000-0000-00007E010000}"/>
    <cellStyle name="Comma 357" xfId="697" xr:uid="{00000000-0005-0000-0000-00007F010000}"/>
    <cellStyle name="Comma 358" xfId="700" xr:uid="{00000000-0005-0000-0000-000080010000}"/>
    <cellStyle name="Comma 359" xfId="701" xr:uid="{00000000-0005-0000-0000-000081010000}"/>
    <cellStyle name="Comma 36" xfId="128" xr:uid="{00000000-0005-0000-0000-000082010000}"/>
    <cellStyle name="Comma 36 2" xfId="236" xr:uid="{00000000-0005-0000-0000-000083010000}"/>
    <cellStyle name="Comma 36 3" xfId="397" xr:uid="{00000000-0005-0000-0000-000084010000}"/>
    <cellStyle name="Comma 360" xfId="698" xr:uid="{00000000-0005-0000-0000-000085010000}"/>
    <cellStyle name="Comma 361" xfId="699" xr:uid="{00000000-0005-0000-0000-000086010000}"/>
    <cellStyle name="Comma 362" xfId="702" xr:uid="{00000000-0005-0000-0000-000087010000}"/>
    <cellStyle name="Comma 363" xfId="703" xr:uid="{00000000-0005-0000-0000-000088010000}"/>
    <cellStyle name="Comma 364" xfId="705" xr:uid="{00000000-0005-0000-0000-000089010000}"/>
    <cellStyle name="Comma 365" xfId="706" xr:uid="{00000000-0005-0000-0000-00008A010000}"/>
    <cellStyle name="Comma 366" xfId="704" xr:uid="{00000000-0005-0000-0000-00008B010000}"/>
    <cellStyle name="Comma 367" xfId="707" xr:uid="{00000000-0005-0000-0000-00008C010000}"/>
    <cellStyle name="Comma 368" xfId="709" xr:uid="{00000000-0005-0000-0000-00008D010000}"/>
    <cellStyle name="Comma 369" xfId="708" xr:uid="{00000000-0005-0000-0000-00008E010000}"/>
    <cellStyle name="Comma 37" xfId="130" xr:uid="{00000000-0005-0000-0000-00008F010000}"/>
    <cellStyle name="Comma 370" xfId="711" xr:uid="{00000000-0005-0000-0000-000090010000}"/>
    <cellStyle name="Comma 371" xfId="710" xr:uid="{00000000-0005-0000-0000-000091010000}"/>
    <cellStyle name="Comma 372" xfId="712" xr:uid="{00000000-0005-0000-0000-000092010000}"/>
    <cellStyle name="Comma 373" xfId="713" xr:uid="{00000000-0005-0000-0000-000093010000}"/>
    <cellStyle name="Comma 374" xfId="715" xr:uid="{00000000-0005-0000-0000-000094010000}"/>
    <cellStyle name="Comma 375" xfId="717" xr:uid="{00000000-0005-0000-0000-000095010000}"/>
    <cellStyle name="Comma 376" xfId="714" xr:uid="{00000000-0005-0000-0000-000096010000}"/>
    <cellStyle name="Comma 377" xfId="718" xr:uid="{00000000-0005-0000-0000-000097010000}"/>
    <cellStyle name="Comma 378" xfId="719" xr:uid="{00000000-0005-0000-0000-000098010000}"/>
    <cellStyle name="Comma 379" xfId="720" xr:uid="{00000000-0005-0000-0000-000099010000}"/>
    <cellStyle name="Comma 38" xfId="129" xr:uid="{00000000-0005-0000-0000-00009A010000}"/>
    <cellStyle name="Comma 380" xfId="716" xr:uid="{00000000-0005-0000-0000-00009B010000}"/>
    <cellStyle name="Comma 381" xfId="721" xr:uid="{00000000-0005-0000-0000-00009C010000}"/>
    <cellStyle name="Comma 382" xfId="722" xr:uid="{00000000-0005-0000-0000-00009D010000}"/>
    <cellStyle name="Comma 383" xfId="724" xr:uid="{00000000-0005-0000-0000-00009E010000}"/>
    <cellStyle name="Comma 384" xfId="725" xr:uid="{00000000-0005-0000-0000-00009F010000}"/>
    <cellStyle name="Comma 385" xfId="723" xr:uid="{00000000-0005-0000-0000-0000A0010000}"/>
    <cellStyle name="Comma 386" xfId="727" xr:uid="{00000000-0005-0000-0000-0000A1010000}"/>
    <cellStyle name="Comma 387" xfId="728" xr:uid="{00000000-0005-0000-0000-0000A2010000}"/>
    <cellStyle name="Comma 388" xfId="726" xr:uid="{00000000-0005-0000-0000-0000A3010000}"/>
    <cellStyle name="Comma 389" xfId="730" xr:uid="{00000000-0005-0000-0000-0000A4010000}"/>
    <cellStyle name="Comma 39" xfId="131" xr:uid="{00000000-0005-0000-0000-0000A5010000}"/>
    <cellStyle name="Comma 39 2" xfId="237" xr:uid="{00000000-0005-0000-0000-0000A6010000}"/>
    <cellStyle name="Comma 39 3" xfId="399" xr:uid="{00000000-0005-0000-0000-0000A7010000}"/>
    <cellStyle name="Comma 390" xfId="729" xr:uid="{00000000-0005-0000-0000-0000A8010000}"/>
    <cellStyle name="Comma 391" xfId="731" xr:uid="{00000000-0005-0000-0000-0000A9010000}"/>
    <cellStyle name="Comma 392" xfId="732" xr:uid="{00000000-0005-0000-0000-0000AA010000}"/>
    <cellStyle name="Comma 393" xfId="733" xr:uid="{00000000-0005-0000-0000-0000AB010000}"/>
    <cellStyle name="Comma 394" xfId="734" xr:uid="{00000000-0005-0000-0000-0000AC010000}"/>
    <cellStyle name="Comma 395" xfId="735" xr:uid="{00000000-0005-0000-0000-0000AD010000}"/>
    <cellStyle name="Comma 396" xfId="736" xr:uid="{00000000-0005-0000-0000-0000AE010000}"/>
    <cellStyle name="Comma 397" xfId="738" xr:uid="{00000000-0005-0000-0000-0000AF010000}"/>
    <cellStyle name="Comma 398" xfId="737" xr:uid="{00000000-0005-0000-0000-0000B0010000}"/>
    <cellStyle name="Comma 399" xfId="739" xr:uid="{00000000-0005-0000-0000-0000B1010000}"/>
    <cellStyle name="Comma 4" xfId="25" xr:uid="{00000000-0005-0000-0000-0000B2010000}"/>
    <cellStyle name="Comma 4 2" xfId="71" xr:uid="{00000000-0005-0000-0000-0000B3010000}"/>
    <cellStyle name="Comma 4 2 2" xfId="214" xr:uid="{00000000-0005-0000-0000-0000B4010000}"/>
    <cellStyle name="Comma 4 2 3" xfId="381" xr:uid="{00000000-0005-0000-0000-0000B5010000}"/>
    <cellStyle name="Comma 4 3" xfId="111" xr:uid="{00000000-0005-0000-0000-0000B6010000}"/>
    <cellStyle name="Comma 4 3 2" xfId="140" xr:uid="{00000000-0005-0000-0000-0000B7010000}"/>
    <cellStyle name="Comma 4 3 2 2" xfId="246" xr:uid="{00000000-0005-0000-0000-0000B8010000}"/>
    <cellStyle name="Comma 4 3 3" xfId="228" xr:uid="{00000000-0005-0000-0000-0000B9010000}"/>
    <cellStyle name="Comma 4 4" xfId="133" xr:uid="{00000000-0005-0000-0000-0000BA010000}"/>
    <cellStyle name="Comma 4 4 2" xfId="239" xr:uid="{00000000-0005-0000-0000-0000BB010000}"/>
    <cellStyle name="Comma 4 5" xfId="202" xr:uid="{00000000-0005-0000-0000-0000BC010000}"/>
    <cellStyle name="Comma 4 6" xfId="362" xr:uid="{00000000-0005-0000-0000-0000BD010000}"/>
    <cellStyle name="Comma 40" xfId="132" xr:uid="{00000000-0005-0000-0000-0000BE010000}"/>
    <cellStyle name="Comma 40 2" xfId="238" xr:uid="{00000000-0005-0000-0000-0000BF010000}"/>
    <cellStyle name="Comma 40 3" xfId="398" xr:uid="{00000000-0005-0000-0000-0000C0010000}"/>
    <cellStyle name="Comma 400" xfId="740" xr:uid="{00000000-0005-0000-0000-0000C1010000}"/>
    <cellStyle name="Comma 401" xfId="742" xr:uid="{00000000-0005-0000-0000-0000C2010000}"/>
    <cellStyle name="Comma 402" xfId="743" xr:uid="{00000000-0005-0000-0000-0000C3010000}"/>
    <cellStyle name="Comma 403" xfId="741" xr:uid="{00000000-0005-0000-0000-0000C4010000}"/>
    <cellStyle name="Comma 404" xfId="745" xr:uid="{00000000-0005-0000-0000-0000C5010000}"/>
    <cellStyle name="Comma 405" xfId="747" xr:uid="{00000000-0005-0000-0000-0000C6010000}"/>
    <cellStyle name="Comma 406" xfId="746" xr:uid="{00000000-0005-0000-0000-0000C7010000}"/>
    <cellStyle name="Comma 407" xfId="749" xr:uid="{00000000-0005-0000-0000-0000C8010000}"/>
    <cellStyle name="Comma 408" xfId="748" xr:uid="{00000000-0005-0000-0000-0000C9010000}"/>
    <cellStyle name="Comma 409" xfId="744" xr:uid="{00000000-0005-0000-0000-0000CA010000}"/>
    <cellStyle name="Comma 41" xfId="144" xr:uid="{00000000-0005-0000-0000-0000CB010000}"/>
    <cellStyle name="Comma 410" xfId="750" xr:uid="{00000000-0005-0000-0000-0000CC010000}"/>
    <cellStyle name="Comma 411" xfId="752" xr:uid="{00000000-0005-0000-0000-0000CD010000}"/>
    <cellStyle name="Comma 412" xfId="751" xr:uid="{00000000-0005-0000-0000-0000CE010000}"/>
    <cellStyle name="Comma 413" xfId="753" xr:uid="{00000000-0005-0000-0000-0000CF010000}"/>
    <cellStyle name="Comma 414" xfId="755" xr:uid="{00000000-0005-0000-0000-0000D0010000}"/>
    <cellStyle name="Comma 415" xfId="754" xr:uid="{00000000-0005-0000-0000-0000D1010000}"/>
    <cellStyle name="Comma 416" xfId="756" xr:uid="{00000000-0005-0000-0000-0000D2010000}"/>
    <cellStyle name="Comma 417" xfId="757" xr:uid="{00000000-0005-0000-0000-0000D3010000}"/>
    <cellStyle name="Comma 418" xfId="759" xr:uid="{00000000-0005-0000-0000-0000D4010000}"/>
    <cellStyle name="Comma 419" xfId="758" xr:uid="{00000000-0005-0000-0000-0000D5010000}"/>
    <cellStyle name="Comma 42" xfId="143" xr:uid="{00000000-0005-0000-0000-0000D6010000}"/>
    <cellStyle name="Comma 42 2" xfId="400" xr:uid="{00000000-0005-0000-0000-0000D7010000}"/>
    <cellStyle name="Comma 420" xfId="760" xr:uid="{00000000-0005-0000-0000-0000D8010000}"/>
    <cellStyle name="Comma 421" xfId="761" xr:uid="{00000000-0005-0000-0000-0000D9010000}"/>
    <cellStyle name="Comma 422" xfId="762" xr:uid="{00000000-0005-0000-0000-0000DA010000}"/>
    <cellStyle name="Comma 423" xfId="763" xr:uid="{00000000-0005-0000-0000-0000DB010000}"/>
    <cellStyle name="Comma 424" xfId="765" xr:uid="{00000000-0005-0000-0000-0000DC010000}"/>
    <cellStyle name="Comma 425" xfId="766" xr:uid="{00000000-0005-0000-0000-0000DD010000}"/>
    <cellStyle name="Comma 426" xfId="764" xr:uid="{00000000-0005-0000-0000-0000DE010000}"/>
    <cellStyle name="Comma 427" xfId="768" xr:uid="{00000000-0005-0000-0000-0000DF010000}"/>
    <cellStyle name="Comma 428" xfId="767" xr:uid="{00000000-0005-0000-0000-0000E0010000}"/>
    <cellStyle name="Comma 429" xfId="769" xr:uid="{00000000-0005-0000-0000-0000E1010000}"/>
    <cellStyle name="Comma 43" xfId="157" xr:uid="{00000000-0005-0000-0000-0000E2010000}"/>
    <cellStyle name="Comma 43 2" xfId="251" xr:uid="{00000000-0005-0000-0000-0000E3010000}"/>
    <cellStyle name="Comma 43 3" xfId="401" xr:uid="{00000000-0005-0000-0000-0000E4010000}"/>
    <cellStyle name="Comma 430" xfId="771" xr:uid="{00000000-0005-0000-0000-0000E5010000}"/>
    <cellStyle name="Comma 431" xfId="772" xr:uid="{00000000-0005-0000-0000-0000E6010000}"/>
    <cellStyle name="Comma 432" xfId="770" xr:uid="{00000000-0005-0000-0000-0000E7010000}"/>
    <cellStyle name="Comma 433" xfId="774" xr:uid="{00000000-0005-0000-0000-0000E8010000}"/>
    <cellStyle name="Comma 434" xfId="773" xr:uid="{00000000-0005-0000-0000-0000E9010000}"/>
    <cellStyle name="Comma 435" xfId="799" xr:uid="{00000000-0005-0000-0000-0000EA010000}"/>
    <cellStyle name="Comma 436" xfId="802" xr:uid="{00000000-0005-0000-0000-0000EB010000}"/>
    <cellStyle name="Comma 437" xfId="800" xr:uid="{00000000-0005-0000-0000-0000EC010000}"/>
    <cellStyle name="Comma 438" xfId="798" xr:uid="{00000000-0005-0000-0000-0000ED010000}"/>
    <cellStyle name="Comma 439" xfId="801" xr:uid="{00000000-0005-0000-0000-0000EE010000}"/>
    <cellStyle name="Comma 44" xfId="158" xr:uid="{00000000-0005-0000-0000-0000EF010000}"/>
    <cellStyle name="Comma 44 2" xfId="252" xr:uid="{00000000-0005-0000-0000-0000F0010000}"/>
    <cellStyle name="Comma 44 3" xfId="402" xr:uid="{00000000-0005-0000-0000-0000F1010000}"/>
    <cellStyle name="Comma 440" xfId="803" xr:uid="{00000000-0005-0000-0000-0000F2010000}"/>
    <cellStyle name="Comma 441" xfId="805" xr:uid="{00000000-0005-0000-0000-0000F3010000}"/>
    <cellStyle name="Comma 442" xfId="807" xr:uid="{00000000-0005-0000-0000-0000F4010000}"/>
    <cellStyle name="Comma 443" xfId="809" xr:uid="{00000000-0005-0000-0000-0000F5010000}"/>
    <cellStyle name="Comma 444" xfId="806" xr:uid="{00000000-0005-0000-0000-0000F6010000}"/>
    <cellStyle name="Comma 445" xfId="804" xr:uid="{00000000-0005-0000-0000-0000F7010000}"/>
    <cellStyle name="Comma 446" xfId="808" xr:uid="{00000000-0005-0000-0000-0000F8010000}"/>
    <cellStyle name="Comma 447" xfId="810" xr:uid="{00000000-0005-0000-0000-0000F9010000}"/>
    <cellStyle name="Comma 448" xfId="812" xr:uid="{00000000-0005-0000-0000-0000FA010000}"/>
    <cellStyle name="Comma 449" xfId="811" xr:uid="{00000000-0005-0000-0000-0000FB010000}"/>
    <cellStyle name="Comma 45" xfId="159" xr:uid="{00000000-0005-0000-0000-0000FC010000}"/>
    <cellStyle name="Comma 450" xfId="814" xr:uid="{00000000-0005-0000-0000-0000FD010000}"/>
    <cellStyle name="Comma 451" xfId="813" xr:uid="{00000000-0005-0000-0000-0000FE010000}"/>
    <cellStyle name="Comma 452" xfId="816" xr:uid="{00000000-0005-0000-0000-0000FF010000}"/>
    <cellStyle name="Comma 453" xfId="817" xr:uid="{00000000-0005-0000-0000-000000020000}"/>
    <cellStyle name="Comma 454" xfId="815" xr:uid="{00000000-0005-0000-0000-000001020000}"/>
    <cellStyle name="Comma 455" xfId="818" xr:uid="{00000000-0005-0000-0000-000002020000}"/>
    <cellStyle name="Comma 456" xfId="820" xr:uid="{00000000-0005-0000-0000-000003020000}"/>
    <cellStyle name="Comma 457" xfId="819" xr:uid="{00000000-0005-0000-0000-000004020000}"/>
    <cellStyle name="Comma 458" xfId="821" xr:uid="{00000000-0005-0000-0000-000005020000}"/>
    <cellStyle name="Comma 459" xfId="822" xr:uid="{00000000-0005-0000-0000-000006020000}"/>
    <cellStyle name="Comma 46" xfId="160" xr:uid="{00000000-0005-0000-0000-000007020000}"/>
    <cellStyle name="Comma 46 2" xfId="403" xr:uid="{00000000-0005-0000-0000-000008020000}"/>
    <cellStyle name="Comma 460" xfId="823" xr:uid="{00000000-0005-0000-0000-000009020000}"/>
    <cellStyle name="Comma 461" xfId="825" xr:uid="{00000000-0005-0000-0000-00000A020000}"/>
    <cellStyle name="Comma 462" xfId="824" xr:uid="{00000000-0005-0000-0000-00000B020000}"/>
    <cellStyle name="Comma 463" xfId="826" xr:uid="{00000000-0005-0000-0000-00000C020000}"/>
    <cellStyle name="Comma 464" xfId="831" xr:uid="{00000000-0005-0000-0000-00000D020000}"/>
    <cellStyle name="Comma 465" xfId="828" xr:uid="{00000000-0005-0000-0000-00000E020000}"/>
    <cellStyle name="Comma 466" xfId="830" xr:uid="{00000000-0005-0000-0000-00000F020000}"/>
    <cellStyle name="Comma 467" xfId="833" xr:uid="{00000000-0005-0000-0000-000010020000}"/>
    <cellStyle name="Comma 468" xfId="827" xr:uid="{00000000-0005-0000-0000-000011020000}"/>
    <cellStyle name="Comma 469" xfId="829" xr:uid="{00000000-0005-0000-0000-000012020000}"/>
    <cellStyle name="Comma 47" xfId="161" xr:uid="{00000000-0005-0000-0000-000013020000}"/>
    <cellStyle name="Comma 47 2" xfId="253" xr:uid="{00000000-0005-0000-0000-000014020000}"/>
    <cellStyle name="Comma 47 3" xfId="404" xr:uid="{00000000-0005-0000-0000-000015020000}"/>
    <cellStyle name="Comma 470" xfId="835" xr:uid="{00000000-0005-0000-0000-000016020000}"/>
    <cellStyle name="Comma 471" xfId="834" xr:uid="{00000000-0005-0000-0000-000017020000}"/>
    <cellStyle name="Comma 472" xfId="836" xr:uid="{00000000-0005-0000-0000-000018020000}"/>
    <cellStyle name="Comma 473" xfId="838" xr:uid="{00000000-0005-0000-0000-000019020000}"/>
    <cellStyle name="Comma 474" xfId="839" xr:uid="{00000000-0005-0000-0000-00001A020000}"/>
    <cellStyle name="Comma 475" xfId="832" xr:uid="{00000000-0005-0000-0000-00001B020000}"/>
    <cellStyle name="Comma 476" xfId="840" xr:uid="{00000000-0005-0000-0000-00001C020000}"/>
    <cellStyle name="Comma 477" xfId="844" xr:uid="{00000000-0005-0000-0000-00001D020000}"/>
    <cellStyle name="Comma 478" xfId="837" xr:uid="{00000000-0005-0000-0000-00001E020000}"/>
    <cellStyle name="Comma 479" xfId="843" xr:uid="{00000000-0005-0000-0000-00001F020000}"/>
    <cellStyle name="Comma 48" xfId="163" xr:uid="{00000000-0005-0000-0000-000020020000}"/>
    <cellStyle name="Comma 48 2" xfId="254" xr:uid="{00000000-0005-0000-0000-000021020000}"/>
    <cellStyle name="Comma 48 3" xfId="405" xr:uid="{00000000-0005-0000-0000-000022020000}"/>
    <cellStyle name="Comma 480" xfId="841" xr:uid="{00000000-0005-0000-0000-000023020000}"/>
    <cellStyle name="Comma 481" xfId="842" xr:uid="{00000000-0005-0000-0000-000024020000}"/>
    <cellStyle name="Comma 482" xfId="846" xr:uid="{00000000-0005-0000-0000-000025020000}"/>
    <cellStyle name="Comma 483" xfId="845" xr:uid="{00000000-0005-0000-0000-000026020000}"/>
    <cellStyle name="Comma 484" xfId="848" xr:uid="{00000000-0005-0000-0000-000027020000}"/>
    <cellStyle name="Comma 485" xfId="847" xr:uid="{00000000-0005-0000-0000-000028020000}"/>
    <cellStyle name="Comma 486" xfId="849" xr:uid="{00000000-0005-0000-0000-000029020000}"/>
    <cellStyle name="Comma 487" xfId="851" xr:uid="{00000000-0005-0000-0000-00002A020000}"/>
    <cellStyle name="Comma 488" xfId="850" xr:uid="{00000000-0005-0000-0000-00002B020000}"/>
    <cellStyle name="Comma 489" xfId="854" xr:uid="{00000000-0005-0000-0000-00002C020000}"/>
    <cellStyle name="Comma 49" xfId="164" xr:uid="{00000000-0005-0000-0000-00002D020000}"/>
    <cellStyle name="Comma 490" xfId="852" xr:uid="{00000000-0005-0000-0000-00002E020000}"/>
    <cellStyle name="Comma 491" xfId="853" xr:uid="{00000000-0005-0000-0000-00002F020000}"/>
    <cellStyle name="Comma 492" xfId="855" xr:uid="{00000000-0005-0000-0000-000030020000}"/>
    <cellStyle name="Comma 493" xfId="857" xr:uid="{00000000-0005-0000-0000-000031020000}"/>
    <cellStyle name="Comma 494" xfId="860" xr:uid="{00000000-0005-0000-0000-000032020000}"/>
    <cellStyle name="Comma 495" xfId="856" xr:uid="{00000000-0005-0000-0000-000033020000}"/>
    <cellStyle name="Comma 496" xfId="859" xr:uid="{00000000-0005-0000-0000-000034020000}"/>
    <cellStyle name="Comma 497" xfId="858" xr:uid="{00000000-0005-0000-0000-000035020000}"/>
    <cellStyle name="Comma 498" xfId="861" xr:uid="{00000000-0005-0000-0000-000036020000}"/>
    <cellStyle name="Comma 499" xfId="863" xr:uid="{00000000-0005-0000-0000-000037020000}"/>
    <cellStyle name="Comma 5" xfId="26" xr:uid="{00000000-0005-0000-0000-000038020000}"/>
    <cellStyle name="Comma 5 2" xfId="62" xr:uid="{00000000-0005-0000-0000-000039020000}"/>
    <cellStyle name="Comma 5 2 2" xfId="207" xr:uid="{00000000-0005-0000-0000-00003A020000}"/>
    <cellStyle name="Comma 5 2 3" xfId="356" xr:uid="{00000000-0005-0000-0000-00003B020000}"/>
    <cellStyle name="Comma 5 2 4" xfId="382" xr:uid="{00000000-0005-0000-0000-00003C020000}"/>
    <cellStyle name="Comma 5 3" xfId="363" xr:uid="{00000000-0005-0000-0000-00003D020000}"/>
    <cellStyle name="Comma 50" xfId="166" xr:uid="{00000000-0005-0000-0000-00003E020000}"/>
    <cellStyle name="Comma 500" xfId="864" xr:uid="{00000000-0005-0000-0000-00003F020000}"/>
    <cellStyle name="Comma 501" xfId="862" xr:uid="{00000000-0005-0000-0000-000040020000}"/>
    <cellStyle name="Comma 502" xfId="866" xr:uid="{00000000-0005-0000-0000-000041020000}"/>
    <cellStyle name="Comma 503" xfId="865" xr:uid="{00000000-0005-0000-0000-000042020000}"/>
    <cellStyle name="Comma 504" xfId="867" xr:uid="{00000000-0005-0000-0000-000043020000}"/>
    <cellStyle name="Comma 505" xfId="868" xr:uid="{00000000-0005-0000-0000-000044020000}"/>
    <cellStyle name="Comma 506" xfId="869" xr:uid="{00000000-0005-0000-0000-000045020000}"/>
    <cellStyle name="Comma 507" xfId="352" xr:uid="{00000000-0005-0000-0000-000046020000}"/>
    <cellStyle name="Comma 508" xfId="434" xr:uid="{00000000-0005-0000-0000-000047020000}"/>
    <cellStyle name="Comma 509" xfId="871" xr:uid="{00000000-0005-0000-0000-000048020000}"/>
    <cellStyle name="Comma 51" xfId="165" xr:uid="{00000000-0005-0000-0000-000049020000}"/>
    <cellStyle name="Comma 510" xfId="873" xr:uid="{00000000-0005-0000-0000-00004A020000}"/>
    <cellStyle name="Comma 511" xfId="878" xr:uid="{00000000-0005-0000-0000-00004B020000}"/>
    <cellStyle name="Comma 512" xfId="875" xr:uid="{00000000-0005-0000-0000-00004C020000}"/>
    <cellStyle name="Comma 513" xfId="879" xr:uid="{00000000-0005-0000-0000-00004D020000}"/>
    <cellStyle name="Comma 514" xfId="880" xr:uid="{00000000-0005-0000-0000-00004E020000}"/>
    <cellStyle name="Comma 515" xfId="885" xr:uid="{00000000-0005-0000-0000-00004F020000}"/>
    <cellStyle name="Comma 516" xfId="887" xr:uid="{00000000-0005-0000-0000-000050020000}"/>
    <cellStyle name="Comma 517" xfId="886" xr:uid="{00000000-0005-0000-0000-000051020000}"/>
    <cellStyle name="Comma 518" xfId="888" xr:uid="{00000000-0005-0000-0000-000052020000}"/>
    <cellStyle name="Comma 52" xfId="167" xr:uid="{00000000-0005-0000-0000-000053020000}"/>
    <cellStyle name="Comma 52 2" xfId="255" xr:uid="{00000000-0005-0000-0000-000054020000}"/>
    <cellStyle name="Comma 52 3" xfId="406" xr:uid="{00000000-0005-0000-0000-000055020000}"/>
    <cellStyle name="Comma 53" xfId="168" xr:uid="{00000000-0005-0000-0000-000056020000}"/>
    <cellStyle name="Comma 53 2" xfId="256" xr:uid="{00000000-0005-0000-0000-000057020000}"/>
    <cellStyle name="Comma 53 3" xfId="407" xr:uid="{00000000-0005-0000-0000-000058020000}"/>
    <cellStyle name="Comma 54" xfId="169" xr:uid="{00000000-0005-0000-0000-000059020000}"/>
    <cellStyle name="Comma 55" xfId="170" xr:uid="{00000000-0005-0000-0000-00005A020000}"/>
    <cellStyle name="Comma 56" xfId="172" xr:uid="{00000000-0005-0000-0000-00005B020000}"/>
    <cellStyle name="Comma 56 2" xfId="257" xr:uid="{00000000-0005-0000-0000-00005C020000}"/>
    <cellStyle name="Comma 56 3" xfId="409" xr:uid="{00000000-0005-0000-0000-00005D020000}"/>
    <cellStyle name="Comma 57" xfId="176" xr:uid="{00000000-0005-0000-0000-00005E020000}"/>
    <cellStyle name="Comma 58" xfId="177" xr:uid="{00000000-0005-0000-0000-00005F020000}"/>
    <cellStyle name="Comma 59" xfId="178" xr:uid="{00000000-0005-0000-0000-000060020000}"/>
    <cellStyle name="Comma 59 2" xfId="260" xr:uid="{00000000-0005-0000-0000-000061020000}"/>
    <cellStyle name="Comma 59 3" xfId="410" xr:uid="{00000000-0005-0000-0000-000062020000}"/>
    <cellStyle name="Comma 6" xfId="55" xr:uid="{00000000-0005-0000-0000-000063020000}"/>
    <cellStyle name="Comma 6 2" xfId="112" xr:uid="{00000000-0005-0000-0000-000064020000}"/>
    <cellStyle name="Comma 6 2 2" xfId="141" xr:uid="{00000000-0005-0000-0000-000065020000}"/>
    <cellStyle name="Comma 6 2 2 2" xfId="247" xr:uid="{00000000-0005-0000-0000-000066020000}"/>
    <cellStyle name="Comma 6 2 3" xfId="229" xr:uid="{00000000-0005-0000-0000-000067020000}"/>
    <cellStyle name="Comma 6 2 4" xfId="383" xr:uid="{00000000-0005-0000-0000-000068020000}"/>
    <cellStyle name="Comma 6 3" xfId="134" xr:uid="{00000000-0005-0000-0000-000069020000}"/>
    <cellStyle name="Comma 6 3 2" xfId="240" xr:uid="{00000000-0005-0000-0000-00006A020000}"/>
    <cellStyle name="Comma 6 4" xfId="203" xr:uid="{00000000-0005-0000-0000-00006B020000}"/>
    <cellStyle name="Comma 6 5" xfId="364" xr:uid="{00000000-0005-0000-0000-00006C020000}"/>
    <cellStyle name="Comma 60" xfId="179" xr:uid="{00000000-0005-0000-0000-00006D020000}"/>
    <cellStyle name="Comma 60 2" xfId="261" xr:uid="{00000000-0005-0000-0000-00006E020000}"/>
    <cellStyle name="Comma 60 3" xfId="411" xr:uid="{00000000-0005-0000-0000-00006F020000}"/>
    <cellStyle name="Comma 61" xfId="180" xr:uid="{00000000-0005-0000-0000-000070020000}"/>
    <cellStyle name="Comma 62" xfId="183" xr:uid="{00000000-0005-0000-0000-000071020000}"/>
    <cellStyle name="Comma 63" xfId="184" xr:uid="{00000000-0005-0000-0000-000072020000}"/>
    <cellStyle name="Comma 64" xfId="185" xr:uid="{00000000-0005-0000-0000-000073020000}"/>
    <cellStyle name="Comma 65" xfId="189" xr:uid="{00000000-0005-0000-0000-000074020000}"/>
    <cellStyle name="Comma 65 2" xfId="266" xr:uid="{00000000-0005-0000-0000-000075020000}"/>
    <cellStyle name="Comma 65 3" xfId="413" xr:uid="{00000000-0005-0000-0000-000076020000}"/>
    <cellStyle name="Comma 66" xfId="194" xr:uid="{00000000-0005-0000-0000-000077020000}"/>
    <cellStyle name="Comma 66 2" xfId="268" xr:uid="{00000000-0005-0000-0000-000078020000}"/>
    <cellStyle name="Comma 66 3" xfId="412" xr:uid="{00000000-0005-0000-0000-000079020000}"/>
    <cellStyle name="Comma 67" xfId="196" xr:uid="{00000000-0005-0000-0000-00007A020000}"/>
    <cellStyle name="Comma 67 2" xfId="414" xr:uid="{00000000-0005-0000-0000-00007B020000}"/>
    <cellStyle name="Comma 68" xfId="270" xr:uid="{00000000-0005-0000-0000-00007C020000}"/>
    <cellStyle name="Comma 68 2" xfId="415" xr:uid="{00000000-0005-0000-0000-00007D020000}"/>
    <cellStyle name="Comma 69" xfId="273" xr:uid="{00000000-0005-0000-0000-00007E020000}"/>
    <cellStyle name="Comma 7" xfId="72" xr:uid="{00000000-0005-0000-0000-00007F020000}"/>
    <cellStyle name="Comma 7 2" xfId="215" xr:uid="{00000000-0005-0000-0000-000080020000}"/>
    <cellStyle name="Comma 7 2 2" xfId="384" xr:uid="{00000000-0005-0000-0000-000081020000}"/>
    <cellStyle name="Comma 7 3" xfId="366" xr:uid="{00000000-0005-0000-0000-000082020000}"/>
    <cellStyle name="Comma 70" xfId="278" xr:uid="{00000000-0005-0000-0000-000083020000}"/>
    <cellStyle name="Comma 71" xfId="279" xr:uid="{00000000-0005-0000-0000-000084020000}"/>
    <cellStyle name="Comma 72" xfId="284" xr:uid="{00000000-0005-0000-0000-000085020000}"/>
    <cellStyle name="Comma 73" xfId="285" xr:uid="{00000000-0005-0000-0000-000086020000}"/>
    <cellStyle name="Comma 73 2" xfId="417" xr:uid="{00000000-0005-0000-0000-000087020000}"/>
    <cellStyle name="Comma 74" xfId="287" xr:uid="{00000000-0005-0000-0000-000088020000}"/>
    <cellStyle name="Comma 75" xfId="293" xr:uid="{00000000-0005-0000-0000-000089020000}"/>
    <cellStyle name="Comma 76" xfId="299" xr:uid="{00000000-0005-0000-0000-00008A020000}"/>
    <cellStyle name="Comma 76 2" xfId="418" xr:uid="{00000000-0005-0000-0000-00008B020000}"/>
    <cellStyle name="Comma 77" xfId="301" xr:uid="{00000000-0005-0000-0000-00008C020000}"/>
    <cellStyle name="Comma 77 2" xfId="419" xr:uid="{00000000-0005-0000-0000-00008D020000}"/>
    <cellStyle name="Comma 78" xfId="303" xr:uid="{00000000-0005-0000-0000-00008E020000}"/>
    <cellStyle name="Comma 78 2" xfId="416" xr:uid="{00000000-0005-0000-0000-00008F020000}"/>
    <cellStyle name="Comma 79" xfId="305" xr:uid="{00000000-0005-0000-0000-000090020000}"/>
    <cellStyle name="Comma 8" xfId="73" xr:uid="{00000000-0005-0000-0000-000091020000}"/>
    <cellStyle name="Comma 8 2" xfId="216" xr:uid="{00000000-0005-0000-0000-000092020000}"/>
    <cellStyle name="Comma 8 3" xfId="367" xr:uid="{00000000-0005-0000-0000-000093020000}"/>
    <cellStyle name="Comma 80" xfId="310" xr:uid="{00000000-0005-0000-0000-000094020000}"/>
    <cellStyle name="Comma 81" xfId="312" xr:uid="{00000000-0005-0000-0000-000095020000}"/>
    <cellStyle name="Comma 81 2" xfId="420" xr:uid="{00000000-0005-0000-0000-000096020000}"/>
    <cellStyle name="Comma 82" xfId="311" xr:uid="{00000000-0005-0000-0000-000097020000}"/>
    <cellStyle name="Comma 82 2" xfId="421" xr:uid="{00000000-0005-0000-0000-000098020000}"/>
    <cellStyle name="Comma 83" xfId="314" xr:uid="{00000000-0005-0000-0000-000099020000}"/>
    <cellStyle name="Comma 83 2" xfId="422" xr:uid="{00000000-0005-0000-0000-00009A020000}"/>
    <cellStyle name="Comma 84" xfId="316" xr:uid="{00000000-0005-0000-0000-00009B020000}"/>
    <cellStyle name="Comma 84 2" xfId="423" xr:uid="{00000000-0005-0000-0000-00009C020000}"/>
    <cellStyle name="Comma 85" xfId="318" xr:uid="{00000000-0005-0000-0000-00009D020000}"/>
    <cellStyle name="Comma 85 2" xfId="424" xr:uid="{00000000-0005-0000-0000-00009E020000}"/>
    <cellStyle name="Comma 86" xfId="317" xr:uid="{00000000-0005-0000-0000-00009F020000}"/>
    <cellStyle name="Comma 86 2" xfId="425" xr:uid="{00000000-0005-0000-0000-0000A0020000}"/>
    <cellStyle name="Comma 87" xfId="321" xr:uid="{00000000-0005-0000-0000-0000A1020000}"/>
    <cellStyle name="Comma 88" xfId="329" xr:uid="{00000000-0005-0000-0000-0000A2020000}"/>
    <cellStyle name="Comma 89" xfId="333" xr:uid="{00000000-0005-0000-0000-0000A3020000}"/>
    <cellStyle name="Comma 9" xfId="74" xr:uid="{00000000-0005-0000-0000-0000A4020000}"/>
    <cellStyle name="Comma 9 2" xfId="217" xr:uid="{00000000-0005-0000-0000-0000A5020000}"/>
    <cellStyle name="Comma 9 3" xfId="371" xr:uid="{00000000-0005-0000-0000-0000A6020000}"/>
    <cellStyle name="Comma 90" xfId="328" xr:uid="{00000000-0005-0000-0000-0000A7020000}"/>
    <cellStyle name="Comma 90 2" xfId="427" xr:uid="{00000000-0005-0000-0000-0000A8020000}"/>
    <cellStyle name="Comma 91" xfId="334" xr:uid="{00000000-0005-0000-0000-0000A9020000}"/>
    <cellStyle name="Comma 91 2" xfId="426" xr:uid="{00000000-0005-0000-0000-0000AA020000}"/>
    <cellStyle name="Comma 92" xfId="332" xr:uid="{00000000-0005-0000-0000-0000AB020000}"/>
    <cellStyle name="Comma 92 2" xfId="428" xr:uid="{00000000-0005-0000-0000-0000AC020000}"/>
    <cellStyle name="Comma 93" xfId="337" xr:uid="{00000000-0005-0000-0000-0000AD020000}"/>
    <cellStyle name="Comma 93 2" xfId="436" xr:uid="{00000000-0005-0000-0000-0000AE020000}"/>
    <cellStyle name="Comma 94" xfId="338" xr:uid="{00000000-0005-0000-0000-0000AF020000}"/>
    <cellStyle name="Comma 94 2" xfId="429" xr:uid="{00000000-0005-0000-0000-0000B0020000}"/>
    <cellStyle name="Comma 95" xfId="339" xr:uid="{00000000-0005-0000-0000-0000B1020000}"/>
    <cellStyle name="Comma 95 2" xfId="437" xr:uid="{00000000-0005-0000-0000-0000B2020000}"/>
    <cellStyle name="Comma 96" xfId="342" xr:uid="{00000000-0005-0000-0000-0000B3020000}"/>
    <cellStyle name="Comma 97" xfId="348" xr:uid="{00000000-0005-0000-0000-0000B4020000}"/>
    <cellStyle name="Comma 98" xfId="349" xr:uid="{00000000-0005-0000-0000-0000B5020000}"/>
    <cellStyle name="Comma 99" xfId="347" xr:uid="{00000000-0005-0000-0000-0000B6020000}"/>
    <cellStyle name="Comma 99 2" xfId="438" xr:uid="{00000000-0005-0000-0000-0000B7020000}"/>
    <cellStyle name="Currency" xfId="175" builtinId="4"/>
    <cellStyle name="Currency [0] 2" xfId="192" xr:uid="{00000000-0005-0000-0000-0000B9020000}"/>
    <cellStyle name="Currency 10" xfId="259" xr:uid="{00000000-0005-0000-0000-0000BA020000}"/>
    <cellStyle name="Currency 11" xfId="271" xr:uid="{00000000-0005-0000-0000-0000BB020000}"/>
    <cellStyle name="Currency 12" xfId="276" xr:uid="{00000000-0005-0000-0000-0000BC020000}"/>
    <cellStyle name="Currency 13" xfId="277" xr:uid="{00000000-0005-0000-0000-0000BD020000}"/>
    <cellStyle name="Currency 14" xfId="282" xr:uid="{00000000-0005-0000-0000-0000BE020000}"/>
    <cellStyle name="Currency 15" xfId="283" xr:uid="{00000000-0005-0000-0000-0000BF020000}"/>
    <cellStyle name="Currency 16" xfId="286" xr:uid="{00000000-0005-0000-0000-0000C0020000}"/>
    <cellStyle name="Currency 17" xfId="291" xr:uid="{00000000-0005-0000-0000-0000C1020000}"/>
    <cellStyle name="Currency 18" xfId="290" xr:uid="{00000000-0005-0000-0000-0000C2020000}"/>
    <cellStyle name="Currency 19" xfId="297" xr:uid="{00000000-0005-0000-0000-0000C3020000}"/>
    <cellStyle name="Currency 2" xfId="56" xr:uid="{00000000-0005-0000-0000-0000C4020000}"/>
    <cellStyle name="Currency 2 2" xfId="204" xr:uid="{00000000-0005-0000-0000-0000C5020000}"/>
    <cellStyle name="Currency 2 3" xfId="360" xr:uid="{00000000-0005-0000-0000-0000C6020000}"/>
    <cellStyle name="Currency 20" xfId="302" xr:uid="{00000000-0005-0000-0000-0000C7020000}"/>
    <cellStyle name="Currency 21" xfId="304" xr:uid="{00000000-0005-0000-0000-0000C8020000}"/>
    <cellStyle name="Currency 22" xfId="307" xr:uid="{00000000-0005-0000-0000-0000C9020000}"/>
    <cellStyle name="Currency 23" xfId="309" xr:uid="{00000000-0005-0000-0000-0000CA020000}"/>
    <cellStyle name="Currency 24" xfId="306" xr:uid="{00000000-0005-0000-0000-0000CB020000}"/>
    <cellStyle name="Currency 25" xfId="308" xr:uid="{00000000-0005-0000-0000-0000CC020000}"/>
    <cellStyle name="Currency 26" xfId="315" xr:uid="{00000000-0005-0000-0000-0000CD020000}"/>
    <cellStyle name="Currency 27" xfId="313" xr:uid="{00000000-0005-0000-0000-0000CE020000}"/>
    <cellStyle name="Currency 28" xfId="319" xr:uid="{00000000-0005-0000-0000-0000CF020000}"/>
    <cellStyle name="Currency 29" xfId="320" xr:uid="{00000000-0005-0000-0000-0000D0020000}"/>
    <cellStyle name="Currency 3" xfId="58" xr:uid="{00000000-0005-0000-0000-0000D1020000}"/>
    <cellStyle name="Currency 3 2" xfId="65" xr:uid="{00000000-0005-0000-0000-0000D2020000}"/>
    <cellStyle name="Currency 3 2 2" xfId="208" xr:uid="{00000000-0005-0000-0000-0000D3020000}"/>
    <cellStyle name="Currency 3 2 3" xfId="357" xr:uid="{00000000-0005-0000-0000-0000D4020000}"/>
    <cellStyle name="Currency 3 3" xfId="205" xr:uid="{00000000-0005-0000-0000-0000D5020000}"/>
    <cellStyle name="Currency 30" xfId="325" xr:uid="{00000000-0005-0000-0000-0000D6020000}"/>
    <cellStyle name="Currency 31" xfId="324" xr:uid="{00000000-0005-0000-0000-0000D7020000}"/>
    <cellStyle name="Currency 32" xfId="322" xr:uid="{00000000-0005-0000-0000-0000D8020000}"/>
    <cellStyle name="Currency 33" xfId="327" xr:uid="{00000000-0005-0000-0000-0000D9020000}"/>
    <cellStyle name="Currency 34" xfId="323" xr:uid="{00000000-0005-0000-0000-0000DA020000}"/>
    <cellStyle name="Currency 35" xfId="335" xr:uid="{00000000-0005-0000-0000-0000DB020000}"/>
    <cellStyle name="Currency 36" xfId="340" xr:uid="{00000000-0005-0000-0000-0000DC020000}"/>
    <cellStyle name="Currency 37" xfId="344" xr:uid="{00000000-0005-0000-0000-0000DD020000}"/>
    <cellStyle name="Currency 38" xfId="345" xr:uid="{00000000-0005-0000-0000-0000DE020000}"/>
    <cellStyle name="Currency 39" xfId="343" xr:uid="{00000000-0005-0000-0000-0000DF020000}"/>
    <cellStyle name="Currency 4" xfId="75" xr:uid="{00000000-0005-0000-0000-0000E0020000}"/>
    <cellStyle name="Currency 4 2" xfId="218" xr:uid="{00000000-0005-0000-0000-0000E1020000}"/>
    <cellStyle name="Currency 40" xfId="346" xr:uid="{00000000-0005-0000-0000-0000E2020000}"/>
    <cellStyle name="Currency 41" xfId="341" xr:uid="{00000000-0005-0000-0000-0000E3020000}"/>
    <cellStyle name="Currency 42" xfId="353" xr:uid="{00000000-0005-0000-0000-0000E4020000}"/>
    <cellStyle name="Currency 43" xfId="628" xr:uid="{00000000-0005-0000-0000-0000E5020000}"/>
    <cellStyle name="Currency 44" xfId="870" xr:uid="{00000000-0005-0000-0000-0000E6020000}"/>
    <cellStyle name="Currency 45" xfId="876" xr:uid="{00000000-0005-0000-0000-0000E7020000}"/>
    <cellStyle name="Currency 46" xfId="877" xr:uid="{00000000-0005-0000-0000-0000E8020000}"/>
    <cellStyle name="Currency 47" xfId="872" xr:uid="{00000000-0005-0000-0000-0000E9020000}"/>
    <cellStyle name="Currency 48" xfId="874" xr:uid="{00000000-0005-0000-0000-0000EA020000}"/>
    <cellStyle name="Currency 49" xfId="882" xr:uid="{00000000-0005-0000-0000-0000EB020000}"/>
    <cellStyle name="Currency 5" xfId="95" xr:uid="{00000000-0005-0000-0000-0000EC020000}"/>
    <cellStyle name="Currency 50" xfId="884" xr:uid="{00000000-0005-0000-0000-0000ED020000}"/>
    <cellStyle name="Currency 51" xfId="881" xr:uid="{00000000-0005-0000-0000-0000EE020000}"/>
    <cellStyle name="Currency 52" xfId="883" xr:uid="{00000000-0005-0000-0000-0000EF020000}"/>
    <cellStyle name="Currency 53" xfId="889" xr:uid="{00000000-0005-0000-0000-0000F0020000}"/>
    <cellStyle name="Currency 6" xfId="115" xr:uid="{00000000-0005-0000-0000-0000F1020000}"/>
    <cellStyle name="Currency 6 2" xfId="142" xr:uid="{00000000-0005-0000-0000-0000F2020000}"/>
    <cellStyle name="Currency 6 2 2" xfId="248" xr:uid="{00000000-0005-0000-0000-0000F3020000}"/>
    <cellStyle name="Currency 6 3" xfId="230" xr:uid="{00000000-0005-0000-0000-0000F4020000}"/>
    <cellStyle name="Currency 7" xfId="173" xr:uid="{00000000-0005-0000-0000-0000F5020000}"/>
    <cellStyle name="Currency 7 2" xfId="258" xr:uid="{00000000-0005-0000-0000-0000F6020000}"/>
    <cellStyle name="Currency 8" xfId="190" xr:uid="{00000000-0005-0000-0000-0000F7020000}"/>
    <cellStyle name="Currency 8 2" xfId="267" xr:uid="{00000000-0005-0000-0000-0000F8020000}"/>
    <cellStyle name="Currency 9" xfId="195" xr:uid="{00000000-0005-0000-0000-0000F9020000}"/>
    <cellStyle name="Currency 9 2" xfId="269" xr:uid="{00000000-0005-0000-0000-0000FA020000}"/>
    <cellStyle name="Excel Built-in Normal" xfId="91" xr:uid="{00000000-0005-0000-0000-0000FB020000}"/>
    <cellStyle name="Excel Built-in Normal 1" xfId="92" xr:uid="{00000000-0005-0000-0000-0000FC020000}"/>
    <cellStyle name="Normal" xfId="0" builtinId="0"/>
    <cellStyle name="Normal 10" xfId="76" xr:uid="{00000000-0005-0000-0000-0000FE020000}"/>
    <cellStyle name="Normal 10 2" xfId="775" xr:uid="{00000000-0005-0000-0000-0000FF020000}"/>
    <cellStyle name="Normal 11" xfId="90" xr:uid="{00000000-0005-0000-0000-000000030000}"/>
    <cellStyle name="Normal 11 2" xfId="137" xr:uid="{00000000-0005-0000-0000-000001030000}"/>
    <cellStyle name="Normal 11 2 2" xfId="243" xr:uid="{00000000-0005-0000-0000-000002030000}"/>
    <cellStyle name="Normal 11 3" xfId="220" xr:uid="{00000000-0005-0000-0000-000003030000}"/>
    <cellStyle name="Normal 12" xfId="93" xr:uid="{00000000-0005-0000-0000-000004030000}"/>
    <cellStyle name="Normal 12 2" xfId="776" xr:uid="{00000000-0005-0000-0000-000005030000}"/>
    <cellStyle name="Normal 13" xfId="108" xr:uid="{00000000-0005-0000-0000-000006030000}"/>
    <cellStyle name="Normal 13 2" xfId="139" xr:uid="{00000000-0005-0000-0000-000007030000}"/>
    <cellStyle name="Normal 13 2 2" xfId="245" xr:uid="{00000000-0005-0000-0000-000008030000}"/>
    <cellStyle name="Normal 13 3" xfId="225" xr:uid="{00000000-0005-0000-0000-000009030000}"/>
    <cellStyle name="Normal 13 4" xfId="777" xr:uid="{00000000-0005-0000-0000-00000A030000}"/>
    <cellStyle name="Normal 14" xfId="162" xr:uid="{00000000-0005-0000-0000-00000B030000}"/>
    <cellStyle name="Normal 15" xfId="171" xr:uid="{00000000-0005-0000-0000-00000C030000}"/>
    <cellStyle name="Normal 15 2" xfId="778" xr:uid="{00000000-0005-0000-0000-00000D030000}"/>
    <cellStyle name="Normal 16" xfId="188" xr:uid="{00000000-0005-0000-0000-00000E030000}"/>
    <cellStyle name="Normal 16 2" xfId="779" xr:uid="{00000000-0005-0000-0000-00000F030000}"/>
    <cellStyle name="Normal 17" xfId="300" xr:uid="{00000000-0005-0000-0000-000010030000}"/>
    <cellStyle name="Normal 17 2" xfId="780" xr:uid="{00000000-0005-0000-0000-000011030000}"/>
    <cellStyle name="Normal 18" xfId="336" xr:uid="{00000000-0005-0000-0000-000012030000}"/>
    <cellStyle name="Normal 19" xfId="781" xr:uid="{00000000-0005-0000-0000-000013030000}"/>
    <cellStyle name="Normal 2" xfId="27" xr:uid="{00000000-0005-0000-0000-000014030000}"/>
    <cellStyle name="Normal 2 2" xfId="28" xr:uid="{00000000-0005-0000-0000-000015030000}"/>
    <cellStyle name="Normal 2 2 2" xfId="113" xr:uid="{00000000-0005-0000-0000-000016030000}"/>
    <cellStyle name="Normal 2 2 3" xfId="368" xr:uid="{00000000-0005-0000-0000-000017030000}"/>
    <cellStyle name="Normal 2 3" xfId="29" xr:uid="{00000000-0005-0000-0000-000018030000}"/>
    <cellStyle name="Normal 2 4" xfId="77" xr:uid="{00000000-0005-0000-0000-000019030000}"/>
    <cellStyle name="Normal 2 4 2" xfId="385" xr:uid="{00000000-0005-0000-0000-00001A030000}"/>
    <cellStyle name="Normal 2 5" xfId="149" xr:uid="{00000000-0005-0000-0000-00001B030000}"/>
    <cellStyle name="Normal 2 5 2" xfId="432" xr:uid="{00000000-0005-0000-0000-00001C030000}"/>
    <cellStyle name="Normal 2 6" xfId="193" xr:uid="{00000000-0005-0000-0000-00001D030000}"/>
    <cellStyle name="Normal 2 7" xfId="292" xr:uid="{00000000-0005-0000-0000-00001E030000}"/>
    <cellStyle name="Normal 2 8" xfId="326" xr:uid="{00000000-0005-0000-0000-00001F030000}"/>
    <cellStyle name="Normal 2 9" xfId="358" xr:uid="{00000000-0005-0000-0000-000020030000}"/>
    <cellStyle name="Normal 2_Salary 05-2013 " xfId="78" xr:uid="{00000000-0005-0000-0000-000021030000}"/>
    <cellStyle name="Normal 20" xfId="782" xr:uid="{00000000-0005-0000-0000-000022030000}"/>
    <cellStyle name="Normal 21" xfId="783" xr:uid="{00000000-0005-0000-0000-000023030000}"/>
    <cellStyle name="Normal 22" xfId="784" xr:uid="{00000000-0005-0000-0000-000024030000}"/>
    <cellStyle name="Normal 23" xfId="785" xr:uid="{00000000-0005-0000-0000-000025030000}"/>
    <cellStyle name="Normal 24" xfId="351" xr:uid="{00000000-0005-0000-0000-000026030000}"/>
    <cellStyle name="Normal 25" xfId="435" xr:uid="{00000000-0005-0000-0000-000027030000}"/>
    <cellStyle name="Normal 26" xfId="786" xr:uid="{00000000-0005-0000-0000-000028030000}"/>
    <cellStyle name="Normal 27" xfId="787" xr:uid="{00000000-0005-0000-0000-000029030000}"/>
    <cellStyle name="Normal 28" xfId="788" xr:uid="{00000000-0005-0000-0000-00002A030000}"/>
    <cellStyle name="Normal 29" xfId="789" xr:uid="{00000000-0005-0000-0000-00002B030000}"/>
    <cellStyle name="Normal 3" xfId="30" xr:uid="{00000000-0005-0000-0000-00002C030000}"/>
    <cellStyle name="Normal 3 2" xfId="63" xr:uid="{00000000-0005-0000-0000-00002D030000}"/>
    <cellStyle name="Normal 3 2 2" xfId="408" xr:uid="{00000000-0005-0000-0000-00002E030000}"/>
    <cellStyle name="Normal 3 3" xfId="79" xr:uid="{00000000-0005-0000-0000-00002F030000}"/>
    <cellStyle name="Normal 3 3 2" xfId="433" xr:uid="{00000000-0005-0000-0000-000030030000}"/>
    <cellStyle name="Normal 3 4" xfId="150" xr:uid="{00000000-0005-0000-0000-000031030000}"/>
    <cellStyle name="Normal 3 5" xfId="375" xr:uid="{00000000-0005-0000-0000-000032030000}"/>
    <cellStyle name="Normal 30" xfId="790" xr:uid="{00000000-0005-0000-0000-000033030000}"/>
    <cellStyle name="Normal 31" xfId="791" xr:uid="{00000000-0005-0000-0000-000034030000}"/>
    <cellStyle name="Normal 32" xfId="792" xr:uid="{00000000-0005-0000-0000-000035030000}"/>
    <cellStyle name="Normal 33" xfId="430" xr:uid="{00000000-0005-0000-0000-000036030000}"/>
    <cellStyle name="Normal 34" xfId="793" xr:uid="{00000000-0005-0000-0000-000037030000}"/>
    <cellStyle name="Normal 4" xfId="80" xr:uid="{00000000-0005-0000-0000-000038030000}"/>
    <cellStyle name="Normal 4 2" xfId="151" xr:uid="{00000000-0005-0000-0000-000039030000}"/>
    <cellStyle name="Normal 4 2 2_CR-_Oct(1)" xfId="354" xr:uid="{00000000-0005-0000-0000-00003A030000}"/>
    <cellStyle name="Normal 5" xfId="81" xr:uid="{00000000-0005-0000-0000-00003B030000}"/>
    <cellStyle name="Normal 5 2" xfId="794" xr:uid="{00000000-0005-0000-0000-00003C030000}"/>
    <cellStyle name="Normal 5 3" xfId="386" xr:uid="{00000000-0005-0000-0000-00003D030000}"/>
    <cellStyle name="Normal 6" xfId="82" xr:uid="{00000000-0005-0000-0000-00003E030000}"/>
    <cellStyle name="Normal 7" xfId="83" xr:uid="{00000000-0005-0000-0000-00003F030000}"/>
    <cellStyle name="Normal 7 2" xfId="795" xr:uid="{00000000-0005-0000-0000-000040030000}"/>
    <cellStyle name="Normal 8" xfId="84" xr:uid="{00000000-0005-0000-0000-000041030000}"/>
    <cellStyle name="Normal 8 2" xfId="796" xr:uid="{00000000-0005-0000-0000-000042030000}"/>
    <cellStyle name="Normal 9" xfId="85" xr:uid="{00000000-0005-0000-0000-000043030000}"/>
    <cellStyle name="Normal 9 2" xfId="797" xr:uid="{00000000-0005-0000-0000-000044030000}"/>
    <cellStyle name="Normal_Salary 04-2011" xfId="57" xr:uid="{00000000-0005-0000-0000-000045030000}"/>
    <cellStyle name="Normal_급여 및 소모품 가격 등11" xfId="59" xr:uid="{00000000-0005-0000-0000-000046030000}"/>
    <cellStyle name="Percent" xfId="31" builtinId="5"/>
    <cellStyle name="Percent 2" xfId="60" xr:uid="{00000000-0005-0000-0000-000048030000}"/>
    <cellStyle name="Percent 3" xfId="64" xr:uid="{00000000-0005-0000-0000-000049030000}"/>
    <cellStyle name="Percent 4" xfId="61" xr:uid="{00000000-0005-0000-0000-00004A030000}"/>
    <cellStyle name="Percent 4 2" xfId="89" xr:uid="{00000000-0005-0000-0000-00004B030000}"/>
    <cellStyle name="Percent 4 2 2" xfId="136" xr:uid="{00000000-0005-0000-0000-00004C030000}"/>
    <cellStyle name="Percent 4 2 2 2" xfId="242" xr:uid="{00000000-0005-0000-0000-00004D030000}"/>
    <cellStyle name="Percent 4 2 3" xfId="219" xr:uid="{00000000-0005-0000-0000-00004E030000}"/>
    <cellStyle name="Percent 4 3" xfId="135" xr:uid="{00000000-0005-0000-0000-00004F030000}"/>
    <cellStyle name="Percent 4 3 2" xfId="241" xr:uid="{00000000-0005-0000-0000-000050030000}"/>
    <cellStyle name="Percent 4 4" xfId="206" xr:uid="{00000000-0005-0000-0000-000051030000}"/>
    <cellStyle name="Percent 5" xfId="86" xr:uid="{00000000-0005-0000-0000-000052030000}"/>
    <cellStyle name="Percent 6" xfId="96" xr:uid="{00000000-0005-0000-0000-000053030000}"/>
    <cellStyle name="Percent 7" xfId="174" xr:uid="{00000000-0005-0000-0000-000054030000}"/>
    <cellStyle name="Percent 8" xfId="191" xr:uid="{00000000-0005-0000-0000-000055030000}"/>
    <cellStyle name="Percent 9" xfId="296" xr:uid="{00000000-0005-0000-0000-000056030000}"/>
    <cellStyle name="강조색1" xfId="32" xr:uid="{00000000-0005-0000-0000-000057030000}"/>
    <cellStyle name="강조색2" xfId="33" xr:uid="{00000000-0005-0000-0000-000058030000}"/>
    <cellStyle name="강조색3" xfId="34" xr:uid="{00000000-0005-0000-0000-000059030000}"/>
    <cellStyle name="강조색4" xfId="35" xr:uid="{00000000-0005-0000-0000-00005A030000}"/>
    <cellStyle name="강조색5" xfId="36" xr:uid="{00000000-0005-0000-0000-00005B030000}"/>
    <cellStyle name="강조색6" xfId="37" xr:uid="{00000000-0005-0000-0000-00005C030000}"/>
    <cellStyle name="경고문" xfId="38" xr:uid="{00000000-0005-0000-0000-00005D030000}"/>
    <cellStyle name="계산" xfId="39" xr:uid="{00000000-0005-0000-0000-00005E030000}"/>
    <cellStyle name="나쁨" xfId="40" xr:uid="{00000000-0005-0000-0000-00005F030000}"/>
    <cellStyle name="메모" xfId="41" xr:uid="{00000000-0005-0000-0000-000060030000}"/>
    <cellStyle name="메모 2" xfId="114" xr:uid="{00000000-0005-0000-0000-000061030000}"/>
    <cellStyle name="보통" xfId="42" xr:uid="{00000000-0005-0000-0000-000062030000}"/>
    <cellStyle name="설명 텍스트" xfId="43" xr:uid="{00000000-0005-0000-0000-000063030000}"/>
    <cellStyle name="셀 확인" xfId="44" xr:uid="{00000000-0005-0000-0000-000064030000}"/>
    <cellStyle name="연결된 셀" xfId="45" xr:uid="{00000000-0005-0000-0000-000065030000}"/>
    <cellStyle name="요약" xfId="46" xr:uid="{00000000-0005-0000-0000-000066030000}"/>
    <cellStyle name="입력" xfId="47" xr:uid="{00000000-0005-0000-0000-000067030000}"/>
    <cellStyle name="제목" xfId="48" xr:uid="{00000000-0005-0000-0000-000068030000}"/>
    <cellStyle name="제목 1" xfId="49" xr:uid="{00000000-0005-0000-0000-000069030000}"/>
    <cellStyle name="제목 2" xfId="50" xr:uid="{00000000-0005-0000-0000-00006A030000}"/>
    <cellStyle name="제목 3" xfId="51" xr:uid="{00000000-0005-0000-0000-00006B030000}"/>
    <cellStyle name="제목 4" xfId="52" xr:uid="{00000000-0005-0000-0000-00006C030000}"/>
    <cellStyle name="제목_급여" xfId="87" xr:uid="{00000000-0005-0000-0000-00006D030000}"/>
    <cellStyle name="좋음" xfId="53" xr:uid="{00000000-0005-0000-0000-00006E030000}"/>
    <cellStyle name="출력" xfId="54" xr:uid="{00000000-0005-0000-0000-00006F030000}"/>
    <cellStyle name="표준 2" xfId="88" xr:uid="{00000000-0005-0000-0000-000070030000}"/>
    <cellStyle name="표준 3" xfId="152" xr:uid="{00000000-0005-0000-0000-000071030000}"/>
    <cellStyle name="표준 4" xfId="153" xr:uid="{00000000-0005-0000-0000-000072030000}"/>
    <cellStyle name="표준 4 2" xfId="294" xr:uid="{00000000-0005-0000-0000-000073030000}"/>
    <cellStyle name="표준 4 3" xfId="330" xr:uid="{00000000-0005-0000-0000-000074030000}"/>
    <cellStyle name="표준 7" xfId="154" xr:uid="{00000000-0005-0000-0000-000075030000}"/>
    <cellStyle name="표준 7 2" xfId="295" xr:uid="{00000000-0005-0000-0000-000076030000}"/>
    <cellStyle name="표준 7 3" xfId="331" xr:uid="{00000000-0005-0000-0000-000077030000}"/>
    <cellStyle name="常规_Sheet1" xfId="155" xr:uid="{00000000-0005-0000-0000-000078030000}"/>
    <cellStyle name="標準_Book1" xfId="156" xr:uid="{00000000-0005-0000-0000-000079030000}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5" tint="0.39994506668294322"/>
        </patternFill>
      </fill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336176</xdr:colOff>
      <xdr:row>1</xdr:row>
      <xdr:rowOff>400663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311088" cy="591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0</xdr:rowOff>
        </xdr:from>
        <xdr:to>
          <xdr:col>2</xdr:col>
          <xdr:colOff>1133475</xdr:colOff>
          <xdr:row>0</xdr:row>
          <xdr:rowOff>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8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8369" name="Object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9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19</xdr:row>
      <xdr:rowOff>19050</xdr:rowOff>
    </xdr:from>
    <xdr:to>
      <xdr:col>11</xdr:col>
      <xdr:colOff>351395</xdr:colOff>
      <xdr:row>35</xdr:row>
      <xdr:rowOff>85393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2933700"/>
          <a:ext cx="8238095" cy="2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16</xdr:col>
      <xdr:colOff>493886</xdr:colOff>
      <xdr:row>71</xdr:row>
      <xdr:rowOff>123749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" y="11544300"/>
          <a:ext cx="11314286" cy="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95250</xdr:rowOff>
    </xdr:from>
    <xdr:to>
      <xdr:col>16</xdr:col>
      <xdr:colOff>474838</xdr:colOff>
      <xdr:row>87</xdr:row>
      <xdr:rowOff>152089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" y="12287250"/>
          <a:ext cx="11295238" cy="24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4\12\Salary\Salary%2012%202024%20(10%20Jan%202025).xlsx" TargetMode="External"/><Relationship Id="rId1" Type="http://schemas.openxmlformats.org/officeDocument/2006/relationships/externalLinkPath" Target="/2022/Van%202022/SALARY/2024/12/Salary/Salary%2012%202024%20(10%20Jan%20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4\12\Salary\Total%20-%20salary%2012%202024%20(%20Audit%20&amp;%20Ouside).xlsx" TargetMode="External"/><Relationship Id="rId1" Type="http://schemas.openxmlformats.org/officeDocument/2006/relationships/externalLinkPath" Target="/2022/Van%202022/SALARY/2024/12/Salary/Report/Total%20-%20salary%2012%202024%20(%20Audit%20&amp;%20Ouside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5\01%202025\Salary\Report\Report%20salary%20%2001%202025%20(10-02).xlsx" TargetMode="External"/><Relationship Id="rId1" Type="http://schemas.openxmlformats.org/officeDocument/2006/relationships/externalLinkPath" Target="/2022/Van%202022/SALARY/2025/01%202025/Salary/Report/Report%20salary%20%2001%202025%20(10-02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3\07%202023\L&#432;&#417;ng\Total%20-%20salary%20%202023%20JuL%20(%20Audit%20&amp;%20Ouside).xlsx" TargetMode="External"/><Relationship Id="rId1" Type="http://schemas.openxmlformats.org/officeDocument/2006/relationships/externalLinkPath" Target="/2022/Van%202022/SALARY/2023/07%202023/L&#432;&#417;ng/Total%20-%20salary%20%202023%20JuL%20(%20Audit%20&amp;%20Ouside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5\Account%20number%20pay%20salary.xlsx" TargetMode="External"/><Relationship Id="rId1" Type="http://schemas.openxmlformats.org/officeDocument/2006/relationships/externalLinkPath" Target="/2022/Van%202022/SALARY/2025/Account%20number%20pay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ssthao\Downloads\Salary%2001-2019%2020-Feb-2019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LARY\03.2018\LUONG\Salary%2003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anager"/>
      <sheetName val="SS"/>
      <sheetName val="TOTAL(payment)"/>
      <sheetName val="Foreign Salary"/>
      <sheetName val="Salary sheet"/>
      <sheetName val="Transfer"/>
      <sheetName val="Cash"/>
      <sheetName val="Cash - Dep"/>
      <sheetName val="Comparison summary"/>
      <sheetName val="Explain"/>
    </sheetNames>
    <sheetDataSet>
      <sheetData sheetId="0"/>
      <sheetData sheetId="1"/>
      <sheetData sheetId="2"/>
      <sheetData sheetId="3"/>
      <sheetData sheetId="4"/>
      <sheetData sheetId="5"/>
      <sheetData sheetId="6">
        <row r="1297">
          <cell r="E1297">
            <v>12386227850</v>
          </cell>
        </row>
      </sheetData>
      <sheetData sheetId="7">
        <row r="15">
          <cell r="F15">
            <v>101169004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ary"/>
      <sheetName val="Foreign Salary"/>
      <sheetName val="Total"/>
      <sheetName val="IN"/>
      <sheetName val="OU"/>
      <sheetName val="Transfer - Outside"/>
      <sheetName val="Cash - Outside"/>
    </sheetNames>
    <sheetDataSet>
      <sheetData sheetId="0"/>
      <sheetData sheetId="1"/>
      <sheetData sheetId="2">
        <row r="5">
          <cell r="B5" t="str">
            <v>C0873</v>
          </cell>
        </row>
      </sheetData>
      <sheetData sheetId="3"/>
      <sheetData sheetId="4"/>
      <sheetData sheetId="5">
        <row r="1120">
          <cell r="E1120">
            <v>1862073874</v>
          </cell>
        </row>
      </sheetData>
      <sheetData sheetId="6">
        <row r="14">
          <cell r="F14">
            <v>18710129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Sheet1"/>
      <sheetName val="Manager"/>
      <sheetName val="SS"/>
      <sheetName val="TOTAL(payment)"/>
      <sheetName val="Foreign Salary"/>
      <sheetName val="Salary sheet"/>
      <sheetName val="Transfer"/>
      <sheetName val="Cash"/>
      <sheetName val="Cash - Dep"/>
      <sheetName val="Average ."/>
      <sheetName val="급여."/>
      <sheetName val="Comparison summary"/>
      <sheetName val="Comparison summary."/>
      <sheetName val="Compare months"/>
      <sheetName val="So sánh giờ"/>
      <sheetName val="Explain"/>
    </sheetNames>
    <sheetDataSet>
      <sheetData sheetId="0"/>
      <sheetData sheetId="1"/>
      <sheetData sheetId="2"/>
      <sheetData sheetId="3"/>
      <sheetData sheetId="4"/>
      <sheetData sheetId="5">
        <row r="11">
          <cell r="V11">
            <v>491954471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ary"/>
      <sheetName val="Foreign Salary"/>
      <sheetName val="Total"/>
      <sheetName val="IN"/>
      <sheetName val="OU"/>
      <sheetName val="Transfer - Outside"/>
      <sheetName val="Cash - Outside"/>
    </sheetNames>
    <sheetDataSet>
      <sheetData sheetId="0" refreshError="1"/>
      <sheetData sheetId="1" refreshError="1">
        <row r="11">
          <cell r="R11">
            <v>381992843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 2024"/>
      <sheetName val="12 2024"/>
      <sheetName val="01 2025"/>
      <sheetName val="02 2025"/>
      <sheetName val="03 2025"/>
      <sheetName val="04 202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1">
          <cell r="B1" t="str">
            <v>Code</v>
          </cell>
        </row>
        <row r="2">
          <cell r="B2" t="str">
            <v>C1362</v>
          </cell>
          <cell r="C2" t="str">
            <v>Thái Thị Thắng</v>
          </cell>
          <cell r="D2" t="str">
            <v>THAI THI THANG</v>
          </cell>
          <cell r="E2" t="str">
            <v>050040821160</v>
          </cell>
          <cell r="F2" t="str">
            <v>C1362THAI THI THANG050040821160</v>
          </cell>
        </row>
        <row r="3">
          <cell r="B3" t="str">
            <v>C5825</v>
          </cell>
          <cell r="C3" t="str">
            <v>Nguyễn Thị Vàng</v>
          </cell>
          <cell r="D3" t="str">
            <v>NGUYEN THI VANG</v>
          </cell>
          <cell r="E3" t="str">
            <v>050040846678</v>
          </cell>
          <cell r="F3" t="str">
            <v>C5825NGUYEN THI VANG050040846678</v>
          </cell>
        </row>
        <row r="4">
          <cell r="B4" t="str">
            <v>C6181</v>
          </cell>
          <cell r="C4" t="str">
            <v>Nguyễn Thị Trang</v>
          </cell>
          <cell r="D4" t="str">
            <v>NGUYEN THI TRANG</v>
          </cell>
          <cell r="E4" t="str">
            <v>050041643320</v>
          </cell>
          <cell r="F4" t="str">
            <v>C6181NGUYEN THI TRANG050041643320</v>
          </cell>
        </row>
        <row r="5">
          <cell r="B5" t="str">
            <v>C6375</v>
          </cell>
          <cell r="C5" t="str">
            <v>Nguyễn Thị Ngà</v>
          </cell>
          <cell r="D5" t="str">
            <v>NGUYEN THI NGA</v>
          </cell>
          <cell r="E5" t="str">
            <v>050052895437</v>
          </cell>
          <cell r="F5" t="str">
            <v>C6375NGUYEN THI NGA050052895437</v>
          </cell>
        </row>
        <row r="6">
          <cell r="B6" t="str">
            <v>C6382</v>
          </cell>
          <cell r="C6" t="str">
            <v>Trần Thị Văn</v>
          </cell>
          <cell r="D6" t="str">
            <v>TRAN THI VAN</v>
          </cell>
          <cell r="E6" t="str">
            <v>050055183810</v>
          </cell>
          <cell r="F6" t="str">
            <v>C6382TRAN THI VAN050055183810</v>
          </cell>
        </row>
        <row r="7">
          <cell r="B7" t="str">
            <v>C7844</v>
          </cell>
          <cell r="C7" t="str">
            <v>Thị Hạnh</v>
          </cell>
          <cell r="D7" t="str">
            <v>THI HANH</v>
          </cell>
          <cell r="E7" t="str">
            <v>050042518368</v>
          </cell>
          <cell r="F7" t="str">
            <v>C7844THI HANH050042518368</v>
          </cell>
        </row>
        <row r="8">
          <cell r="B8" t="str">
            <v>C8050</v>
          </cell>
          <cell r="C8" t="str">
            <v>Trần Thị Bé</v>
          </cell>
          <cell r="D8" t="str">
            <v>TRAN THI BE</v>
          </cell>
          <cell r="E8" t="str">
            <v>050096625836</v>
          </cell>
          <cell r="F8" t="str">
            <v>C8050TRAN THI BE050096625836</v>
          </cell>
        </row>
        <row r="9">
          <cell r="B9" t="str">
            <v>C12747</v>
          </cell>
          <cell r="C9" t="str">
            <v>Vũ Thị Hồng Nhung</v>
          </cell>
          <cell r="D9" t="str">
            <v>VU THI HONG NHUNG</v>
          </cell>
          <cell r="E9" t="str">
            <v>050121174372</v>
          </cell>
          <cell r="F9" t="str">
            <v>C12747VU THI HONG NHUNG050121174372</v>
          </cell>
        </row>
        <row r="10">
          <cell r="B10" t="str">
            <v>C12781</v>
          </cell>
          <cell r="C10" t="str">
            <v>Lê Thị Ánh Thương</v>
          </cell>
          <cell r="D10" t="str">
            <v>LE THI ANH THUONG</v>
          </cell>
          <cell r="E10" t="str">
            <v>050040933661</v>
          </cell>
          <cell r="F10" t="str">
            <v>C12781LE THI ANH THUONG050040933661</v>
          </cell>
        </row>
        <row r="11">
          <cell r="B11" t="str">
            <v>C12799</v>
          </cell>
          <cell r="C11" t="str">
            <v>Thị Ti</v>
          </cell>
          <cell r="D11" t="str">
            <v>THI TI</v>
          </cell>
          <cell r="E11" t="str">
            <v>060105183871</v>
          </cell>
          <cell r="F11" t="str">
            <v>C12799THI TI060105183871</v>
          </cell>
        </row>
        <row r="12">
          <cell r="B12" t="str">
            <v>C12826</v>
          </cell>
          <cell r="C12" t="str">
            <v>Vũ Thị Thắm</v>
          </cell>
          <cell r="D12" t="str">
            <v>VU THI THAM</v>
          </cell>
          <cell r="E12" t="str">
            <v>050121702646</v>
          </cell>
          <cell r="F12" t="str">
            <v>C12826VU THI THAM050121702646</v>
          </cell>
        </row>
        <row r="13">
          <cell r="B13" t="str">
            <v>C13204</v>
          </cell>
          <cell r="C13" t="str">
            <v>Nguyễn Thị Thu Hiền</v>
          </cell>
          <cell r="D13" t="str">
            <v>NGUYEN THI THU HIEN</v>
          </cell>
          <cell r="E13" t="str">
            <v>050041687891</v>
          </cell>
          <cell r="F13" t="str">
            <v>C13204NGUYEN THI THU HIEN050041687891</v>
          </cell>
        </row>
        <row r="14">
          <cell r="B14" t="str">
            <v>C13208</v>
          </cell>
          <cell r="C14" t="str">
            <v>Thạch Thị Diễm My</v>
          </cell>
          <cell r="D14" t="str">
            <v>THACH THI DIEM MY</v>
          </cell>
          <cell r="E14" t="str">
            <v>050050663466</v>
          </cell>
          <cell r="F14" t="str">
            <v>C13208THACH THI DIEM MY050050663466</v>
          </cell>
        </row>
        <row r="15">
          <cell r="B15" t="str">
            <v>C15395</v>
          </cell>
          <cell r="C15" t="str">
            <v>Phạm Thị Quỳnh Anh</v>
          </cell>
          <cell r="D15" t="str">
            <v>PHAM THI QUYNH ANH</v>
          </cell>
          <cell r="E15" t="str">
            <v>050118480527</v>
          </cell>
          <cell r="F15" t="str">
            <v>C15395PHAM THI QUYNH ANH050118480527</v>
          </cell>
        </row>
        <row r="16">
          <cell r="B16" t="str">
            <v>C1007</v>
          </cell>
          <cell r="C16" t="str">
            <v>Nguyễn Thị Hướng</v>
          </cell>
          <cell r="D16" t="str">
            <v>NGUYEN THI HUONG</v>
          </cell>
          <cell r="E16" t="str">
            <v>050040850950</v>
          </cell>
          <cell r="F16" t="str">
            <v>C1007NGUYEN THI HUONG050040850950</v>
          </cell>
        </row>
        <row r="17">
          <cell r="B17" t="str">
            <v>C2434</v>
          </cell>
          <cell r="C17" t="str">
            <v>Trần Thị Thu Hằng</v>
          </cell>
          <cell r="D17" t="str">
            <v>TRAN THI THU HANG</v>
          </cell>
          <cell r="E17" t="str">
            <v>050040850926</v>
          </cell>
          <cell r="F17" t="str">
            <v>C2434TRAN THI THU HANG050040850926</v>
          </cell>
        </row>
        <row r="18">
          <cell r="B18" t="str">
            <v>C2317</v>
          </cell>
          <cell r="C18" t="str">
            <v>Trần Thị Chuyên</v>
          </cell>
          <cell r="D18" t="str">
            <v>TRAN THI CHUYEN</v>
          </cell>
          <cell r="E18" t="str">
            <v>050040850871</v>
          </cell>
          <cell r="F18" t="str">
            <v>C2317TRAN THI CHUYEN050040850871</v>
          </cell>
        </row>
        <row r="19">
          <cell r="B19" t="str">
            <v>C2669</v>
          </cell>
          <cell r="C19" t="str">
            <v>Trần Thị Kim Lộc</v>
          </cell>
          <cell r="D19" t="str">
            <v>TRAN THI KIM LOC</v>
          </cell>
          <cell r="E19" t="str">
            <v>050040879622</v>
          </cell>
          <cell r="F19" t="str">
            <v>C2669TRAN THI KIM LOC050040879622</v>
          </cell>
        </row>
        <row r="20">
          <cell r="B20" t="str">
            <v>C3082</v>
          </cell>
          <cell r="C20" t="str">
            <v>Ngô Thị Chi</v>
          </cell>
          <cell r="D20" t="str">
            <v>NGO THI CHI</v>
          </cell>
          <cell r="E20" t="str">
            <v>050040966118</v>
          </cell>
          <cell r="F20" t="str">
            <v>C3082NGO THI CHI050040966118</v>
          </cell>
        </row>
        <row r="21">
          <cell r="B21" t="str">
            <v>C3381</v>
          </cell>
          <cell r="C21" t="str">
            <v>Dương Phi Hùng</v>
          </cell>
          <cell r="D21" t="str">
            <v>DUONG PHI HUNG</v>
          </cell>
          <cell r="E21" t="str">
            <v>050040850845</v>
          </cell>
          <cell r="F21" t="str">
            <v>C3381DUONG PHI HUNG050040850845</v>
          </cell>
        </row>
        <row r="22">
          <cell r="B22" t="str">
            <v>C3930</v>
          </cell>
          <cell r="C22" t="str">
            <v>Võ Thị Thanh Mai</v>
          </cell>
          <cell r="D22" t="str">
            <v>VO THI THANH MAI</v>
          </cell>
          <cell r="E22" t="str">
            <v>050040933708</v>
          </cell>
          <cell r="F22" t="str">
            <v>C3930VO THI THANH MAI050040933708</v>
          </cell>
        </row>
        <row r="23">
          <cell r="B23" t="str">
            <v>C4973</v>
          </cell>
          <cell r="C23" t="str">
            <v>Lê Thị Kim Chi</v>
          </cell>
          <cell r="D23" t="str">
            <v>LE THI KIM CHI</v>
          </cell>
          <cell r="E23" t="str">
            <v>050040850667</v>
          </cell>
          <cell r="F23" t="str">
            <v>C4973LE THI KIM CHI050040850667</v>
          </cell>
        </row>
        <row r="24">
          <cell r="B24" t="str">
            <v>C5339</v>
          </cell>
          <cell r="C24" t="str">
            <v>Trần Thị Bạch Yến</v>
          </cell>
          <cell r="D24" t="str">
            <v>TRAN THI BACH YEN</v>
          </cell>
          <cell r="E24" t="str">
            <v>050040987247</v>
          </cell>
          <cell r="F24" t="str">
            <v>C5339TRAN THI BACH YEN050040987247</v>
          </cell>
        </row>
        <row r="25">
          <cell r="B25" t="str">
            <v>C5595</v>
          </cell>
          <cell r="C25" t="str">
            <v>Trần Văn Năng</v>
          </cell>
          <cell r="D25" t="str">
            <v>TRAN VAN NANG</v>
          </cell>
          <cell r="E25" t="str">
            <v>050040934801</v>
          </cell>
          <cell r="F25" t="str">
            <v>C5595TRAN VAN NANG050040934801</v>
          </cell>
        </row>
        <row r="26">
          <cell r="B26" t="str">
            <v>C5603</v>
          </cell>
          <cell r="C26" t="str">
            <v>Đặng Thị Thùy Dương</v>
          </cell>
          <cell r="D26" t="str">
            <v>DANG THI THUY DUONG</v>
          </cell>
          <cell r="E26" t="str">
            <v>050040876062</v>
          </cell>
          <cell r="F26" t="str">
            <v>C5603DANG THI THUY DUONG050040876062</v>
          </cell>
        </row>
        <row r="27">
          <cell r="B27" t="str">
            <v>C5774</v>
          </cell>
          <cell r="C27" t="str">
            <v>Nguyễn Thị Ngọc Tiên</v>
          </cell>
          <cell r="D27" t="str">
            <v>NGUYEN THI NGOC TIEN</v>
          </cell>
          <cell r="E27" t="str">
            <v>050040933491</v>
          </cell>
          <cell r="F27" t="str">
            <v>C5774NGUYEN THI NGOC TIEN050040933491</v>
          </cell>
        </row>
        <row r="28">
          <cell r="B28" t="str">
            <v>C6231</v>
          </cell>
          <cell r="C28" t="str">
            <v>Hồ Thị Là</v>
          </cell>
          <cell r="D28" t="str">
            <v>HO THI LA</v>
          </cell>
          <cell r="E28" t="str">
            <v>050041744380</v>
          </cell>
          <cell r="F28" t="str">
            <v>C6231HO THI LA050041744380</v>
          </cell>
        </row>
        <row r="29">
          <cell r="B29" t="str">
            <v>C8994</v>
          </cell>
          <cell r="C29" t="str">
            <v>Nguyễn Thị Ninh</v>
          </cell>
          <cell r="D29" t="str">
            <v>NGUYEN THI NINH</v>
          </cell>
          <cell r="E29" t="str">
            <v>050041687921</v>
          </cell>
          <cell r="F29" t="str">
            <v>C8994NGUYEN THI NINH050041687921</v>
          </cell>
        </row>
        <row r="30">
          <cell r="B30" t="str">
            <v>C6924</v>
          </cell>
          <cell r="C30" t="str">
            <v>Huỳnh Thị Tuyết Hạnh</v>
          </cell>
          <cell r="D30" t="str">
            <v>HUYNH THI TUYET HANH</v>
          </cell>
          <cell r="E30" t="str">
            <v>050073841485</v>
          </cell>
          <cell r="F30" t="str">
            <v>C6924HUYNH THI TUYET HANH050073841485</v>
          </cell>
        </row>
        <row r="31">
          <cell r="B31" t="str">
            <v>C7301</v>
          </cell>
          <cell r="C31" t="str">
            <v>Phan Kim Lư</v>
          </cell>
          <cell r="D31" t="str">
            <v>PHAN KIM LU</v>
          </cell>
          <cell r="E31" t="str">
            <v>050090486941</v>
          </cell>
          <cell r="F31" t="str">
            <v>C7301PHAN KIM LU050090486941</v>
          </cell>
        </row>
        <row r="32">
          <cell r="B32" t="str">
            <v>C7706</v>
          </cell>
          <cell r="C32" t="str">
            <v>Lê Thị Dung</v>
          </cell>
          <cell r="D32" t="str">
            <v>LE THI DUNG</v>
          </cell>
          <cell r="E32" t="str">
            <v>050099643215</v>
          </cell>
          <cell r="F32" t="str">
            <v>C7706LE THI DUNG050099643215</v>
          </cell>
        </row>
        <row r="33">
          <cell r="B33" t="str">
            <v>C8049</v>
          </cell>
          <cell r="C33" t="str">
            <v>Đỗ Thị Ngọc Trầm</v>
          </cell>
          <cell r="D33" t="str">
            <v>DO THI NGOC TRAM</v>
          </cell>
          <cell r="E33" t="str">
            <v>050103659733</v>
          </cell>
          <cell r="F33" t="str">
            <v>C8049DO THI NGOC TRAM050103659733</v>
          </cell>
        </row>
        <row r="34">
          <cell r="B34" t="str">
            <v>C8444</v>
          </cell>
          <cell r="C34" t="str">
            <v>Nguyễn Thị Hồng Nhung</v>
          </cell>
          <cell r="D34" t="str">
            <v>NGUYEN THI HONG NHUNG</v>
          </cell>
          <cell r="E34" t="str">
            <v>050103659563</v>
          </cell>
          <cell r="F34" t="str">
            <v>C8444NGUYEN THI HONG NHUNG050103659563</v>
          </cell>
        </row>
        <row r="35">
          <cell r="B35" t="str">
            <v>C10662</v>
          </cell>
          <cell r="C35" t="str">
            <v>Nguyễn Thị Long</v>
          </cell>
          <cell r="D35" t="str">
            <v>NGUYEN THI LONG</v>
          </cell>
          <cell r="E35" t="str">
            <v>050020209851</v>
          </cell>
          <cell r="F35" t="str">
            <v>C10662NGUYEN THI LONG050020209851</v>
          </cell>
        </row>
        <row r="36">
          <cell r="B36" t="str">
            <v>C10664</v>
          </cell>
          <cell r="C36" t="str">
            <v>Nguyễn Hoài Hận</v>
          </cell>
          <cell r="D36" t="str">
            <v>NGUYEN HOAI HAN</v>
          </cell>
          <cell r="E36" t="str">
            <v>050073573855</v>
          </cell>
          <cell r="F36" t="str">
            <v>C10664NGUYEN HOAI HAN050073573855</v>
          </cell>
        </row>
        <row r="37">
          <cell r="B37" t="str">
            <v>C11070</v>
          </cell>
          <cell r="C37" t="str">
            <v>Rah Lan Xiên</v>
          </cell>
          <cell r="D37" t="str">
            <v>RAH LAN XIEN</v>
          </cell>
          <cell r="E37" t="str">
            <v>050109871475</v>
          </cell>
          <cell r="F37" t="str">
            <v>C11070RAH LAN XIEN050109871475</v>
          </cell>
        </row>
        <row r="38">
          <cell r="B38" t="str">
            <v>C11635</v>
          </cell>
          <cell r="C38" t="str">
            <v>Lê Thị Bé Quyền</v>
          </cell>
          <cell r="D38" t="str">
            <v>LE THI BE QUYEN</v>
          </cell>
          <cell r="E38" t="str">
            <v>050114710463</v>
          </cell>
          <cell r="F38" t="str">
            <v>C11635LE THI BE QUYEN050114710463</v>
          </cell>
        </row>
        <row r="39">
          <cell r="B39" t="str">
            <v>C11698</v>
          </cell>
          <cell r="C39" t="str">
            <v>Nguyễn Thị Kim Loan</v>
          </cell>
          <cell r="D39" t="str">
            <v>NGUYEN THI KIM LOAN</v>
          </cell>
          <cell r="E39" t="str">
            <v>050114710420</v>
          </cell>
          <cell r="F39" t="str">
            <v>C11698NGUYEN THI KIM LOAN050114710420</v>
          </cell>
        </row>
        <row r="40">
          <cell r="B40" t="str">
            <v>C11773</v>
          </cell>
          <cell r="C40" t="str">
            <v>Lê Thị Kim Oanh</v>
          </cell>
          <cell r="D40" t="str">
            <v>LE THI KIM OANH</v>
          </cell>
          <cell r="E40" t="str">
            <v>050055723084</v>
          </cell>
          <cell r="F40" t="str">
            <v>C11773LE THI KIM OANH050055723084</v>
          </cell>
        </row>
        <row r="41">
          <cell r="B41" t="str">
            <v>C12698</v>
          </cell>
          <cell r="C41" t="str">
            <v>Kim Việt</v>
          </cell>
          <cell r="D41" t="str">
            <v>KIM VIET</v>
          </cell>
          <cell r="E41" t="str">
            <v>050102703054</v>
          </cell>
          <cell r="F41" t="str">
            <v>C12698KIM VIET050102703054</v>
          </cell>
        </row>
        <row r="42">
          <cell r="B42" t="str">
            <v>C12741</v>
          </cell>
          <cell r="C42" t="str">
            <v>Nguyễn Thị Trúc Ly</v>
          </cell>
          <cell r="D42" t="str">
            <v>NGUYEN THI TRUC LY</v>
          </cell>
          <cell r="E42" t="str">
            <v>050114056372</v>
          </cell>
          <cell r="F42" t="str">
            <v>C12741NGUYEN THI TRUC LY050114056372</v>
          </cell>
        </row>
        <row r="43">
          <cell r="B43" t="str">
            <v>C14065</v>
          </cell>
          <cell r="C43" t="str">
            <v>Phạm Thị Xuân</v>
          </cell>
          <cell r="D43" t="str">
            <v>PHAM THI XUAN</v>
          </cell>
          <cell r="E43" t="str">
            <v>050093248810</v>
          </cell>
          <cell r="F43" t="str">
            <v>C14065PHAM THI XUAN050093248810</v>
          </cell>
        </row>
        <row r="44">
          <cell r="B44" t="str">
            <v>C14757</v>
          </cell>
          <cell r="C44" t="str">
            <v>Đỗ Út Nhánh</v>
          </cell>
          <cell r="D44" t="str">
            <v>DO UT NHANH</v>
          </cell>
          <cell r="E44" t="str">
            <v>050111583861</v>
          </cell>
          <cell r="F44" t="str">
            <v>C14757DO UT NHANH050111583861</v>
          </cell>
        </row>
        <row r="45">
          <cell r="B45" t="str">
            <v>C14792</v>
          </cell>
          <cell r="C45" t="str">
            <v>Lâm Chưa</v>
          </cell>
          <cell r="D45" t="str">
            <v>LAM CHUA</v>
          </cell>
          <cell r="E45" t="str">
            <v>050116981057</v>
          </cell>
          <cell r="F45" t="str">
            <v>C14792LAM CHUA050116981057</v>
          </cell>
        </row>
        <row r="46">
          <cell r="B46" t="str">
            <v>C15141</v>
          </cell>
          <cell r="C46" t="str">
            <v>Mai Thị Nhung</v>
          </cell>
          <cell r="D46" t="str">
            <v>MAI THI NHUNG</v>
          </cell>
          <cell r="E46" t="str">
            <v>050137060581</v>
          </cell>
          <cell r="F46" t="str">
            <v>C15141MAI THI NHUNG050137060581</v>
          </cell>
        </row>
        <row r="47">
          <cell r="B47" t="str">
            <v>C15223</v>
          </cell>
          <cell r="C47" t="str">
            <v>Phạm Thị Tình</v>
          </cell>
          <cell r="D47" t="str">
            <v>PHAM THI TINH</v>
          </cell>
          <cell r="E47" t="str">
            <v>050139095100</v>
          </cell>
          <cell r="F47" t="str">
            <v>C15223PHAM THI TINH050139095100</v>
          </cell>
        </row>
        <row r="48">
          <cell r="B48" t="str">
            <v>C15224</v>
          </cell>
          <cell r="C48" t="str">
            <v>Đỗ Thị Kim Hòa</v>
          </cell>
          <cell r="D48" t="str">
            <v>DO THI KIM HOA</v>
          </cell>
          <cell r="E48" t="str">
            <v>050046383459</v>
          </cell>
          <cell r="F48" t="str">
            <v>C15224DO THI KIM HOA050046383459</v>
          </cell>
        </row>
        <row r="49">
          <cell r="B49" t="str">
            <v>C15334</v>
          </cell>
          <cell r="C49" t="str">
            <v>Thị Liên</v>
          </cell>
          <cell r="D49" t="str">
            <v>THI LIEN</v>
          </cell>
          <cell r="E49" t="str">
            <v>050106513608</v>
          </cell>
          <cell r="F49" t="str">
            <v>C15334THI LIEN050106513608</v>
          </cell>
        </row>
        <row r="50">
          <cell r="B50" t="str">
            <v>C15425</v>
          </cell>
          <cell r="C50" t="str">
            <v>Phạm Thị Ngọc Thùy</v>
          </cell>
          <cell r="D50" t="str">
            <v>PHAM THI NGOC THUY</v>
          </cell>
          <cell r="E50" t="str">
            <v>050040878413</v>
          </cell>
          <cell r="F50" t="str">
            <v>C15425PHAM THI NGOC THUY050040878413</v>
          </cell>
        </row>
        <row r="51">
          <cell r="B51" t="str">
            <v>C5862</v>
          </cell>
          <cell r="C51" t="str">
            <v>Hồ Thị Đặng Hồng Tươi</v>
          </cell>
          <cell r="D51" t="str">
            <v>HO THI DANG HONG TUOI</v>
          </cell>
          <cell r="E51" t="str">
            <v>050040875872</v>
          </cell>
          <cell r="F51" t="str">
            <v>C5862HO THI DANG HONG TUOI050040875872</v>
          </cell>
        </row>
        <row r="52">
          <cell r="B52" t="str">
            <v>C6572</v>
          </cell>
          <cell r="C52" t="str">
            <v>Đỗ Thị Thùy Giang</v>
          </cell>
          <cell r="D52" t="str">
            <v>DO THI THUY GIANG</v>
          </cell>
          <cell r="E52" t="str">
            <v>050070193865</v>
          </cell>
          <cell r="F52" t="str">
            <v>C6572DO THI THUY GIANG050070193865</v>
          </cell>
        </row>
        <row r="53">
          <cell r="B53" t="str">
            <v>C10851</v>
          </cell>
          <cell r="C53" t="str">
            <v>Trần Văn Vinh</v>
          </cell>
          <cell r="D53" t="str">
            <v>TRAN VAN VINH</v>
          </cell>
          <cell r="E53" t="str">
            <v>050097259876</v>
          </cell>
          <cell r="F53" t="str">
            <v>C10851TRAN VAN VINH050097259876</v>
          </cell>
        </row>
        <row r="54">
          <cell r="B54" t="str">
            <v>C11605</v>
          </cell>
          <cell r="C54" t="str">
            <v>Đỗ Văn Khuyến</v>
          </cell>
          <cell r="D54" t="str">
            <v>DO VAN KHUYEN</v>
          </cell>
          <cell r="E54" t="str">
            <v>050095771073</v>
          </cell>
          <cell r="F54" t="str">
            <v>C11605DO VAN KHUYEN050095771073</v>
          </cell>
        </row>
        <row r="55">
          <cell r="B55" t="str">
            <v>C11634</v>
          </cell>
          <cell r="C55" t="str">
            <v>Trần Văn Hoan</v>
          </cell>
          <cell r="D55" t="str">
            <v>TRAN VAN HOAN</v>
          </cell>
          <cell r="E55" t="str">
            <v>050020218141</v>
          </cell>
          <cell r="F55" t="str">
            <v>C11634TRAN VAN HOAN050020218141</v>
          </cell>
        </row>
        <row r="56">
          <cell r="B56" t="str">
            <v>C13710</v>
          </cell>
          <cell r="C56" t="str">
            <v>Nguyễn Tiến Kỳ</v>
          </cell>
          <cell r="D56" t="str">
            <v>NGUYEN TIEN KY</v>
          </cell>
          <cell r="E56" t="str">
            <v>050050275725</v>
          </cell>
          <cell r="F56" t="str">
            <v>C13710NGUYEN TIEN KY050050275725</v>
          </cell>
        </row>
        <row r="57">
          <cell r="B57" t="str">
            <v>C14022</v>
          </cell>
          <cell r="C57" t="str">
            <v>Nguyễn Thăng Cương</v>
          </cell>
          <cell r="D57" t="str">
            <v>NGUYEN THANG CUONG</v>
          </cell>
          <cell r="E57" t="str">
            <v>050128200999</v>
          </cell>
          <cell r="F57" t="str">
            <v>C14022NGUYEN THANG CUONG050128200999</v>
          </cell>
        </row>
        <row r="58">
          <cell r="B58" t="str">
            <v>C14223</v>
          </cell>
          <cell r="C58" t="str">
            <v>Dương Hoàng Nam</v>
          </cell>
          <cell r="D58" t="str">
            <v>DUONG HOANG NAM</v>
          </cell>
          <cell r="E58" t="str">
            <v>050128381391</v>
          </cell>
          <cell r="F58" t="str">
            <v>C14223DUONG HOANG NAM050128381391</v>
          </cell>
        </row>
        <row r="59">
          <cell r="B59" t="str">
            <v>C14233</v>
          </cell>
          <cell r="C59" t="str">
            <v>Đặng Hồng Trang</v>
          </cell>
          <cell r="D59" t="str">
            <v>DANG HONG TRANG</v>
          </cell>
          <cell r="E59" t="str">
            <v>050041001426</v>
          </cell>
          <cell r="F59" t="str">
            <v>C14233DANG HONG TRANG050041001426</v>
          </cell>
        </row>
        <row r="60">
          <cell r="B60" t="str">
            <v>C14234</v>
          </cell>
          <cell r="C60" t="str">
            <v>Đỗ Văn Tâm</v>
          </cell>
          <cell r="D60" t="str">
            <v>DO VAN TAM</v>
          </cell>
          <cell r="E60" t="str">
            <v>050129246933</v>
          </cell>
          <cell r="F60" t="str">
            <v>C14234DO VAN TAM050129246933</v>
          </cell>
        </row>
        <row r="61">
          <cell r="B61" t="str">
            <v>C14370</v>
          </cell>
          <cell r="C61" t="str">
            <v>Dương Quốc Anh</v>
          </cell>
          <cell r="D61" t="str">
            <v>DUONG QUOC ANH</v>
          </cell>
          <cell r="E61" t="str">
            <v>050126611703</v>
          </cell>
          <cell r="F61" t="str">
            <v>C14370DUONG QUOC ANH050126611703</v>
          </cell>
        </row>
        <row r="62">
          <cell r="B62" t="str">
            <v>C14591</v>
          </cell>
          <cell r="C62" t="str">
            <v>Phan Quốc Hưng</v>
          </cell>
          <cell r="D62" t="str">
            <v>PHAN QUOC HUNG</v>
          </cell>
          <cell r="E62" t="str">
            <v>050088729193</v>
          </cell>
          <cell r="F62" t="str">
            <v>C14591PHAN QUOC HUNG050088729193</v>
          </cell>
        </row>
        <row r="63">
          <cell r="B63" t="str">
            <v>C14957</v>
          </cell>
          <cell r="C63" t="str">
            <v>Trần Nguyễn Thư Lâm</v>
          </cell>
          <cell r="D63" t="str">
            <v>TRAN NGUYEN THU LAM</v>
          </cell>
          <cell r="E63" t="str">
            <v>050120297624</v>
          </cell>
          <cell r="F63" t="str">
            <v>C14957TRAN NGUYEN THU LAM050120297624</v>
          </cell>
        </row>
        <row r="64">
          <cell r="B64" t="str">
            <v>C15241</v>
          </cell>
          <cell r="C64" t="str">
            <v>Phan Thành Phong</v>
          </cell>
          <cell r="D64" t="str">
            <v>PHAN THANH PHONG</v>
          </cell>
          <cell r="E64" t="str">
            <v>050139281311</v>
          </cell>
          <cell r="F64" t="str">
            <v>C15241PHAN THANH PHONG050139281311</v>
          </cell>
        </row>
        <row r="65">
          <cell r="B65" t="str">
            <v>C2372</v>
          </cell>
          <cell r="C65" t="str">
            <v>Trần Thị Bắc</v>
          </cell>
          <cell r="D65" t="str">
            <v>TRAN THI BAC</v>
          </cell>
          <cell r="E65" t="str">
            <v>050040933759</v>
          </cell>
          <cell r="F65" t="str">
            <v>C2372TRAN THI BAC050040933759</v>
          </cell>
        </row>
        <row r="66">
          <cell r="B66" t="str">
            <v>C5448</v>
          </cell>
          <cell r="C66" t="str">
            <v>Nguyễn Văn Chí</v>
          </cell>
          <cell r="D66" t="str">
            <v>NGUYEN VAN CHI</v>
          </cell>
          <cell r="E66" t="str">
            <v>050040934739</v>
          </cell>
          <cell r="F66" t="str">
            <v>C5448NGUYEN VAN CHI050040934739</v>
          </cell>
        </row>
        <row r="67">
          <cell r="B67" t="str">
            <v>C6162</v>
          </cell>
          <cell r="C67" t="str">
            <v>Nguyễn Thị Thanh Xuân</v>
          </cell>
          <cell r="D67" t="str">
            <v>NGUYEN THI THANH XUAN</v>
          </cell>
          <cell r="E67" t="str">
            <v>050040934127</v>
          </cell>
          <cell r="F67" t="str">
            <v>C6162NGUYEN THI THANH XUAN050040934127</v>
          </cell>
        </row>
        <row r="68">
          <cell r="B68" t="str">
            <v>C9447</v>
          </cell>
          <cell r="C68" t="str">
            <v>Đoàn Ngọc Hồng</v>
          </cell>
          <cell r="D68" t="str">
            <v>DOAN NGOC HONG</v>
          </cell>
          <cell r="E68" t="str">
            <v>050044162714</v>
          </cell>
          <cell r="F68" t="str">
            <v>C9447DOAN NGOC HONG050044162714</v>
          </cell>
        </row>
        <row r="69">
          <cell r="B69" t="str">
            <v>C13318</v>
          </cell>
          <cell r="C69" t="str">
            <v>Nguyễn Thị Hằng</v>
          </cell>
          <cell r="D69" t="str">
            <v>NGUYEN THI HANG</v>
          </cell>
          <cell r="E69" t="str">
            <v>050060011051</v>
          </cell>
          <cell r="F69" t="str">
            <v>C13318NGUYEN THI HANG050060011051</v>
          </cell>
        </row>
        <row r="70">
          <cell r="B70" t="str">
            <v>C13709</v>
          </cell>
          <cell r="C70" t="str">
            <v>Nguyễn Quang Đức</v>
          </cell>
          <cell r="D70" t="str">
            <v>NGUYEN QUANG DUC</v>
          </cell>
          <cell r="E70" t="str">
            <v>050116651243</v>
          </cell>
          <cell r="F70" t="str">
            <v>C13709NGUYEN QUANG DUC050116651243</v>
          </cell>
        </row>
        <row r="71">
          <cell r="B71" t="str">
            <v>C13819</v>
          </cell>
          <cell r="C71" t="str">
            <v>Nguyễn Thị Tâm</v>
          </cell>
          <cell r="D71" t="str">
            <v>NGUYEN THI TAM</v>
          </cell>
          <cell r="E71" t="str">
            <v>050127345888</v>
          </cell>
          <cell r="F71" t="str">
            <v>C13819NGUYEN THI TAM050127345888</v>
          </cell>
        </row>
        <row r="72">
          <cell r="B72" t="str">
            <v>C14424</v>
          </cell>
          <cell r="C72" t="str">
            <v>Lê Minh Minh</v>
          </cell>
          <cell r="D72" t="str">
            <v>LE MINH MINH</v>
          </cell>
          <cell r="E72" t="str">
            <v>050122381975</v>
          </cell>
          <cell r="F72" t="str">
            <v>C14424LE MINH MINH050122381975</v>
          </cell>
        </row>
        <row r="73">
          <cell r="B73" t="str">
            <v>C14511</v>
          </cell>
          <cell r="C73" t="str">
            <v>Thị Thư</v>
          </cell>
          <cell r="D73" t="str">
            <v>THI THU</v>
          </cell>
          <cell r="E73" t="str">
            <v>050123536484</v>
          </cell>
          <cell r="F73" t="str">
            <v>C14511THI THU050123536484</v>
          </cell>
        </row>
        <row r="74">
          <cell r="B74" t="str">
            <v>C0415</v>
          </cell>
          <cell r="C74" t="str">
            <v>Thân Thị Hồng Thắm</v>
          </cell>
          <cell r="D74" t="str">
            <v>THAN THI HONG THAM</v>
          </cell>
          <cell r="E74" t="str">
            <v>050040851191</v>
          </cell>
          <cell r="F74" t="str">
            <v>C0415THAN THI HONG THAM050040851191</v>
          </cell>
        </row>
        <row r="75">
          <cell r="B75" t="str">
            <v>C2007</v>
          </cell>
          <cell r="C75" t="str">
            <v>Chu Thị Lan Hương</v>
          </cell>
          <cell r="D75" t="str">
            <v>CHU THI LAN HUONG</v>
          </cell>
          <cell r="E75" t="str">
            <v>050040933041</v>
          </cell>
          <cell r="F75" t="str">
            <v>C2007CHU THI LAN HUONG050040933041</v>
          </cell>
        </row>
        <row r="76">
          <cell r="B76" t="str">
            <v>C2328</v>
          </cell>
          <cell r="C76" t="str">
            <v>Trần Thị Thanh Tâm</v>
          </cell>
          <cell r="D76" t="str">
            <v>TRAN THI THANH TAM</v>
          </cell>
          <cell r="E76" t="str">
            <v>050040935336</v>
          </cell>
          <cell r="F76" t="str">
            <v>C2328TRAN THI THANH TAM050040935336</v>
          </cell>
        </row>
        <row r="77">
          <cell r="B77" t="str">
            <v>C5164</v>
          </cell>
          <cell r="C77" t="str">
            <v>Ngô Thị Luyến</v>
          </cell>
          <cell r="D77" t="str">
            <v>NGO THI LUYEN</v>
          </cell>
          <cell r="E77" t="str">
            <v>050040935239</v>
          </cell>
          <cell r="F77" t="str">
            <v>C5164NGO THI LUYEN050040935239</v>
          </cell>
        </row>
        <row r="78">
          <cell r="B78" t="str">
            <v>C5619</v>
          </cell>
          <cell r="C78" t="str">
            <v>Lê Thị Hiên</v>
          </cell>
          <cell r="D78" t="str">
            <v>LE THI HIEN</v>
          </cell>
          <cell r="E78" t="str">
            <v>050040935506</v>
          </cell>
          <cell r="F78" t="str">
            <v>C5619LE THI HIEN050040935506</v>
          </cell>
        </row>
        <row r="79">
          <cell r="B79" t="str">
            <v>C6763</v>
          </cell>
          <cell r="C79" t="str">
            <v>Nguyễn Thị Diệp Trinh</v>
          </cell>
          <cell r="D79" t="str">
            <v>NGUYEN THI DIEP TRINH</v>
          </cell>
          <cell r="E79" t="str">
            <v>050059877434</v>
          </cell>
          <cell r="F79" t="str">
            <v>C6763NGUYEN THI DIEP TRINH050059877434</v>
          </cell>
        </row>
        <row r="80">
          <cell r="B80" t="str">
            <v>C6889</v>
          </cell>
          <cell r="C80" t="str">
            <v>Thị Yến</v>
          </cell>
          <cell r="D80" t="str">
            <v>THI YEN</v>
          </cell>
          <cell r="E80" t="str">
            <v>050075311971</v>
          </cell>
          <cell r="F80" t="str">
            <v>C6889THI YEN050075311971</v>
          </cell>
        </row>
        <row r="81">
          <cell r="B81" t="str">
            <v>C7256</v>
          </cell>
          <cell r="C81" t="str">
            <v>Trần Văn Tưởng</v>
          </cell>
          <cell r="D81" t="str">
            <v>TRAN VAN TUONG</v>
          </cell>
          <cell r="E81" t="str">
            <v>050090473600</v>
          </cell>
          <cell r="F81" t="str">
            <v>C7256TRAN VAN TUONG050090473600</v>
          </cell>
        </row>
        <row r="82">
          <cell r="B82" t="str">
            <v>C7538</v>
          </cell>
          <cell r="C82" t="str">
            <v>Trần Thị Hoàng Oanh</v>
          </cell>
          <cell r="D82" t="str">
            <v>TRAN THI HOANG OANH</v>
          </cell>
          <cell r="E82" t="str">
            <v>050098252107</v>
          </cell>
          <cell r="F82" t="str">
            <v>C7538TRAN THI HOANG OANH050098252107</v>
          </cell>
        </row>
        <row r="83">
          <cell r="B83" t="str">
            <v>C7757</v>
          </cell>
          <cell r="C83" t="str">
            <v>Lê Thị Kim Tuyền</v>
          </cell>
          <cell r="D83" t="str">
            <v>LE THI KIM TUYEN</v>
          </cell>
          <cell r="E83" t="str">
            <v>050103659512</v>
          </cell>
          <cell r="F83" t="str">
            <v>C7757LE THI KIM TUYEN050103659512</v>
          </cell>
        </row>
        <row r="84">
          <cell r="B84" t="str">
            <v>C12597</v>
          </cell>
          <cell r="C84" t="str">
            <v>Trần Thị Thu Thiện</v>
          </cell>
          <cell r="D84" t="str">
            <v>TRAN THI THU THIEN</v>
          </cell>
          <cell r="E84" t="str">
            <v>050040851485</v>
          </cell>
          <cell r="F84" t="str">
            <v>C12597TRAN THI THU THIEN050040851485</v>
          </cell>
        </row>
        <row r="85">
          <cell r="B85" t="str">
            <v>C12817</v>
          </cell>
          <cell r="C85" t="str">
            <v>Thị Hen</v>
          </cell>
          <cell r="D85" t="str">
            <v>THI HEN</v>
          </cell>
          <cell r="E85" t="str">
            <v>050042471809</v>
          </cell>
          <cell r="F85" t="str">
            <v>C12817THI HEN050042471809</v>
          </cell>
        </row>
        <row r="86">
          <cell r="B86" t="str">
            <v>C12976</v>
          </cell>
          <cell r="C86" t="str">
            <v>Trương Thị Lan</v>
          </cell>
          <cell r="D86" t="str">
            <v>TRUONG THI LAN</v>
          </cell>
          <cell r="E86" t="str">
            <v>050122289858</v>
          </cell>
          <cell r="F86" t="str">
            <v>C12976TRUONG THI LAN050122289858</v>
          </cell>
        </row>
        <row r="87">
          <cell r="B87" t="str">
            <v>C13605</v>
          </cell>
          <cell r="C87" t="str">
            <v>Võ Thị Nguyên</v>
          </cell>
          <cell r="D87" t="str">
            <v>VO THI NGUYEN</v>
          </cell>
          <cell r="E87" t="str">
            <v>050117912547</v>
          </cell>
          <cell r="F87" t="str">
            <v>C13605VO THI NGUYEN050117912547</v>
          </cell>
        </row>
        <row r="88">
          <cell r="B88" t="str">
            <v>C14512</v>
          </cell>
          <cell r="C88" t="str">
            <v>Thị Như</v>
          </cell>
          <cell r="D88" t="str">
            <v>THI NHU</v>
          </cell>
          <cell r="E88" t="str">
            <v>050124031769</v>
          </cell>
          <cell r="F88" t="str">
            <v>C14512THI NHU050124031769</v>
          </cell>
        </row>
        <row r="89">
          <cell r="B89" t="str">
            <v>C14513</v>
          </cell>
          <cell r="C89" t="str">
            <v>Thị Trâm</v>
          </cell>
          <cell r="D89" t="str">
            <v>THI TRAM</v>
          </cell>
          <cell r="E89" t="str">
            <v>050127011076</v>
          </cell>
          <cell r="F89" t="str">
            <v>C14513THI TRAM050127011076</v>
          </cell>
        </row>
        <row r="90">
          <cell r="B90" t="str">
            <v>C14514</v>
          </cell>
          <cell r="C90" t="str">
            <v>Hồng Thị Thúy Hoa</v>
          </cell>
          <cell r="D90" t="str">
            <v>HONG THI THUY HOA</v>
          </cell>
          <cell r="E90" t="str">
            <v>050040851371</v>
          </cell>
          <cell r="F90" t="str">
            <v>C14514HONG THI THUY HOA050040851371</v>
          </cell>
        </row>
        <row r="91">
          <cell r="B91" t="str">
            <v>C14510</v>
          </cell>
          <cell r="C91" t="str">
            <v>Võ Thị Thanh Thúy</v>
          </cell>
          <cell r="D91" t="str">
            <v>VO THI THANH THUY</v>
          </cell>
          <cell r="E91" t="str">
            <v>050135732955</v>
          </cell>
          <cell r="F91" t="str">
            <v>C14510VO THI THANH THUY050135732955</v>
          </cell>
        </row>
        <row r="92">
          <cell r="B92" t="str">
            <v>C14578</v>
          </cell>
          <cell r="C92" t="str">
            <v>Tạ Phúc Bình</v>
          </cell>
          <cell r="D92" t="str">
            <v>TA PHUC BINH</v>
          </cell>
          <cell r="E92" t="str">
            <v>050134596918</v>
          </cell>
          <cell r="F92" t="str">
            <v>C14578TA PHUC BINH050134596918</v>
          </cell>
        </row>
        <row r="93">
          <cell r="B93" t="str">
            <v>C0823</v>
          </cell>
          <cell r="C93" t="str">
            <v>Nguyễn Thị Sen</v>
          </cell>
          <cell r="D93" t="str">
            <v>NGUYEN THI SEN</v>
          </cell>
          <cell r="E93" t="str">
            <v>050040932906</v>
          </cell>
          <cell r="F93" t="str">
            <v>C0823NGUYEN THI SEN050040932906</v>
          </cell>
        </row>
        <row r="94">
          <cell r="B94" t="str">
            <v>C1441</v>
          </cell>
          <cell r="C94" t="str">
            <v>Dư Thị Hà</v>
          </cell>
          <cell r="D94" t="str">
            <v>DU THI HA</v>
          </cell>
          <cell r="E94" t="str">
            <v>050040932991</v>
          </cell>
          <cell r="F94" t="str">
            <v>C1441DU THI HA050040932991</v>
          </cell>
        </row>
        <row r="95">
          <cell r="B95" t="str">
            <v>C2426</v>
          </cell>
          <cell r="C95" t="str">
            <v>Tô Mỹ Trang</v>
          </cell>
          <cell r="D95" t="str">
            <v>TO MY TRANG</v>
          </cell>
          <cell r="E95" t="str">
            <v>050040932817</v>
          </cell>
          <cell r="F95" t="str">
            <v>C2426TO MY TRANG050040932817</v>
          </cell>
        </row>
        <row r="96">
          <cell r="B96" t="str">
            <v>C3942</v>
          </cell>
          <cell r="C96" t="str">
            <v>Đỗ Thị Hạnh Phúc</v>
          </cell>
          <cell r="D96" t="str">
            <v>DO THI HANH PHUC</v>
          </cell>
          <cell r="E96" t="str">
            <v>050040966045</v>
          </cell>
          <cell r="F96" t="str">
            <v>C3942DO THI HANH PHUC050040966045</v>
          </cell>
        </row>
        <row r="97">
          <cell r="B97" t="str">
            <v>C4642</v>
          </cell>
          <cell r="C97" t="str">
            <v>Nguyễn Thụy Vũ Thảo</v>
          </cell>
          <cell r="D97" t="str">
            <v>NGUYEN THUY VU THAO</v>
          </cell>
          <cell r="E97" t="str">
            <v>050040932868</v>
          </cell>
          <cell r="F97" t="str">
            <v>C4642NGUYEN THUY VU THAO050040932868</v>
          </cell>
        </row>
        <row r="98">
          <cell r="B98" t="str">
            <v>C5408</v>
          </cell>
          <cell r="C98" t="str">
            <v>La Thị Huệ</v>
          </cell>
          <cell r="D98" t="str">
            <v>LA THI HUE</v>
          </cell>
          <cell r="E98" t="str">
            <v>050040934704</v>
          </cell>
          <cell r="F98" t="str">
            <v>C5408LA THI HUE050040934704</v>
          </cell>
        </row>
        <row r="99">
          <cell r="B99" t="str">
            <v>C5587</v>
          </cell>
          <cell r="C99" t="str">
            <v>Nguyễn Thị Lệ Hằng</v>
          </cell>
          <cell r="D99" t="str">
            <v>NGUYEN THI LE HANG</v>
          </cell>
          <cell r="E99" t="str">
            <v>050040967084</v>
          </cell>
          <cell r="F99" t="str">
            <v>C5587NGUYEN THI LE HANG050040967084</v>
          </cell>
        </row>
        <row r="100">
          <cell r="B100" t="str">
            <v>C5621</v>
          </cell>
          <cell r="C100" t="str">
            <v>Lê Thị Liên</v>
          </cell>
          <cell r="D100" t="str">
            <v>LE THI LIEN</v>
          </cell>
          <cell r="E100" t="str">
            <v>050040964069</v>
          </cell>
          <cell r="F100" t="str">
            <v>C5621LE THI LIEN050040964069</v>
          </cell>
        </row>
        <row r="101">
          <cell r="B101" t="str">
            <v>C6142</v>
          </cell>
          <cell r="C101" t="str">
            <v>Võ Thị Hồng Tiên</v>
          </cell>
          <cell r="D101" t="str">
            <v>VO THI HONG TIEN</v>
          </cell>
          <cell r="E101" t="str">
            <v>050040933198</v>
          </cell>
          <cell r="F101" t="str">
            <v>C6142VO THI HONG TIEN050040933198</v>
          </cell>
        </row>
        <row r="102">
          <cell r="B102" t="str">
            <v>C7693</v>
          </cell>
          <cell r="C102" t="str">
            <v>Lê Thị Phượng</v>
          </cell>
          <cell r="D102" t="str">
            <v>LE THI PHUONG</v>
          </cell>
          <cell r="E102" t="str">
            <v>050099760726</v>
          </cell>
          <cell r="F102" t="str">
            <v>C7693LE THI PHUONG050099760726</v>
          </cell>
        </row>
        <row r="103">
          <cell r="B103" t="str">
            <v>C13076</v>
          </cell>
          <cell r="C103" t="str">
            <v>Lê Quang Long</v>
          </cell>
          <cell r="D103" t="str">
            <v>LE QUANG LONG</v>
          </cell>
          <cell r="E103" t="str">
            <v>050123179266</v>
          </cell>
          <cell r="F103" t="str">
            <v>C13076LE QUANG LONG050123179266</v>
          </cell>
        </row>
        <row r="104">
          <cell r="B104" t="str">
            <v>C13367</v>
          </cell>
          <cell r="C104" t="str">
            <v>Vũ Ngọc Bé</v>
          </cell>
          <cell r="D104" t="str">
            <v>VU NGOC BE</v>
          </cell>
          <cell r="E104" t="str">
            <v>050069057060</v>
          </cell>
          <cell r="F104" t="str">
            <v>C13367VU NGOC BE050069057060</v>
          </cell>
        </row>
        <row r="105">
          <cell r="B105" t="str">
            <v>C15247</v>
          </cell>
          <cell r="C105" t="str">
            <v>Phạm Tú Anh</v>
          </cell>
          <cell r="D105" t="str">
            <v>PHAM TU ANH</v>
          </cell>
          <cell r="E105" t="str">
            <v>050138683165</v>
          </cell>
          <cell r="F105" t="str">
            <v>C15247PHAM TU ANH050138683165</v>
          </cell>
        </row>
        <row r="106">
          <cell r="B106" t="str">
            <v>C15248</v>
          </cell>
          <cell r="C106" t="str">
            <v>Phạm Thị Trâm Anh</v>
          </cell>
          <cell r="D106" t="str">
            <v>PHAM THI TRAM ANH</v>
          </cell>
          <cell r="E106" t="str">
            <v>050113230719</v>
          </cell>
          <cell r="F106" t="str">
            <v>C15248PHAM THI TRAM ANH050113230719</v>
          </cell>
        </row>
        <row r="107">
          <cell r="B107" t="str">
            <v>C0871</v>
          </cell>
          <cell r="C107" t="str">
            <v>Vũ Thị Lũng</v>
          </cell>
          <cell r="D107" t="str">
            <v>VU THI LUNG</v>
          </cell>
          <cell r="E107" t="str">
            <v>050040935395</v>
          </cell>
          <cell r="F107" t="str">
            <v>C0871VU THI LUNG050040935395</v>
          </cell>
        </row>
        <row r="108">
          <cell r="B108" t="str">
            <v>C1875</v>
          </cell>
          <cell r="C108" t="str">
            <v>Vũ Thị Lượng</v>
          </cell>
          <cell r="D108" t="str">
            <v>VU THI LUONG</v>
          </cell>
          <cell r="E108" t="str">
            <v>050040935621</v>
          </cell>
          <cell r="F108" t="str">
            <v>C1875VU THI LUONG050040935621</v>
          </cell>
        </row>
        <row r="109">
          <cell r="B109" t="str">
            <v>C3815</v>
          </cell>
          <cell r="C109" t="str">
            <v>Lường Thị Thức</v>
          </cell>
          <cell r="D109" t="str">
            <v>LUONG THI THUC</v>
          </cell>
          <cell r="E109" t="str">
            <v>050040933147</v>
          </cell>
          <cell r="F109" t="str">
            <v>C3815LUONG THI THUC050040933147</v>
          </cell>
        </row>
        <row r="110">
          <cell r="B110" t="str">
            <v>C3818</v>
          </cell>
          <cell r="C110" t="str">
            <v>Đặng Tân Xuyên</v>
          </cell>
          <cell r="D110" t="str">
            <v>DANG TAN XUYEN</v>
          </cell>
          <cell r="E110" t="str">
            <v>050041029258</v>
          </cell>
          <cell r="F110" t="str">
            <v>C3818DANG TAN XUYEN050041029258</v>
          </cell>
        </row>
        <row r="111">
          <cell r="B111" t="str">
            <v>C5738</v>
          </cell>
          <cell r="C111" t="str">
            <v>Lê Tiến Thành</v>
          </cell>
          <cell r="D111" t="str">
            <v>LE TIEN THANH</v>
          </cell>
          <cell r="E111" t="str">
            <v>050040820148</v>
          </cell>
          <cell r="F111" t="str">
            <v>C5738LE TIEN THANH050040820148</v>
          </cell>
        </row>
        <row r="112">
          <cell r="B112" t="str">
            <v>C10608</v>
          </cell>
          <cell r="C112" t="str">
            <v>Nguyễn Thị Phượng</v>
          </cell>
          <cell r="D112" t="str">
            <v>NGUYEN THI PHUONG</v>
          </cell>
          <cell r="E112" t="str">
            <v>050079625660</v>
          </cell>
          <cell r="F112" t="str">
            <v>C10608NGUYEN THI PHUONG050079625660</v>
          </cell>
        </row>
        <row r="113">
          <cell r="B113" t="str">
            <v>C11011</v>
          </cell>
          <cell r="C113" t="str">
            <v>Kiều Minh Tâm</v>
          </cell>
          <cell r="D113" t="str">
            <v>KIEU MINH TAM</v>
          </cell>
          <cell r="E113" t="str">
            <v>050110754199</v>
          </cell>
          <cell r="F113" t="str">
            <v>C11011KIEU MINH TAM050110754199</v>
          </cell>
        </row>
        <row r="114">
          <cell r="B114" t="str">
            <v>C11167</v>
          </cell>
          <cell r="C114" t="str">
            <v>Trần Thị Hải Vân</v>
          </cell>
          <cell r="D114" t="str">
            <v>TRAN THI HAI VAN</v>
          </cell>
          <cell r="E114" t="str">
            <v>050059823970</v>
          </cell>
          <cell r="F114" t="str">
            <v>C11167TRAN THI HAI VAN050059823970</v>
          </cell>
        </row>
        <row r="115">
          <cell r="B115" t="str">
            <v>C11168</v>
          </cell>
          <cell r="C115" t="str">
            <v>Tăng Văn Trưởng</v>
          </cell>
          <cell r="D115" t="str">
            <v>TANG VAN TRUONG</v>
          </cell>
          <cell r="E115" t="str">
            <v>050102264719</v>
          </cell>
          <cell r="F115" t="str">
            <v>C11168TANG VAN TRUONG050102264719</v>
          </cell>
        </row>
        <row r="116">
          <cell r="B116" t="str">
            <v>C11489</v>
          </cell>
          <cell r="C116" t="str">
            <v>Hồ Thị Hạnh</v>
          </cell>
          <cell r="D116" t="str">
            <v>HO THI HANH</v>
          </cell>
          <cell r="E116" t="str">
            <v>050113382551</v>
          </cell>
          <cell r="F116" t="str">
            <v>C11489HO THI HANH050113382551</v>
          </cell>
        </row>
        <row r="117">
          <cell r="B117" t="str">
            <v>C14224</v>
          </cell>
          <cell r="C117" t="str">
            <v>Lê Ngọc Diễm</v>
          </cell>
          <cell r="D117" t="str">
            <v>LE NGOC DIEM</v>
          </cell>
          <cell r="E117" t="str">
            <v>050132152303</v>
          </cell>
          <cell r="F117" t="str">
            <v>C14224LE NGOC DIEM050132152303</v>
          </cell>
        </row>
        <row r="118">
          <cell r="B118" t="str">
            <v>C14496</v>
          </cell>
          <cell r="C118" t="str">
            <v>Huỳnh Minh Toàn</v>
          </cell>
          <cell r="D118" t="str">
            <v>HUYNH MINH TOAN</v>
          </cell>
          <cell r="E118" t="str">
            <v>050135737728</v>
          </cell>
          <cell r="F118" t="str">
            <v>C14496HUYNH MINH TOAN050135737728</v>
          </cell>
        </row>
        <row r="119">
          <cell r="B119" t="str">
            <v>C14632</v>
          </cell>
          <cell r="C119" t="str">
            <v>Nguyễn Chính Tín</v>
          </cell>
          <cell r="D119" t="str">
            <v>NGUYEN CHINH TIN</v>
          </cell>
          <cell r="E119" t="str">
            <v>050051381723</v>
          </cell>
          <cell r="F119" t="str">
            <v>C14632NGUYEN CHINH TIN050051381723</v>
          </cell>
        </row>
        <row r="120">
          <cell r="B120" t="str">
            <v>C6119</v>
          </cell>
          <cell r="C120" t="str">
            <v>Phạm Trường Giang</v>
          </cell>
          <cell r="D120" t="str">
            <v>PHAM TRUONG GIANG</v>
          </cell>
          <cell r="E120" t="str">
            <v>050040825433</v>
          </cell>
          <cell r="F120" t="str">
            <v>C6119PHAM TRUONG GIANG050040825433</v>
          </cell>
        </row>
        <row r="121">
          <cell r="B121" t="str">
            <v>C6372</v>
          </cell>
          <cell r="C121" t="str">
            <v>Phạm Thị Thanh Trang</v>
          </cell>
          <cell r="D121" t="str">
            <v>PHAM THI THANH TRANG</v>
          </cell>
          <cell r="E121" t="str">
            <v>050040851957</v>
          </cell>
          <cell r="F121" t="str">
            <v>C6372PHAM THI THANH TRANG050040851957</v>
          </cell>
        </row>
        <row r="122">
          <cell r="B122" t="str">
            <v>C14791</v>
          </cell>
          <cell r="C122" t="str">
            <v>Nguyễn Thanh Sang</v>
          </cell>
          <cell r="D122" t="str">
            <v>NGUYEN THANH SANG</v>
          </cell>
          <cell r="E122" t="str">
            <v>050135731258</v>
          </cell>
          <cell r="F122" t="str">
            <v>C14791NGUYEN THANH SANG050135731258</v>
          </cell>
        </row>
        <row r="123">
          <cell r="B123" t="str">
            <v>C5776</v>
          </cell>
          <cell r="C123" t="str">
            <v>Lê Thị Lưu</v>
          </cell>
          <cell r="D123" t="str">
            <v>LE THI LUU</v>
          </cell>
          <cell r="E123" t="str">
            <v>050040849324</v>
          </cell>
          <cell r="F123" t="str">
            <v>C5776LE THI LUU050040849324</v>
          </cell>
        </row>
        <row r="124">
          <cell r="B124" t="str">
            <v>C6325</v>
          </cell>
          <cell r="C124" t="str">
            <v>Nguyễn Thị Hồng</v>
          </cell>
          <cell r="D124" t="str">
            <v>NGUYEN THI HONG</v>
          </cell>
          <cell r="E124" t="str">
            <v>050056814377</v>
          </cell>
          <cell r="F124" t="str">
            <v>C6325NGUYEN THI HONG050056814377</v>
          </cell>
        </row>
        <row r="125">
          <cell r="B125" t="str">
            <v>C6820</v>
          </cell>
          <cell r="C125" t="str">
            <v>Nguyễn Bá Chất</v>
          </cell>
          <cell r="D125" t="str">
            <v>NGUYEN BA CHAT</v>
          </cell>
          <cell r="E125" t="str">
            <v>050073798334</v>
          </cell>
          <cell r="F125" t="str">
            <v>C6820NGUYEN BA CHAT050073798334</v>
          </cell>
        </row>
        <row r="126">
          <cell r="B126" t="str">
            <v>C8278</v>
          </cell>
          <cell r="C126" t="str">
            <v>Nguyễn Minh Linh</v>
          </cell>
          <cell r="D126" t="str">
            <v>NGUYEN MINH LINH</v>
          </cell>
          <cell r="E126" t="str">
            <v>050103659709</v>
          </cell>
          <cell r="F126" t="str">
            <v>C8278NGUYEN MINH LINH050103659709</v>
          </cell>
        </row>
        <row r="127">
          <cell r="B127" t="str">
            <v>C10660</v>
          </cell>
          <cell r="C127" t="str">
            <v>Đoàn Văn Minh</v>
          </cell>
          <cell r="D127" t="str">
            <v>DOAN VAN MINH</v>
          </cell>
          <cell r="E127" t="str">
            <v>050106626003</v>
          </cell>
          <cell r="F127" t="str">
            <v>C10660DOAN VAN MINH050106626003</v>
          </cell>
        </row>
        <row r="128">
          <cell r="B128" t="str">
            <v>C10823</v>
          </cell>
          <cell r="C128" t="str">
            <v>Phan Thị Hến</v>
          </cell>
          <cell r="D128" t="str">
            <v>PHAN THI HEN</v>
          </cell>
          <cell r="E128" t="str">
            <v>050108563394</v>
          </cell>
          <cell r="F128" t="str">
            <v>C10823PHAN THI HEN050108563394</v>
          </cell>
        </row>
        <row r="129">
          <cell r="B129" t="str">
            <v>C10984</v>
          </cell>
          <cell r="C129" t="str">
            <v>Phan Đại Học</v>
          </cell>
          <cell r="D129" t="str">
            <v>PHAN DAI HOC</v>
          </cell>
          <cell r="E129" t="str">
            <v>050110223517</v>
          </cell>
          <cell r="F129" t="str">
            <v>C10984PHAN DAI HOC050110223517</v>
          </cell>
        </row>
        <row r="130">
          <cell r="B130" t="str">
            <v>C11323</v>
          </cell>
          <cell r="C130" t="str">
            <v>Nguyễn Thị Thu Dung</v>
          </cell>
          <cell r="D130" t="str">
            <v>NGUYEN THI THU DUNG</v>
          </cell>
          <cell r="E130" t="str">
            <v>050042471681</v>
          </cell>
          <cell r="F130" t="str">
            <v>C11323NGUYEN THI THU DUNG050042471681</v>
          </cell>
        </row>
        <row r="131">
          <cell r="B131" t="str">
            <v>C11552</v>
          </cell>
          <cell r="C131" t="str">
            <v>Thạch Thị Xà Qui</v>
          </cell>
          <cell r="D131" t="str">
            <v>THACH THI XA QUI</v>
          </cell>
          <cell r="E131" t="str">
            <v>050093971164</v>
          </cell>
          <cell r="F131" t="str">
            <v>C11552THACH THI XA QUI050093971164</v>
          </cell>
        </row>
        <row r="132">
          <cell r="B132" t="str">
            <v>C11647</v>
          </cell>
          <cell r="C132" t="str">
            <v>Đặng Thị Kim Liên</v>
          </cell>
          <cell r="D132" t="str">
            <v>DANG THI KIM LIEN</v>
          </cell>
          <cell r="E132" t="str">
            <v>050112496308</v>
          </cell>
          <cell r="F132" t="str">
            <v>C11647DANG THI KIM LIEN050112496308</v>
          </cell>
        </row>
        <row r="133">
          <cell r="B133" t="str">
            <v>C12035</v>
          </cell>
          <cell r="C133" t="str">
            <v>Điểu Bang</v>
          </cell>
          <cell r="D133" t="str">
            <v>DIEU BANG</v>
          </cell>
          <cell r="E133" t="str">
            <v>050116653068</v>
          </cell>
          <cell r="F133" t="str">
            <v>C12035DIEU BANG050116653068</v>
          </cell>
        </row>
        <row r="134">
          <cell r="B134" t="str">
            <v>C12081</v>
          </cell>
          <cell r="C134" t="str">
            <v>Nguyễn Thị Kim Yến</v>
          </cell>
          <cell r="D134" t="str">
            <v>NGUYEN THI KIM YEN</v>
          </cell>
          <cell r="E134" t="str">
            <v>050069829462</v>
          </cell>
          <cell r="F134" t="str">
            <v>C12081NGUYEN THI KIM YEN050069829462</v>
          </cell>
        </row>
        <row r="135">
          <cell r="B135" t="str">
            <v>C13790</v>
          </cell>
          <cell r="C135" t="str">
            <v>Ngô Văn Khả</v>
          </cell>
          <cell r="D135" t="str">
            <v>NGO VAN KHA</v>
          </cell>
          <cell r="E135" t="str">
            <v>050114273373</v>
          </cell>
          <cell r="F135" t="str">
            <v>C13790NGO VAN KHA050114273373</v>
          </cell>
        </row>
        <row r="136">
          <cell r="B136" t="str">
            <v>C13815</v>
          </cell>
          <cell r="C136" t="str">
            <v>Kiều Minh Chí</v>
          </cell>
          <cell r="D136" t="str">
            <v>KIEU MINH CHI</v>
          </cell>
          <cell r="E136" t="str">
            <v>050119246056</v>
          </cell>
          <cell r="F136" t="str">
            <v>C13815KIEU MINH CHI050119246056</v>
          </cell>
        </row>
        <row r="137">
          <cell r="B137" t="str">
            <v>C14239</v>
          </cell>
          <cell r="C137" t="str">
            <v>Huỳnh Ngọc Tuấn</v>
          </cell>
          <cell r="D137" t="str">
            <v>HUYNH NGOC TUAN</v>
          </cell>
          <cell r="E137" t="str">
            <v>050131564152</v>
          </cell>
          <cell r="F137" t="str">
            <v>C14239HUYNH NGOC TUAN050131564152</v>
          </cell>
        </row>
        <row r="138">
          <cell r="B138" t="str">
            <v>C14982</v>
          </cell>
          <cell r="C138" t="str">
            <v>Phạm Thị Ngọc Anh</v>
          </cell>
          <cell r="D138" t="str">
            <v>PHAM THI NGOC ANH</v>
          </cell>
          <cell r="E138" t="str">
            <v>050040792985</v>
          </cell>
          <cell r="F138" t="str">
            <v>C14982PHAM THI NGOC ANH050040792985</v>
          </cell>
        </row>
        <row r="139">
          <cell r="B139" t="str">
            <v>C4644</v>
          </cell>
          <cell r="C139" t="str">
            <v>Phạm Thị Phương Dung</v>
          </cell>
          <cell r="D139" t="str">
            <v>PHAM THI PHUONG DUNG</v>
          </cell>
          <cell r="E139" t="str">
            <v>050040846465</v>
          </cell>
          <cell r="F139" t="str">
            <v>C4644PHAM THI PHUONG DUNG050040846465</v>
          </cell>
        </row>
        <row r="140">
          <cell r="B140" t="str">
            <v>C7626</v>
          </cell>
          <cell r="C140" t="str">
            <v>Nguyễn Kim Tho</v>
          </cell>
          <cell r="D140" t="str">
            <v>NGUYEN KIM THO</v>
          </cell>
          <cell r="E140" t="str">
            <v>050099761056</v>
          </cell>
          <cell r="F140" t="str">
            <v>C7626NGUYEN KIM THO050099761056</v>
          </cell>
        </row>
        <row r="141">
          <cell r="B141" t="str">
            <v>C10587</v>
          </cell>
          <cell r="C141" t="str">
            <v>Nguyễn Văn Tài</v>
          </cell>
          <cell r="D141" t="str">
            <v>NGUYEN VAN TAI</v>
          </cell>
          <cell r="E141" t="str">
            <v>050106514248</v>
          </cell>
          <cell r="F141" t="str">
            <v>C10587NGUYEN VAN TAI050106514248</v>
          </cell>
        </row>
        <row r="142">
          <cell r="B142" t="str">
            <v>C11380</v>
          </cell>
          <cell r="C142" t="str">
            <v>Nguyễn Thị Hợi</v>
          </cell>
          <cell r="D142" t="str">
            <v>NGUYEN THI HOI</v>
          </cell>
          <cell r="E142" t="str">
            <v>050113388193</v>
          </cell>
          <cell r="F142" t="str">
            <v>C11380NGUYEN THI HOI050113388193</v>
          </cell>
        </row>
        <row r="143">
          <cell r="B143" t="str">
            <v>C11865</v>
          </cell>
          <cell r="C143" t="str">
            <v>Điểu Thị Hồng Uyên</v>
          </cell>
          <cell r="D143" t="str">
            <v>DIEU THI HONG UYEN</v>
          </cell>
          <cell r="E143" t="str">
            <v>050116651073</v>
          </cell>
          <cell r="F143" t="str">
            <v>C11865DIEU THI HONG UYEN050116651073</v>
          </cell>
        </row>
        <row r="144">
          <cell r="B144" t="str">
            <v>C11904</v>
          </cell>
          <cell r="C144" t="str">
            <v>Bùi Văn Sinh</v>
          </cell>
          <cell r="D144" t="str">
            <v>BUI VAN SINH</v>
          </cell>
          <cell r="E144" t="str">
            <v>050114056429</v>
          </cell>
          <cell r="F144" t="str">
            <v>C11904BUI VAN SINH050114056429</v>
          </cell>
        </row>
        <row r="145">
          <cell r="B145" t="str">
            <v>C11909</v>
          </cell>
          <cell r="C145" t="str">
            <v>Nguyễn Thị Phùng</v>
          </cell>
          <cell r="D145" t="str">
            <v>NGUYEN THI PHUNG</v>
          </cell>
          <cell r="E145" t="str">
            <v>050048099596</v>
          </cell>
          <cell r="F145" t="str">
            <v>C11909NGUYEN THI PHUNG050048099596</v>
          </cell>
        </row>
        <row r="146">
          <cell r="B146" t="str">
            <v>C14240</v>
          </cell>
          <cell r="C146" t="str">
            <v>Phan Thị Oanh</v>
          </cell>
          <cell r="D146" t="str">
            <v>PHAN THI OANH</v>
          </cell>
          <cell r="E146" t="str">
            <v>050132089490</v>
          </cell>
          <cell r="F146" t="str">
            <v>C14240PHAN THI OANH050132089490</v>
          </cell>
        </row>
        <row r="147">
          <cell r="B147" t="str">
            <v>C5606</v>
          </cell>
          <cell r="C147" t="str">
            <v>Nguyễn Thị Liên</v>
          </cell>
          <cell r="D147" t="str">
            <v>NGUYEN THI LIEN</v>
          </cell>
          <cell r="E147" t="str">
            <v>050040965057</v>
          </cell>
          <cell r="F147" t="str">
            <v>C5606NGUYEN THI LIEN050040965057</v>
          </cell>
        </row>
        <row r="148">
          <cell r="B148" t="str">
            <v>C5841</v>
          </cell>
          <cell r="C148" t="str">
            <v>Trần Văn Nhân</v>
          </cell>
          <cell r="D148" t="str">
            <v>TRAN VAN NHAN</v>
          </cell>
          <cell r="E148" t="str">
            <v>050040817023</v>
          </cell>
          <cell r="F148" t="str">
            <v>C5841TRAN VAN NHAN050040817023</v>
          </cell>
        </row>
        <row r="149">
          <cell r="B149" t="str">
            <v>C6063</v>
          </cell>
          <cell r="C149" t="str">
            <v>Đồng Thị Thu Hiền</v>
          </cell>
          <cell r="D149" t="str">
            <v>DONG THI THU HIEN</v>
          </cell>
          <cell r="E149" t="str">
            <v>050040958301</v>
          </cell>
          <cell r="F149" t="str">
            <v>C6063DONG THI THU HIEN050040958301</v>
          </cell>
        </row>
        <row r="150">
          <cell r="B150" t="str">
            <v>C11922</v>
          </cell>
          <cell r="C150" t="str">
            <v>Nguyễn Thị Hồng Thuận</v>
          </cell>
          <cell r="D150" t="str">
            <v>NGUYEN THI HONG THUAN</v>
          </cell>
          <cell r="E150" t="str">
            <v>050040933090</v>
          </cell>
          <cell r="F150" t="str">
            <v>C11922NGUYEN THI HONG THUAN050040933090</v>
          </cell>
        </row>
        <row r="151">
          <cell r="B151" t="str">
            <v>C2982</v>
          </cell>
          <cell r="C151" t="str">
            <v>Đỗ Thị Nga</v>
          </cell>
          <cell r="D151" t="str">
            <v>DO THI NGA</v>
          </cell>
          <cell r="E151" t="str">
            <v>050040966088</v>
          </cell>
          <cell r="F151" t="str">
            <v>C2982DO THI NGA050040966088</v>
          </cell>
        </row>
        <row r="152">
          <cell r="B152" t="str">
            <v>C6248</v>
          </cell>
          <cell r="C152" t="str">
            <v>Huỳnh Văn Mẫu Tám</v>
          </cell>
          <cell r="D152" t="str">
            <v>HUYNH VAN MAU TAM</v>
          </cell>
          <cell r="E152" t="str">
            <v>050042516527</v>
          </cell>
          <cell r="F152" t="str">
            <v>C6248HUYNH VAN MAU TAM050042516527</v>
          </cell>
        </row>
        <row r="153">
          <cell r="B153" t="str">
            <v>C12762</v>
          </cell>
          <cell r="C153" t="str">
            <v>Phạm Thúy Hường</v>
          </cell>
          <cell r="D153" t="str">
            <v>PHAM THUY HUONG</v>
          </cell>
          <cell r="E153" t="str">
            <v>050121174331</v>
          </cell>
          <cell r="F153" t="str">
            <v>C12762PHAM THUY HUONG050121174331</v>
          </cell>
        </row>
        <row r="154">
          <cell r="B154" t="str">
            <v>C13547</v>
          </cell>
          <cell r="C154" t="str">
            <v>Nguyễn Thị Cẩm Tiên</v>
          </cell>
          <cell r="D154" t="str">
            <v>NGUYEN THI CAM TIEN</v>
          </cell>
          <cell r="E154" t="str">
            <v>050040965758</v>
          </cell>
          <cell r="F154" t="str">
            <v>C13547NGUYEN THI CAM TIEN050040965758</v>
          </cell>
        </row>
        <row r="155">
          <cell r="B155" t="str">
            <v>C13762</v>
          </cell>
          <cell r="C155" t="str">
            <v>Nguyễn Thị Tuyết Ngân</v>
          </cell>
          <cell r="D155" t="str">
            <v>NGUYEN THI TUYET NGAN</v>
          </cell>
          <cell r="E155" t="str">
            <v>050127345462</v>
          </cell>
          <cell r="F155" t="str">
            <v>C13762NGUYEN THI TUYET NGAN050127345462</v>
          </cell>
        </row>
        <row r="156">
          <cell r="B156" t="str">
            <v>C0880</v>
          </cell>
          <cell r="C156" t="str">
            <v>Tô Thị Xuân</v>
          </cell>
          <cell r="D156" t="str">
            <v>TO THI XUAN</v>
          </cell>
          <cell r="E156" t="str">
            <v>050069429529</v>
          </cell>
          <cell r="F156" t="str">
            <v>C0880TO THI XUAN050069429529</v>
          </cell>
        </row>
        <row r="157">
          <cell r="B157" t="str">
            <v>C3425</v>
          </cell>
          <cell r="C157" t="str">
            <v>Nguyễn Thị Phương</v>
          </cell>
          <cell r="D157" t="str">
            <v>NGUYEN THI PHUONG</v>
          </cell>
          <cell r="E157" t="str">
            <v>050040998559</v>
          </cell>
          <cell r="F157" t="str">
            <v>C3425NGUYEN THI PHUONG050040998559</v>
          </cell>
        </row>
        <row r="158">
          <cell r="B158" t="str">
            <v>C5337</v>
          </cell>
          <cell r="C158" t="str">
            <v>Nguyễn Thị Lượng</v>
          </cell>
          <cell r="D158" t="str">
            <v>NGUYEN THI LUONG</v>
          </cell>
          <cell r="E158" t="str">
            <v>050040850551</v>
          </cell>
          <cell r="F158" t="str">
            <v>C5337NGUYEN THI LUONG050040850551</v>
          </cell>
        </row>
        <row r="159">
          <cell r="B159" t="str">
            <v>C5625</v>
          </cell>
          <cell r="C159" t="str">
            <v>Nguyễn Thị Ngọc Lụa</v>
          </cell>
          <cell r="D159" t="str">
            <v>NGUYEN THI NGOC LUA</v>
          </cell>
          <cell r="E159" t="str">
            <v>050040935603</v>
          </cell>
          <cell r="F159" t="str">
            <v>C5625NGUYEN THI NGOC LUA050040935603</v>
          </cell>
        </row>
        <row r="160">
          <cell r="B160" t="str">
            <v>C5790</v>
          </cell>
          <cell r="C160" t="str">
            <v>Trần Thanh Thảo</v>
          </cell>
          <cell r="D160" t="str">
            <v>TRAN THANH THAO</v>
          </cell>
          <cell r="E160" t="str">
            <v>050040935115</v>
          </cell>
          <cell r="F160" t="str">
            <v>C5790TRAN THANH THAO050040935115</v>
          </cell>
        </row>
        <row r="161">
          <cell r="B161" t="str">
            <v>C10507</v>
          </cell>
          <cell r="C161" t="str">
            <v>Hồ Thị Hiền</v>
          </cell>
          <cell r="D161" t="str">
            <v>HO THI HIEN</v>
          </cell>
          <cell r="E161" t="str">
            <v>050079857197</v>
          </cell>
          <cell r="F161" t="str">
            <v>C10507HO THI HIEN050079857197</v>
          </cell>
        </row>
        <row r="162">
          <cell r="B162" t="str">
            <v>C12033</v>
          </cell>
          <cell r="C162" t="str">
            <v>Văn Thị Huỳnh Yến</v>
          </cell>
          <cell r="D162" t="str">
            <v>VAN THI HUYNH YEN</v>
          </cell>
          <cell r="E162" t="str">
            <v>050116635655</v>
          </cell>
          <cell r="F162" t="str">
            <v>C12033VAN THI HUYNH YEN050116635655</v>
          </cell>
        </row>
        <row r="163">
          <cell r="B163" t="str">
            <v>C13887</v>
          </cell>
          <cell r="C163" t="str">
            <v>Nguyễn Đình Chuyển</v>
          </cell>
          <cell r="D163" t="str">
            <v>NGUYEN DINH CHUYEN</v>
          </cell>
          <cell r="E163" t="str">
            <v>050118170447</v>
          </cell>
          <cell r="F163" t="str">
            <v>C13887NGUYEN DINH CHUYEN050118170447</v>
          </cell>
        </row>
        <row r="164">
          <cell r="B164" t="str">
            <v>C14105</v>
          </cell>
          <cell r="C164" t="str">
            <v>Hồ Vĩnh Tình</v>
          </cell>
          <cell r="D164" t="str">
            <v>HO VINH TINH</v>
          </cell>
          <cell r="E164" t="str">
            <v>050128255904</v>
          </cell>
          <cell r="F164" t="str">
            <v>C14105HO VINH TINH050128255904</v>
          </cell>
        </row>
        <row r="165">
          <cell r="B165" t="str">
            <v>C1038</v>
          </cell>
          <cell r="C165" t="str">
            <v>Nguyễn Thị Thảo</v>
          </cell>
          <cell r="D165" t="str">
            <v>NGUYEN THI THAO</v>
          </cell>
          <cell r="E165" t="str">
            <v>050040932620</v>
          </cell>
          <cell r="F165" t="str">
            <v>C1038NGUYEN THI THAO050040932620</v>
          </cell>
        </row>
        <row r="166">
          <cell r="B166" t="str">
            <v>C1837</v>
          </cell>
          <cell r="C166" t="str">
            <v>Võ Thị Phương Trúc</v>
          </cell>
          <cell r="D166" t="str">
            <v>VO THI PHUONG TRUC</v>
          </cell>
          <cell r="E166" t="str">
            <v>050040879789</v>
          </cell>
          <cell r="F166" t="str">
            <v>C1837VO THI PHUONG TRUC050040879789</v>
          </cell>
        </row>
        <row r="167">
          <cell r="B167" t="str">
            <v>C2382</v>
          </cell>
          <cell r="C167" t="str">
            <v>Lê Hoài Phương</v>
          </cell>
          <cell r="D167" t="str">
            <v>LE HOAI PHUONG</v>
          </cell>
          <cell r="E167" t="str">
            <v>050040933740</v>
          </cell>
          <cell r="F167" t="str">
            <v>C2382LE HOAI PHUONG050040933740</v>
          </cell>
        </row>
        <row r="168">
          <cell r="B168" t="str">
            <v>C3409</v>
          </cell>
          <cell r="C168" t="str">
            <v>Trần Thị Tùng</v>
          </cell>
          <cell r="D168" t="str">
            <v>TRAN THI TUNG</v>
          </cell>
          <cell r="E168" t="str">
            <v>050040879517</v>
          </cell>
          <cell r="F168" t="str">
            <v>C3409TRAN THI TUNG050040879517</v>
          </cell>
        </row>
        <row r="169">
          <cell r="B169" t="str">
            <v>C4056</v>
          </cell>
          <cell r="C169" t="str">
            <v>Trịnh Thị Thúy</v>
          </cell>
          <cell r="D169" t="str">
            <v>TRINH THI THUY</v>
          </cell>
          <cell r="E169" t="str">
            <v>050040851167</v>
          </cell>
          <cell r="F169" t="str">
            <v>C4056TRINH THI THUY050040851167</v>
          </cell>
        </row>
        <row r="170">
          <cell r="B170" t="str">
            <v>C5494</v>
          </cell>
          <cell r="C170" t="str">
            <v>Vũ Thị Thanh</v>
          </cell>
          <cell r="D170" t="str">
            <v>VU THI THANH</v>
          </cell>
          <cell r="E170" t="str">
            <v>050040820210</v>
          </cell>
          <cell r="F170" t="str">
            <v>C5494VU THI THANH050040820210</v>
          </cell>
        </row>
        <row r="171">
          <cell r="B171" t="str">
            <v>C6156</v>
          </cell>
          <cell r="C171" t="str">
            <v>Lê Thị Nghi</v>
          </cell>
          <cell r="D171" t="str">
            <v>LE THI NGHI</v>
          </cell>
          <cell r="E171" t="str">
            <v>050040875287</v>
          </cell>
          <cell r="F171" t="str">
            <v>C6156LE THI NGHI050040875287</v>
          </cell>
        </row>
        <row r="172">
          <cell r="B172" t="str">
            <v>C6219</v>
          </cell>
          <cell r="C172" t="str">
            <v>Nguyễn Thị Duyên</v>
          </cell>
          <cell r="D172" t="str">
            <v>NGUYEN THI DUYEN</v>
          </cell>
          <cell r="E172" t="str">
            <v>050042513803</v>
          </cell>
          <cell r="F172" t="str">
            <v>C6219NGUYEN THI DUYEN050042513803</v>
          </cell>
        </row>
        <row r="173">
          <cell r="B173" t="str">
            <v>C9506</v>
          </cell>
          <cell r="C173" t="str">
            <v>Lê Thị Lộc</v>
          </cell>
          <cell r="D173" t="str">
            <v>LE THI LOC</v>
          </cell>
          <cell r="E173" t="str">
            <v>050068551134</v>
          </cell>
          <cell r="F173" t="str">
            <v>C9506LE THI LOC050068551134</v>
          </cell>
        </row>
        <row r="174">
          <cell r="B174" t="str">
            <v>C6821</v>
          </cell>
          <cell r="C174" t="str">
            <v>Nguyễn Thị Thu Phương</v>
          </cell>
          <cell r="D174" t="str">
            <v>NGUYEN THI THU PHUONG</v>
          </cell>
          <cell r="E174" t="str">
            <v>050067885357</v>
          </cell>
          <cell r="F174" t="str">
            <v>C6821NGUYEN THI THU PHUONG050067885357</v>
          </cell>
        </row>
        <row r="175">
          <cell r="B175" t="str">
            <v>C7265</v>
          </cell>
          <cell r="C175" t="str">
            <v>Ngô Thị Mỹ Nhân</v>
          </cell>
          <cell r="D175" t="str">
            <v>NGO THI MY NHAN</v>
          </cell>
          <cell r="E175" t="str">
            <v>050090473457</v>
          </cell>
          <cell r="F175" t="str">
            <v>C7265NGO THI MY NHAN050090473457</v>
          </cell>
        </row>
        <row r="176">
          <cell r="B176" t="str">
            <v>C7540</v>
          </cell>
          <cell r="C176" t="str">
            <v>Nguyễn Thị Lý</v>
          </cell>
          <cell r="D176" t="str">
            <v>NGUYEN THI LY</v>
          </cell>
          <cell r="E176" t="str">
            <v>050097075848</v>
          </cell>
          <cell r="F176" t="str">
            <v>C7540NGUYEN THI LY050097075848</v>
          </cell>
        </row>
        <row r="177">
          <cell r="B177" t="str">
            <v>C11778</v>
          </cell>
          <cell r="C177" t="str">
            <v>Vũ Thị Kim Yến</v>
          </cell>
          <cell r="D177" t="str">
            <v>VU THI KIM YEN</v>
          </cell>
          <cell r="E177" t="str">
            <v>050116311541</v>
          </cell>
          <cell r="F177" t="str">
            <v>C11778VU THI KIM YEN050116311541</v>
          </cell>
        </row>
        <row r="178">
          <cell r="B178" t="str">
            <v>C11814</v>
          </cell>
          <cell r="C178" t="str">
            <v>Điểu Nam</v>
          </cell>
          <cell r="D178" t="str">
            <v>DIEU NAM</v>
          </cell>
          <cell r="E178" t="str">
            <v>050116311469</v>
          </cell>
          <cell r="F178" t="str">
            <v>C11814DIEU NAM050116311469</v>
          </cell>
        </row>
        <row r="179">
          <cell r="B179" t="str">
            <v>C13324</v>
          </cell>
          <cell r="C179" t="str">
            <v>Hồ Thị Nghĩa</v>
          </cell>
          <cell r="D179" t="str">
            <v>HO THI NGHIA</v>
          </cell>
          <cell r="E179" t="str">
            <v>050127944072</v>
          </cell>
          <cell r="F179" t="str">
            <v>C13324HO THI NGHIA050127944072</v>
          </cell>
        </row>
        <row r="180">
          <cell r="B180" t="str">
            <v>C13319</v>
          </cell>
          <cell r="C180" t="str">
            <v>Trịnh Thị Tỵ</v>
          </cell>
          <cell r="D180" t="str">
            <v>TRINH THI TY</v>
          </cell>
          <cell r="E180" t="str">
            <v>050126082603</v>
          </cell>
          <cell r="F180" t="str">
            <v>C13319TRINH THI TY050126082603</v>
          </cell>
        </row>
        <row r="181">
          <cell r="B181" t="str">
            <v>C1009</v>
          </cell>
          <cell r="C181" t="str">
            <v>Hồ Thị Nga</v>
          </cell>
          <cell r="D181" t="str">
            <v>HO THI NGA</v>
          </cell>
          <cell r="E181" t="str">
            <v>050040952974</v>
          </cell>
          <cell r="F181" t="str">
            <v>C1009HO THI NGA050040952974</v>
          </cell>
        </row>
        <row r="182">
          <cell r="B182" t="str">
            <v>C0873</v>
          </cell>
          <cell r="C182" t="str">
            <v>Trần Thị Kim Phấn</v>
          </cell>
          <cell r="D182" t="str">
            <v>TRAN THI KIM PHAN</v>
          </cell>
          <cell r="E182" t="str">
            <v>050040964964</v>
          </cell>
          <cell r="F182" t="str">
            <v>C0873TRAN THI KIM PHAN050040964964</v>
          </cell>
        </row>
        <row r="183">
          <cell r="B183" t="str">
            <v>C1074</v>
          </cell>
          <cell r="C183" t="str">
            <v>Phan Thị Thanh Tâm</v>
          </cell>
          <cell r="D183" t="str">
            <v>PHAN THI THANH TAM</v>
          </cell>
          <cell r="E183" t="str">
            <v>050040932884</v>
          </cell>
          <cell r="F183" t="str">
            <v>C1074PHAN THI THANH TAM050040932884</v>
          </cell>
        </row>
        <row r="184">
          <cell r="B184" t="str">
            <v>C1271</v>
          </cell>
          <cell r="C184" t="str">
            <v>Hồ Thị Nga</v>
          </cell>
          <cell r="D184" t="str">
            <v>HO THI NGA</v>
          </cell>
          <cell r="E184" t="str">
            <v>050040933910</v>
          </cell>
          <cell r="F184" t="str">
            <v>C1271HO THI NGA050040933910</v>
          </cell>
        </row>
        <row r="185">
          <cell r="B185" t="str">
            <v>C6557</v>
          </cell>
          <cell r="C185" t="str">
            <v>Nguyễn Thị Hà</v>
          </cell>
          <cell r="D185" t="str">
            <v>NGUYEN THI HA</v>
          </cell>
          <cell r="E185" t="str">
            <v>050060949198</v>
          </cell>
          <cell r="F185" t="str">
            <v>C6557NGUYEN THI HA050060949198</v>
          </cell>
        </row>
        <row r="186">
          <cell r="B186" t="str">
            <v>C7269</v>
          </cell>
          <cell r="C186" t="str">
            <v>Ngô Thị Minh Hiếu</v>
          </cell>
          <cell r="D186" t="str">
            <v>NGO THI MINH HIEU</v>
          </cell>
          <cell r="E186" t="str">
            <v>050089661738</v>
          </cell>
          <cell r="F186" t="str">
            <v>C7269NGO THI MINH HIEU050089661738</v>
          </cell>
        </row>
        <row r="187">
          <cell r="B187" t="str">
            <v>C10454</v>
          </cell>
          <cell r="C187" t="str">
            <v>Trần Thị Liên</v>
          </cell>
          <cell r="D187" t="str">
            <v>TRAN THI LIEN</v>
          </cell>
          <cell r="E187" t="str">
            <v>050104743444</v>
          </cell>
          <cell r="F187" t="str">
            <v>C10454TRAN THI LIEN050104743444</v>
          </cell>
        </row>
        <row r="188">
          <cell r="B188" t="str">
            <v>C10665</v>
          </cell>
          <cell r="C188" t="str">
            <v>Lê Thị Kiều Loan</v>
          </cell>
          <cell r="D188" t="str">
            <v>LE THI KIEU LOAN</v>
          </cell>
          <cell r="E188" t="str">
            <v>050106514035</v>
          </cell>
          <cell r="F188" t="str">
            <v>C10665LE THI KIEU LOAN050106514035</v>
          </cell>
        </row>
        <row r="189">
          <cell r="B189" t="str">
            <v>C11208</v>
          </cell>
          <cell r="C189" t="str">
            <v>Lê Thị Bích Linh</v>
          </cell>
          <cell r="D189" t="str">
            <v>LE THI BICH LINH</v>
          </cell>
          <cell r="E189" t="str">
            <v>050111434058</v>
          </cell>
          <cell r="F189" t="str">
            <v>C11208LE THI BICH LINH050111434058</v>
          </cell>
        </row>
        <row r="190">
          <cell r="B190" t="str">
            <v>C11797</v>
          </cell>
          <cell r="C190" t="str">
            <v>Thạch Hoàng Em</v>
          </cell>
          <cell r="D190" t="str">
            <v>THACH HOANG EM</v>
          </cell>
          <cell r="E190" t="str">
            <v>050116311450</v>
          </cell>
          <cell r="F190" t="str">
            <v>C11797THACH HOANG EM050116311450</v>
          </cell>
        </row>
        <row r="191">
          <cell r="B191" t="str">
            <v>C11863</v>
          </cell>
          <cell r="C191" t="str">
            <v>Trần Hải Nam</v>
          </cell>
          <cell r="D191" t="str">
            <v>TRAN HAI NAM</v>
          </cell>
          <cell r="E191" t="str">
            <v>050116653033</v>
          </cell>
          <cell r="F191" t="str">
            <v>C11863TRAN HAI NAM050116653033</v>
          </cell>
        </row>
        <row r="192">
          <cell r="B192" t="str">
            <v>C13009</v>
          </cell>
          <cell r="C192" t="str">
            <v>Huỳnh Thị Kiều Linh</v>
          </cell>
          <cell r="D192" t="str">
            <v>HUYNH THI KIEU LINH</v>
          </cell>
          <cell r="E192" t="str">
            <v>050122807638</v>
          </cell>
          <cell r="F192" t="str">
            <v>C13009HUYNH THI KIEU LINH050122807638</v>
          </cell>
        </row>
        <row r="193">
          <cell r="B193" t="str">
            <v>C13602</v>
          </cell>
          <cell r="C193" t="str">
            <v>Dương Thị Bích Hạnh</v>
          </cell>
          <cell r="D193" t="str">
            <v>DUONG THI BICH HANH</v>
          </cell>
          <cell r="E193" t="str">
            <v>050032877017</v>
          </cell>
          <cell r="F193" t="str">
            <v>C13602DUONG THI BICH HANH050032877017</v>
          </cell>
        </row>
        <row r="194">
          <cell r="B194" t="str">
            <v>C14134</v>
          </cell>
          <cell r="C194" t="str">
            <v>Nguyễn Thị Thanh Huyền</v>
          </cell>
          <cell r="D194" t="str">
            <v>NGUYEN THI THANH HUYEN</v>
          </cell>
          <cell r="E194" t="str">
            <v>050120176479</v>
          </cell>
          <cell r="F194" t="str">
            <v>C14134NGUYEN THI THANH HUYEN050120176479</v>
          </cell>
        </row>
        <row r="195">
          <cell r="B195" t="str">
            <v>C14790</v>
          </cell>
          <cell r="C195" t="str">
            <v>Nguyễn Thị Hằng</v>
          </cell>
          <cell r="D195" t="str">
            <v>NGUYEN THI HANG</v>
          </cell>
          <cell r="E195" t="str">
            <v>050135730472</v>
          </cell>
          <cell r="F195" t="str">
            <v>C14790NGUYEN THI HANG050135730472</v>
          </cell>
        </row>
        <row r="196">
          <cell r="B196" t="str">
            <v>C14793</v>
          </cell>
          <cell r="C196" t="str">
            <v>Nguyễn Khắc Thanh</v>
          </cell>
          <cell r="D196" t="str">
            <v>NGUYEN KHAC THANH</v>
          </cell>
          <cell r="E196" t="str">
            <v>050135731312</v>
          </cell>
          <cell r="F196" t="str">
            <v>C14793NGUYEN KHAC THANH050135731312</v>
          </cell>
        </row>
        <row r="197">
          <cell r="B197" t="str">
            <v>C14998</v>
          </cell>
          <cell r="C197" t="str">
            <v>Bùi Thị Bảo Ngọc</v>
          </cell>
          <cell r="D197" t="str">
            <v>BUI THI BAO NGOC</v>
          </cell>
          <cell r="E197" t="str">
            <v>050118478549</v>
          </cell>
          <cell r="F197" t="str">
            <v>C14998BUI THI BAO NGOC050118478549</v>
          </cell>
        </row>
        <row r="198">
          <cell r="B198" t="str">
            <v>C15178</v>
          </cell>
          <cell r="C198" t="str">
            <v>Lê Thị Trang</v>
          </cell>
          <cell r="D198" t="str">
            <v>LE THI TRANG</v>
          </cell>
          <cell r="E198" t="str">
            <v>050135503522</v>
          </cell>
          <cell r="F198" t="str">
            <v>C15178LE THI TRANG050135503522</v>
          </cell>
        </row>
        <row r="199">
          <cell r="B199" t="str">
            <v>C5370</v>
          </cell>
          <cell r="C199" t="str">
            <v>Đỗ Thị Kim Ánh</v>
          </cell>
          <cell r="D199" t="str">
            <v>DO THI KIM ANH</v>
          </cell>
          <cell r="E199" t="str">
            <v>050040935484</v>
          </cell>
          <cell r="F199" t="str">
            <v>C5370DO THI KIM ANH050040935484</v>
          </cell>
        </row>
        <row r="200">
          <cell r="B200" t="str">
            <v>C9525</v>
          </cell>
          <cell r="C200" t="str">
            <v>Phạm Hồng Phong</v>
          </cell>
          <cell r="D200" t="str">
            <v>PHAM HONG PHONG</v>
          </cell>
          <cell r="E200" t="str">
            <v>050081198648</v>
          </cell>
          <cell r="F200" t="str">
            <v>C9525PHAM HONG PHONG050081198648</v>
          </cell>
        </row>
        <row r="201">
          <cell r="B201" t="str">
            <v>C12759</v>
          </cell>
          <cell r="C201" t="str">
            <v>Võ Văn Thành</v>
          </cell>
          <cell r="D201" t="str">
            <v>VO VAN THANH</v>
          </cell>
          <cell r="E201" t="str">
            <v>050121174550</v>
          </cell>
          <cell r="F201" t="str">
            <v>C12759VO VAN THANH050121174550</v>
          </cell>
        </row>
        <row r="202">
          <cell r="B202" t="str">
            <v>C13320</v>
          </cell>
          <cell r="C202" t="str">
            <v>Lê Thị Quynh</v>
          </cell>
          <cell r="D202" t="str">
            <v>LE THI QUYNH</v>
          </cell>
          <cell r="E202" t="str">
            <v>050126321055</v>
          </cell>
          <cell r="F202" t="str">
            <v>C13320LE THI QUYNH050126321055</v>
          </cell>
        </row>
        <row r="203">
          <cell r="B203" t="str">
            <v>C14126</v>
          </cell>
          <cell r="C203" t="str">
            <v>Nguyễn Tiến Cường</v>
          </cell>
          <cell r="D203" t="str">
            <v>NGUYEN TIEN CUONG</v>
          </cell>
          <cell r="E203" t="str">
            <v>050031260032</v>
          </cell>
          <cell r="F203" t="str">
            <v>C14126NGUYEN TIEN CUONG050031260032</v>
          </cell>
        </row>
        <row r="204">
          <cell r="B204" t="str">
            <v>C14767</v>
          </cell>
          <cell r="C204" t="str">
            <v>Trương Đình Sỹ</v>
          </cell>
          <cell r="D204" t="str">
            <v>TRUONG DINH SY</v>
          </cell>
          <cell r="E204" t="str">
            <v>050135974371</v>
          </cell>
          <cell r="F204" t="str">
            <v>C14767TRUONG DINH SY050135974371</v>
          </cell>
        </row>
        <row r="205">
          <cell r="B205" t="str">
            <v>C15379</v>
          </cell>
          <cell r="C205" t="str">
            <v>Cao Thị Huỳnh Như</v>
          </cell>
          <cell r="D205" t="str">
            <v>CAO THI HUYNH NHU</v>
          </cell>
          <cell r="E205" t="str">
            <v>050137000153</v>
          </cell>
          <cell r="F205" t="str">
            <v>C15379CAO THI HUYNH NHU050137000153</v>
          </cell>
        </row>
        <row r="206">
          <cell r="B206" t="str">
            <v>C15394</v>
          </cell>
          <cell r="C206" t="str">
            <v>Nguyễn Thị Ngọc Nhi</v>
          </cell>
          <cell r="D206" t="str">
            <v>NGUYEN THI NGOC NHI</v>
          </cell>
          <cell r="E206" t="str">
            <v>050079932563</v>
          </cell>
          <cell r="F206" t="str">
            <v>C15394NGUYEN THI NGOC NHI050079932563</v>
          </cell>
        </row>
        <row r="207">
          <cell r="B207" t="str">
            <v>C2521</v>
          </cell>
          <cell r="C207" t="str">
            <v>Phạm Hữu Trung</v>
          </cell>
          <cell r="D207" t="str">
            <v>PHAM HUU TRUNG</v>
          </cell>
          <cell r="E207" t="str">
            <v>050040849367</v>
          </cell>
          <cell r="F207" t="str">
            <v>C2521PHAM HUU TRUNG050040849367</v>
          </cell>
        </row>
        <row r="208">
          <cell r="B208" t="str">
            <v>C11379</v>
          </cell>
          <cell r="C208" t="str">
            <v>Lâm Sa Nên</v>
          </cell>
          <cell r="D208" t="str">
            <v>LAM SA NEN</v>
          </cell>
          <cell r="E208" t="str">
            <v>050113388622</v>
          </cell>
          <cell r="F208" t="str">
            <v>C11379LAM SA NEN050113388622</v>
          </cell>
        </row>
        <row r="209">
          <cell r="B209" t="str">
            <v>C14461</v>
          </cell>
          <cell r="C209" t="str">
            <v>Nguyễn Ngọc Tùng</v>
          </cell>
          <cell r="D209" t="str">
            <v>NGUYEN NGOC TUNG</v>
          </cell>
          <cell r="E209" t="str">
            <v>050131181482</v>
          </cell>
          <cell r="F209" t="str">
            <v>C14461NGUYEN NGOC TUNG050131181482</v>
          </cell>
        </row>
        <row r="210">
          <cell r="B210" t="str">
            <v>C14718</v>
          </cell>
          <cell r="C210" t="str">
            <v>Nguyễn Thị Phương Trâm</v>
          </cell>
          <cell r="D210" t="str">
            <v>NGUYEN THI PHUONG TRAM</v>
          </cell>
          <cell r="E210" t="str">
            <v>050103659598</v>
          </cell>
          <cell r="F210" t="str">
            <v>C14718NGUYEN THI PHUONG TRAM050103659598</v>
          </cell>
        </row>
        <row r="211">
          <cell r="B211" t="str">
            <v>C2287</v>
          </cell>
          <cell r="C211" t="str">
            <v>Trần Văn Dũng</v>
          </cell>
          <cell r="D211" t="str">
            <v>TRAN VAN DUNG</v>
          </cell>
          <cell r="E211" t="str">
            <v>050040819042</v>
          </cell>
          <cell r="F211" t="str">
            <v>C2287TRAN VAN DUNG050040819042</v>
          </cell>
        </row>
        <row r="212">
          <cell r="B212" t="str">
            <v>C7226</v>
          </cell>
          <cell r="C212" t="str">
            <v>Võ Minh Thủ</v>
          </cell>
          <cell r="D212" t="str">
            <v>VO MINH THU</v>
          </cell>
          <cell r="E212" t="str">
            <v>050040902543</v>
          </cell>
          <cell r="F212" t="str">
            <v>C7226VO MINH THU050040902543</v>
          </cell>
        </row>
        <row r="213">
          <cell r="B213" t="str">
            <v>C7344</v>
          </cell>
          <cell r="C213" t="str">
            <v>Lê Văn Mạnh</v>
          </cell>
          <cell r="D213" t="str">
            <v>LE VAN MANH</v>
          </cell>
          <cell r="E213" t="str">
            <v>050092771250</v>
          </cell>
          <cell r="F213" t="str">
            <v>C7344LE VAN MANH050092771250</v>
          </cell>
        </row>
        <row r="214">
          <cell r="B214" t="str">
            <v>C13358</v>
          </cell>
          <cell r="C214" t="str">
            <v>Phan Hồ Hải</v>
          </cell>
          <cell r="D214" t="str">
            <v>PHAN HO HAI</v>
          </cell>
          <cell r="E214" t="str">
            <v>050126776729</v>
          </cell>
          <cell r="F214" t="str">
            <v>C13358PHAN HO HAI050126776729</v>
          </cell>
        </row>
        <row r="215">
          <cell r="B215" t="str">
            <v>C14430</v>
          </cell>
          <cell r="C215" t="str">
            <v>Nguyễn Thủy Tiên</v>
          </cell>
          <cell r="D215" t="str">
            <v>NGUYEN THUY TIEN</v>
          </cell>
          <cell r="E215" t="str">
            <v>050135679302</v>
          </cell>
          <cell r="F215" t="str">
            <v>C14430NGUYEN THUY TIEN050135679302</v>
          </cell>
        </row>
        <row r="216">
          <cell r="B216" t="str">
            <v>C15417</v>
          </cell>
          <cell r="C216" t="str">
            <v>Võ Thị Mỹ Dung</v>
          </cell>
          <cell r="D216" t="str">
            <v>VO THI MY DUNG</v>
          </cell>
          <cell r="E216" t="str">
            <v>050143874416</v>
          </cell>
          <cell r="F216" t="str">
            <v>C15417VO THI MY DUNG050143874416</v>
          </cell>
        </row>
        <row r="217">
          <cell r="B217" t="str">
            <v>C15418</v>
          </cell>
          <cell r="C217" t="str">
            <v>Trần Minh Phát</v>
          </cell>
          <cell r="D217" t="str">
            <v>TRAN MINH PHAT</v>
          </cell>
          <cell r="E217" t="str">
            <v>050143874386</v>
          </cell>
          <cell r="F217" t="str">
            <v>C15418TRAN MINH PHAT050143874386</v>
          </cell>
        </row>
        <row r="218">
          <cell r="B218" t="str">
            <v>C5842</v>
          </cell>
          <cell r="C218" t="str">
            <v>Dương Quốc Huỳnh</v>
          </cell>
          <cell r="D218" t="str">
            <v>DUONG QUOC HUYNH</v>
          </cell>
          <cell r="E218" t="str">
            <v>050040931667</v>
          </cell>
          <cell r="F218" t="str">
            <v>C5842DUONG QUOC HUYNH050040931667</v>
          </cell>
        </row>
        <row r="219">
          <cell r="B219" t="str">
            <v>C6000</v>
          </cell>
          <cell r="C219" t="str">
            <v>Lê Văn Thụ</v>
          </cell>
          <cell r="D219" t="str">
            <v>LE VAN THU</v>
          </cell>
          <cell r="E219" t="str">
            <v>050040870684</v>
          </cell>
          <cell r="F219" t="str">
            <v>C6000LE VAN THU050040870684</v>
          </cell>
        </row>
        <row r="220">
          <cell r="B220" t="str">
            <v>C6004</v>
          </cell>
          <cell r="C220" t="str">
            <v>Điểu Đông</v>
          </cell>
          <cell r="D220" t="str">
            <v>DIEU DONG</v>
          </cell>
          <cell r="E220" t="str">
            <v>050040931330</v>
          </cell>
          <cell r="F220" t="str">
            <v>C6004DIEU DONG050040931330</v>
          </cell>
        </row>
        <row r="221">
          <cell r="B221" t="str">
            <v>C7190</v>
          </cell>
          <cell r="C221" t="str">
            <v>Lê Hữu Nhân</v>
          </cell>
          <cell r="D221" t="str">
            <v>LE HUU NHAN</v>
          </cell>
          <cell r="E221" t="str">
            <v>050087500796</v>
          </cell>
          <cell r="F221" t="str">
            <v>C7190LE HUU NHAN050087500796</v>
          </cell>
        </row>
        <row r="222">
          <cell r="B222" t="str">
            <v>C13306</v>
          </cell>
          <cell r="C222" t="str">
            <v>Nguyễn Quang Linh</v>
          </cell>
          <cell r="D222" t="str">
            <v>NGUYEN QUANG LINH</v>
          </cell>
          <cell r="E222" t="str">
            <v>050123002102</v>
          </cell>
          <cell r="F222" t="str">
            <v>C13306NGUYEN QUANG LINH050123002102</v>
          </cell>
        </row>
        <row r="223">
          <cell r="B223" t="str">
            <v>C13934</v>
          </cell>
          <cell r="C223" t="str">
            <v>Mai Đình Toàn</v>
          </cell>
          <cell r="D223" t="str">
            <v>MAI DINH TOAN</v>
          </cell>
          <cell r="E223" t="str">
            <v>050054953930</v>
          </cell>
          <cell r="F223" t="str">
            <v>C13934MAI DINH TOAN050054953930</v>
          </cell>
        </row>
        <row r="224">
          <cell r="B224" t="str">
            <v>C14085</v>
          </cell>
          <cell r="C224" t="str">
            <v>Đỗ Minh Trí</v>
          </cell>
          <cell r="D224" t="str">
            <v>DO MINH TRI</v>
          </cell>
          <cell r="E224" t="str">
            <v>050127733225</v>
          </cell>
          <cell r="F224" t="str">
            <v>C14085DO MINH TRI050127733225</v>
          </cell>
        </row>
        <row r="225">
          <cell r="B225" t="str">
            <v>C14556</v>
          </cell>
          <cell r="C225" t="str">
            <v>Lê Thanh Hải</v>
          </cell>
          <cell r="D225" t="str">
            <v>LE THANH HAI</v>
          </cell>
          <cell r="E225" t="str">
            <v>050112250287</v>
          </cell>
          <cell r="F225" t="str">
            <v>C14556LE THANH HAI050112250287</v>
          </cell>
        </row>
        <row r="226">
          <cell r="B226" t="str">
            <v>C15431</v>
          </cell>
          <cell r="C226" t="str">
            <v>Lê Thanh Hiền</v>
          </cell>
          <cell r="D226" t="str">
            <v>LE THANH HIEN</v>
          </cell>
          <cell r="E226" t="str">
            <v>050122289671</v>
          </cell>
          <cell r="F226" t="str">
            <v>C15431LE THANH HIEN050122289671</v>
          </cell>
        </row>
        <row r="227">
          <cell r="B227" t="str">
            <v>C7142</v>
          </cell>
          <cell r="C227" t="str">
            <v>Nguyễn Văn Nguyên</v>
          </cell>
          <cell r="D227" t="str">
            <v>NGUYEN VAN NGUYEN</v>
          </cell>
          <cell r="E227" t="str">
            <v>050046467253</v>
          </cell>
          <cell r="F227" t="str">
            <v>C7142NGUYEN VAN NGUYEN050046467253</v>
          </cell>
        </row>
        <row r="228">
          <cell r="B228" t="str">
            <v>C8054</v>
          </cell>
          <cell r="C228" t="str">
            <v>Trương Mạnh Hùng</v>
          </cell>
          <cell r="D228" t="str">
            <v>TRUONG MANH HUNG</v>
          </cell>
          <cell r="E228" t="str">
            <v>050036745867</v>
          </cell>
          <cell r="F228" t="str">
            <v>C8054TRUONG MANH HUNG050036745867</v>
          </cell>
        </row>
        <row r="229">
          <cell r="B229" t="str">
            <v>C12454</v>
          </cell>
          <cell r="C229" t="str">
            <v>Đỗ Thành Công</v>
          </cell>
          <cell r="D229" t="str">
            <v>DO THANH CONG</v>
          </cell>
          <cell r="E229" t="str">
            <v>050119639422</v>
          </cell>
          <cell r="F229" t="str">
            <v>C12454DO THANH CONG050119639422</v>
          </cell>
        </row>
        <row r="230">
          <cell r="B230" t="str">
            <v>C12592</v>
          </cell>
          <cell r="C230" t="str">
            <v>Nguyễn Phương Bình</v>
          </cell>
          <cell r="D230" t="str">
            <v>NGUYEN PHUONG BINH</v>
          </cell>
          <cell r="E230" t="str">
            <v>050074546721</v>
          </cell>
          <cell r="F230" t="str">
            <v>C12592NGUYEN PHUONG BINH050074546721</v>
          </cell>
        </row>
        <row r="231">
          <cell r="B231" t="str">
            <v>C12615</v>
          </cell>
          <cell r="C231" t="str">
            <v>Bùi Văn Có</v>
          </cell>
          <cell r="D231" t="str">
            <v>BUI VAN CO</v>
          </cell>
          <cell r="E231" t="str">
            <v>050112168203</v>
          </cell>
          <cell r="F231" t="str">
            <v>C12615BUI VAN CO050112168203</v>
          </cell>
        </row>
        <row r="232">
          <cell r="B232" t="str">
            <v>C13113</v>
          </cell>
          <cell r="C232" t="str">
            <v>Phạm Minh Trí</v>
          </cell>
          <cell r="D232" t="str">
            <v>PHAM MINH TRI</v>
          </cell>
          <cell r="E232" t="str">
            <v>050124616351</v>
          </cell>
          <cell r="F232" t="str">
            <v>C13113PHAM MINH TRI050124616351</v>
          </cell>
        </row>
        <row r="233">
          <cell r="B233" t="str">
            <v>C15372</v>
          </cell>
          <cell r="C233" t="str">
            <v>Lê Văn Hưng</v>
          </cell>
          <cell r="D233" t="str">
            <v>LE VAN HUNG</v>
          </cell>
          <cell r="E233" t="str">
            <v>050070598237</v>
          </cell>
          <cell r="F233" t="str">
            <v>C15372LE VAN HUNG050070598237</v>
          </cell>
        </row>
        <row r="234">
          <cell r="B234" t="str">
            <v>C1315</v>
          </cell>
          <cell r="C234" t="str">
            <v>Lưu Thị Làn</v>
          </cell>
          <cell r="D234" t="str">
            <v>LUU THI LAN</v>
          </cell>
          <cell r="E234" t="str">
            <v>050040820490</v>
          </cell>
          <cell r="F234" t="str">
            <v>C1315LUU THI LAN050040820490</v>
          </cell>
        </row>
        <row r="235">
          <cell r="B235" t="str">
            <v>C13909</v>
          </cell>
          <cell r="C235" t="str">
            <v>Dư Thị Nhung</v>
          </cell>
          <cell r="D235" t="str">
            <v>DU THI NHUNG</v>
          </cell>
          <cell r="E235" t="str">
            <v>050128517410</v>
          </cell>
          <cell r="F235" t="str">
            <v>C13909DU THI NHUNG050128517410</v>
          </cell>
        </row>
        <row r="236">
          <cell r="B236" t="str">
            <v>C2236</v>
          </cell>
          <cell r="C236" t="str">
            <v>Nguyễn Văn Tiến</v>
          </cell>
          <cell r="D236" t="str">
            <v>NGUYEN VAN TIEN</v>
          </cell>
          <cell r="E236" t="str">
            <v>050040934321</v>
          </cell>
          <cell r="F236" t="str">
            <v>C2236NGUYEN VAN TIEN050040934321</v>
          </cell>
        </row>
        <row r="237">
          <cell r="B237" t="str">
            <v>C6164</v>
          </cell>
          <cell r="C237" t="str">
            <v>Trần Việt Hùng</v>
          </cell>
          <cell r="D237" t="str">
            <v>TRAN VIET HUNG</v>
          </cell>
          <cell r="E237" t="str">
            <v>050040934208</v>
          </cell>
          <cell r="F237" t="str">
            <v>C6164TRAN VIET HUNG050040934208</v>
          </cell>
        </row>
        <row r="238">
          <cell r="B238" t="str">
            <v>C6794</v>
          </cell>
          <cell r="C238" t="str">
            <v>Lê Văn Điểm</v>
          </cell>
          <cell r="D238" t="str">
            <v>LE VAN DIEM</v>
          </cell>
          <cell r="E238" t="str">
            <v>050075311904</v>
          </cell>
          <cell r="F238" t="str">
            <v>C6794LE VAN DIEM050075311904</v>
          </cell>
        </row>
        <row r="239">
          <cell r="B239" t="str">
            <v>C7152</v>
          </cell>
          <cell r="C239" t="str">
            <v>Nguyễn Hồng Phong</v>
          </cell>
          <cell r="D239" t="str">
            <v>NGUYEN HONG PHONG</v>
          </cell>
          <cell r="E239" t="str">
            <v>050046448798</v>
          </cell>
          <cell r="F239" t="str">
            <v>C7152NGUYEN HONG PHONG050046448798</v>
          </cell>
        </row>
        <row r="240">
          <cell r="B240" t="str">
            <v>C10711</v>
          </cell>
          <cell r="C240" t="str">
            <v>Nguyễn Mạnh Hùng</v>
          </cell>
          <cell r="D240" t="str">
            <v>NGUYEN MANH HUNG</v>
          </cell>
          <cell r="E240" t="str">
            <v>050093875998</v>
          </cell>
          <cell r="F240" t="str">
            <v>C10711NGUYEN MANH HUNG050093875998</v>
          </cell>
        </row>
        <row r="241">
          <cell r="B241" t="str">
            <v>C13245</v>
          </cell>
          <cell r="C241" t="str">
            <v>Lâm Lý Cỏn</v>
          </cell>
          <cell r="D241" t="str">
            <v>LAM LY CON</v>
          </cell>
          <cell r="E241" t="str">
            <v>050126407472</v>
          </cell>
          <cell r="F241" t="str">
            <v>C13245LAM LY CON050126407472</v>
          </cell>
        </row>
        <row r="242">
          <cell r="B242" t="str">
            <v>C13714</v>
          </cell>
          <cell r="C242" t="str">
            <v>Đỗ Minh Hiếu</v>
          </cell>
          <cell r="D242" t="str">
            <v>DO MINH HIEU</v>
          </cell>
          <cell r="E242" t="str">
            <v>050096235248</v>
          </cell>
          <cell r="F242" t="str">
            <v>C13714DO MINH HIEU050096235248</v>
          </cell>
        </row>
        <row r="243">
          <cell r="B243" t="str">
            <v>C14432</v>
          </cell>
          <cell r="C243" t="str">
            <v>Ngô Văn Kiệt</v>
          </cell>
          <cell r="D243" t="str">
            <v>NGO VAN KIET</v>
          </cell>
          <cell r="E243" t="str">
            <v>050134596950</v>
          </cell>
          <cell r="F243" t="str">
            <v>C14432NGO VAN KIET050134596950</v>
          </cell>
        </row>
        <row r="244">
          <cell r="B244" t="str">
            <v>C14433</v>
          </cell>
          <cell r="C244" t="str">
            <v>Phan Thành Tài</v>
          </cell>
          <cell r="D244" t="str">
            <v>PHAN THANH TAI</v>
          </cell>
          <cell r="E244" t="str">
            <v>050133092762</v>
          </cell>
          <cell r="F244" t="str">
            <v>C14433PHAN THANH TAI050133092762</v>
          </cell>
        </row>
        <row r="245">
          <cell r="B245" t="str">
            <v>C14640</v>
          </cell>
          <cell r="C245" t="str">
            <v>Nguyễn Minh Hoàng</v>
          </cell>
          <cell r="D245" t="str">
            <v>NGUYEN MINH HOANG</v>
          </cell>
          <cell r="E245" t="str">
            <v>050082294632</v>
          </cell>
          <cell r="F245" t="str">
            <v>C14640NGUYEN MINH HOANG050082294632</v>
          </cell>
        </row>
        <row r="246">
          <cell r="B246" t="str">
            <v>C15215</v>
          </cell>
          <cell r="C246" t="str">
            <v>Phan Thanh Tùng</v>
          </cell>
          <cell r="D246" t="str">
            <v>PHAN THANH TUNG</v>
          </cell>
          <cell r="E246" t="str">
            <v>050091458168</v>
          </cell>
          <cell r="F246" t="str">
            <v>C15215PHAN THANH TUNG050091458168</v>
          </cell>
        </row>
        <row r="247">
          <cell r="B247" t="str">
            <v>C13990</v>
          </cell>
          <cell r="C247" t="str">
            <v>Nguyễn Anh Tài</v>
          </cell>
          <cell r="D247" t="str">
            <v>NGUYEN ANH TAI</v>
          </cell>
          <cell r="E247" t="str">
            <v>050055721871</v>
          </cell>
          <cell r="F247" t="str">
            <v>C13990NGUYEN ANH TAI050055721871</v>
          </cell>
        </row>
        <row r="248">
          <cell r="B248" t="str">
            <v>C15409</v>
          </cell>
          <cell r="C248" t="str">
            <v>Nguyễn Văn Hiếu</v>
          </cell>
          <cell r="D248" t="str">
            <v>NGUYEN VAN HIEU</v>
          </cell>
          <cell r="E248" t="str">
            <v>050143874351</v>
          </cell>
          <cell r="F248" t="str">
            <v>C15409NGUYEN VAN HIEU050143874351</v>
          </cell>
        </row>
        <row r="249">
          <cell r="B249" t="str">
            <v>C1306</v>
          </cell>
          <cell r="C249" t="str">
            <v>Nguyễn Thị Thanh Mỹ</v>
          </cell>
          <cell r="D249" t="str">
            <v>NGUYEN THI THANH MY</v>
          </cell>
          <cell r="E249" t="str">
            <v>050040823201</v>
          </cell>
          <cell r="F249" t="str">
            <v>C1306NGUYEN THI THANH MY050040823201</v>
          </cell>
        </row>
        <row r="250">
          <cell r="B250" t="str">
            <v>C3465</v>
          </cell>
          <cell r="C250" t="str">
            <v>Lê Văn Khỏe</v>
          </cell>
          <cell r="D250" t="str">
            <v>LE VAN KHOE</v>
          </cell>
          <cell r="E250" t="str">
            <v>050040934399</v>
          </cell>
          <cell r="F250" t="str">
            <v>C3465LE VAN KHOE050040934399</v>
          </cell>
        </row>
        <row r="251">
          <cell r="B251" t="str">
            <v>C4110</v>
          </cell>
          <cell r="C251" t="str">
            <v>Đàm Thị Thủy</v>
          </cell>
          <cell r="D251" t="str">
            <v>DAM THI THUY</v>
          </cell>
          <cell r="E251" t="str">
            <v>050040820369</v>
          </cell>
          <cell r="F251" t="str">
            <v>C4110DAM THI THUY050040820369</v>
          </cell>
        </row>
        <row r="252">
          <cell r="B252" t="str">
            <v>C10468</v>
          </cell>
          <cell r="C252" t="str">
            <v>Lê Thị Lan Hương</v>
          </cell>
          <cell r="D252" t="str">
            <v>LE THI LAN HUONG</v>
          </cell>
          <cell r="E252" t="str">
            <v>050047953550</v>
          </cell>
          <cell r="F252" t="str">
            <v>C10468LE THI LAN HUONG050047953550</v>
          </cell>
        </row>
        <row r="253">
          <cell r="B253" t="str">
            <v>C14762</v>
          </cell>
          <cell r="C253" t="str">
            <v>Bùi Thị Yến Thu</v>
          </cell>
          <cell r="D253" t="str">
            <v>BUI THI YEN THU</v>
          </cell>
          <cell r="E253" t="str">
            <v>050066285429</v>
          </cell>
          <cell r="F253" t="str">
            <v>C14762BUI THI YEN THU050066285429</v>
          </cell>
        </row>
        <row r="254">
          <cell r="B254" t="str">
            <v>C2079</v>
          </cell>
          <cell r="C254" t="str">
            <v>Huỳnh Mẫu Bảy</v>
          </cell>
          <cell r="D254" t="str">
            <v>HUYNH MAU BAY</v>
          </cell>
          <cell r="E254" t="str">
            <v>050040931926</v>
          </cell>
          <cell r="F254" t="str">
            <v>C2079HUYNH MAU BAY050040931926</v>
          </cell>
        </row>
        <row r="255">
          <cell r="B255" t="str">
            <v>C5204</v>
          </cell>
          <cell r="C255" t="str">
            <v>Lê Mộng Hằng</v>
          </cell>
          <cell r="D255" t="str">
            <v>LE MONG HANG</v>
          </cell>
          <cell r="E255" t="str">
            <v>050040924237</v>
          </cell>
          <cell r="F255" t="str">
            <v>C5204LE MONG HANG050040924237</v>
          </cell>
        </row>
        <row r="256">
          <cell r="B256" t="str">
            <v>C5531</v>
          </cell>
          <cell r="C256" t="str">
            <v>Vũ Thị Phương</v>
          </cell>
          <cell r="D256" t="str">
            <v>VU THI PHUONG</v>
          </cell>
          <cell r="E256" t="str">
            <v>050040932450</v>
          </cell>
          <cell r="F256" t="str">
            <v>C5531VU THI PHUONG050040932450</v>
          </cell>
        </row>
        <row r="257">
          <cell r="B257" t="str">
            <v>C0718</v>
          </cell>
          <cell r="C257" t="str">
            <v>Mai Thị Bưởi</v>
          </cell>
          <cell r="D257" t="str">
            <v>MAI THI BUOI</v>
          </cell>
          <cell r="E257" t="str">
            <v>050040874388</v>
          </cell>
          <cell r="F257" t="str">
            <v>C0718MAI THI BUOI050040874388</v>
          </cell>
        </row>
        <row r="258">
          <cell r="B258" t="str">
            <v>C1478</v>
          </cell>
          <cell r="C258" t="str">
            <v>Nguyễn Thị Ngọc Lan</v>
          </cell>
          <cell r="D258" t="str">
            <v>NGUYEN THI NGOC LAN</v>
          </cell>
          <cell r="E258" t="str">
            <v>050040931748</v>
          </cell>
          <cell r="F258" t="str">
            <v>C1478NGUYEN THI NGOC LAN050040931748</v>
          </cell>
        </row>
        <row r="259">
          <cell r="B259" t="str">
            <v>C2832</v>
          </cell>
          <cell r="C259" t="str">
            <v>Trần Thị Vân Chi</v>
          </cell>
          <cell r="D259" t="str">
            <v>TRAN THI VAN CHI</v>
          </cell>
          <cell r="E259" t="str">
            <v>050040931373</v>
          </cell>
          <cell r="F259" t="str">
            <v>C2832TRAN THI VAN CHI050040931373</v>
          </cell>
        </row>
        <row r="260">
          <cell r="B260" t="str">
            <v>C3894</v>
          </cell>
          <cell r="C260" t="str">
            <v>Nguyễn Thị Thanh</v>
          </cell>
          <cell r="D260" t="str">
            <v>NGUYEN THI THANH</v>
          </cell>
          <cell r="E260" t="str">
            <v>050040931454</v>
          </cell>
          <cell r="F260" t="str">
            <v>C3894NGUYEN THI THANH050040931454</v>
          </cell>
        </row>
        <row r="261">
          <cell r="B261" t="str">
            <v>C4480</v>
          </cell>
          <cell r="C261" t="str">
            <v>Nguyễn Thị Kim</v>
          </cell>
          <cell r="D261" t="str">
            <v>NGUYEN THI KIM</v>
          </cell>
          <cell r="E261" t="str">
            <v>050040931802</v>
          </cell>
          <cell r="F261" t="str">
            <v>C4480NGUYEN THI KIM050040931802</v>
          </cell>
        </row>
        <row r="262">
          <cell r="B262" t="str">
            <v>C5156</v>
          </cell>
          <cell r="C262" t="str">
            <v>Trần Thị Vân Phương</v>
          </cell>
          <cell r="D262" t="str">
            <v>TRAN THI VAN PHUONG</v>
          </cell>
          <cell r="E262" t="str">
            <v>050040931284</v>
          </cell>
          <cell r="F262" t="str">
            <v>C5156TRAN THI VAN PHUONG050040931284</v>
          </cell>
        </row>
        <row r="263">
          <cell r="B263" t="str">
            <v>C5432</v>
          </cell>
          <cell r="C263" t="str">
            <v>Phạm Thị Minh Hiền</v>
          </cell>
          <cell r="D263" t="str">
            <v>PHAM THI MINH HIEN</v>
          </cell>
          <cell r="E263" t="str">
            <v>050041002007</v>
          </cell>
          <cell r="F263" t="str">
            <v>C5432PHAM THI MINH HIEN050041002007</v>
          </cell>
        </row>
        <row r="264">
          <cell r="B264" t="str">
            <v>C5433</v>
          </cell>
          <cell r="C264" t="str">
            <v>Trần Thị Trinh Tùy</v>
          </cell>
          <cell r="D264" t="str">
            <v>TRAN THI TRINH TUY</v>
          </cell>
          <cell r="E264" t="str">
            <v>050040932574</v>
          </cell>
          <cell r="F264" t="str">
            <v>C5433TRAN THI TRINH TUY050040932574</v>
          </cell>
        </row>
        <row r="265">
          <cell r="B265" t="str">
            <v>C6482</v>
          </cell>
          <cell r="C265" t="str">
            <v>Hoàng Thị Cúc</v>
          </cell>
          <cell r="D265" t="str">
            <v>HOANG THI CUC</v>
          </cell>
          <cell r="E265" t="str">
            <v>050042476363</v>
          </cell>
          <cell r="F265" t="str">
            <v>C6482HOANG THI CUC050042476363</v>
          </cell>
        </row>
        <row r="266">
          <cell r="B266" t="str">
            <v>C9333</v>
          </cell>
          <cell r="C266" t="str">
            <v>Lê Thị Thêm</v>
          </cell>
          <cell r="D266" t="str">
            <v>LE THI THEM</v>
          </cell>
          <cell r="E266" t="str">
            <v>050073841523</v>
          </cell>
          <cell r="F266" t="str">
            <v>C9333LE THI THEM050073841523</v>
          </cell>
        </row>
        <row r="267">
          <cell r="B267" t="str">
            <v>C9048</v>
          </cell>
          <cell r="C267" t="str">
            <v>THỊ THẮM</v>
          </cell>
          <cell r="D267" t="str">
            <v>THI THAM</v>
          </cell>
          <cell r="E267" t="str">
            <v>050076195304</v>
          </cell>
          <cell r="F267" t="str">
            <v>C9048THI THAM050076195304</v>
          </cell>
        </row>
        <row r="268">
          <cell r="B268" t="str">
            <v>C7968</v>
          </cell>
          <cell r="C268" t="str">
            <v>Phạm Thị Phương Thảo</v>
          </cell>
          <cell r="D268" t="str">
            <v>PHAM THI PHUONG THAO</v>
          </cell>
          <cell r="E268" t="str">
            <v>050060848227</v>
          </cell>
          <cell r="F268" t="str">
            <v>C7968PHAM THI PHUONG THAO050060848227</v>
          </cell>
        </row>
        <row r="269">
          <cell r="B269" t="str">
            <v>C8051</v>
          </cell>
          <cell r="C269" t="str">
            <v>Nguyễn Văn Kiên</v>
          </cell>
          <cell r="D269" t="str">
            <v>NGUYEN VAN KIEN</v>
          </cell>
          <cell r="E269" t="str">
            <v>050065220757</v>
          </cell>
          <cell r="F269" t="str">
            <v>C8051NGUYEN VAN KIEN050065220757</v>
          </cell>
        </row>
        <row r="270">
          <cell r="B270" t="str">
            <v>C11871</v>
          </cell>
          <cell r="C270" t="str">
            <v>Lê Thị Thanh Giàu</v>
          </cell>
          <cell r="D270" t="str">
            <v>LE THI THANH GIAU</v>
          </cell>
          <cell r="E270" t="str">
            <v>050117707560</v>
          </cell>
          <cell r="F270" t="str">
            <v>C11871LE THI THANH GIAU050117707560</v>
          </cell>
        </row>
        <row r="271">
          <cell r="B271" t="str">
            <v>C13251</v>
          </cell>
          <cell r="C271" t="str">
            <v>Nguyễn Thị Thu Trang</v>
          </cell>
          <cell r="D271" t="str">
            <v>NGUYEN THI THU TRANG</v>
          </cell>
          <cell r="E271" t="str">
            <v>050106514078</v>
          </cell>
          <cell r="F271" t="str">
            <v>C13251NGUYEN THI THU TRANG050106514078</v>
          </cell>
        </row>
        <row r="272">
          <cell r="B272" t="str">
            <v>C13274</v>
          </cell>
          <cell r="C272" t="str">
            <v>Lê Thị Trang</v>
          </cell>
          <cell r="D272" t="str">
            <v>LE THI TRANG</v>
          </cell>
          <cell r="E272" t="str">
            <v>050126082654</v>
          </cell>
          <cell r="F272" t="str">
            <v>C13274LE THI TRANG050126082654</v>
          </cell>
        </row>
        <row r="273">
          <cell r="B273" t="str">
            <v>C13357</v>
          </cell>
          <cell r="C273" t="str">
            <v>Trần Thị Thúy Quyên</v>
          </cell>
          <cell r="D273" t="str">
            <v>TRAN THI THUY QUYEN</v>
          </cell>
          <cell r="E273" t="str">
            <v>050126544380</v>
          </cell>
          <cell r="F273" t="str">
            <v>C13357TRAN THI THUY QUYEN050126544380</v>
          </cell>
        </row>
        <row r="274">
          <cell r="B274" t="str">
            <v>C13967</v>
          </cell>
          <cell r="C274" t="str">
            <v>Lê Thị Huỳnh Như</v>
          </cell>
          <cell r="D274" t="str">
            <v>LE THI HUYNH NHU</v>
          </cell>
          <cell r="E274" t="str">
            <v>050127733071</v>
          </cell>
          <cell r="F274" t="str">
            <v>C13967LE THI HUYNH NHU050127733071</v>
          </cell>
        </row>
        <row r="275">
          <cell r="B275" t="str">
            <v>C15232</v>
          </cell>
          <cell r="C275" t="str">
            <v>Nguyễn Thị Thu</v>
          </cell>
          <cell r="D275" t="str">
            <v>NGUYEN THI THU</v>
          </cell>
          <cell r="E275" t="str">
            <v>050092772011</v>
          </cell>
          <cell r="F275" t="str">
            <v>C15232NGUYEN THI THU050092772011</v>
          </cell>
        </row>
        <row r="276">
          <cell r="B276" t="str">
            <v>C15285</v>
          </cell>
          <cell r="C276" t="str">
            <v>Võ Thị Dung My</v>
          </cell>
          <cell r="D276" t="str">
            <v>VO THI DUNG MY</v>
          </cell>
          <cell r="E276" t="str">
            <v>050139639143</v>
          </cell>
          <cell r="F276" t="str">
            <v>C15285VO THI DUNG MY050139639143</v>
          </cell>
        </row>
        <row r="277">
          <cell r="B277" t="str">
            <v>C4042</v>
          </cell>
          <cell r="C277" t="str">
            <v>Lê Sỹ Hóa</v>
          </cell>
          <cell r="D277" t="str">
            <v>LE SY HOA</v>
          </cell>
          <cell r="E277" t="str">
            <v>050131296050</v>
          </cell>
          <cell r="F277" t="str">
            <v>C4042LE SY HOA050131296050</v>
          </cell>
        </row>
        <row r="278">
          <cell r="B278" t="str">
            <v>C8055</v>
          </cell>
          <cell r="C278" t="str">
            <v>Lê Thị Anh Thư</v>
          </cell>
          <cell r="D278" t="str">
            <v>LE THI ANH THU</v>
          </cell>
          <cell r="E278" t="str">
            <v>050103659792</v>
          </cell>
          <cell r="F278" t="str">
            <v>C8055LE THI ANH THU050103659792</v>
          </cell>
        </row>
        <row r="279">
          <cell r="B279" t="str">
            <v>C10515</v>
          </cell>
          <cell r="C279" t="str">
            <v>Trần Thị Nhung</v>
          </cell>
          <cell r="D279" t="str">
            <v>TRAN THI NHUNG</v>
          </cell>
          <cell r="E279" t="str">
            <v>050076206217</v>
          </cell>
          <cell r="F279" t="str">
            <v>C10515TRAN THI NHUNG050076206217</v>
          </cell>
        </row>
        <row r="280">
          <cell r="B280" t="str">
            <v>C12452</v>
          </cell>
          <cell r="C280" t="str">
            <v>Mai Văn Thọ</v>
          </cell>
          <cell r="D280" t="str">
            <v>MAI VAN THO</v>
          </cell>
          <cell r="E280" t="str">
            <v>050060274778</v>
          </cell>
          <cell r="F280" t="str">
            <v>C12452MAI VAN THO050060274778</v>
          </cell>
        </row>
        <row r="281">
          <cell r="B281" t="str">
            <v>C13884</v>
          </cell>
          <cell r="C281" t="str">
            <v>Ngô Thị Bảo Châu</v>
          </cell>
          <cell r="D281" t="str">
            <v>NGO THI BAO CHAU</v>
          </cell>
          <cell r="E281" t="str">
            <v>050113031015</v>
          </cell>
          <cell r="F281" t="str">
            <v>C13884NGO THI BAO CHAU050113031015</v>
          </cell>
        </row>
        <row r="282">
          <cell r="B282" t="str">
            <v>C14086</v>
          </cell>
          <cell r="C282" t="str">
            <v>Võ Anh Quân</v>
          </cell>
          <cell r="D282" t="str">
            <v>VO ANH QUAN</v>
          </cell>
          <cell r="E282" t="str">
            <v>050127502975</v>
          </cell>
          <cell r="F282" t="str">
            <v>C14086VO ANH QUAN050127502975</v>
          </cell>
        </row>
        <row r="283">
          <cell r="B283" t="str">
            <v>C15330</v>
          </cell>
          <cell r="C283" t="str">
            <v>Bùi Văn Hải</v>
          </cell>
          <cell r="D283" t="str">
            <v>BUI VAN HAI</v>
          </cell>
          <cell r="E283" t="str">
            <v>050077957100</v>
          </cell>
          <cell r="F283" t="str">
            <v>C15330BUI VAN HAI050077957100</v>
          </cell>
        </row>
        <row r="284">
          <cell r="B284" t="str">
            <v>C15368</v>
          </cell>
          <cell r="C284" t="str">
            <v>Nguyễn Văn Toàn</v>
          </cell>
          <cell r="D284" t="str">
            <v>NGUYEN VAN TOAN</v>
          </cell>
          <cell r="E284" t="str">
            <v>050063552851</v>
          </cell>
          <cell r="F284" t="str">
            <v>C15368NGUYEN VAN TOAN050063552851</v>
          </cell>
        </row>
        <row r="285">
          <cell r="B285" t="str">
            <v>C7149</v>
          </cell>
          <cell r="C285" t="str">
            <v>Hồ Minh Hảo</v>
          </cell>
          <cell r="D285" t="str">
            <v>HO MINH HAO</v>
          </cell>
          <cell r="E285" t="str">
            <v>050087500443</v>
          </cell>
          <cell r="F285" t="str">
            <v>C7149HO MINH HAO050087500443</v>
          </cell>
        </row>
        <row r="286">
          <cell r="B286" t="str">
            <v>C10963</v>
          </cell>
          <cell r="C286" t="str">
            <v>Phạm Văn Tuấn</v>
          </cell>
          <cell r="D286" t="str">
            <v>PHAM VAN TUAN</v>
          </cell>
          <cell r="E286" t="str">
            <v>050106938250</v>
          </cell>
          <cell r="F286" t="str">
            <v>C10963PHAM VAN TUAN050106938250</v>
          </cell>
        </row>
        <row r="287">
          <cell r="B287" t="str">
            <v>C14529</v>
          </cell>
          <cell r="C287" t="str">
            <v>Lê Quốc Việt</v>
          </cell>
          <cell r="D287" t="str">
            <v>LE QUOC VIET</v>
          </cell>
          <cell r="E287" t="str">
            <v>050135501211</v>
          </cell>
          <cell r="F287" t="str">
            <v>C14529LE QUOC VIET050135501211</v>
          </cell>
        </row>
        <row r="288">
          <cell r="B288" t="str">
            <v>C7219</v>
          </cell>
          <cell r="C288" t="str">
            <v>Điểu Thanh Hải</v>
          </cell>
          <cell r="D288" t="str">
            <v>DIEU THANH HAI</v>
          </cell>
          <cell r="E288" t="str">
            <v>050087500397</v>
          </cell>
          <cell r="F288" t="str">
            <v>C7219DIEU THANH HAI050087500397</v>
          </cell>
        </row>
        <row r="289">
          <cell r="B289" t="str">
            <v>C12639</v>
          </cell>
          <cell r="C289" t="str">
            <v>Nguyễn Văn Hưng</v>
          </cell>
          <cell r="D289" t="str">
            <v>NGUYEN VAN HUNG</v>
          </cell>
          <cell r="E289" t="str">
            <v>050119781660</v>
          </cell>
          <cell r="F289" t="str">
            <v>C12639NGUYEN VAN HUNG050119781660</v>
          </cell>
        </row>
        <row r="290">
          <cell r="B290" t="str">
            <v>C14639</v>
          </cell>
          <cell r="C290" t="str">
            <v>Lê Thị Hồng Linh</v>
          </cell>
          <cell r="D290" t="str">
            <v>LE THI HONG LINH</v>
          </cell>
          <cell r="E290" t="str">
            <v>050128918369</v>
          </cell>
          <cell r="F290" t="str">
            <v>C14639LE THI HONG LINH050128918369</v>
          </cell>
        </row>
        <row r="291">
          <cell r="B291" t="str">
            <v>C1418</v>
          </cell>
          <cell r="C291" t="str">
            <v>Hồ Thị Thiết</v>
          </cell>
          <cell r="D291" t="str">
            <v>HO THI THIET</v>
          </cell>
          <cell r="E291" t="str">
            <v>050040936022</v>
          </cell>
          <cell r="F291" t="str">
            <v>C1418HO THI THIET050040936022</v>
          </cell>
        </row>
        <row r="292">
          <cell r="B292" t="str">
            <v>C1730</v>
          </cell>
          <cell r="C292" t="str">
            <v>Trần Thị Thủy</v>
          </cell>
          <cell r="D292" t="str">
            <v>TRAN THI THUY</v>
          </cell>
          <cell r="E292" t="str">
            <v>050040932426</v>
          </cell>
          <cell r="F292" t="str">
            <v>C1730TRAN THI THUY050040932426</v>
          </cell>
        </row>
        <row r="293">
          <cell r="B293" t="str">
            <v>C2963</v>
          </cell>
          <cell r="C293" t="str">
            <v>Phạm Thúy Hồng</v>
          </cell>
          <cell r="D293" t="str">
            <v>PHAM THUY HONG</v>
          </cell>
          <cell r="E293" t="str">
            <v>050040936030</v>
          </cell>
          <cell r="F293" t="str">
            <v>C2963PHAM THUY HONG050040936030</v>
          </cell>
        </row>
        <row r="294">
          <cell r="B294" t="str">
            <v>C3518</v>
          </cell>
          <cell r="C294" t="str">
            <v>Hồ Thị Vân</v>
          </cell>
          <cell r="D294" t="str">
            <v>HO THI VAN</v>
          </cell>
          <cell r="E294" t="str">
            <v>050040936049</v>
          </cell>
          <cell r="F294" t="str">
            <v>C3518HO THI VAN050040936049</v>
          </cell>
        </row>
        <row r="295">
          <cell r="B295" t="str">
            <v>C4275</v>
          </cell>
          <cell r="C295" t="str">
            <v>Lê Thị Thúy Hằng</v>
          </cell>
          <cell r="D295" t="str">
            <v>LE THI THUY HANG</v>
          </cell>
          <cell r="E295" t="str">
            <v>050040856657</v>
          </cell>
          <cell r="F295" t="str">
            <v>C4275LE THI THUY HANG050040856657</v>
          </cell>
        </row>
        <row r="296">
          <cell r="B296" t="str">
            <v>C4641</v>
          </cell>
          <cell r="C296" t="str">
            <v>Trần Thị Thư</v>
          </cell>
          <cell r="D296" t="str">
            <v>TRAN THI THU</v>
          </cell>
          <cell r="E296" t="str">
            <v>050040854336</v>
          </cell>
          <cell r="F296" t="str">
            <v>C4641TRAN THI THU050040854336</v>
          </cell>
        </row>
        <row r="297">
          <cell r="B297" t="str">
            <v>C5187</v>
          </cell>
          <cell r="C297" t="str">
            <v>Hà Thị Thủy</v>
          </cell>
          <cell r="D297" t="str">
            <v>HA THI THUY</v>
          </cell>
          <cell r="E297" t="str">
            <v>050040936073</v>
          </cell>
          <cell r="F297" t="str">
            <v>C5187HA THI THUY050040936073</v>
          </cell>
        </row>
        <row r="298">
          <cell r="B298" t="str">
            <v>C5959</v>
          </cell>
          <cell r="C298" t="str">
            <v>Bùi Thị Mùi</v>
          </cell>
          <cell r="D298" t="str">
            <v>BUI THI MUI</v>
          </cell>
          <cell r="E298" t="str">
            <v>050040936081</v>
          </cell>
          <cell r="F298" t="str">
            <v>C5959BUI THI MUI050040936081</v>
          </cell>
        </row>
        <row r="299">
          <cell r="B299" t="str">
            <v>C6149</v>
          </cell>
          <cell r="C299" t="str">
            <v>Hoàng Thị Ngọc Bình</v>
          </cell>
          <cell r="D299" t="str">
            <v>HOANG THI NGOC BINH</v>
          </cell>
          <cell r="E299" t="str">
            <v>050040936121</v>
          </cell>
          <cell r="F299" t="str">
            <v>C6149HOANG THI NGOC BINH050040936121</v>
          </cell>
        </row>
        <row r="300">
          <cell r="B300" t="str">
            <v>C6757</v>
          </cell>
          <cell r="C300" t="str">
            <v>Thị Tuyết</v>
          </cell>
          <cell r="D300" t="str">
            <v>THI TUYET</v>
          </cell>
          <cell r="E300" t="str">
            <v>050070010523</v>
          </cell>
          <cell r="F300" t="str">
            <v>C6757THI TUYET050070010523</v>
          </cell>
        </row>
        <row r="301">
          <cell r="B301" t="str">
            <v>C6923</v>
          </cell>
          <cell r="C301" t="str">
            <v>Châu Thị Bạch Tuyết</v>
          </cell>
          <cell r="D301" t="str">
            <v>CHAU THI BACH TUYET</v>
          </cell>
          <cell r="E301" t="str">
            <v>050042466996</v>
          </cell>
          <cell r="F301" t="str">
            <v>C6923CHAU THI BACH TUYET050042466996</v>
          </cell>
        </row>
        <row r="302">
          <cell r="B302" t="str">
            <v>C11673</v>
          </cell>
          <cell r="C302" t="str">
            <v>Phạm Thị Cẩm Châu</v>
          </cell>
          <cell r="D302" t="str">
            <v>PHAM THI CAM CHAU</v>
          </cell>
          <cell r="E302" t="str">
            <v>050113873490</v>
          </cell>
          <cell r="F302" t="str">
            <v>C11673PHAM THI CAM CHAU050113873490</v>
          </cell>
        </row>
        <row r="303">
          <cell r="B303" t="str">
            <v>C6075</v>
          </cell>
          <cell r="C303" t="str">
            <v>Nguyễn Văn Hậu</v>
          </cell>
          <cell r="D303" t="str">
            <v>NGUYEN VAN HAU</v>
          </cell>
          <cell r="E303" t="str">
            <v>050137489918</v>
          </cell>
          <cell r="F303" t="str">
            <v>C6075NGUYEN VAN HAU050137489918</v>
          </cell>
        </row>
        <row r="304">
          <cell r="B304" t="str">
            <v>C6615</v>
          </cell>
          <cell r="C304" t="str">
            <v>Nguyễn Văn Hải</v>
          </cell>
          <cell r="D304" t="str">
            <v>NGUYEN VAN HAI</v>
          </cell>
          <cell r="E304" t="str">
            <v>050062362720</v>
          </cell>
          <cell r="F304" t="str">
            <v>C6615NGUYEN VAN HAI050062362720</v>
          </cell>
        </row>
        <row r="305">
          <cell r="B305" t="str">
            <v>C4100</v>
          </cell>
          <cell r="C305" t="str">
            <v>Võ Thị Sang</v>
          </cell>
          <cell r="D305" t="str">
            <v>VO THI SANG</v>
          </cell>
          <cell r="E305" t="str">
            <v>050067514898</v>
          </cell>
          <cell r="F305" t="str">
            <v>C4100VO THI SANG050067514898</v>
          </cell>
        </row>
        <row r="306">
          <cell r="B306" t="str">
            <v>C0585</v>
          </cell>
          <cell r="C306" t="str">
            <v>Lê Thị Thiện</v>
          </cell>
          <cell r="D306" t="str">
            <v>LE THI THIEN</v>
          </cell>
          <cell r="E306" t="str">
            <v>050040870846</v>
          </cell>
          <cell r="F306" t="str">
            <v>C0585LE THI THIEN050040870846</v>
          </cell>
        </row>
        <row r="307">
          <cell r="B307" t="str">
            <v>C0816</v>
          </cell>
          <cell r="C307" t="str">
            <v>Nguyễn Thị Thúy</v>
          </cell>
          <cell r="D307" t="str">
            <v>NGUYEN THI THUY</v>
          </cell>
          <cell r="E307" t="str">
            <v>050040870633</v>
          </cell>
          <cell r="F307" t="str">
            <v>C0816NGUYEN THI THUY050040870633</v>
          </cell>
        </row>
        <row r="308">
          <cell r="B308" t="str">
            <v>C1030</v>
          </cell>
          <cell r="C308" t="str">
            <v>Vũ Thị Liên</v>
          </cell>
          <cell r="D308" t="str">
            <v>VU THI LIEN</v>
          </cell>
          <cell r="E308" t="str">
            <v>050040927309</v>
          </cell>
          <cell r="F308" t="str">
            <v>C1030VU THI LIEN050040927309</v>
          </cell>
        </row>
        <row r="309">
          <cell r="B309" t="str">
            <v>C1640</v>
          </cell>
          <cell r="C309" t="str">
            <v>Vũ Thị Thu Hà</v>
          </cell>
          <cell r="D309" t="str">
            <v>VU THI THU HA</v>
          </cell>
          <cell r="E309" t="str">
            <v>050040927465</v>
          </cell>
          <cell r="F309" t="str">
            <v>C1640VU THI THU HA050040927465</v>
          </cell>
        </row>
        <row r="310">
          <cell r="B310" t="str">
            <v>C2783</v>
          </cell>
          <cell r="C310" t="str">
            <v>Võ Thị Hồng Gấm</v>
          </cell>
          <cell r="D310" t="str">
            <v>VO THI HONG GAM</v>
          </cell>
          <cell r="E310" t="str">
            <v>050040852147</v>
          </cell>
          <cell r="F310" t="str">
            <v>C2783VO THI HONG GAM050040852147</v>
          </cell>
        </row>
        <row r="311">
          <cell r="B311" t="str">
            <v>C4389</v>
          </cell>
          <cell r="C311" t="str">
            <v>Hồ Thị Liên</v>
          </cell>
          <cell r="D311" t="str">
            <v>HO THI LIEN</v>
          </cell>
          <cell r="E311" t="str">
            <v>050040931357</v>
          </cell>
          <cell r="F311" t="str">
            <v>C4389HO THI LIEN050040931357</v>
          </cell>
        </row>
        <row r="312">
          <cell r="B312" t="str">
            <v>C4392</v>
          </cell>
          <cell r="C312" t="str">
            <v>Lê Thị Thu Hằng</v>
          </cell>
          <cell r="D312" t="str">
            <v>LE THI THU HANG</v>
          </cell>
          <cell r="E312" t="str">
            <v>050040845515</v>
          </cell>
          <cell r="F312" t="str">
            <v>C4392LE THI THU HANG050040845515</v>
          </cell>
        </row>
        <row r="313">
          <cell r="B313" t="str">
            <v>C4506</v>
          </cell>
          <cell r="C313" t="str">
            <v>Vũ Thị Thảo</v>
          </cell>
          <cell r="D313" t="str">
            <v>VU THI THAO</v>
          </cell>
          <cell r="E313" t="str">
            <v>050040931462</v>
          </cell>
          <cell r="F313" t="str">
            <v>C4506VU THI THAO050040931462</v>
          </cell>
        </row>
        <row r="314">
          <cell r="B314" t="str">
            <v>C5061</v>
          </cell>
          <cell r="C314" t="str">
            <v>Hồ Thị Nguyệt</v>
          </cell>
          <cell r="D314" t="str">
            <v>HO THI NGUYET</v>
          </cell>
          <cell r="E314" t="str">
            <v>050040934161</v>
          </cell>
          <cell r="F314" t="str">
            <v>C5061HO THI NGUYET050040934161</v>
          </cell>
        </row>
        <row r="315">
          <cell r="B315" t="str">
            <v>C6656</v>
          </cell>
          <cell r="C315" t="str">
            <v>Vũ Thị Hậu</v>
          </cell>
          <cell r="D315" t="str">
            <v>VU THI HAU</v>
          </cell>
          <cell r="E315" t="str">
            <v>050067513395</v>
          </cell>
          <cell r="F315" t="str">
            <v>C6656VU THI HAU050067513395</v>
          </cell>
        </row>
        <row r="316">
          <cell r="B316" t="str">
            <v>C6978</v>
          </cell>
          <cell r="C316" t="str">
            <v>Phan Thị Bích Thúy</v>
          </cell>
          <cell r="D316" t="str">
            <v>PHAN THI BICH THUY</v>
          </cell>
          <cell r="E316" t="str">
            <v>050082787957</v>
          </cell>
          <cell r="F316" t="str">
            <v>C6978PHAN THI BICH THUY050082787957</v>
          </cell>
        </row>
        <row r="317">
          <cell r="B317" t="str">
            <v>C7165</v>
          </cell>
          <cell r="C317" t="str">
            <v>Nguyễn Hoài Bảo</v>
          </cell>
          <cell r="D317" t="str">
            <v>NGUYEN HOAI BAO</v>
          </cell>
          <cell r="E317" t="str">
            <v>050087243084</v>
          </cell>
          <cell r="F317" t="str">
            <v>C7165NGUYEN HOAI BAO050087243084</v>
          </cell>
        </row>
        <row r="318">
          <cell r="B318" t="str">
            <v>C7272</v>
          </cell>
          <cell r="C318" t="str">
            <v>Thị Út Hoa</v>
          </cell>
          <cell r="D318" t="str">
            <v>THI UT HOA</v>
          </cell>
          <cell r="E318" t="str">
            <v>050088947311</v>
          </cell>
          <cell r="F318" t="str">
            <v>C7272THI UT HOA050088947311</v>
          </cell>
        </row>
        <row r="319">
          <cell r="B319" t="str">
            <v>C7273</v>
          </cell>
          <cell r="C319" t="str">
            <v>Thị Thảo</v>
          </cell>
          <cell r="D319" t="str">
            <v>THI THAO</v>
          </cell>
          <cell r="E319" t="str">
            <v>050088948308</v>
          </cell>
          <cell r="F319" t="str">
            <v>C7273THI THAO050088948308</v>
          </cell>
        </row>
        <row r="320">
          <cell r="B320" t="str">
            <v>C7396</v>
          </cell>
          <cell r="C320" t="str">
            <v>Phạm Minh Hiếu</v>
          </cell>
          <cell r="D320" t="str">
            <v>PHAM MINH HIEU</v>
          </cell>
          <cell r="E320" t="str">
            <v>050095313156</v>
          </cell>
          <cell r="F320" t="str">
            <v>C7396PHAM MINH HIEU050095313156</v>
          </cell>
        </row>
        <row r="321">
          <cell r="B321" t="str">
            <v>C7441</v>
          </cell>
          <cell r="C321" t="str">
            <v>Lê Trung Hòa</v>
          </cell>
          <cell r="D321" t="str">
            <v>LE TRUNG HOA</v>
          </cell>
          <cell r="E321" t="str">
            <v>050095670651</v>
          </cell>
          <cell r="F321" t="str">
            <v>C7441LE TRUNG HOA050095670651</v>
          </cell>
        </row>
        <row r="322">
          <cell r="B322" t="str">
            <v>C8307</v>
          </cell>
          <cell r="C322" t="str">
            <v>Nguyễn Mạnh Tiến</v>
          </cell>
          <cell r="D322" t="str">
            <v>NGUYEN MANH TIEN</v>
          </cell>
          <cell r="E322" t="str">
            <v>050103659334</v>
          </cell>
          <cell r="F322" t="str">
            <v>C8307NGUYEN MANH TIEN050103659334</v>
          </cell>
        </row>
        <row r="323">
          <cell r="B323" t="str">
            <v>C13192</v>
          </cell>
          <cell r="C323" t="str">
            <v>Trần Văn Lượng</v>
          </cell>
          <cell r="D323" t="str">
            <v>TRAN VAN LUONG</v>
          </cell>
          <cell r="E323" t="str">
            <v>050126082662</v>
          </cell>
          <cell r="F323" t="str">
            <v>C13192TRAN VAN LUONG050126082662</v>
          </cell>
        </row>
        <row r="324">
          <cell r="B324" t="str">
            <v>C15220</v>
          </cell>
          <cell r="C324" t="str">
            <v>Thị Svin</v>
          </cell>
          <cell r="D324" t="str">
            <v>THI SVIN</v>
          </cell>
          <cell r="E324" t="str">
            <v>050109387581</v>
          </cell>
          <cell r="F324" t="str">
            <v>C15220THI SVIN050109387581</v>
          </cell>
        </row>
        <row r="325">
          <cell r="B325" t="str">
            <v>C1708</v>
          </cell>
          <cell r="C325" t="str">
            <v>Dương Thị Thanh Nhi</v>
          </cell>
          <cell r="D325" t="str">
            <v>DUONG THI THANH NHI</v>
          </cell>
          <cell r="E325" t="str">
            <v>050040852211</v>
          </cell>
          <cell r="F325" t="str">
            <v>C1708DUONG THI THANH NHI050040852211</v>
          </cell>
        </row>
        <row r="326">
          <cell r="B326" t="str">
            <v>C2564</v>
          </cell>
          <cell r="C326" t="str">
            <v>Trần Thị Hồng Hạnh</v>
          </cell>
          <cell r="D326" t="str">
            <v>TRAN THI HONG HANH</v>
          </cell>
          <cell r="E326" t="str">
            <v>050040852198</v>
          </cell>
          <cell r="F326" t="str">
            <v>C2564TRAN THI HONG HANH050040852198</v>
          </cell>
        </row>
        <row r="327">
          <cell r="B327" t="str">
            <v>C5955</v>
          </cell>
          <cell r="C327" t="str">
            <v>Lưu Thị Thanh Mỹ</v>
          </cell>
          <cell r="D327" t="str">
            <v>LUU THI THANH MY</v>
          </cell>
          <cell r="E327" t="str">
            <v>050040871648</v>
          </cell>
          <cell r="F327" t="str">
            <v>C5955LUU THI THANH MY050040871648</v>
          </cell>
        </row>
        <row r="328">
          <cell r="B328" t="str">
            <v>C5322</v>
          </cell>
          <cell r="C328" t="str">
            <v>Nguyễn Thị Thảo</v>
          </cell>
          <cell r="D328" t="str">
            <v>NGUYEN THI THAO</v>
          </cell>
          <cell r="E328" t="str">
            <v>050040795771</v>
          </cell>
          <cell r="F328" t="str">
            <v>C5322NGUYEN THI THAO050040795771</v>
          </cell>
        </row>
        <row r="329">
          <cell r="B329" t="str">
            <v>C6086</v>
          </cell>
          <cell r="C329" t="str">
            <v>Nhĩn Đỗ Ngọc Tiên</v>
          </cell>
          <cell r="D329" t="str">
            <v>NHIN DO NGOC TIEN</v>
          </cell>
          <cell r="E329" t="str">
            <v>050040851973</v>
          </cell>
          <cell r="F329" t="str">
            <v>C6086NHIN DO NGOC TIEN050040851973</v>
          </cell>
        </row>
        <row r="330">
          <cell r="B330" t="str">
            <v>C6368</v>
          </cell>
          <cell r="C330" t="str">
            <v>Hồ Thị Hiền</v>
          </cell>
          <cell r="D330" t="str">
            <v>HO THI HIEN</v>
          </cell>
          <cell r="E330" t="str">
            <v>050054823921</v>
          </cell>
          <cell r="F330" t="str">
            <v>C6368HO THI HIEN050054823921</v>
          </cell>
        </row>
        <row r="331">
          <cell r="B331" t="str">
            <v>C8815</v>
          </cell>
          <cell r="C331" t="str">
            <v>Thị Thanh Nga</v>
          </cell>
          <cell r="D331" t="str">
            <v>THI THANH NGA</v>
          </cell>
          <cell r="E331" t="str">
            <v>050068040482</v>
          </cell>
          <cell r="F331" t="str">
            <v>C8815THI THANH NGA050068040482</v>
          </cell>
        </row>
        <row r="332">
          <cell r="B332" t="str">
            <v>C7138</v>
          </cell>
          <cell r="C332" t="str">
            <v>Thị Hằng</v>
          </cell>
          <cell r="D332" t="str">
            <v>THI HANG</v>
          </cell>
          <cell r="E332" t="str">
            <v>050049176314</v>
          </cell>
          <cell r="F332" t="str">
            <v>C7138THI HANG050049176314</v>
          </cell>
        </row>
        <row r="333">
          <cell r="B333" t="str">
            <v>C7785</v>
          </cell>
          <cell r="C333" t="str">
            <v>Phan Trúc Linh</v>
          </cell>
          <cell r="D333" t="str">
            <v>PHAN TRUC LINH</v>
          </cell>
          <cell r="E333" t="str">
            <v>050103660121</v>
          </cell>
          <cell r="F333" t="str">
            <v>C7785PHAN TRUC LINH050103660121</v>
          </cell>
        </row>
        <row r="334">
          <cell r="B334" t="str">
            <v>C7897</v>
          </cell>
          <cell r="C334" t="str">
            <v>Thị Ngân</v>
          </cell>
          <cell r="D334" t="str">
            <v>THI NGAN</v>
          </cell>
          <cell r="E334" t="str">
            <v>050103659131</v>
          </cell>
          <cell r="F334" t="str">
            <v>C7897THI NGAN050103659131</v>
          </cell>
        </row>
        <row r="335">
          <cell r="B335" t="str">
            <v>C8290</v>
          </cell>
          <cell r="C335" t="str">
            <v>Hoàng Phước Thắng</v>
          </cell>
          <cell r="D335" t="str">
            <v>HOANG PHUOC THANG</v>
          </cell>
          <cell r="E335" t="str">
            <v>050106614838</v>
          </cell>
          <cell r="F335" t="str">
            <v>C8290HOANG PHUOC THANG050106614838</v>
          </cell>
        </row>
        <row r="336">
          <cell r="B336" t="str">
            <v>C8294</v>
          </cell>
          <cell r="C336" t="str">
            <v>Quách Thị Hoa</v>
          </cell>
          <cell r="D336" t="str">
            <v>QUACH THI HOA</v>
          </cell>
          <cell r="E336" t="str">
            <v>050103659490</v>
          </cell>
          <cell r="F336" t="str">
            <v>C8294QUACH THI HOA050103659490</v>
          </cell>
        </row>
        <row r="337">
          <cell r="B337" t="str">
            <v>C10829</v>
          </cell>
          <cell r="C337" t="str">
            <v>Vũ Thị Trà My</v>
          </cell>
          <cell r="D337" t="str">
            <v>VU THI TRA MY</v>
          </cell>
          <cell r="E337" t="str">
            <v>050108107518</v>
          </cell>
          <cell r="F337" t="str">
            <v>C10829VU THI TRA MY050108107518</v>
          </cell>
        </row>
        <row r="338">
          <cell r="B338" t="str">
            <v>C13662</v>
          </cell>
          <cell r="C338" t="str">
            <v>Lê Nguyễn Thùy Dung</v>
          </cell>
          <cell r="D338" t="str">
            <v>LE NGUYEN THUY DUNG</v>
          </cell>
          <cell r="E338" t="str">
            <v>050117707048</v>
          </cell>
          <cell r="F338" t="str">
            <v>C13662LE NGUYEN THUY DUNG050117707048</v>
          </cell>
        </row>
        <row r="339">
          <cell r="B339" t="str">
            <v>C14494</v>
          </cell>
          <cell r="C339" t="str">
            <v>Phạm Dương Như Ý</v>
          </cell>
          <cell r="D339" t="str">
            <v>PHAM DUONG NHU Y</v>
          </cell>
          <cell r="E339" t="str">
            <v>050082294314</v>
          </cell>
          <cell r="F339" t="str">
            <v>C14494PHAM DUONG NHU Y050082294314</v>
          </cell>
        </row>
        <row r="340">
          <cell r="B340" t="str">
            <v>C1782</v>
          </cell>
          <cell r="C340" t="str">
            <v>Đặng Thị Dũng</v>
          </cell>
          <cell r="D340" t="str">
            <v>DANG THI DUNG</v>
          </cell>
          <cell r="E340" t="str">
            <v>050040927503</v>
          </cell>
          <cell r="F340" t="str">
            <v>C1782DANG THI DUNG050040927503</v>
          </cell>
        </row>
        <row r="341">
          <cell r="B341" t="str">
            <v>C3812</v>
          </cell>
          <cell r="C341" t="str">
            <v>Huỳnh Thị Nhung</v>
          </cell>
          <cell r="D341" t="str">
            <v>HUYNH THI NHUNG</v>
          </cell>
          <cell r="E341" t="str">
            <v>050040852112</v>
          </cell>
          <cell r="F341" t="str">
            <v>C3812HUYNH THI NHUNG050040852112</v>
          </cell>
        </row>
        <row r="342">
          <cell r="B342" t="str">
            <v>C3823</v>
          </cell>
          <cell r="C342" t="str">
            <v>Trương Thị Thái</v>
          </cell>
          <cell r="D342" t="str">
            <v>TRUONG THI THAI</v>
          </cell>
          <cell r="E342" t="str">
            <v>050040931160</v>
          </cell>
          <cell r="F342" t="str">
            <v>C3823TRUONG THI THAI050040931160</v>
          </cell>
        </row>
        <row r="343">
          <cell r="B343" t="str">
            <v>C3910</v>
          </cell>
          <cell r="C343" t="str">
            <v>Bùi Thị Ánh Hồng</v>
          </cell>
          <cell r="D343" t="str">
            <v>BUI THI ANH HONG</v>
          </cell>
          <cell r="E343" t="str">
            <v>050040796018</v>
          </cell>
          <cell r="F343" t="str">
            <v>C3910BUI THI ANH HONG050040796018</v>
          </cell>
        </row>
        <row r="344">
          <cell r="B344" t="str">
            <v>C4951</v>
          </cell>
          <cell r="C344" t="str">
            <v>Đỗ Thị Thắm</v>
          </cell>
          <cell r="D344" t="str">
            <v>DO THI THAM</v>
          </cell>
          <cell r="E344" t="str">
            <v>050067514928</v>
          </cell>
          <cell r="F344" t="str">
            <v>C4951DO THI THAM050067514928</v>
          </cell>
        </row>
        <row r="345">
          <cell r="B345" t="str">
            <v>C5719</v>
          </cell>
          <cell r="C345" t="str">
            <v>Bùi Thị Thảo</v>
          </cell>
          <cell r="D345" t="str">
            <v>BUI THI THAO</v>
          </cell>
          <cell r="E345" t="str">
            <v>050032872392</v>
          </cell>
          <cell r="F345" t="str">
            <v>C5719BUI THI THAO050032872392</v>
          </cell>
        </row>
        <row r="346">
          <cell r="B346" t="str">
            <v>C5323</v>
          </cell>
          <cell r="C346" t="str">
            <v>Võ Thị Nhã Phương</v>
          </cell>
          <cell r="D346" t="str">
            <v>VO THI NHA PHUONG</v>
          </cell>
          <cell r="E346" t="str">
            <v>050040795811</v>
          </cell>
          <cell r="F346" t="str">
            <v>C5323VO THI NHA PHUONG050040795811</v>
          </cell>
        </row>
        <row r="347">
          <cell r="B347" t="str">
            <v>C7300</v>
          </cell>
          <cell r="C347" t="str">
            <v>Đặng Phan Hồng Vân</v>
          </cell>
          <cell r="D347" t="str">
            <v>DANG PHAN HONG VAN</v>
          </cell>
          <cell r="E347" t="str">
            <v>050082309559</v>
          </cell>
          <cell r="F347" t="str">
            <v>C7300DANG PHAN HONG VAN050082309559</v>
          </cell>
        </row>
        <row r="348">
          <cell r="B348" t="str">
            <v>C10461</v>
          </cell>
          <cell r="C348" t="str">
            <v>Đỗ Thị Thái</v>
          </cell>
          <cell r="D348" t="str">
            <v>DO THI THAI</v>
          </cell>
          <cell r="E348" t="str">
            <v>050106514086</v>
          </cell>
          <cell r="F348" t="str">
            <v>C10461DO THI THAI050106514086</v>
          </cell>
        </row>
        <row r="349">
          <cell r="B349" t="str">
            <v>C12774</v>
          </cell>
          <cell r="C349" t="str">
            <v>Thị Bạch</v>
          </cell>
          <cell r="D349" t="str">
            <v>THI BACH</v>
          </cell>
          <cell r="E349" t="str">
            <v>050066290848</v>
          </cell>
          <cell r="F349" t="str">
            <v>C12774THI BACH050066290848</v>
          </cell>
        </row>
        <row r="350">
          <cell r="B350" t="str">
            <v>C13115</v>
          </cell>
          <cell r="C350" t="str">
            <v>Võ Hoài Thư</v>
          </cell>
          <cell r="D350" t="str">
            <v>VO HOAI THU</v>
          </cell>
          <cell r="E350" t="str">
            <v>060219118883</v>
          </cell>
          <cell r="F350" t="str">
            <v>C13115VO HOAI THU060219118883</v>
          </cell>
        </row>
        <row r="351">
          <cell r="B351" t="str">
            <v>C13331</v>
          </cell>
          <cell r="C351" t="str">
            <v>Võ Thị Ngọc Cúc</v>
          </cell>
          <cell r="D351" t="str">
            <v>VO THI NGOC CUC</v>
          </cell>
          <cell r="E351" t="str">
            <v>050018990137</v>
          </cell>
          <cell r="F351" t="str">
            <v>C13331VO THI NGOC CUC050018990137</v>
          </cell>
        </row>
        <row r="352">
          <cell r="B352" t="str">
            <v>C14118</v>
          </cell>
          <cell r="C352" t="str">
            <v>Lê Hữu Phú</v>
          </cell>
          <cell r="D352" t="str">
            <v>LE HUU PHU</v>
          </cell>
          <cell r="E352" t="str">
            <v>050050274532</v>
          </cell>
          <cell r="F352" t="str">
            <v>C14118LE HUU PHU050050274532</v>
          </cell>
        </row>
        <row r="353">
          <cell r="B353" t="str">
            <v>C14206</v>
          </cell>
          <cell r="C353" t="str">
            <v>Hoàng Văn Thủy</v>
          </cell>
          <cell r="D353" t="str">
            <v>HOANG VAN THUY</v>
          </cell>
          <cell r="E353" t="str">
            <v>050128255394</v>
          </cell>
          <cell r="F353" t="str">
            <v>C14206HOANG VAN THUY050128255394</v>
          </cell>
        </row>
        <row r="354">
          <cell r="B354" t="str">
            <v>C14312</v>
          </cell>
          <cell r="C354" t="str">
            <v>Nguyễn Thị Ngân Thanh</v>
          </cell>
          <cell r="D354" t="str">
            <v>NGUYEN THI NGAN THANH</v>
          </cell>
          <cell r="E354" t="str">
            <v>050129683470</v>
          </cell>
          <cell r="F354" t="str">
            <v>C14312NGUYEN THI NGAN THANH050129683470</v>
          </cell>
        </row>
        <row r="355">
          <cell r="B355" t="str">
            <v>C15228</v>
          </cell>
          <cell r="C355" t="str">
            <v>Đỗ Quang Trực</v>
          </cell>
          <cell r="D355" t="str">
            <v>DO QUANG TRUC</v>
          </cell>
          <cell r="E355" t="str">
            <v>050118111335</v>
          </cell>
          <cell r="F355" t="str">
            <v>C15228DO QUANG TRUC050118111335</v>
          </cell>
        </row>
        <row r="356">
          <cell r="B356" t="str">
            <v>C15331</v>
          </cell>
          <cell r="C356" t="str">
            <v>Nguyễn Đình Cường</v>
          </cell>
          <cell r="D356" t="str">
            <v>NGUYEN DINH CUONG</v>
          </cell>
          <cell r="E356" t="str">
            <v>050139639216</v>
          </cell>
          <cell r="F356" t="str">
            <v>C15331NGUYEN DINH CUONG050139639216</v>
          </cell>
        </row>
        <row r="357">
          <cell r="B357" t="str">
            <v>C0730</v>
          </cell>
          <cell r="C357" t="str">
            <v>Nguyễn Thị Tý</v>
          </cell>
          <cell r="D357" t="str">
            <v>NGUYEN THI TY</v>
          </cell>
          <cell r="E357" t="str">
            <v>050040902217</v>
          </cell>
          <cell r="F357" t="str">
            <v>C0730NGUYEN THI TY050040902217</v>
          </cell>
        </row>
        <row r="358">
          <cell r="B358" t="str">
            <v>C1451</v>
          </cell>
          <cell r="C358" t="str">
            <v>Viên Thị Ngọc</v>
          </cell>
          <cell r="D358" t="str">
            <v>VIEN THI NGOC</v>
          </cell>
          <cell r="E358" t="str">
            <v>050040832316</v>
          </cell>
          <cell r="F358" t="str">
            <v>C1451VIEN THI NGOC050040832316</v>
          </cell>
        </row>
        <row r="359">
          <cell r="B359" t="str">
            <v>C4213</v>
          </cell>
          <cell r="C359" t="str">
            <v>Thị Liên</v>
          </cell>
          <cell r="D359" t="str">
            <v>THI LIEN</v>
          </cell>
          <cell r="E359" t="str">
            <v>050040845418</v>
          </cell>
          <cell r="F359" t="str">
            <v>C4213THI LIEN050040845418</v>
          </cell>
        </row>
        <row r="360">
          <cell r="B360" t="str">
            <v>C5326</v>
          </cell>
          <cell r="C360" t="str">
            <v>Lê Thị Đào</v>
          </cell>
          <cell r="D360" t="str">
            <v>LE THI DAO</v>
          </cell>
          <cell r="E360" t="str">
            <v>050040934593</v>
          </cell>
          <cell r="F360" t="str">
            <v>C5326LE THI DAO050040934593</v>
          </cell>
        </row>
        <row r="361">
          <cell r="B361" t="str">
            <v>C5834</v>
          </cell>
          <cell r="C361" t="str">
            <v>Bùi Thị Thanh</v>
          </cell>
          <cell r="D361" t="str">
            <v>BUI THI THANH</v>
          </cell>
          <cell r="E361" t="str">
            <v>050040869287</v>
          </cell>
          <cell r="F361" t="str">
            <v>C5834BUI THI THANH050040869287</v>
          </cell>
        </row>
        <row r="362">
          <cell r="B362" t="str">
            <v>C6358</v>
          </cell>
          <cell r="C362" t="str">
            <v>Điểu Thị Trinh</v>
          </cell>
          <cell r="D362" t="str">
            <v>DIEU THI TRINH</v>
          </cell>
          <cell r="E362" t="str">
            <v>050053265216</v>
          </cell>
          <cell r="F362" t="str">
            <v>C6358DIEU THI TRINH050053265216</v>
          </cell>
        </row>
        <row r="363">
          <cell r="B363" t="str">
            <v>C6879</v>
          </cell>
          <cell r="C363" t="str">
            <v>Phan Thị Bích</v>
          </cell>
          <cell r="D363" t="str">
            <v>PHAN THI BICH</v>
          </cell>
          <cell r="E363" t="str">
            <v>050079012121</v>
          </cell>
          <cell r="F363" t="str">
            <v>C6879PHAN THI BICH050079012121</v>
          </cell>
        </row>
        <row r="364">
          <cell r="B364" t="str">
            <v>C7197</v>
          </cell>
          <cell r="C364" t="str">
            <v>Thị Thu</v>
          </cell>
          <cell r="D364" t="str">
            <v>THI THU</v>
          </cell>
          <cell r="E364" t="str">
            <v>050087243076</v>
          </cell>
          <cell r="F364" t="str">
            <v>C7197THI THU050087243076</v>
          </cell>
        </row>
        <row r="365">
          <cell r="B365" t="str">
            <v>C7288</v>
          </cell>
          <cell r="C365" t="str">
            <v>Hồ Thị Bông</v>
          </cell>
          <cell r="D365" t="str">
            <v>HO THI BONG</v>
          </cell>
          <cell r="E365" t="str">
            <v>050056785989</v>
          </cell>
          <cell r="F365" t="str">
            <v>C7288HO THI BONG050056785989</v>
          </cell>
        </row>
        <row r="366">
          <cell r="B366" t="str">
            <v>C7818</v>
          </cell>
          <cell r="C366" t="str">
            <v>Nguyễn Ngọc Anh</v>
          </cell>
          <cell r="D366" t="str">
            <v>NGUYEN NGOC ANH</v>
          </cell>
          <cell r="E366" t="str">
            <v>050103659067</v>
          </cell>
          <cell r="F366" t="str">
            <v>C7818NGUYEN NGOC ANH050103659067</v>
          </cell>
        </row>
        <row r="367">
          <cell r="B367" t="str">
            <v>C8002</v>
          </cell>
          <cell r="C367" t="str">
            <v>Trần Thị Lan</v>
          </cell>
          <cell r="D367" t="str">
            <v>TRAN THI LAN</v>
          </cell>
          <cell r="E367" t="str">
            <v>050103659075</v>
          </cell>
          <cell r="F367" t="str">
            <v>C8002TRAN THI LAN050103659075</v>
          </cell>
        </row>
        <row r="368">
          <cell r="B368" t="str">
            <v>C8063</v>
          </cell>
          <cell r="C368" t="str">
            <v>Điểu Sơn</v>
          </cell>
          <cell r="D368" t="str">
            <v>DIEU SON</v>
          </cell>
          <cell r="E368" t="str">
            <v>050106514388</v>
          </cell>
          <cell r="F368" t="str">
            <v>C8063DIEU SON050106514388</v>
          </cell>
        </row>
        <row r="369">
          <cell r="B369" t="str">
            <v>C8064</v>
          </cell>
          <cell r="C369" t="str">
            <v>Hồ Thị Nhạ</v>
          </cell>
          <cell r="D369" t="str">
            <v>HO THI NHA</v>
          </cell>
          <cell r="E369" t="str">
            <v>050103659032</v>
          </cell>
          <cell r="F369" t="str">
            <v>C8064HO THI NHA050103659032</v>
          </cell>
        </row>
        <row r="370">
          <cell r="B370" t="str">
            <v>C8293</v>
          </cell>
          <cell r="C370" t="str">
            <v>Phan Nhật Hoàng</v>
          </cell>
          <cell r="D370" t="str">
            <v>PHAN NHAT HOANG</v>
          </cell>
          <cell r="E370" t="str">
            <v>050103659482</v>
          </cell>
          <cell r="F370" t="str">
            <v>C8293PHAN NHAT HOANG050103659482</v>
          </cell>
        </row>
        <row r="371">
          <cell r="B371" t="str">
            <v>C11713</v>
          </cell>
          <cell r="C371" t="str">
            <v>Trần Thị Sa</v>
          </cell>
          <cell r="D371" t="str">
            <v>TRAN THI SA</v>
          </cell>
          <cell r="E371" t="str">
            <v>050115373657</v>
          </cell>
          <cell r="F371" t="str">
            <v>C11713TRAN THI SA050115373657</v>
          </cell>
        </row>
        <row r="372">
          <cell r="B372" t="str">
            <v>C12559</v>
          </cell>
          <cell r="C372" t="str">
            <v>Nguyễn Thị Thanh Nhàn</v>
          </cell>
          <cell r="D372" t="str">
            <v>NGUYEN THI THANH NHAN</v>
          </cell>
          <cell r="E372" t="str">
            <v>050124667639</v>
          </cell>
          <cell r="F372" t="str">
            <v>C12559NGUYEN THI THANH NHAN050124667639</v>
          </cell>
        </row>
        <row r="373">
          <cell r="B373" t="str">
            <v>C13122</v>
          </cell>
          <cell r="C373" t="str">
            <v>Thị Hiền</v>
          </cell>
          <cell r="D373" t="str">
            <v>THI HIEN</v>
          </cell>
          <cell r="E373" t="str">
            <v>050103639163</v>
          </cell>
          <cell r="F373" t="str">
            <v>C13122THI HIEN050103639163</v>
          </cell>
        </row>
        <row r="374">
          <cell r="B374" t="str">
            <v>C14354</v>
          </cell>
          <cell r="C374" t="str">
            <v>Lê Ngọc Lụa</v>
          </cell>
          <cell r="D374" t="str">
            <v>LE NGOC LUA</v>
          </cell>
          <cell r="E374" t="str">
            <v>050117070041</v>
          </cell>
          <cell r="F374" t="str">
            <v>C14354LE NGOC LUA050117070041</v>
          </cell>
        </row>
        <row r="375">
          <cell r="B375" t="str">
            <v>C15035</v>
          </cell>
          <cell r="C375" t="str">
            <v>Ksor Buih</v>
          </cell>
          <cell r="D375" t="str">
            <v>KSOR BUIH</v>
          </cell>
          <cell r="E375" t="str">
            <v>050137313496</v>
          </cell>
          <cell r="F375" t="str">
            <v>C15035KSOR BUIH050137313496</v>
          </cell>
        </row>
        <row r="376">
          <cell r="B376" t="str">
            <v>C5516</v>
          </cell>
          <cell r="C376" t="str">
            <v>Trần Thị Thùy Dương</v>
          </cell>
          <cell r="D376" t="str">
            <v>TRAN THI THUY DUONG</v>
          </cell>
          <cell r="E376" t="str">
            <v>050031004982</v>
          </cell>
          <cell r="F376" t="str">
            <v>C5516TRAN THI THUY DUONG050031004982</v>
          </cell>
        </row>
        <row r="377">
          <cell r="B377" t="str">
            <v>C8814</v>
          </cell>
          <cell r="C377" t="str">
            <v>Lê Thị Hà</v>
          </cell>
          <cell r="D377" t="str">
            <v>LE THI HA</v>
          </cell>
          <cell r="E377" t="str">
            <v>050070968433</v>
          </cell>
          <cell r="F377" t="str">
            <v>C8814LE THI HA050070968433</v>
          </cell>
        </row>
        <row r="378">
          <cell r="B378" t="str">
            <v>C10604</v>
          </cell>
          <cell r="C378" t="str">
            <v>Lê Anh Vũ</v>
          </cell>
          <cell r="D378" t="str">
            <v>LE ANH VU</v>
          </cell>
          <cell r="E378" t="str">
            <v>050106621176</v>
          </cell>
          <cell r="F378" t="str">
            <v>C10604LE ANH VU050106621176</v>
          </cell>
        </row>
        <row r="379">
          <cell r="B379" t="str">
            <v>C13707</v>
          </cell>
          <cell r="C379" t="str">
            <v>Nguyễn Thị Hoàng</v>
          </cell>
          <cell r="D379" t="str">
            <v>NGUYEN THI HOANG</v>
          </cell>
          <cell r="E379" t="str">
            <v>050127672560</v>
          </cell>
          <cell r="F379" t="str">
            <v>C13707NGUYEN THI HOANG050127672560</v>
          </cell>
        </row>
        <row r="380">
          <cell r="B380" t="str">
            <v>C14678</v>
          </cell>
          <cell r="C380" t="str">
            <v>Dương Tấn Phước</v>
          </cell>
          <cell r="D380" t="str">
            <v>DUONG TAN PHUOC</v>
          </cell>
          <cell r="E380" t="str">
            <v>050121702387</v>
          </cell>
          <cell r="F380" t="str">
            <v>C14678DUONG TAN PHUOC050121702387</v>
          </cell>
        </row>
        <row r="381">
          <cell r="B381" t="str">
            <v>C15119</v>
          </cell>
          <cell r="C381" t="str">
            <v>Nguyễn Thanh Hải</v>
          </cell>
          <cell r="D381" t="str">
            <v>NGUYEN THANH HAI</v>
          </cell>
          <cell r="E381" t="str">
            <v>050137738497</v>
          </cell>
          <cell r="F381" t="str">
            <v>C15119NGUYEN THANH HAI050137738497</v>
          </cell>
        </row>
        <row r="382">
          <cell r="B382" t="str">
            <v>C15321</v>
          </cell>
          <cell r="C382" t="str">
            <v>Nguyễn Thị Kim Phượng</v>
          </cell>
          <cell r="D382" t="str">
            <v>NGUYEN THI KIM PHUONG</v>
          </cell>
          <cell r="E382" t="str">
            <v>050067841082</v>
          </cell>
          <cell r="F382" t="str">
            <v>C15321NGUYEN THI KIM PHUONG050067841082</v>
          </cell>
        </row>
        <row r="383">
          <cell r="B383" t="str">
            <v>C15322</v>
          </cell>
          <cell r="C383" t="str">
            <v>Nguyễn Thị Mỹ Thu</v>
          </cell>
          <cell r="D383" t="str">
            <v>NGUYEN THI MY THU</v>
          </cell>
          <cell r="E383" t="str">
            <v>050139072240</v>
          </cell>
          <cell r="F383" t="str">
            <v>C15322NGUYEN THI MY THU050139072240</v>
          </cell>
        </row>
        <row r="384">
          <cell r="B384" t="str">
            <v>C15396</v>
          </cell>
          <cell r="C384" t="str">
            <v>Nguyễn Thị Ánh Nguyệt</v>
          </cell>
          <cell r="D384" t="str">
            <v>NGUYEN THI ANH NGUYET</v>
          </cell>
          <cell r="E384" t="str">
            <v>050108107526</v>
          </cell>
          <cell r="F384" t="str">
            <v>C15396NGUYEN THI ANH NGUYET050108107526</v>
          </cell>
        </row>
        <row r="385">
          <cell r="B385" t="str">
            <v>C1435</v>
          </cell>
          <cell r="C385" t="str">
            <v>Phạm Thị Hoa</v>
          </cell>
          <cell r="D385" t="str">
            <v>PHAM THI HOA</v>
          </cell>
          <cell r="E385" t="str">
            <v>050040901970</v>
          </cell>
          <cell r="F385" t="str">
            <v>C1435PHAM THI HOA050040901970</v>
          </cell>
        </row>
        <row r="386">
          <cell r="B386" t="str">
            <v>C1602</v>
          </cell>
          <cell r="C386" t="str">
            <v>Dư Thị Mộng Ngân</v>
          </cell>
          <cell r="D386" t="str">
            <v>DU THI MONG NGAN</v>
          </cell>
          <cell r="E386" t="str">
            <v>050040832431</v>
          </cell>
          <cell r="F386" t="str">
            <v>C1602DU THI MONG NGAN050040832431</v>
          </cell>
        </row>
        <row r="387">
          <cell r="B387" t="str">
            <v>C2649</v>
          </cell>
          <cell r="C387" t="str">
            <v>Trần Thị Dung</v>
          </cell>
          <cell r="D387" t="str">
            <v>TRAN THI DUNG</v>
          </cell>
          <cell r="E387" t="str">
            <v>050040902251</v>
          </cell>
          <cell r="F387" t="str">
            <v>C2649TRAN THI DUNG050040902251</v>
          </cell>
        </row>
        <row r="388">
          <cell r="B388" t="str">
            <v>C2843</v>
          </cell>
          <cell r="C388" t="str">
            <v>Thị Nguyệt</v>
          </cell>
          <cell r="D388" t="str">
            <v>THI NGUYET</v>
          </cell>
          <cell r="E388" t="str">
            <v>050040934690</v>
          </cell>
          <cell r="F388" t="str">
            <v>C2843THI NGUYET050040934690</v>
          </cell>
        </row>
        <row r="389">
          <cell r="B389" t="str">
            <v>C3093</v>
          </cell>
          <cell r="C389" t="str">
            <v>Trần Thị Dưởng</v>
          </cell>
          <cell r="D389" t="str">
            <v>TRAN THI DUONG</v>
          </cell>
          <cell r="E389" t="str">
            <v>050040902837</v>
          </cell>
          <cell r="F389" t="str">
            <v>C3093TRAN THI DUONG050040902837</v>
          </cell>
        </row>
        <row r="390">
          <cell r="B390" t="str">
            <v>C6274</v>
          </cell>
          <cell r="C390" t="str">
            <v>Hồ Thị Tình</v>
          </cell>
          <cell r="D390" t="str">
            <v>HO THI TINH</v>
          </cell>
          <cell r="E390" t="str">
            <v>050043961168</v>
          </cell>
          <cell r="F390" t="str">
            <v>C6274HO THI TINH050043961168</v>
          </cell>
        </row>
        <row r="391">
          <cell r="B391" t="str">
            <v>C9396</v>
          </cell>
          <cell r="C391" t="str">
            <v>Lê Khắc Bốn</v>
          </cell>
          <cell r="D391" t="str">
            <v>LE KHAC BON</v>
          </cell>
          <cell r="E391" t="str">
            <v>050066209285</v>
          </cell>
          <cell r="F391" t="str">
            <v>C9396LE KHAC BON050066209285</v>
          </cell>
        </row>
        <row r="392">
          <cell r="B392" t="str">
            <v>C6693</v>
          </cell>
          <cell r="C392" t="str">
            <v>Võ Thị Mỹ Lệ</v>
          </cell>
          <cell r="D392" t="str">
            <v>VO THI MY LE</v>
          </cell>
          <cell r="E392" t="str">
            <v>050068235593</v>
          </cell>
          <cell r="F392" t="str">
            <v>C6693VO THI MY LE050068235593</v>
          </cell>
        </row>
        <row r="393">
          <cell r="B393" t="str">
            <v>C6834</v>
          </cell>
          <cell r="C393" t="str">
            <v>Điểu Thị Mỹ</v>
          </cell>
          <cell r="D393" t="str">
            <v>DIEU THI MY</v>
          </cell>
          <cell r="E393" t="str">
            <v>050073342489</v>
          </cell>
          <cell r="F393" t="str">
            <v>C6834DIEU THI MY050073342489</v>
          </cell>
        </row>
        <row r="394">
          <cell r="B394" t="str">
            <v>C7207</v>
          </cell>
          <cell r="C394" t="str">
            <v>Điểu Thị Yến</v>
          </cell>
          <cell r="D394" t="str">
            <v>DIEU THI YEN</v>
          </cell>
          <cell r="E394" t="str">
            <v>050059875581</v>
          </cell>
          <cell r="F394" t="str">
            <v>C7207DIEU THI YEN050059875581</v>
          </cell>
        </row>
        <row r="395">
          <cell r="B395" t="str">
            <v>C7387</v>
          </cell>
          <cell r="C395" t="str">
            <v>Lê Thị Phượng</v>
          </cell>
          <cell r="D395" t="str">
            <v>LE THI PHUONG</v>
          </cell>
          <cell r="E395" t="str">
            <v>050098922064</v>
          </cell>
          <cell r="F395" t="str">
            <v>C7387LE THI PHUONG050098922064</v>
          </cell>
        </row>
        <row r="396">
          <cell r="B396" t="str">
            <v>C7560</v>
          </cell>
          <cell r="C396" t="str">
            <v>Nguyễn Thị Kim Phụng</v>
          </cell>
          <cell r="D396" t="str">
            <v>NGUYEN THI KIM PHUNG</v>
          </cell>
          <cell r="E396" t="str">
            <v>050098252220</v>
          </cell>
          <cell r="F396" t="str">
            <v>C7560NGUYEN THI KIM PHUNG050098252220</v>
          </cell>
        </row>
        <row r="397">
          <cell r="B397" t="str">
            <v>C7617</v>
          </cell>
          <cell r="C397" t="str">
            <v>Nguyễn Thanh Liêm</v>
          </cell>
          <cell r="D397" t="str">
            <v>NGUYEN THANH LIEM</v>
          </cell>
          <cell r="E397" t="str">
            <v>050095670511</v>
          </cell>
          <cell r="F397" t="str">
            <v>C7617NGUYEN THANH LIEM050095670511</v>
          </cell>
        </row>
        <row r="398">
          <cell r="B398" t="str">
            <v>C10618</v>
          </cell>
          <cell r="C398" t="str">
            <v>Phan Vũ Khắc</v>
          </cell>
          <cell r="D398" t="str">
            <v>PHAN VU KHAC</v>
          </cell>
          <cell r="E398" t="str">
            <v>050106514159</v>
          </cell>
          <cell r="F398" t="str">
            <v>C10618PHAN VU KHAC050106514159</v>
          </cell>
        </row>
        <row r="399">
          <cell r="B399" t="str">
            <v>C10882</v>
          </cell>
          <cell r="C399" t="str">
            <v>Siu H Bơn</v>
          </cell>
          <cell r="D399" t="str">
            <v>SIU H BON</v>
          </cell>
          <cell r="E399" t="str">
            <v>050108107615</v>
          </cell>
          <cell r="F399" t="str">
            <v>C10882SIU H BON050108107615</v>
          </cell>
        </row>
        <row r="400">
          <cell r="B400" t="str">
            <v>C10883</v>
          </cell>
          <cell r="C400" t="str">
            <v>Nay Quang</v>
          </cell>
          <cell r="D400" t="str">
            <v>NAY QUANG</v>
          </cell>
          <cell r="E400" t="str">
            <v>050108107501</v>
          </cell>
          <cell r="F400" t="str">
            <v>C10883NAY QUANG050108107501</v>
          </cell>
        </row>
        <row r="401">
          <cell r="B401" t="str">
            <v>C15120</v>
          </cell>
          <cell r="C401" t="str">
            <v>Nguyễn Thanh Hùng</v>
          </cell>
          <cell r="D401" t="str">
            <v>NGUYEN THANH HUNG</v>
          </cell>
          <cell r="E401" t="str">
            <v>050040902527</v>
          </cell>
          <cell r="F401" t="str">
            <v>C15120NGUYEN THANH HUNG050040902527</v>
          </cell>
        </row>
        <row r="402">
          <cell r="B402" t="str">
            <v>C15190</v>
          </cell>
          <cell r="C402" t="str">
            <v>Trần Thị Nhanh</v>
          </cell>
          <cell r="D402" t="str">
            <v>TRAN THI NHANH</v>
          </cell>
          <cell r="E402" t="str">
            <v>050040901946</v>
          </cell>
          <cell r="F402" t="str">
            <v>C15190TRAN THI NHANH050040901946</v>
          </cell>
        </row>
        <row r="403">
          <cell r="B403" t="str">
            <v>C3320</v>
          </cell>
          <cell r="C403" t="str">
            <v>Vũ Thị Khuyên</v>
          </cell>
          <cell r="D403" t="str">
            <v>VU THI KHUYEN</v>
          </cell>
          <cell r="E403" t="str">
            <v>050040795313</v>
          </cell>
          <cell r="F403" t="str">
            <v>C3320VU THI KHUYEN050040795313</v>
          </cell>
        </row>
        <row r="404">
          <cell r="B404" t="str">
            <v>C5314</v>
          </cell>
          <cell r="C404" t="str">
            <v>Trần Thị Lan</v>
          </cell>
          <cell r="D404" t="str">
            <v>TRAN THI LAN</v>
          </cell>
          <cell r="E404" t="str">
            <v>050053265062</v>
          </cell>
          <cell r="F404" t="str">
            <v>C5314TRAN THI LAN050053265062</v>
          </cell>
        </row>
        <row r="405">
          <cell r="B405" t="str">
            <v>C4471</v>
          </cell>
          <cell r="C405" t="str">
            <v>Lưu Thị Thanh Nga</v>
          </cell>
          <cell r="D405" t="str">
            <v>LUU THI THANH NGA</v>
          </cell>
          <cell r="E405" t="str">
            <v>050040863246</v>
          </cell>
          <cell r="F405" t="str">
            <v>C4471LUU THI THANH NGA050040863246</v>
          </cell>
        </row>
        <row r="406">
          <cell r="B406" t="str">
            <v>C4662</v>
          </cell>
          <cell r="C406" t="str">
            <v>Thân Thị Tiếng</v>
          </cell>
          <cell r="D406" t="str">
            <v>THAN THI TIENG</v>
          </cell>
          <cell r="E406" t="str">
            <v>050040795402</v>
          </cell>
          <cell r="F406" t="str">
            <v>C4662THAN THI TIENG050040795402</v>
          </cell>
        </row>
        <row r="407">
          <cell r="B407" t="str">
            <v>C5010</v>
          </cell>
          <cell r="C407" t="str">
            <v>Nguyễn Thị Hồng Thi</v>
          </cell>
          <cell r="D407" t="str">
            <v>NGUYEN THI HONG THI</v>
          </cell>
          <cell r="E407" t="str">
            <v>050040787231</v>
          </cell>
          <cell r="F407" t="str">
            <v>C5010NGUYEN THI HONG THI050040787231</v>
          </cell>
        </row>
        <row r="408">
          <cell r="B408" t="str">
            <v>C5950</v>
          </cell>
          <cell r="C408" t="str">
            <v>Trần Thị Mỹ Châu</v>
          </cell>
          <cell r="D408" t="str">
            <v>TRAN THI MY CHAU</v>
          </cell>
          <cell r="E408" t="str">
            <v>050040787833</v>
          </cell>
          <cell r="F408" t="str">
            <v>C5950TRAN THI MY CHAU050040787833</v>
          </cell>
        </row>
        <row r="409">
          <cell r="B409" t="str">
            <v>C6668</v>
          </cell>
          <cell r="C409" t="str">
            <v>Nguyễn Thị Mai Linh</v>
          </cell>
          <cell r="D409" t="str">
            <v>NGUYEN THI MAI LINH</v>
          </cell>
          <cell r="E409" t="str">
            <v>050068230982</v>
          </cell>
          <cell r="F409" t="str">
            <v>C6668NGUYEN THI MAI LINH050068230982</v>
          </cell>
        </row>
        <row r="410">
          <cell r="B410" t="str">
            <v>C7984</v>
          </cell>
          <cell r="C410" t="str">
            <v>Nguyễn Văn Hồng Hiếu</v>
          </cell>
          <cell r="D410" t="str">
            <v>NGUYEN VAN HONG HIEU</v>
          </cell>
          <cell r="E410" t="str">
            <v>050103660049</v>
          </cell>
          <cell r="F410" t="str">
            <v>C7984NGUYEN VAN HONG HIEU050103660049</v>
          </cell>
        </row>
        <row r="411">
          <cell r="B411" t="str">
            <v>C3716</v>
          </cell>
          <cell r="C411" t="str">
            <v>Bùi Thị Ngọc Yến</v>
          </cell>
          <cell r="D411" t="str">
            <v>BUI THI NGOC YEN</v>
          </cell>
          <cell r="E411" t="str">
            <v>050040850969</v>
          </cell>
          <cell r="F411" t="str">
            <v>C3716BUI THI NGOC YEN050040850969</v>
          </cell>
        </row>
        <row r="412">
          <cell r="B412" t="str">
            <v>C4552</v>
          </cell>
          <cell r="C412" t="str">
            <v>Bùi Mai Ngọc Phương</v>
          </cell>
          <cell r="D412" t="str">
            <v>BUI MAI NGOC PHUONG</v>
          </cell>
          <cell r="E412" t="str">
            <v>050068237731</v>
          </cell>
          <cell r="F412" t="str">
            <v>C4552BUI MAI NGOC PHUONG050068237731</v>
          </cell>
        </row>
        <row r="413">
          <cell r="B413" t="str">
            <v>C5021</v>
          </cell>
          <cell r="C413" t="str">
            <v>Trần Thị Tâm</v>
          </cell>
          <cell r="D413" t="str">
            <v>TRAN THI TAM</v>
          </cell>
          <cell r="E413" t="str">
            <v>050040829102</v>
          </cell>
          <cell r="F413" t="str">
            <v>C5021TRAN THI TAM050040829102</v>
          </cell>
        </row>
        <row r="414">
          <cell r="B414" t="str">
            <v>C6605</v>
          </cell>
          <cell r="C414" t="str">
            <v>Trương Thị Cư</v>
          </cell>
          <cell r="D414" t="str">
            <v>TRUONG THI CU</v>
          </cell>
          <cell r="E414" t="str">
            <v>050067513158</v>
          </cell>
          <cell r="F414" t="str">
            <v>C6605TRUONG THI CU050067513158</v>
          </cell>
        </row>
        <row r="415">
          <cell r="B415" t="str">
            <v>C7264</v>
          </cell>
          <cell r="C415" t="str">
            <v>Nguyễn Thị Xuân</v>
          </cell>
          <cell r="D415" t="str">
            <v>NGUYEN THI XUAN</v>
          </cell>
          <cell r="E415" t="str">
            <v>050088957137</v>
          </cell>
          <cell r="F415" t="str">
            <v>C7264NGUYEN THI XUAN050088957137</v>
          </cell>
        </row>
        <row r="416">
          <cell r="B416" t="str">
            <v>C8000</v>
          </cell>
          <cell r="C416" t="str">
            <v>Nguyễn Thị Ngọc Hồng Thắm</v>
          </cell>
          <cell r="D416" t="str">
            <v>NGUYEN THI NGOC HONG THAM</v>
          </cell>
          <cell r="E416" t="str">
            <v>050095313199</v>
          </cell>
          <cell r="F416" t="str">
            <v>C8000NGUYEN THI NGOC HONG THAM050095313199</v>
          </cell>
        </row>
        <row r="417">
          <cell r="B417" t="str">
            <v>C8468</v>
          </cell>
          <cell r="C417" t="str">
            <v>Võ Thị Kim Chi</v>
          </cell>
          <cell r="D417" t="str">
            <v>VO THI KIM CHI</v>
          </cell>
          <cell r="E417" t="str">
            <v>050103659393</v>
          </cell>
          <cell r="F417" t="str">
            <v>C8468VO THI KIM CHI050103659393</v>
          </cell>
        </row>
        <row r="418">
          <cell r="B418" t="str">
            <v>C11067</v>
          </cell>
          <cell r="C418" t="str">
            <v>Phạm Thị Bích Trang</v>
          </cell>
          <cell r="D418" t="str">
            <v>PHAM THI BICH TRANG</v>
          </cell>
          <cell r="E418" t="str">
            <v>050109871548</v>
          </cell>
          <cell r="F418" t="str">
            <v>C11067PHAM THI BICH TRANG050109871548</v>
          </cell>
        </row>
        <row r="419">
          <cell r="B419" t="str">
            <v>C11217</v>
          </cell>
          <cell r="C419" t="str">
            <v>Lý Thị Ngọc Lan</v>
          </cell>
          <cell r="D419" t="str">
            <v>LY THI NGOC LAN</v>
          </cell>
          <cell r="E419" t="str">
            <v>050105125884</v>
          </cell>
          <cell r="F419" t="str">
            <v>C11217LY THI NGOC LAN050105125884</v>
          </cell>
        </row>
        <row r="420">
          <cell r="B420" t="str">
            <v>C11670</v>
          </cell>
          <cell r="C420" t="str">
            <v>Nguyễn Thị Ngoan</v>
          </cell>
          <cell r="D420" t="str">
            <v>NGUYEN THI NGOAN</v>
          </cell>
          <cell r="E420" t="str">
            <v>050113873504</v>
          </cell>
          <cell r="F420" t="str">
            <v>C11670NGUYEN THI NGOAN050113873504</v>
          </cell>
        </row>
        <row r="421">
          <cell r="B421" t="str">
            <v>C12557</v>
          </cell>
          <cell r="C421" t="str">
            <v>Đặng Thị Thúy</v>
          </cell>
          <cell r="D421" t="str">
            <v>DANG THI THUY</v>
          </cell>
          <cell r="E421" t="str">
            <v>050120050254</v>
          </cell>
          <cell r="F421" t="str">
            <v>C12557DANG THI THUY050120050254</v>
          </cell>
        </row>
        <row r="422">
          <cell r="B422" t="str">
            <v>C13575</v>
          </cell>
          <cell r="C422" t="str">
            <v>Niêng Thị Cly</v>
          </cell>
          <cell r="D422" t="str">
            <v>NIENG THI CLY</v>
          </cell>
          <cell r="E422" t="str">
            <v>050118301762</v>
          </cell>
          <cell r="F422" t="str">
            <v>C13575NIENG THI CLY050118301762</v>
          </cell>
        </row>
        <row r="423">
          <cell r="B423" t="str">
            <v>C13883</v>
          </cell>
          <cell r="C423" t="str">
            <v>Thị Hà</v>
          </cell>
          <cell r="D423" t="str">
            <v>THI HA</v>
          </cell>
          <cell r="E423" t="str">
            <v>050128193364</v>
          </cell>
          <cell r="F423" t="str">
            <v>C13883THI HA050128193364</v>
          </cell>
        </row>
        <row r="424">
          <cell r="B424" t="str">
            <v>C14058</v>
          </cell>
          <cell r="C424" t="str">
            <v>Đào Thị Diễm Chi</v>
          </cell>
          <cell r="D424" t="str">
            <v>DAO THI DIEM CHI</v>
          </cell>
          <cell r="E424" t="str">
            <v>050128443867</v>
          </cell>
          <cell r="F424" t="str">
            <v>C14058DAO THI DIEM CHI050128443867</v>
          </cell>
        </row>
        <row r="425">
          <cell r="B425" t="str">
            <v>C14808</v>
          </cell>
          <cell r="C425" t="str">
            <v>Thị Nương</v>
          </cell>
          <cell r="D425" t="str">
            <v>THI NUONG</v>
          </cell>
          <cell r="E425" t="str">
            <v>050120391469</v>
          </cell>
          <cell r="F425" t="str">
            <v>C14808THI NUONG050120391469</v>
          </cell>
        </row>
        <row r="426">
          <cell r="B426" t="str">
            <v>C15064</v>
          </cell>
          <cell r="C426" t="str">
            <v>Nguyễn Thị Thanh Thảo</v>
          </cell>
          <cell r="D426" t="str">
            <v>NGUYEN THI THANH THAO</v>
          </cell>
          <cell r="E426" t="str">
            <v>050126082972</v>
          </cell>
          <cell r="F426" t="str">
            <v>C15064NGUYEN THI THANH THAO050126082972</v>
          </cell>
        </row>
        <row r="427">
          <cell r="B427" t="str">
            <v>C3163</v>
          </cell>
          <cell r="C427" t="str">
            <v>Dư Quốc An</v>
          </cell>
          <cell r="D427" t="str">
            <v>DU QUOC AN</v>
          </cell>
          <cell r="E427" t="str">
            <v>050040849553</v>
          </cell>
          <cell r="F427" t="str">
            <v>C3163DU QUOC AN050040849553</v>
          </cell>
        </row>
        <row r="428">
          <cell r="B428" t="str">
            <v>C8812</v>
          </cell>
          <cell r="C428" t="str">
            <v>Đỗ Văn Hồng Phong</v>
          </cell>
          <cell r="D428" t="str">
            <v>DO VAN HONG PHONG</v>
          </cell>
          <cell r="E428" t="str">
            <v>050046448801</v>
          </cell>
          <cell r="F428" t="str">
            <v>C8812DO VAN HONG PHONG050046448801</v>
          </cell>
        </row>
        <row r="429">
          <cell r="B429" t="str">
            <v>C7168</v>
          </cell>
          <cell r="C429" t="str">
            <v>Điểu Dẹn</v>
          </cell>
          <cell r="D429" t="str">
            <v>DIEU DEN</v>
          </cell>
          <cell r="E429" t="str">
            <v>050087243122</v>
          </cell>
          <cell r="F429" t="str">
            <v>C7168DIEU DEN050087243122</v>
          </cell>
        </row>
        <row r="430">
          <cell r="B430" t="str">
            <v>C7211</v>
          </cell>
          <cell r="C430" t="str">
            <v>Hồ Thanh Tấn</v>
          </cell>
          <cell r="D430" t="str">
            <v>HO THANH TAN</v>
          </cell>
          <cell r="E430" t="str">
            <v>050087243068</v>
          </cell>
          <cell r="F430" t="str">
            <v>C7211HO THANH TAN050087243068</v>
          </cell>
        </row>
        <row r="431">
          <cell r="B431" t="str">
            <v>C7212</v>
          </cell>
          <cell r="C431" t="str">
            <v>Điểu My</v>
          </cell>
          <cell r="D431" t="str">
            <v>DIEU MY</v>
          </cell>
          <cell r="E431" t="str">
            <v>050087500461</v>
          </cell>
          <cell r="F431" t="str">
            <v>C7212DIEU MY050087500461</v>
          </cell>
        </row>
        <row r="432">
          <cell r="B432" t="str">
            <v>C7335</v>
          </cell>
          <cell r="C432" t="str">
            <v>Điểu Út Bê</v>
          </cell>
          <cell r="D432" t="str">
            <v>DIEU UT BE</v>
          </cell>
          <cell r="E432" t="str">
            <v>050091855841</v>
          </cell>
          <cell r="F432" t="str">
            <v>C7335DIEU UT BE050091855841</v>
          </cell>
        </row>
        <row r="433">
          <cell r="B433" t="str">
            <v>C7528</v>
          </cell>
          <cell r="C433" t="str">
            <v>Huỳnh Tiểu Bảo</v>
          </cell>
          <cell r="D433" t="str">
            <v>HUYNH TIEU BAO</v>
          </cell>
          <cell r="E433" t="str">
            <v>050098252085</v>
          </cell>
          <cell r="F433" t="str">
            <v>C7528HUYNH TIEU BAO050098252085</v>
          </cell>
        </row>
        <row r="434">
          <cell r="B434" t="str">
            <v>C7714</v>
          </cell>
          <cell r="C434" t="str">
            <v>Bùi Tấn Tài</v>
          </cell>
          <cell r="D434" t="str">
            <v>BUI TAN TAI</v>
          </cell>
          <cell r="E434" t="str">
            <v>050099643339</v>
          </cell>
          <cell r="F434" t="str">
            <v>C7714BUI TAN TAI050099643339</v>
          </cell>
        </row>
        <row r="435">
          <cell r="B435" t="str">
            <v>C7987</v>
          </cell>
          <cell r="C435" t="str">
            <v>Nguyễn Chí Công</v>
          </cell>
          <cell r="D435" t="str">
            <v>NGUYEN CHI CONG</v>
          </cell>
          <cell r="E435" t="str">
            <v>050103660022</v>
          </cell>
          <cell r="F435" t="str">
            <v>C7987NGUYEN CHI CONG050103660022</v>
          </cell>
        </row>
        <row r="436">
          <cell r="B436" t="str">
            <v>C8194</v>
          </cell>
          <cell r="C436" t="str">
            <v>Tạ Tuấn Anh</v>
          </cell>
          <cell r="D436" t="str">
            <v>TA TUAN ANH</v>
          </cell>
          <cell r="E436" t="str">
            <v>050096977228</v>
          </cell>
          <cell r="F436" t="str">
            <v>C8194TA TUAN ANH050096977228</v>
          </cell>
        </row>
        <row r="437">
          <cell r="B437" t="str">
            <v>C8291</v>
          </cell>
          <cell r="C437" t="str">
            <v>Hoàng Văn Toán</v>
          </cell>
          <cell r="D437" t="str">
            <v>HOANG VAN TOAN</v>
          </cell>
          <cell r="E437" t="str">
            <v>050103659377</v>
          </cell>
          <cell r="F437" t="str">
            <v>C8291HOANG VAN TOAN050103659377</v>
          </cell>
        </row>
        <row r="438">
          <cell r="B438" t="str">
            <v>C10799</v>
          </cell>
          <cell r="C438" t="str">
            <v>Đỗ Tiến Tiến</v>
          </cell>
          <cell r="D438" t="str">
            <v>DO TIEN TIEN</v>
          </cell>
          <cell r="E438" t="str">
            <v>050090526682</v>
          </cell>
          <cell r="F438" t="str">
            <v>C10799DO TIEN TIEN050090526682</v>
          </cell>
        </row>
        <row r="439">
          <cell r="B439" t="str">
            <v>C14525</v>
          </cell>
          <cell r="C439" t="str">
            <v>Lâm Hồng Phước</v>
          </cell>
          <cell r="D439" t="str">
            <v>LAM HONG PHUOC</v>
          </cell>
          <cell r="E439" t="str">
            <v>050103659458</v>
          </cell>
          <cell r="F439" t="str">
            <v>C14525LAM HONG PHUOC050103659458</v>
          </cell>
        </row>
        <row r="440">
          <cell r="B440" t="str">
            <v>C5310</v>
          </cell>
          <cell r="C440" t="str">
            <v>Thái Thị Tuyết Đào</v>
          </cell>
          <cell r="D440" t="str">
            <v>THAI THI TUYET DAO</v>
          </cell>
          <cell r="E440" t="str">
            <v>050041001930</v>
          </cell>
          <cell r="F440" t="str">
            <v>C5310THAI THI TUYET DAO050041001930</v>
          </cell>
        </row>
        <row r="441">
          <cell r="B441" t="str">
            <v>C5817</v>
          </cell>
          <cell r="C441" t="str">
            <v>Lý Thị Kim Chi</v>
          </cell>
          <cell r="D441" t="str">
            <v>LY THI KIM CHI</v>
          </cell>
          <cell r="E441" t="str">
            <v>050040860972</v>
          </cell>
          <cell r="F441" t="str">
            <v>C5817LY THI KIM CHI050040860972</v>
          </cell>
        </row>
        <row r="442">
          <cell r="B442" t="str">
            <v>C6068</v>
          </cell>
          <cell r="C442" t="str">
            <v>Trần Thị Cẩm Linh</v>
          </cell>
          <cell r="D442" t="str">
            <v>TRAN THI CAM LINH</v>
          </cell>
          <cell r="E442" t="str">
            <v>050040871311</v>
          </cell>
          <cell r="F442" t="str">
            <v>C6068TRAN THI CAM LINH050040871311</v>
          </cell>
        </row>
        <row r="443">
          <cell r="B443" t="str">
            <v>C6348</v>
          </cell>
          <cell r="C443" t="str">
            <v>Võ Ngọc Minh</v>
          </cell>
          <cell r="D443" t="str">
            <v>VO NGOC MINH</v>
          </cell>
          <cell r="E443" t="str">
            <v>050056441473</v>
          </cell>
          <cell r="F443" t="str">
            <v>C6348VO NGOC MINH050056441473</v>
          </cell>
        </row>
        <row r="444">
          <cell r="B444" t="str">
            <v>C9424</v>
          </cell>
          <cell r="C444" t="str">
            <v>Huỳnh Thị Tường Vy</v>
          </cell>
          <cell r="D444" t="str">
            <v>HUYNH THI TUONG VY</v>
          </cell>
          <cell r="E444" t="str">
            <v>050047062877</v>
          </cell>
          <cell r="F444" t="str">
            <v>C9424HUYNH THI TUONG VY050047062877</v>
          </cell>
        </row>
        <row r="445">
          <cell r="B445" t="str">
            <v>C1655</v>
          </cell>
          <cell r="C445" t="str">
            <v>Phạm Thị Khánh</v>
          </cell>
          <cell r="D445" t="str">
            <v>PHAM THI KHANH</v>
          </cell>
          <cell r="E445" t="str">
            <v>050040850918</v>
          </cell>
          <cell r="F445" t="str">
            <v>C1655PHAM THI KHANH050040850918</v>
          </cell>
        </row>
        <row r="446">
          <cell r="B446" t="str">
            <v>C1687</v>
          </cell>
          <cell r="C446" t="str">
            <v>Lê Thị Thu Hiền</v>
          </cell>
          <cell r="D446" t="str">
            <v>LE THI THU HIEN</v>
          </cell>
          <cell r="E446" t="str">
            <v>050040924970</v>
          </cell>
          <cell r="F446" t="str">
            <v>C1687LE THI THU HIEN050040924970</v>
          </cell>
        </row>
        <row r="447">
          <cell r="B447" t="str">
            <v>C7792</v>
          </cell>
          <cell r="C447" t="str">
            <v>Lê Thị Thanh Xuân</v>
          </cell>
          <cell r="D447" t="str">
            <v>LE THI THANH XUAN</v>
          </cell>
          <cell r="E447" t="str">
            <v>050103660197</v>
          </cell>
          <cell r="F447" t="str">
            <v>C7792LE THI THANH XUAN050103660197</v>
          </cell>
        </row>
        <row r="448">
          <cell r="B448" t="str">
            <v>C8048</v>
          </cell>
          <cell r="C448" t="str">
            <v>Nguyễn Thị Hồng Hoa</v>
          </cell>
          <cell r="D448" t="str">
            <v>NGUYEN THI HONG HOA</v>
          </cell>
          <cell r="E448" t="str">
            <v>050065045701</v>
          </cell>
          <cell r="F448" t="str">
            <v>C8048NGUYEN THI HONG HOA050065045701</v>
          </cell>
        </row>
        <row r="449">
          <cell r="B449" t="str">
            <v>C13576</v>
          </cell>
          <cell r="C449" t="str">
            <v>Đoàn Thị Thúy Vy</v>
          </cell>
          <cell r="D449" t="str">
            <v>DOAN THI THUY VY</v>
          </cell>
          <cell r="E449" t="str">
            <v>050121836049</v>
          </cell>
          <cell r="F449" t="str">
            <v>C13576DOAN THI THUY VY050121836049</v>
          </cell>
        </row>
        <row r="450">
          <cell r="B450" t="str">
            <v>C13991</v>
          </cell>
          <cell r="C450" t="str">
            <v>Nguyễn Thị Phương Thảo</v>
          </cell>
          <cell r="D450" t="str">
            <v>NGUYEN THI PHUONG THAO</v>
          </cell>
          <cell r="E450" t="str">
            <v>050127387920</v>
          </cell>
          <cell r="F450" t="str">
            <v>C13991NGUYEN THI PHUONG THAO050127387920</v>
          </cell>
        </row>
        <row r="451">
          <cell r="B451" t="str">
            <v>C14152</v>
          </cell>
          <cell r="C451" t="str">
            <v>Hà Thị Mộng Bình</v>
          </cell>
          <cell r="D451" t="str">
            <v>HA THI MONG BINH</v>
          </cell>
          <cell r="E451" t="str">
            <v>050120866335</v>
          </cell>
          <cell r="F451" t="str">
            <v>C14152HA THI MONG BINH050120866335</v>
          </cell>
        </row>
        <row r="452">
          <cell r="B452" t="str">
            <v>C14158</v>
          </cell>
          <cell r="C452" t="str">
            <v>Nguyễn Hiến Chương</v>
          </cell>
          <cell r="D452" t="str">
            <v>NGUYEN HIEN CHUONG</v>
          </cell>
          <cell r="E452" t="str">
            <v>050121351592</v>
          </cell>
          <cell r="F452" t="str">
            <v>C14158NGUYEN HIEN CHUONG050121351592</v>
          </cell>
        </row>
        <row r="453">
          <cell r="B453" t="str">
            <v>C14256</v>
          </cell>
          <cell r="C453" t="str">
            <v>Trần Tuấn Bảo</v>
          </cell>
          <cell r="D453" t="str">
            <v>TRAN TUAN BAO</v>
          </cell>
          <cell r="E453" t="str">
            <v>050128255963</v>
          </cell>
          <cell r="F453" t="str">
            <v>C14256TRAN TUAN BAO050128255963</v>
          </cell>
        </row>
        <row r="454">
          <cell r="B454" t="str">
            <v>C14270</v>
          </cell>
          <cell r="C454" t="str">
            <v>Nguyễn Thị Hạ</v>
          </cell>
          <cell r="D454" t="str">
            <v>NGUYEN THI HA</v>
          </cell>
          <cell r="E454" t="str">
            <v>050129038931</v>
          </cell>
          <cell r="F454" t="str">
            <v>C14270NGUYEN THI HA050129038931</v>
          </cell>
        </row>
        <row r="455">
          <cell r="B455" t="str">
            <v>C14436</v>
          </cell>
          <cell r="C455" t="str">
            <v>Nguyễn Thị Ngọc Huỳnh</v>
          </cell>
          <cell r="D455" t="str">
            <v>NGUYEN THI NGOC HUYNH</v>
          </cell>
          <cell r="E455" t="str">
            <v>050155392883</v>
          </cell>
          <cell r="F455" t="str">
            <v>C14436NGUYEN THI NGOC HUYNH050155392883</v>
          </cell>
        </row>
        <row r="456">
          <cell r="B456" t="str">
            <v>C14444</v>
          </cell>
          <cell r="C456" t="str">
            <v>Phạm Thùy Hương</v>
          </cell>
          <cell r="D456" t="str">
            <v>PHAM THUY HUONG</v>
          </cell>
          <cell r="E456" t="str">
            <v>050053905495</v>
          </cell>
          <cell r="F456" t="str">
            <v>C14444PHAM THUY HUONG050053905495</v>
          </cell>
        </row>
        <row r="457">
          <cell r="B457" t="str">
            <v>C14811</v>
          </cell>
          <cell r="C457" t="str">
            <v>Kpă H Mai Ly</v>
          </cell>
          <cell r="D457" t="str">
            <v>KPA H MAI LY</v>
          </cell>
          <cell r="E457" t="str">
            <v>050122316073</v>
          </cell>
          <cell r="F457" t="str">
            <v>C14811KPA H MAI LY050122316073</v>
          </cell>
        </row>
        <row r="458">
          <cell r="B458" t="str">
            <v>C15439</v>
          </cell>
          <cell r="C458" t="str">
            <v>Sơn Anh Đô</v>
          </cell>
          <cell r="D458" t="str">
            <v>SON ANH DO</v>
          </cell>
          <cell r="E458" t="str">
            <v>050108107550</v>
          </cell>
          <cell r="F458" t="str">
            <v>C15439SON ANH DO050108107550</v>
          </cell>
        </row>
        <row r="459">
          <cell r="B459" t="str">
            <v>C3673</v>
          </cell>
          <cell r="C459" t="str">
            <v>Lê Thị Yến</v>
          </cell>
          <cell r="D459" t="str">
            <v>LE THI YEN</v>
          </cell>
          <cell r="E459" t="str">
            <v>050040852120</v>
          </cell>
          <cell r="F459" t="str">
            <v>C3673LE THI YEN050040852120</v>
          </cell>
        </row>
        <row r="460">
          <cell r="B460" t="str">
            <v>C4669</v>
          </cell>
          <cell r="C460" t="str">
            <v>Nguyễn Thị Chung</v>
          </cell>
          <cell r="D460" t="str">
            <v>NGUYEN THI CHUNG</v>
          </cell>
          <cell r="E460" t="str">
            <v>050040863521</v>
          </cell>
          <cell r="F460" t="str">
            <v>C4669NGUYEN THI CHUNG050040863521</v>
          </cell>
        </row>
        <row r="461">
          <cell r="B461" t="str">
            <v>C5914</v>
          </cell>
          <cell r="C461" t="str">
            <v>Nguyễn Thị Hồng Thắm</v>
          </cell>
          <cell r="D461" t="str">
            <v>NGUYEN THI HONG THAM</v>
          </cell>
          <cell r="E461" t="str">
            <v>050040829900</v>
          </cell>
          <cell r="F461" t="str">
            <v>C5914NGUYEN THI HONG THAM050040829900</v>
          </cell>
        </row>
        <row r="462">
          <cell r="B462" t="str">
            <v>C8217</v>
          </cell>
          <cell r="C462" t="str">
            <v>Võ Thanh Toàn</v>
          </cell>
          <cell r="D462" t="str">
            <v>VO THANH TOAN</v>
          </cell>
          <cell r="E462" t="str">
            <v>050103658941</v>
          </cell>
          <cell r="F462" t="str">
            <v>C8217VO THANH TOAN050103658941</v>
          </cell>
        </row>
        <row r="463">
          <cell r="B463" t="str">
            <v>V036</v>
          </cell>
          <cell r="C463" t="str">
            <v>Nguyễn Thị Hà</v>
          </cell>
          <cell r="D463" t="str">
            <v>NGUYEN THI HA</v>
          </cell>
          <cell r="E463" t="str">
            <v>050040796239</v>
          </cell>
          <cell r="F463" t="str">
            <v>V036NGUYEN THI HA050040796239</v>
          </cell>
        </row>
        <row r="464">
          <cell r="B464" t="str">
            <v>V085</v>
          </cell>
          <cell r="C464" t="str">
            <v>Trần Thị Thùy Trang</v>
          </cell>
          <cell r="D464" t="str">
            <v>TRAN THI THUY TRANG</v>
          </cell>
          <cell r="E464" t="str">
            <v>050040795933</v>
          </cell>
          <cell r="F464" t="str">
            <v>V085TRAN THI THUY TRANG050040795933</v>
          </cell>
        </row>
        <row r="465">
          <cell r="B465" t="str">
            <v>C11692</v>
          </cell>
          <cell r="C465" t="str">
            <v>Đỗ Thị Vân</v>
          </cell>
          <cell r="D465" t="str">
            <v>DO THI VAN</v>
          </cell>
          <cell r="E465" t="str">
            <v>050048183686</v>
          </cell>
          <cell r="F465" t="str">
            <v>C11692DO THI VAN050048183686</v>
          </cell>
        </row>
        <row r="466">
          <cell r="B466" t="str">
            <v>C13175</v>
          </cell>
          <cell r="C466" t="str">
            <v>Nguyễn Xuân Đăng</v>
          </cell>
          <cell r="D466" t="str">
            <v>NGUYEN XUAN DANG</v>
          </cell>
          <cell r="E466" t="str">
            <v>060263994100</v>
          </cell>
          <cell r="F466" t="str">
            <v>C13175NGUYEN XUAN DANG060263994100</v>
          </cell>
        </row>
        <row r="467">
          <cell r="B467" t="str">
            <v>C14117</v>
          </cell>
          <cell r="C467" t="str">
            <v>Nguyễn Thị Thiên Kiều</v>
          </cell>
          <cell r="D467" t="str">
            <v>NGUYEN THI THIEN KIEU</v>
          </cell>
          <cell r="E467" t="str">
            <v>050055353041</v>
          </cell>
          <cell r="F467" t="str">
            <v>C14117NGUYEN THI THIEN KIEU050055353041</v>
          </cell>
        </row>
        <row r="468">
          <cell r="B468" t="str">
            <v>V003</v>
          </cell>
          <cell r="C468" t="str">
            <v>Vũ Văn Luận</v>
          </cell>
          <cell r="D468" t="str">
            <v>VU VAN LUAN</v>
          </cell>
          <cell r="E468" t="str">
            <v>050040796352</v>
          </cell>
          <cell r="F468" t="str">
            <v>V003VU VAN LUAN050040796352</v>
          </cell>
        </row>
        <row r="469">
          <cell r="B469" t="str">
            <v>C6508</v>
          </cell>
          <cell r="C469" t="str">
            <v>Bùi Trần Chín</v>
          </cell>
          <cell r="D469" t="str">
            <v>BUI TRAN CHIN</v>
          </cell>
          <cell r="E469" t="str">
            <v>050066264669</v>
          </cell>
          <cell r="F469" t="str">
            <v>C6508BUI TRAN CHIN050066264669</v>
          </cell>
        </row>
        <row r="470">
          <cell r="B470" t="str">
            <v>C3408</v>
          </cell>
          <cell r="C470" t="str">
            <v>Lê Thọ Thiết</v>
          </cell>
          <cell r="D470" t="str">
            <v>LE THO THIET</v>
          </cell>
          <cell r="E470" t="str">
            <v>050040998516</v>
          </cell>
          <cell r="F470" t="str">
            <v>C3408LE THO THIET050040998516</v>
          </cell>
        </row>
        <row r="471">
          <cell r="B471" t="str">
            <v>C6533</v>
          </cell>
          <cell r="C471" t="str">
            <v>Phạm Vũ Hoàng Long</v>
          </cell>
          <cell r="D471" t="str">
            <v>PHAM VU HOANG LONG</v>
          </cell>
          <cell r="E471" t="str">
            <v>050046448402</v>
          </cell>
          <cell r="F471" t="str">
            <v>C6533PHAM VU HOANG LONG050046448402</v>
          </cell>
        </row>
        <row r="472">
          <cell r="B472" t="str">
            <v>C6697</v>
          </cell>
          <cell r="C472" t="str">
            <v>Hoàng Thị Dân</v>
          </cell>
          <cell r="D472" t="str">
            <v>HOANG THI DAN</v>
          </cell>
          <cell r="E472" t="str">
            <v>050050562163</v>
          </cell>
          <cell r="F472" t="str">
            <v>C6697HOANG THI DAN050050562163</v>
          </cell>
        </row>
        <row r="473">
          <cell r="B473" t="str">
            <v>C7259</v>
          </cell>
          <cell r="C473" t="str">
            <v>Nguyễn Thị Hạnh</v>
          </cell>
          <cell r="D473" t="str">
            <v>NGUYEN THI HANH</v>
          </cell>
          <cell r="E473" t="str">
            <v>050040795364</v>
          </cell>
          <cell r="F473" t="str">
            <v>C7259NGUYEN THI HANH050040795364</v>
          </cell>
        </row>
        <row r="474">
          <cell r="B474" t="str">
            <v>C11694</v>
          </cell>
          <cell r="C474" t="str">
            <v>Mai Văn Bội</v>
          </cell>
          <cell r="D474" t="str">
            <v>MAI VAN BOI</v>
          </cell>
          <cell r="E474" t="str">
            <v>050116196058</v>
          </cell>
          <cell r="F474" t="str">
            <v>C11694MAI VAN BOI050116196058</v>
          </cell>
        </row>
        <row r="475">
          <cell r="B475" t="str">
            <v>C2666</v>
          </cell>
          <cell r="C475" t="str">
            <v>Đỗ Thị Trinh</v>
          </cell>
          <cell r="D475" t="str">
            <v>DO THI TRINH</v>
          </cell>
          <cell r="E475" t="str">
            <v>050040851671</v>
          </cell>
          <cell r="F475" t="str">
            <v>C2666DO THI TRINH050040851671</v>
          </cell>
        </row>
        <row r="476">
          <cell r="B476" t="str">
            <v>C2867</v>
          </cell>
          <cell r="C476" t="str">
            <v>Nguyễn Thị Ngọc Loan</v>
          </cell>
          <cell r="D476" t="str">
            <v>NGUYEN THI NGOC LOAN</v>
          </cell>
          <cell r="E476" t="str">
            <v>050040875155</v>
          </cell>
          <cell r="F476" t="str">
            <v>C2867NGUYEN THI NGOC LOAN050040875155</v>
          </cell>
        </row>
        <row r="477">
          <cell r="B477" t="str">
            <v>C5397</v>
          </cell>
          <cell r="C477" t="str">
            <v>Kiều Thị Phượng</v>
          </cell>
          <cell r="D477" t="str">
            <v>KIEU THI PHUONG</v>
          </cell>
          <cell r="E477" t="str">
            <v>050040876356</v>
          </cell>
          <cell r="F477" t="str">
            <v>C5397KIEU THI PHUONG050040876356</v>
          </cell>
        </row>
        <row r="478">
          <cell r="B478" t="str">
            <v>C6390</v>
          </cell>
          <cell r="C478" t="str">
            <v>Bùi Khắc Thọ</v>
          </cell>
          <cell r="D478" t="str">
            <v>BUI KHAC THO</v>
          </cell>
          <cell r="E478" t="str">
            <v>050068550901</v>
          </cell>
          <cell r="F478" t="str">
            <v>C6390BUI KHAC THO050068550901</v>
          </cell>
        </row>
        <row r="479">
          <cell r="B479" t="str">
            <v>C9431</v>
          </cell>
          <cell r="C479" t="str">
            <v>Lê Ngọc Đức</v>
          </cell>
          <cell r="D479" t="str">
            <v>LE NGOC DUC</v>
          </cell>
          <cell r="E479" t="str">
            <v>050061804851</v>
          </cell>
          <cell r="F479" t="str">
            <v>C9431LE NGOC DUC050061804851</v>
          </cell>
        </row>
        <row r="480">
          <cell r="B480" t="str">
            <v>C12764</v>
          </cell>
          <cell r="C480" t="str">
            <v>Lê Thành Lộc</v>
          </cell>
          <cell r="D480" t="str">
            <v>LE THANH LOC</v>
          </cell>
          <cell r="E480" t="str">
            <v>050121174313</v>
          </cell>
          <cell r="F480" t="str">
            <v>C12764LE THANH LOC050121174313</v>
          </cell>
        </row>
        <row r="481">
          <cell r="B481" t="str">
            <v>C14384</v>
          </cell>
          <cell r="C481" t="str">
            <v>Võ Minh Hiếu</v>
          </cell>
          <cell r="D481" t="str">
            <v>VO MINH HIEU</v>
          </cell>
          <cell r="E481" t="str">
            <v>050116104773</v>
          </cell>
          <cell r="F481" t="str">
            <v>C14384VO MINH HIEU050116104773</v>
          </cell>
        </row>
        <row r="482">
          <cell r="B482" t="str">
            <v>C0681</v>
          </cell>
          <cell r="C482" t="str">
            <v>Dương Văn Khánh</v>
          </cell>
          <cell r="D482" t="str">
            <v>DUONG VAN KHANH</v>
          </cell>
          <cell r="E482" t="str">
            <v>050040825166</v>
          </cell>
          <cell r="F482" t="str">
            <v>C0681DUONG VAN KHANH050040825166</v>
          </cell>
        </row>
        <row r="483">
          <cell r="B483" t="str">
            <v>C1079</v>
          </cell>
          <cell r="C483" t="str">
            <v>Đỗ Văn Tuấn</v>
          </cell>
          <cell r="D483" t="str">
            <v>DO VAN TUAN</v>
          </cell>
          <cell r="E483" t="str">
            <v>050040818437</v>
          </cell>
          <cell r="F483" t="str">
            <v>C1079DO VAN TUAN050040818437</v>
          </cell>
        </row>
        <row r="484">
          <cell r="B484" t="str">
            <v>C1681</v>
          </cell>
          <cell r="C484" t="str">
            <v>Lường Tài Hiếu</v>
          </cell>
          <cell r="D484" t="str">
            <v>LUONG TAI HIEU</v>
          </cell>
          <cell r="E484" t="str">
            <v>050041002058</v>
          </cell>
          <cell r="F484" t="str">
            <v>C1681LUONG TAI HIEU050041002058</v>
          </cell>
        </row>
        <row r="485">
          <cell r="B485" t="str">
            <v>C2275</v>
          </cell>
          <cell r="C485" t="str">
            <v>Nguyễn Minh Cảnh</v>
          </cell>
          <cell r="D485" t="str">
            <v>NGUYEN MINH CANH</v>
          </cell>
          <cell r="E485" t="str">
            <v>050040825093</v>
          </cell>
          <cell r="F485" t="str">
            <v>C2275NGUYEN MINH CANH050040825093</v>
          </cell>
        </row>
        <row r="486">
          <cell r="B486" t="str">
            <v>C3399</v>
          </cell>
          <cell r="C486" t="str">
            <v>Phan Thị Khánh Hòa</v>
          </cell>
          <cell r="D486" t="str">
            <v>PHAN THI KHANH HOA</v>
          </cell>
          <cell r="E486" t="str">
            <v>050040846937</v>
          </cell>
          <cell r="F486" t="str">
            <v>C3399PHAN THI KHANH HOA050040846937</v>
          </cell>
        </row>
        <row r="487">
          <cell r="B487" t="str">
            <v>C3656</v>
          </cell>
          <cell r="C487" t="str">
            <v>Hồ Trọng Thủy</v>
          </cell>
          <cell r="D487" t="str">
            <v>HO TRONG THUY</v>
          </cell>
          <cell r="E487" t="str">
            <v>050040821810</v>
          </cell>
          <cell r="F487" t="str">
            <v>C3656HO TRONG THUY050040821810</v>
          </cell>
        </row>
        <row r="488">
          <cell r="B488" t="str">
            <v>C4373</v>
          </cell>
          <cell r="C488" t="str">
            <v>Phạm Văn Kỳ</v>
          </cell>
          <cell r="D488" t="str">
            <v>PHAM VAN KY</v>
          </cell>
          <cell r="E488" t="str">
            <v>050040825948</v>
          </cell>
          <cell r="F488" t="str">
            <v>C4373PHAM VAN KY050040825948</v>
          </cell>
        </row>
        <row r="489">
          <cell r="B489" t="str">
            <v>C5303</v>
          </cell>
          <cell r="C489" t="str">
            <v>Đặng Văn Trung</v>
          </cell>
          <cell r="D489" t="str">
            <v>DANG VAN TRUNG</v>
          </cell>
          <cell r="E489" t="str">
            <v>050040935921</v>
          </cell>
          <cell r="F489" t="str">
            <v>C5303DANG VAN TRUNG050040935921</v>
          </cell>
        </row>
        <row r="490">
          <cell r="B490" t="str">
            <v>C5650</v>
          </cell>
          <cell r="C490" t="str">
            <v>Nguyễn Thị Hiền</v>
          </cell>
          <cell r="D490" t="str">
            <v>NGUYEN THI HIEN</v>
          </cell>
          <cell r="E490" t="str">
            <v>050041002112</v>
          </cell>
          <cell r="F490" t="str">
            <v>C5650NGUYEN THI HIEN050041002112</v>
          </cell>
        </row>
        <row r="491">
          <cell r="B491" t="str">
            <v>C6487</v>
          </cell>
          <cell r="C491" t="str">
            <v>Nguyễn Minh Tòng</v>
          </cell>
          <cell r="D491" t="str">
            <v>NGUYEN MINH TONG</v>
          </cell>
          <cell r="E491" t="str">
            <v>050067513182</v>
          </cell>
          <cell r="F491" t="str">
            <v>C6487NGUYEN MINH TONG050067513182</v>
          </cell>
        </row>
        <row r="492">
          <cell r="B492" t="str">
            <v>C7022</v>
          </cell>
          <cell r="C492" t="str">
            <v>Trần Thăng Long</v>
          </cell>
          <cell r="D492" t="str">
            <v>TRAN THANG LONG</v>
          </cell>
          <cell r="E492" t="str">
            <v>050073583281</v>
          </cell>
          <cell r="F492" t="str">
            <v>C7022TRAN THANG LONG050073583281</v>
          </cell>
        </row>
        <row r="493">
          <cell r="B493" t="str">
            <v>C7464</v>
          </cell>
          <cell r="C493" t="str">
            <v>Nguyễn Hoài Nam</v>
          </cell>
          <cell r="D493" t="str">
            <v>NGUYEN HOAI NAM</v>
          </cell>
          <cell r="E493" t="str">
            <v>050070731425</v>
          </cell>
          <cell r="F493" t="str">
            <v>C7464NGUYEN HOAI NAM050070731425</v>
          </cell>
        </row>
        <row r="494">
          <cell r="B494" t="str">
            <v>C7854</v>
          </cell>
          <cell r="C494" t="str">
            <v>Nguyễn Thị Diệu Hiền</v>
          </cell>
          <cell r="D494" t="str">
            <v>NGUYEN THI DIEU HIEN</v>
          </cell>
          <cell r="E494" t="str">
            <v>050104743576</v>
          </cell>
          <cell r="F494" t="str">
            <v>C7854NGUYEN THI DIEU HIEN050104743576</v>
          </cell>
        </row>
        <row r="495">
          <cell r="B495" t="str">
            <v>C10707</v>
          </cell>
          <cell r="C495" t="str">
            <v>Lê Mạnh Hà</v>
          </cell>
          <cell r="D495" t="str">
            <v>LE MANH HA</v>
          </cell>
          <cell r="E495" t="str">
            <v>050063604051</v>
          </cell>
          <cell r="F495" t="str">
            <v>C10707LE MANH HA050063604051</v>
          </cell>
        </row>
        <row r="496">
          <cell r="B496" t="str">
            <v>C11576</v>
          </cell>
          <cell r="C496" t="str">
            <v>Nguyễn Thanh Tuấn</v>
          </cell>
          <cell r="D496" t="str">
            <v>NGUYEN THANH TUAN</v>
          </cell>
          <cell r="E496" t="str">
            <v>050113176919</v>
          </cell>
          <cell r="F496" t="str">
            <v>C11576NGUYEN THANH TUAN050113176919</v>
          </cell>
        </row>
        <row r="497">
          <cell r="B497" t="str">
            <v>C14375</v>
          </cell>
          <cell r="C497" t="str">
            <v>Nguyễn Hoàng Hùng</v>
          </cell>
          <cell r="D497" t="str">
            <v>NGUYEN HOANG HUNG</v>
          </cell>
          <cell r="E497" t="str">
            <v>050102541763</v>
          </cell>
          <cell r="F497" t="str">
            <v>C14375NGUYEN HOANG HUNG050102541763</v>
          </cell>
        </row>
        <row r="498">
          <cell r="B498" t="str">
            <v>C14654</v>
          </cell>
          <cell r="C498" t="str">
            <v>Hoàng Tùng Lâm</v>
          </cell>
          <cell r="D498" t="str">
            <v>HOANG TUNG LAM</v>
          </cell>
          <cell r="E498" t="str">
            <v>050133727083</v>
          </cell>
          <cell r="F498" t="str">
            <v>C14654HOANG TUNG LAM050133727083</v>
          </cell>
        </row>
        <row r="499">
          <cell r="B499" t="str">
            <v>C15125</v>
          </cell>
          <cell r="C499" t="str">
            <v>Hoàng Lê Minh Khánh</v>
          </cell>
          <cell r="D499" t="str">
            <v>HOANG LE MINH KHANH</v>
          </cell>
          <cell r="E499" t="str">
            <v>050128179566</v>
          </cell>
          <cell r="F499" t="str">
            <v>C15125HOANG LE MINH KHANH050128179566</v>
          </cell>
        </row>
        <row r="500">
          <cell r="B500" t="str">
            <v>C6745</v>
          </cell>
          <cell r="C500" t="str">
            <v>Phạm Thị Ngọc Bích</v>
          </cell>
          <cell r="D500" t="str">
            <v>PHAM THI NGOC BICH</v>
          </cell>
          <cell r="E500" t="str">
            <v>050034253886</v>
          </cell>
          <cell r="F500" t="str">
            <v>C6745PHAM THI NGOC BICH050034253886</v>
          </cell>
        </row>
        <row r="501">
          <cell r="B501" t="str">
            <v>C7689</v>
          </cell>
          <cell r="C501" t="str">
            <v>Nguyễn Tấn Tài</v>
          </cell>
          <cell r="D501" t="str">
            <v>NGUYEN TAN TAI</v>
          </cell>
          <cell r="E501" t="str">
            <v>050043183904</v>
          </cell>
          <cell r="F501" t="str">
            <v>C7689NGUYEN TAN TAI050043183904</v>
          </cell>
        </row>
        <row r="502">
          <cell r="B502" t="str">
            <v>C14908</v>
          </cell>
          <cell r="C502" t="str">
            <v>Võ Thị Ngọc Hà</v>
          </cell>
          <cell r="D502" t="str">
            <v>VO THI NGOC HA</v>
          </cell>
          <cell r="E502" t="str">
            <v>050080498656</v>
          </cell>
          <cell r="F502" t="str">
            <v>C14908VO THI NGOC HA050080498656</v>
          </cell>
        </row>
        <row r="503">
          <cell r="B503" t="str">
            <v>C14909</v>
          </cell>
          <cell r="C503" t="str">
            <v>Lê Thị Mỹ Linh</v>
          </cell>
          <cell r="D503" t="str">
            <v>LE THI MY LINH</v>
          </cell>
          <cell r="E503" t="str">
            <v>050109861976</v>
          </cell>
          <cell r="F503" t="str">
            <v>C14909LE THI MY LINH050109861976</v>
          </cell>
        </row>
        <row r="504">
          <cell r="B504" t="str">
            <v>C2076</v>
          </cell>
          <cell r="C504" t="str">
            <v>Phan Văn Dương</v>
          </cell>
          <cell r="D504" t="str">
            <v>PHAN VAN DUONG</v>
          </cell>
          <cell r="E504" t="str">
            <v>050040934429</v>
          </cell>
          <cell r="F504" t="str">
            <v>C2076PHAN VAN DUONG050040934429</v>
          </cell>
        </row>
        <row r="505">
          <cell r="B505" t="str">
            <v>C3199</v>
          </cell>
          <cell r="C505" t="str">
            <v>Nguyễn Thị Hoài Thu</v>
          </cell>
          <cell r="D505" t="str">
            <v>NGUYEN THI HOAI THU</v>
          </cell>
          <cell r="E505" t="str">
            <v>050066207649</v>
          </cell>
          <cell r="F505" t="str">
            <v>C3199NGUYEN THI HOAI THU050066207649</v>
          </cell>
        </row>
        <row r="506">
          <cell r="B506" t="str">
            <v>C4463</v>
          </cell>
          <cell r="C506" t="str">
            <v>Lâm Thị Thu</v>
          </cell>
          <cell r="D506" t="str">
            <v>LAM THI THU</v>
          </cell>
          <cell r="E506" t="str">
            <v>050040850691</v>
          </cell>
          <cell r="F506" t="str">
            <v>C4463LAM THI THU050040850691</v>
          </cell>
        </row>
        <row r="507">
          <cell r="B507" t="str">
            <v>C4766</v>
          </cell>
          <cell r="C507" t="str">
            <v>Đoàn Văn Nam</v>
          </cell>
          <cell r="D507" t="str">
            <v>DOAN VAN NAM</v>
          </cell>
          <cell r="E507" t="str">
            <v>050040816558</v>
          </cell>
          <cell r="F507" t="str">
            <v>C4766DOAN VAN NAM050040816558</v>
          </cell>
        </row>
        <row r="508">
          <cell r="B508" t="str">
            <v>C5036</v>
          </cell>
          <cell r="C508" t="str">
            <v>Lê Thị Nga</v>
          </cell>
          <cell r="D508" t="str">
            <v>LE THI NGA</v>
          </cell>
          <cell r="E508" t="str">
            <v>050040851205</v>
          </cell>
          <cell r="F508" t="str">
            <v>C5036LE THI NGA050040851205</v>
          </cell>
        </row>
        <row r="509">
          <cell r="B509" t="str">
            <v>C5600</v>
          </cell>
          <cell r="C509" t="str">
            <v>Lê Tấn Bảo</v>
          </cell>
          <cell r="D509" t="str">
            <v>LE TAN BAO</v>
          </cell>
          <cell r="E509" t="str">
            <v>050040829943</v>
          </cell>
          <cell r="F509" t="str">
            <v>C5600LE TAN BAO050040829943</v>
          </cell>
        </row>
        <row r="510">
          <cell r="B510" t="str">
            <v>C7632</v>
          </cell>
          <cell r="C510" t="str">
            <v>Phan Tấn Vinh</v>
          </cell>
          <cell r="D510" t="str">
            <v>PHAN TAN VINH</v>
          </cell>
          <cell r="E510" t="str">
            <v>050099643738</v>
          </cell>
          <cell r="F510" t="str">
            <v>C7632PHAN TAN VINH050099643738</v>
          </cell>
        </row>
        <row r="511">
          <cell r="B511" t="str">
            <v>C8274</v>
          </cell>
          <cell r="C511" t="str">
            <v>Lưu Thị Diệu Trinh</v>
          </cell>
          <cell r="D511" t="str">
            <v>LUU THI DIEU TRINH</v>
          </cell>
          <cell r="E511" t="str">
            <v>050103659814</v>
          </cell>
          <cell r="F511" t="str">
            <v>C8274LUU THI DIEU TRINH050103659814</v>
          </cell>
        </row>
        <row r="512">
          <cell r="B512" t="str">
            <v>C10597</v>
          </cell>
          <cell r="C512" t="str">
            <v>Điểu Dịu</v>
          </cell>
          <cell r="D512" t="str">
            <v>DIEU DIU</v>
          </cell>
          <cell r="E512" t="str">
            <v>050093230482</v>
          </cell>
          <cell r="F512" t="str">
            <v>C10597DIEU DIU050093230482</v>
          </cell>
        </row>
        <row r="513">
          <cell r="B513" t="str">
            <v>C11027</v>
          </cell>
          <cell r="C513" t="str">
            <v>Phạm Văn Khởi</v>
          </cell>
          <cell r="D513" t="str">
            <v>PHAM VAN KHOI</v>
          </cell>
          <cell r="E513" t="str">
            <v>050098025178</v>
          </cell>
          <cell r="F513" t="str">
            <v>C11027PHAM VAN KHOI050098025178</v>
          </cell>
        </row>
        <row r="514">
          <cell r="B514" t="str">
            <v>C13911</v>
          </cell>
          <cell r="C514" t="str">
            <v>Hoàng Minh Côn</v>
          </cell>
          <cell r="D514" t="str">
            <v>HOANG MINH CON</v>
          </cell>
          <cell r="E514" t="str">
            <v>050073798350</v>
          </cell>
          <cell r="F514" t="str">
            <v>C13911HOANG MINH CON050073798350</v>
          </cell>
        </row>
        <row r="515">
          <cell r="B515" t="str">
            <v>C13921</v>
          </cell>
          <cell r="C515" t="str">
            <v>Phan Lâm Tưởng</v>
          </cell>
          <cell r="D515" t="str">
            <v>PHAN LAM TUONG</v>
          </cell>
          <cell r="E515" t="str">
            <v>050121173351</v>
          </cell>
          <cell r="F515" t="str">
            <v>C13921PHAN LAM TUONG050121173351</v>
          </cell>
        </row>
        <row r="516">
          <cell r="B516" t="str">
            <v>C13976</v>
          </cell>
          <cell r="C516" t="str">
            <v>Lê Vũ Bảo Tuyền</v>
          </cell>
          <cell r="D516" t="str">
            <v>LE VU BAO TUYEN</v>
          </cell>
          <cell r="E516" t="str">
            <v>050121145003</v>
          </cell>
          <cell r="F516" t="str">
            <v>C13976LE VU BAO TUYEN050121145003</v>
          </cell>
        </row>
        <row r="517">
          <cell r="B517" t="str">
            <v>C14027</v>
          </cell>
          <cell r="C517" t="str">
            <v>Nguyễn Thảo Ngân</v>
          </cell>
          <cell r="D517" t="str">
            <v>NGUYEN THAO NGAN</v>
          </cell>
          <cell r="E517" t="str">
            <v>070106701340</v>
          </cell>
          <cell r="F517" t="str">
            <v>C14027NGUYEN THAO NGAN070106701340</v>
          </cell>
        </row>
        <row r="518">
          <cell r="B518" t="str">
            <v>C14057</v>
          </cell>
          <cell r="C518" t="str">
            <v>Huỳnh Anh Thương</v>
          </cell>
          <cell r="D518" t="str">
            <v>HUYNH ANH THUONG</v>
          </cell>
          <cell r="E518" t="str">
            <v>050119368925</v>
          </cell>
          <cell r="F518" t="str">
            <v>C14057HUYNH ANH THUONG050119368925</v>
          </cell>
        </row>
        <row r="519">
          <cell r="B519" t="str">
            <v>C14257</v>
          </cell>
          <cell r="C519" t="str">
            <v>Trần Thảo Vi</v>
          </cell>
          <cell r="D519" t="str">
            <v>TRAN THAO VI</v>
          </cell>
          <cell r="E519" t="str">
            <v>060251435572</v>
          </cell>
          <cell r="F519" t="str">
            <v>C14257TRAN THAO VI060251435572</v>
          </cell>
        </row>
        <row r="520">
          <cell r="B520" t="str">
            <v>C14499</v>
          </cell>
          <cell r="C520" t="str">
            <v>Nguyễn Thị Thúy Hằng</v>
          </cell>
          <cell r="D520" t="str">
            <v>NGUYEN THI THUY HANG</v>
          </cell>
          <cell r="E520" t="str">
            <v>050095685411</v>
          </cell>
          <cell r="F520" t="str">
            <v>C14499NGUYEN THI THUY HANG050095685411</v>
          </cell>
        </row>
        <row r="521">
          <cell r="B521" t="str">
            <v>C15297</v>
          </cell>
          <cell r="C521" t="str">
            <v>Hoàng Thị Nhật Linh</v>
          </cell>
          <cell r="D521" t="str">
            <v>HOANG THI NHAT LINH</v>
          </cell>
          <cell r="E521" t="str">
            <v>050138650739</v>
          </cell>
          <cell r="F521" t="str">
            <v>C15297HOANG THI NHAT LINH050138650739</v>
          </cell>
        </row>
        <row r="522">
          <cell r="B522" t="str">
            <v>C15298</v>
          </cell>
          <cell r="C522" t="str">
            <v>Nông Thị Nga</v>
          </cell>
          <cell r="D522" t="str">
            <v>NONG THI NGA</v>
          </cell>
          <cell r="E522" t="str">
            <v>060258379279</v>
          </cell>
          <cell r="F522" t="str">
            <v>C15298NONG THI NGA060258379279</v>
          </cell>
        </row>
        <row r="523">
          <cell r="B523" t="str">
            <v>C15320</v>
          </cell>
          <cell r="C523" t="str">
            <v>Dương Ngọc Trọng</v>
          </cell>
          <cell r="D523" t="str">
            <v>DUONG NGOC TRONG</v>
          </cell>
          <cell r="E523" t="str">
            <v>050138654580</v>
          </cell>
          <cell r="F523" t="str">
            <v>C15320DUONG NGOC TRONG050138654580</v>
          </cell>
        </row>
        <row r="524">
          <cell r="B524" t="str">
            <v>V044</v>
          </cell>
          <cell r="C524" t="str">
            <v>Võ Thị Hường</v>
          </cell>
          <cell r="D524" t="str">
            <v>VO THI HUONG</v>
          </cell>
          <cell r="E524" t="str">
            <v>050041002163</v>
          </cell>
          <cell r="F524" t="str">
            <v>V044VO THI HUONG050041002163</v>
          </cell>
        </row>
        <row r="525">
          <cell r="B525" t="str">
            <v>V046</v>
          </cell>
          <cell r="C525" t="str">
            <v>Nguyễn Hùng Thấm</v>
          </cell>
          <cell r="D525" t="str">
            <v>NGUYEN HUNG THAM</v>
          </cell>
          <cell r="E525" t="str">
            <v>050040796212</v>
          </cell>
          <cell r="F525" t="str">
            <v>V046NGUYEN HUNG THAM050040796212</v>
          </cell>
        </row>
        <row r="526">
          <cell r="B526" t="str">
            <v>V081</v>
          </cell>
          <cell r="C526" t="str">
            <v>Phan Thành Tựu</v>
          </cell>
          <cell r="D526" t="str">
            <v>PHAN THANH TUU</v>
          </cell>
          <cell r="E526" t="str">
            <v>050040795895</v>
          </cell>
          <cell r="F526" t="str">
            <v>V081PHAN THANH TUU050040795895</v>
          </cell>
        </row>
        <row r="527">
          <cell r="B527" t="str">
            <v>V088</v>
          </cell>
          <cell r="C527" t="str">
            <v>Đoàn Thị Kim Nhung</v>
          </cell>
          <cell r="D527" t="str">
            <v>DOAN THI KIM NHUNG</v>
          </cell>
          <cell r="E527" t="str">
            <v>050040795984</v>
          </cell>
          <cell r="F527" t="str">
            <v>V088DOAN THI KIM NHUNG050040795984</v>
          </cell>
        </row>
        <row r="528">
          <cell r="B528" t="str">
            <v>C5739</v>
          </cell>
          <cell r="C528" t="str">
            <v>Hoàng Thị Kim  Phượng</v>
          </cell>
          <cell r="D528" t="str">
            <v>HOANG THI KIM PHUONG</v>
          </cell>
          <cell r="E528" t="str">
            <v>050040796522</v>
          </cell>
          <cell r="F528" t="str">
            <v>C5739HOANG THI KIM PHUONG050040796522</v>
          </cell>
        </row>
        <row r="529">
          <cell r="B529" t="str">
            <v>C12728</v>
          </cell>
          <cell r="C529" t="str">
            <v>Nguyễn Thị Thủy</v>
          </cell>
          <cell r="D529" t="str">
            <v>NGUYEN THI THUY</v>
          </cell>
          <cell r="E529" t="str">
            <v>050121174291</v>
          </cell>
          <cell r="F529" t="str">
            <v>C12728NGUYEN THI THUY050121174291</v>
          </cell>
        </row>
        <row r="530">
          <cell r="B530" t="str">
            <v>C15157</v>
          </cell>
          <cell r="C530" t="str">
            <v>Nguyễn Ngọc Như Ý</v>
          </cell>
          <cell r="D530" t="str">
            <v>NGUYEN NGOC NHU Y</v>
          </cell>
          <cell r="E530" t="str">
            <v>050135075210</v>
          </cell>
          <cell r="F530" t="str">
            <v>C15157NGUYEN NGOC NHU Y050135075210</v>
          </cell>
        </row>
        <row r="531">
          <cell r="B531" t="str">
            <v>C14046</v>
          </cell>
          <cell r="C531" t="str">
            <v>Nguyễn Văn Lực</v>
          </cell>
          <cell r="D531" t="str">
            <v>NGUYEN VAN LUC</v>
          </cell>
          <cell r="E531" t="str">
            <v>050117176727</v>
          </cell>
          <cell r="F531" t="str">
            <v>C14046NGUYEN VAN LUC050117176727</v>
          </cell>
        </row>
        <row r="532">
          <cell r="B532" t="str">
            <v>C0253</v>
          </cell>
          <cell r="C532" t="str">
            <v>Hoàng Văn Hoàn</v>
          </cell>
          <cell r="D532" t="str">
            <v>HOANG VAN HOAN</v>
          </cell>
          <cell r="E532" t="str">
            <v>050040831549</v>
          </cell>
          <cell r="F532" t="str">
            <v>C0253HOANG VAN HOAN050040831549</v>
          </cell>
        </row>
        <row r="533">
          <cell r="B533" t="str">
            <v>C2208</v>
          </cell>
          <cell r="C533" t="str">
            <v>Lê Văn Hùng</v>
          </cell>
          <cell r="D533" t="str">
            <v>LE VAN HUNG</v>
          </cell>
          <cell r="E533" t="str">
            <v>050040831336</v>
          </cell>
          <cell r="F533" t="str">
            <v>C2208LE VAN HUNG050040831336</v>
          </cell>
        </row>
        <row r="534">
          <cell r="B534" t="str">
            <v>C4902</v>
          </cell>
          <cell r="C534" t="str">
            <v>Tô Duy Hùng</v>
          </cell>
          <cell r="D534" t="str">
            <v>TO DUY HUNG</v>
          </cell>
          <cell r="E534" t="str">
            <v>050040831298</v>
          </cell>
          <cell r="F534" t="str">
            <v>C4902TO DUY HUNG050040831298</v>
          </cell>
        </row>
        <row r="535">
          <cell r="B535" t="str">
            <v>C5228</v>
          </cell>
          <cell r="C535" t="str">
            <v>Dương Văn Uy</v>
          </cell>
          <cell r="D535" t="str">
            <v>DUONG VAN UY</v>
          </cell>
          <cell r="E535" t="str">
            <v>050040831239</v>
          </cell>
          <cell r="F535" t="str">
            <v>C5228DUONG VAN UY050040831239</v>
          </cell>
        </row>
        <row r="536">
          <cell r="B536" t="str">
            <v>C7764</v>
          </cell>
          <cell r="C536" t="str">
            <v>Lê Hoàng</v>
          </cell>
          <cell r="D536" t="str">
            <v>LE HOANG</v>
          </cell>
          <cell r="E536" t="str">
            <v>050114669791</v>
          </cell>
          <cell r="F536" t="str">
            <v>C7764LE HOANG050114669791</v>
          </cell>
        </row>
        <row r="537">
          <cell r="B537" t="str">
            <v>C8311</v>
          </cell>
          <cell r="C537" t="str">
            <v>Phạm Thanh Bằng</v>
          </cell>
          <cell r="D537" t="str">
            <v>PHAM THANH BANG</v>
          </cell>
          <cell r="E537" t="str">
            <v>050103659539</v>
          </cell>
          <cell r="F537" t="str">
            <v>C8311PHAM THANH BANG050103659539</v>
          </cell>
        </row>
        <row r="538">
          <cell r="B538" t="str">
            <v>C11665</v>
          </cell>
          <cell r="C538" t="str">
            <v>Phạm Khắc Trung</v>
          </cell>
          <cell r="D538" t="str">
            <v>PHAM KHAC TRUNG</v>
          </cell>
          <cell r="E538" t="str">
            <v>050115341607</v>
          </cell>
          <cell r="F538" t="str">
            <v>C11665PHAM KHAC TRUNG050115341607</v>
          </cell>
        </row>
        <row r="539">
          <cell r="B539" t="str">
            <v>C12820</v>
          </cell>
          <cell r="C539" t="str">
            <v>Nguyễn Thị Hồng Yến</v>
          </cell>
          <cell r="D539" t="str">
            <v>NGUYEN THI HONG YEN</v>
          </cell>
          <cell r="E539" t="str">
            <v>050078214195</v>
          </cell>
          <cell r="F539" t="str">
            <v>C12820NGUYEN THI HONG YEN050078214195</v>
          </cell>
        </row>
        <row r="540">
          <cell r="B540" t="str">
            <v>C14063</v>
          </cell>
          <cell r="C540" t="str">
            <v>Châu Ngọc Anh Duy</v>
          </cell>
          <cell r="D540" t="str">
            <v>CHAU NGOC ANH DUY</v>
          </cell>
          <cell r="E540" t="str">
            <v>050127859164</v>
          </cell>
          <cell r="F540" t="str">
            <v>C14063CHAU NGOC ANH DUY050127859164</v>
          </cell>
        </row>
        <row r="541">
          <cell r="B541" t="str">
            <v>C15361</v>
          </cell>
          <cell r="C541" t="str">
            <v>Vi Văn Tuấn</v>
          </cell>
          <cell r="D541" t="str">
            <v>VI VAN TUAN</v>
          </cell>
          <cell r="E541" t="str">
            <v>050140521601</v>
          </cell>
          <cell r="F541" t="str">
            <v>C15361VI VAN TUAN050140521601</v>
          </cell>
        </row>
        <row r="542">
          <cell r="B542" t="str">
            <v>V057</v>
          </cell>
          <cell r="C542" t="str">
            <v>Hà Thị Lương</v>
          </cell>
          <cell r="D542" t="str">
            <v>HA THI LUONG</v>
          </cell>
          <cell r="E542" t="str">
            <v>050042517965</v>
          </cell>
          <cell r="F542" t="str">
            <v>V057HA THI LUONG050042517965</v>
          </cell>
        </row>
        <row r="543">
          <cell r="B543" t="str">
            <v>V075</v>
          </cell>
          <cell r="C543" t="str">
            <v>Trần Thị Tứ</v>
          </cell>
          <cell r="D543" t="str">
            <v>TRAN THI TU</v>
          </cell>
          <cell r="E543" t="str">
            <v>050040795836</v>
          </cell>
          <cell r="F543" t="str">
            <v>V075TRAN THI TU050040795836</v>
          </cell>
        </row>
        <row r="544">
          <cell r="B544" t="str">
            <v>C10631</v>
          </cell>
          <cell r="C544" t="str">
            <v>Bùi Thị Nga</v>
          </cell>
          <cell r="D544" t="str">
            <v>BUI THI NGA</v>
          </cell>
          <cell r="E544" t="str">
            <v>050078773909</v>
          </cell>
          <cell r="F544" t="str">
            <v>C10631BUI THI NGA050078773909</v>
          </cell>
        </row>
        <row r="545">
          <cell r="B545" t="str">
            <v>C11642</v>
          </cell>
          <cell r="C545" t="str">
            <v>Trần Thị Thu Thủy</v>
          </cell>
          <cell r="D545" t="str">
            <v>TRAN THI THU THUY</v>
          </cell>
          <cell r="E545" t="str">
            <v>050115309282</v>
          </cell>
          <cell r="F545" t="str">
            <v>C11642TRAN THI THU THUY050115309282</v>
          </cell>
        </row>
        <row r="546">
          <cell r="B546" t="str">
            <v>C14758</v>
          </cell>
          <cell r="C546" t="str">
            <v>Võ Thị Xuân Anh</v>
          </cell>
          <cell r="D546" t="str">
            <v>VO THI XUAN ANH</v>
          </cell>
          <cell r="E546" t="str">
            <v>050136133801</v>
          </cell>
          <cell r="F546" t="str">
            <v>C14758VO THI XUAN ANH050136133801</v>
          </cell>
        </row>
        <row r="547">
          <cell r="B547" t="str">
            <v>C0760</v>
          </cell>
          <cell r="C547" t="str">
            <v>Trần Thị Diệu Hiền</v>
          </cell>
          <cell r="D547" t="str">
            <v>TRAN THI DIEU HIEN</v>
          </cell>
          <cell r="E547" t="str">
            <v>050040817678</v>
          </cell>
          <cell r="F547" t="str">
            <v>C0760TRAN THI DIEU HIEN050040817678</v>
          </cell>
        </row>
        <row r="548">
          <cell r="B548" t="str">
            <v>C4494</v>
          </cell>
          <cell r="C548" t="str">
            <v>Huỳnh Duy Quốc</v>
          </cell>
          <cell r="D548" t="str">
            <v>HUYNH DUY QUOC</v>
          </cell>
          <cell r="E548" t="str">
            <v>050052443978</v>
          </cell>
          <cell r="F548" t="str">
            <v>C4494HUYNH DUY QUOC050052443978</v>
          </cell>
        </row>
        <row r="549">
          <cell r="B549" t="str">
            <v>C7381</v>
          </cell>
          <cell r="C549" t="str">
            <v>Nguyễn Thị Tâm</v>
          </cell>
          <cell r="D549" t="str">
            <v>NGUYEN THI TAM</v>
          </cell>
          <cell r="E549" t="str">
            <v>050097086874</v>
          </cell>
          <cell r="F549" t="str">
            <v>C7381NGUYEN THI TAM050097086874</v>
          </cell>
        </row>
        <row r="550">
          <cell r="B550" t="str">
            <v>C7691</v>
          </cell>
          <cell r="C550" t="str">
            <v>Nguyễn Văn Linh</v>
          </cell>
          <cell r="D550" t="str">
            <v>NGUYEN VAN LINH</v>
          </cell>
          <cell r="E550" t="str">
            <v>050035678236</v>
          </cell>
          <cell r="F550" t="str">
            <v>C7691NGUYEN VAN LINH050035678236</v>
          </cell>
        </row>
        <row r="551">
          <cell r="B551" t="str">
            <v>C7760</v>
          </cell>
          <cell r="C551" t="str">
            <v>Nguyễn Thị Phương Hoa</v>
          </cell>
          <cell r="D551" t="str">
            <v>NGUYEN THI PHUONG HOA</v>
          </cell>
          <cell r="E551" t="str">
            <v>050040795968</v>
          </cell>
          <cell r="F551" t="str">
            <v>C7760NGUYEN THI PHUONG HOA050040795968</v>
          </cell>
        </row>
        <row r="552">
          <cell r="B552" t="str">
            <v>C11683</v>
          </cell>
          <cell r="C552" t="str">
            <v>Nguyễn Đình Cảnh</v>
          </cell>
          <cell r="D552" t="str">
            <v>NGUYEN DINH CANH</v>
          </cell>
          <cell r="E552" t="str">
            <v>050075311998</v>
          </cell>
          <cell r="F552" t="str">
            <v>C11683NGUYEN DINH CANH050075311998</v>
          </cell>
        </row>
        <row r="553">
          <cell r="B553" t="str">
            <v>C3439</v>
          </cell>
          <cell r="C553" t="str">
            <v>Trần Văn Tiến</v>
          </cell>
          <cell r="D553" t="str">
            <v>TRAN VAN TIEN</v>
          </cell>
          <cell r="E553" t="str">
            <v>050040874140</v>
          </cell>
          <cell r="F553" t="str">
            <v>C3439TRAN VAN TIEN050040874140</v>
          </cell>
        </row>
        <row r="554">
          <cell r="B554" t="str">
            <v>C4999</v>
          </cell>
          <cell r="C554" t="str">
            <v>Lê Ngọc Hùng</v>
          </cell>
          <cell r="D554" t="str">
            <v>LE NGOC HUNG</v>
          </cell>
          <cell r="E554" t="str">
            <v>050040823368</v>
          </cell>
          <cell r="F554" t="str">
            <v>C4999LE NGOC HUNG050040823368</v>
          </cell>
        </row>
        <row r="555">
          <cell r="B555" t="str">
            <v>C3196</v>
          </cell>
          <cell r="C555" t="str">
            <v>Lê Thị Ngọc Nga</v>
          </cell>
          <cell r="D555" t="str">
            <v>LE THI NGOC NGA</v>
          </cell>
          <cell r="E555" t="str">
            <v>050040817171</v>
          </cell>
          <cell r="F555" t="str">
            <v>C3196LE THI NGOC NGA050040817171</v>
          </cell>
        </row>
        <row r="556">
          <cell r="B556" t="str">
            <v>C7644</v>
          </cell>
          <cell r="C556" t="str">
            <v>Nguyễn Hoàng Minh Thư</v>
          </cell>
          <cell r="D556" t="str">
            <v>NGUYEN HOANG MINH THU</v>
          </cell>
          <cell r="E556" t="str">
            <v>050099643053</v>
          </cell>
          <cell r="F556" t="str">
            <v>C7644NGUYEN HOANG MINH THU050099643053</v>
          </cell>
        </row>
        <row r="557">
          <cell r="B557" t="str">
            <v>C10642</v>
          </cell>
          <cell r="C557" t="str">
            <v>Hồ Thị Vinh</v>
          </cell>
          <cell r="D557" t="str">
            <v>HO THI VINH</v>
          </cell>
          <cell r="E557" t="str">
            <v>050063340951</v>
          </cell>
          <cell r="F557" t="str">
            <v>C10642HO THI VINH050063340951</v>
          </cell>
        </row>
        <row r="558">
          <cell r="B558" t="str">
            <v>C11234</v>
          </cell>
          <cell r="C558" t="str">
            <v>Trần Phạm Tuấn Anh</v>
          </cell>
          <cell r="D558" t="str">
            <v>TRAN PHAM TUAN ANH</v>
          </cell>
          <cell r="E558" t="str">
            <v>050112343765</v>
          </cell>
          <cell r="F558" t="str">
            <v>C11234TRAN PHAM TUAN ANH050112343765</v>
          </cell>
        </row>
        <row r="559">
          <cell r="B559" t="str">
            <v>C11550</v>
          </cell>
          <cell r="C559" t="str">
            <v>Nguyễn Thị Kim Trang</v>
          </cell>
          <cell r="D559" t="str">
            <v>NGUYEN THI KIM TRANG</v>
          </cell>
          <cell r="E559" t="str">
            <v>050113381581</v>
          </cell>
          <cell r="F559" t="str">
            <v>C11550NGUYEN THI KIM TRANG050113381581</v>
          </cell>
        </row>
        <row r="560">
          <cell r="B560" t="str">
            <v>C12941</v>
          </cell>
          <cell r="C560" t="str">
            <v>Vũ Thị Hạnh</v>
          </cell>
          <cell r="D560" t="str">
            <v>VU THI HANH</v>
          </cell>
          <cell r="E560" t="str">
            <v>050109384795</v>
          </cell>
          <cell r="F560" t="str">
            <v>C12941VU THI HANH050109384795</v>
          </cell>
        </row>
        <row r="561">
          <cell r="B561" t="str">
            <v>C14417</v>
          </cell>
          <cell r="C561" t="str">
            <v>Vũ Thị Mỹ Hạnh</v>
          </cell>
          <cell r="D561" t="str">
            <v>VU THI MY HANH</v>
          </cell>
          <cell r="E561" t="str">
            <v>050124525192</v>
          </cell>
          <cell r="F561" t="str">
            <v>C14417VU THI MY HANH050124525192</v>
          </cell>
        </row>
        <row r="562">
          <cell r="B562" t="str">
            <v>C14421</v>
          </cell>
          <cell r="C562" t="str">
            <v>Lê Thị Thu Hiền</v>
          </cell>
          <cell r="D562" t="str">
            <v>LE THI THU HIEN</v>
          </cell>
          <cell r="E562" t="str">
            <v>050059645096</v>
          </cell>
          <cell r="F562" t="str">
            <v>C14421LE THI THU HIEN050059645096</v>
          </cell>
        </row>
        <row r="563">
          <cell r="B563" t="str">
            <v>C14573</v>
          </cell>
          <cell r="C563" t="str">
            <v>Lê Thị Hồng Bước</v>
          </cell>
          <cell r="D563" t="str">
            <v>LE THI HONG BUOC</v>
          </cell>
          <cell r="E563" t="str">
            <v>060260778504</v>
          </cell>
          <cell r="F563" t="str">
            <v>C14573LE THI HONG BUOC060260778504</v>
          </cell>
        </row>
        <row r="564">
          <cell r="B564" t="str">
            <v>C13485</v>
          </cell>
          <cell r="C564" t="str">
            <v>Hồ Vĩnh Bình</v>
          </cell>
          <cell r="D564" t="str">
            <v>HO VINH BINH</v>
          </cell>
          <cell r="E564" t="str">
            <v>050094096895</v>
          </cell>
          <cell r="F564" t="str">
            <v>C13485HO VINH BINH050094096895</v>
          </cell>
        </row>
        <row r="565">
          <cell r="B565" t="str">
            <v>C14623</v>
          </cell>
          <cell r="C565" t="str">
            <v>Trần Văn Hoài</v>
          </cell>
          <cell r="D565" t="str">
            <v>TRAN VAN HOAI</v>
          </cell>
          <cell r="E565" t="str">
            <v>050040818690</v>
          </cell>
          <cell r="F565" t="str">
            <v>C14623TRAN VAN HOAI050040818690</v>
          </cell>
        </row>
        <row r="566">
          <cell r="B566" t="str">
            <v>V068</v>
          </cell>
          <cell r="C566" t="str">
            <v>Nguyễn Đình Quân</v>
          </cell>
          <cell r="D566" t="str">
            <v>NGUYEN DINH QUAN</v>
          </cell>
          <cell r="E566" t="str">
            <v>050040796050</v>
          </cell>
          <cell r="F566" t="str">
            <v>V068NGUYEN DINH QUAN050040796050</v>
          </cell>
        </row>
        <row r="567">
          <cell r="B567" t="str">
            <v>C5702</v>
          </cell>
          <cell r="C567" t="str">
            <v>Lê Thị Thanh Hoài</v>
          </cell>
          <cell r="D567" t="str">
            <v>LE THI THANH HOAI</v>
          </cell>
          <cell r="E567" t="str">
            <v>050040812511</v>
          </cell>
          <cell r="F567" t="str">
            <v>C5702LE THI THANH HOAI050040812511</v>
          </cell>
        </row>
        <row r="568">
          <cell r="B568" t="str">
            <v>C6997</v>
          </cell>
          <cell r="C568" t="str">
            <v>Trương Thị Ngọc Dung</v>
          </cell>
          <cell r="D568" t="str">
            <v>TRUONG THI NGOC DUNG</v>
          </cell>
          <cell r="E568" t="str">
            <v>050077160032</v>
          </cell>
          <cell r="F568" t="str">
            <v>C6997TRUONG THI NGOC DUNG050077160032</v>
          </cell>
        </row>
        <row r="569">
          <cell r="B569" t="str">
            <v>C7411</v>
          </cell>
          <cell r="C569" t="str">
            <v>Hồ Thị Thu Thảo</v>
          </cell>
          <cell r="D569" t="str">
            <v>HO THI THU THAO</v>
          </cell>
          <cell r="E569" t="str">
            <v>050096813829</v>
          </cell>
          <cell r="F569" t="str">
            <v>C7411HO THI THU THAO050096813829</v>
          </cell>
        </row>
        <row r="570">
          <cell r="B570" t="str">
            <v>C15363</v>
          </cell>
          <cell r="C570" t="str">
            <v>Võ Hồng Ngọc</v>
          </cell>
          <cell r="D570" t="str">
            <v>VO HONG NGOC</v>
          </cell>
          <cell r="E570" t="str">
            <v>050143854423</v>
          </cell>
          <cell r="F570" t="str">
            <v>C15363VO HONG NGOC050143854423</v>
          </cell>
        </row>
        <row r="571">
          <cell r="B571" t="str">
            <v>C8137</v>
          </cell>
          <cell r="C571" t="str">
            <v>Nguyễn Thị Kim Ngân</v>
          </cell>
          <cell r="D571" t="str">
            <v>NGUYEN THI KIM NGAN</v>
          </cell>
          <cell r="E571" t="str">
            <v>050104420521</v>
          </cell>
          <cell r="F571" t="str">
            <v>C8137NGUYEN THI KIM NGAN050104420521</v>
          </cell>
        </row>
        <row r="572">
          <cell r="B572" t="str">
            <v>C12074</v>
          </cell>
          <cell r="C572" t="str">
            <v>Hồ Thị Nga</v>
          </cell>
          <cell r="D572" t="str">
            <v>HO THI NGA</v>
          </cell>
          <cell r="E572" t="str">
            <v>050116652967</v>
          </cell>
          <cell r="F572" t="str">
            <v>C12074HO THI NGA050116652967</v>
          </cell>
        </row>
        <row r="573">
          <cell r="B573" t="str">
            <v>C12337</v>
          </cell>
          <cell r="C573" t="str">
            <v>Nguyễn Thị Mộng Cầm</v>
          </cell>
          <cell r="D573" t="str">
            <v>NGUYEN THI MONG CAM</v>
          </cell>
          <cell r="E573" t="str">
            <v>050075421254</v>
          </cell>
          <cell r="F573" t="str">
            <v>C12337NGUYEN THI MONG CAM050075421254</v>
          </cell>
        </row>
        <row r="574">
          <cell r="B574" t="str">
            <v>C14474</v>
          </cell>
          <cell r="C574" t="str">
            <v>Nguyễn Công Tài</v>
          </cell>
          <cell r="D574" t="str">
            <v>NGUYEN CONG TAI</v>
          </cell>
          <cell r="E574" t="str">
            <v>050135058741</v>
          </cell>
          <cell r="F574" t="str">
            <v>C14474NGUYEN CONG TAI050135058741</v>
          </cell>
        </row>
        <row r="575">
          <cell r="B575" t="str">
            <v>C14561</v>
          </cell>
          <cell r="C575" t="str">
            <v>Trần Thị Hương</v>
          </cell>
          <cell r="D575" t="str">
            <v>TRAN THI HUONG</v>
          </cell>
          <cell r="E575" t="str">
            <v>050040796514</v>
          </cell>
          <cell r="F575" t="str">
            <v>C14561TRAN THI HUONG050040796514</v>
          </cell>
        </row>
        <row r="576">
          <cell r="B576" t="str">
            <v>C10474</v>
          </cell>
          <cell r="C576" t="str">
            <v>Nguyễn Thị Sinh</v>
          </cell>
          <cell r="D576" t="str">
            <v>NGUYEN THI SINH</v>
          </cell>
          <cell r="E576" t="str">
            <v>050040931731</v>
          </cell>
          <cell r="F576" t="str">
            <v>C10474NGUYEN THI SINH050040931731</v>
          </cell>
        </row>
        <row r="577">
          <cell r="B577" t="str">
            <v>C14059</v>
          </cell>
          <cell r="C577" t="str">
            <v>Ngô Doãn Thụy</v>
          </cell>
          <cell r="D577" t="str">
            <v>NGO DOAN THUY</v>
          </cell>
          <cell r="E577" t="str">
            <v>050128639362</v>
          </cell>
          <cell r="F577" t="str">
            <v>C14059NGO DOAN THUY050128639362</v>
          </cell>
        </row>
        <row r="578">
          <cell r="B578" t="str">
            <v>C14416</v>
          </cell>
          <cell r="C578" t="str">
            <v>Nguyễn Văn Tèo</v>
          </cell>
          <cell r="D578" t="str">
            <v>NGUYEN VAN TEO</v>
          </cell>
          <cell r="E578" t="str">
            <v>050132870842</v>
          </cell>
          <cell r="F578" t="str">
            <v>C14416NGUYEN VAN TEO050132870842</v>
          </cell>
        </row>
        <row r="579">
          <cell r="B579" t="str">
            <v>C15437</v>
          </cell>
          <cell r="C579" t="str">
            <v>Lê Thị Xoan</v>
          </cell>
          <cell r="D579" t="str">
            <v>LE THI XOAN</v>
          </cell>
          <cell r="E579" t="str">
            <v>030040244294</v>
          </cell>
          <cell r="F579" t="str">
            <v>C15437LE THI XOAN030040244294</v>
          </cell>
        </row>
        <row r="580">
          <cell r="B580" t="str">
            <v>C6347</v>
          </cell>
          <cell r="C580" t="str">
            <v>Đỗ Thị Thanh Tú</v>
          </cell>
          <cell r="D580" t="str">
            <v>DO THI THANH TU</v>
          </cell>
          <cell r="E580" t="str">
            <v>050053264864</v>
          </cell>
          <cell r="F580" t="str">
            <v>C6347DO THI THANH TU050053264864</v>
          </cell>
        </row>
        <row r="581">
          <cell r="B581" t="str">
            <v>C10718</v>
          </cell>
          <cell r="C581" t="str">
            <v>Hồ Thị Thanh Thoa</v>
          </cell>
          <cell r="D581" t="str">
            <v>HO THI THANH THOA</v>
          </cell>
          <cell r="E581" t="str">
            <v>050065073681</v>
          </cell>
          <cell r="F581" t="str">
            <v>C10718HO THI THANH THOA050065073681</v>
          </cell>
        </row>
        <row r="582">
          <cell r="B582" t="str">
            <v>C12365</v>
          </cell>
          <cell r="C582" t="str">
            <v>Ngô Phú Cường</v>
          </cell>
          <cell r="D582" t="str">
            <v>NGO PHU CUONG</v>
          </cell>
          <cell r="E582" t="str">
            <v>050118169937</v>
          </cell>
          <cell r="F582" t="str">
            <v>C12365NGO PHU CUONG050118169937</v>
          </cell>
        </row>
        <row r="583">
          <cell r="B583" t="str">
            <v>C0827</v>
          </cell>
          <cell r="C583" t="str">
            <v>Hoàng Thị Sen</v>
          </cell>
          <cell r="D583" t="str">
            <v>HOANG THI SEN</v>
          </cell>
          <cell r="E583" t="str">
            <v>050040932371</v>
          </cell>
          <cell r="F583" t="str">
            <v>C0827HOANG THI SEN050040932371</v>
          </cell>
        </row>
        <row r="584">
          <cell r="B584" t="str">
            <v>C4542</v>
          </cell>
          <cell r="C584" t="str">
            <v>Nguyễn Văn Hiếu</v>
          </cell>
          <cell r="D584" t="str">
            <v>NGUYEN VAN HIEU</v>
          </cell>
          <cell r="E584" t="str">
            <v>050040824674</v>
          </cell>
          <cell r="F584" t="str">
            <v>C4542NGUYEN VAN HIEU050040824674</v>
          </cell>
        </row>
        <row r="585">
          <cell r="B585" t="str">
            <v>C5000</v>
          </cell>
          <cell r="C585" t="str">
            <v>Lê Thị Lan</v>
          </cell>
          <cell r="D585" t="str">
            <v>LE THI LAN</v>
          </cell>
          <cell r="E585" t="str">
            <v>050040851701</v>
          </cell>
          <cell r="F585" t="str">
            <v>C5000LE THI LAN050040851701</v>
          </cell>
        </row>
        <row r="586">
          <cell r="B586" t="str">
            <v>C6059</v>
          </cell>
          <cell r="C586" t="str">
            <v>Đào Thị Trâm</v>
          </cell>
          <cell r="D586" t="str">
            <v>DAO THI TRAM</v>
          </cell>
          <cell r="E586" t="str">
            <v>050040931055</v>
          </cell>
          <cell r="F586" t="str">
            <v>C6059DAO THI TRAM050040931055</v>
          </cell>
        </row>
        <row r="587">
          <cell r="B587" t="str">
            <v>C6060</v>
          </cell>
          <cell r="C587" t="str">
            <v>Lê Thị Nhã Ca</v>
          </cell>
          <cell r="D587" t="str">
            <v>LE THI NHA CA</v>
          </cell>
          <cell r="E587" t="str">
            <v>050040850391</v>
          </cell>
          <cell r="F587" t="str">
            <v>C6060LE THI NHA CA050040850391</v>
          </cell>
        </row>
        <row r="588">
          <cell r="B588" t="str">
            <v>C6407</v>
          </cell>
          <cell r="C588" t="str">
            <v>Điểu Dũng</v>
          </cell>
          <cell r="D588" t="str">
            <v>DIEU DUNG</v>
          </cell>
          <cell r="E588" t="str">
            <v>050043080234</v>
          </cell>
          <cell r="F588" t="str">
            <v>C6407DIEU DUNG050043080234</v>
          </cell>
        </row>
        <row r="589">
          <cell r="B589" t="str">
            <v>C6701</v>
          </cell>
          <cell r="C589" t="str">
            <v>Nguyễn Thị Bảo Quyên</v>
          </cell>
          <cell r="D589" t="str">
            <v>NGUYEN THI BAO QUYEN</v>
          </cell>
          <cell r="E589" t="str">
            <v>050068233183</v>
          </cell>
          <cell r="F589" t="str">
            <v>C6701NGUYEN THI BAO QUYEN050068233183</v>
          </cell>
        </row>
        <row r="590">
          <cell r="B590" t="str">
            <v>C7598</v>
          </cell>
          <cell r="C590" t="str">
            <v>Phạm Thị Hoài</v>
          </cell>
          <cell r="D590" t="str">
            <v>PHAM THI HOAI</v>
          </cell>
          <cell r="E590" t="str">
            <v>050100616006</v>
          </cell>
          <cell r="F590" t="str">
            <v>C7598PHAM THI HOAI050100616006</v>
          </cell>
        </row>
        <row r="591">
          <cell r="B591" t="str">
            <v>C12585</v>
          </cell>
          <cell r="C591" t="str">
            <v>Điểu thị Thu</v>
          </cell>
          <cell r="D591" t="str">
            <v>DIEU THI THU</v>
          </cell>
          <cell r="E591" t="str">
            <v>050091458321</v>
          </cell>
          <cell r="F591" t="str">
            <v>C12585DIEU THI THU050091458321</v>
          </cell>
        </row>
        <row r="592">
          <cell r="B592" t="str">
            <v>C14140</v>
          </cell>
          <cell r="C592" t="str">
            <v>Hà Thị Thu Hà</v>
          </cell>
          <cell r="D592" t="str">
            <v>HA THI THU HA</v>
          </cell>
          <cell r="E592" t="str">
            <v>050091892844</v>
          </cell>
          <cell r="F592" t="str">
            <v>C14140HA THI THU HA050091892844</v>
          </cell>
        </row>
        <row r="593">
          <cell r="B593" t="str">
            <v>C7208</v>
          </cell>
          <cell r="C593" t="str">
            <v>Lâm Lầy</v>
          </cell>
          <cell r="D593" t="str">
            <v>LAM LAY</v>
          </cell>
          <cell r="E593" t="str">
            <v>050087500885</v>
          </cell>
          <cell r="F593" t="str">
            <v>C7208LAM LAY050087500885</v>
          </cell>
        </row>
        <row r="594">
          <cell r="B594" t="str">
            <v>C11772</v>
          </cell>
          <cell r="C594" t="str">
            <v>Nguyễn Thị Mộng Cầm</v>
          </cell>
          <cell r="D594" t="str">
            <v>NGUYEN THI MONG CAM</v>
          </cell>
          <cell r="E594" t="str">
            <v>050116750292</v>
          </cell>
          <cell r="F594" t="str">
            <v>C11772NGUYEN THI MONG CAM050116750292</v>
          </cell>
        </row>
        <row r="595">
          <cell r="B595" t="str">
            <v>C10537</v>
          </cell>
          <cell r="C595" t="str">
            <v>Lê Thị Hiệp</v>
          </cell>
          <cell r="D595" t="str">
            <v>LE THI HIEP</v>
          </cell>
          <cell r="E595" t="str">
            <v>050058077302</v>
          </cell>
          <cell r="F595" t="str">
            <v>C10537LE THI HIEP050058077302</v>
          </cell>
        </row>
        <row r="596">
          <cell r="B596" t="str">
            <v>C11663</v>
          </cell>
          <cell r="C596" t="str">
            <v>Hoàng Thị Thu Hằng</v>
          </cell>
          <cell r="D596" t="str">
            <v>HOANG THI THU HANG</v>
          </cell>
          <cell r="E596" t="str">
            <v>050115134083</v>
          </cell>
          <cell r="F596" t="str">
            <v>C11663HOANG THI THU HANG050115134083</v>
          </cell>
        </row>
        <row r="597">
          <cell r="B597" t="str">
            <v>C13780</v>
          </cell>
          <cell r="C597" t="str">
            <v>Vũ Thị Ngọc Huyền</v>
          </cell>
          <cell r="D597" t="str">
            <v>VU THI NGOC HUYEN</v>
          </cell>
          <cell r="E597" t="str">
            <v>050095864195</v>
          </cell>
          <cell r="F597" t="str">
            <v>C13780VU THI NGOC HUYEN050095864195</v>
          </cell>
        </row>
        <row r="598">
          <cell r="B598" t="str">
            <v>C1462</v>
          </cell>
          <cell r="C598" t="str">
            <v>Nguyễn Đức Lương</v>
          </cell>
          <cell r="D598" t="str">
            <v>NGUYEN DUC LUONG</v>
          </cell>
          <cell r="E598" t="str">
            <v>050040934623</v>
          </cell>
          <cell r="F598" t="str">
            <v>C1462NGUYEN DUC LUONG050040934623</v>
          </cell>
        </row>
        <row r="599">
          <cell r="B599" t="str">
            <v>C4283</v>
          </cell>
          <cell r="C599" t="str">
            <v>Hồ Thị Thanh Trúc</v>
          </cell>
          <cell r="D599" t="str">
            <v>HO THI THANH TRUC</v>
          </cell>
          <cell r="E599" t="str">
            <v>050040845450</v>
          </cell>
          <cell r="F599" t="str">
            <v>C4283HO THI THANH TRUC050040845450</v>
          </cell>
        </row>
        <row r="600">
          <cell r="B600" t="str">
            <v>C5097</v>
          </cell>
          <cell r="C600" t="str">
            <v>Kiều Quốc Minh</v>
          </cell>
          <cell r="D600" t="str">
            <v>KIEU QUOC MINH</v>
          </cell>
          <cell r="E600" t="str">
            <v>050040851728</v>
          </cell>
          <cell r="F600" t="str">
            <v>C5097KIEU QUOC MINH050040851728</v>
          </cell>
        </row>
        <row r="601">
          <cell r="B601" t="str">
            <v>C7978</v>
          </cell>
          <cell r="C601" t="str">
            <v>Phan Văn Đốc</v>
          </cell>
          <cell r="D601" t="str">
            <v>PHAN VAN DOC</v>
          </cell>
          <cell r="E601" t="str">
            <v>050020215507</v>
          </cell>
          <cell r="F601" t="str">
            <v>C7978PHAN VAN DOC050020215507</v>
          </cell>
        </row>
        <row r="602">
          <cell r="B602" t="str">
            <v>C8243</v>
          </cell>
          <cell r="C602" t="str">
            <v>Phạm Ngọc Tấn</v>
          </cell>
          <cell r="D602" t="str">
            <v>PHAM NGOC TAN</v>
          </cell>
          <cell r="E602" t="str">
            <v>050087815185</v>
          </cell>
          <cell r="F602" t="str">
            <v>C8243PHAM NGOC TAN050087815185</v>
          </cell>
        </row>
        <row r="603">
          <cell r="B603" t="str">
            <v>C12624</v>
          </cell>
          <cell r="C603" t="str">
            <v>Vũ thị Thanh</v>
          </cell>
          <cell r="D603" t="str">
            <v>VU THI THANH</v>
          </cell>
          <cell r="E603" t="str">
            <v>050121161696</v>
          </cell>
          <cell r="F603" t="str">
            <v>C12624VU THI THANH050121161696</v>
          </cell>
        </row>
        <row r="604">
          <cell r="B604" t="str">
            <v>C13257</v>
          </cell>
          <cell r="C604" t="str">
            <v>Nguyễn Thanh Long</v>
          </cell>
          <cell r="D604" t="str">
            <v>NGUYEN THANH LONG</v>
          </cell>
          <cell r="E604" t="str">
            <v>050039646411</v>
          </cell>
          <cell r="F604" t="str">
            <v>C13257NGUYEN THANH LONG050039646411</v>
          </cell>
        </row>
        <row r="605">
          <cell r="B605" t="str">
            <v>C14062</v>
          </cell>
          <cell r="C605" t="str">
            <v>Hồng Thị Thu Thủy</v>
          </cell>
          <cell r="D605" t="str">
            <v>HONG THI THU THUY</v>
          </cell>
          <cell r="E605" t="str">
            <v>050121702662</v>
          </cell>
          <cell r="F605" t="str">
            <v>C14062HONG THI THU THUY050121702662</v>
          </cell>
        </row>
        <row r="606">
          <cell r="B606" t="str">
            <v>C14459</v>
          </cell>
          <cell r="C606" t="str">
            <v>Lê Văn Đà</v>
          </cell>
          <cell r="D606" t="str">
            <v>LE VAN DA</v>
          </cell>
          <cell r="E606" t="str">
            <v>050097640571</v>
          </cell>
          <cell r="F606" t="str">
            <v>C14459LE VAN DA050097640571</v>
          </cell>
        </row>
        <row r="607">
          <cell r="B607" t="str">
            <v>C15335</v>
          </cell>
          <cell r="C607" t="str">
            <v>Phạm Thị Thanh Thanh</v>
          </cell>
          <cell r="D607" t="str">
            <v>PHAM THI THANH THANH</v>
          </cell>
          <cell r="E607" t="str">
            <v>050040933902</v>
          </cell>
          <cell r="F607" t="str">
            <v>C15335PHAM THI THANH THANH050040933902</v>
          </cell>
        </row>
        <row r="608">
          <cell r="B608" t="str">
            <v>V004</v>
          </cell>
          <cell r="C608" t="str">
            <v>Hồ Mạnh Hoàng</v>
          </cell>
          <cell r="D608" t="str">
            <v>HO MANH HOANG</v>
          </cell>
          <cell r="E608" t="str">
            <v>050040831654</v>
          </cell>
          <cell r="F608" t="str">
            <v>V004HO MANH HOANG050040831654</v>
          </cell>
        </row>
        <row r="609">
          <cell r="B609" t="str">
            <v>C11457</v>
          </cell>
          <cell r="C609" t="str">
            <v>Nguyễn Đăng Hoàng</v>
          </cell>
          <cell r="D609" t="str">
            <v>NGUYEN DANG HOANG</v>
          </cell>
          <cell r="E609" t="str">
            <v>050112507725</v>
          </cell>
          <cell r="F609" t="str">
            <v>C11457NGUYEN DANG HOANG050112507725</v>
          </cell>
        </row>
        <row r="610">
          <cell r="B610" t="str">
            <v>C12385</v>
          </cell>
          <cell r="C610" t="str">
            <v>Hoàng Chính Nghĩa</v>
          </cell>
          <cell r="D610" t="str">
            <v>HOANG CHINH NGHIA</v>
          </cell>
          <cell r="E610" t="str">
            <v>050054746137</v>
          </cell>
          <cell r="F610" t="str">
            <v>C12385HOANG CHINH NGHIA050054746137</v>
          </cell>
        </row>
        <row r="611">
          <cell r="B611" t="str">
            <v>C14260</v>
          </cell>
          <cell r="C611" t="str">
            <v>Nguyễn Đình Bảo</v>
          </cell>
          <cell r="D611" t="str">
            <v>NGUYEN DINH BAO</v>
          </cell>
          <cell r="E611" t="str">
            <v>050129283456</v>
          </cell>
          <cell r="F611" t="str">
            <v>C14260NGUYEN DINH BAO050129283456</v>
          </cell>
        </row>
        <row r="612">
          <cell r="B612" t="str">
            <v>C14422</v>
          </cell>
          <cell r="C612" t="str">
            <v>Đoàn Minh Tâm</v>
          </cell>
          <cell r="D612" t="str">
            <v>DOAN MINH TAM</v>
          </cell>
          <cell r="E612" t="str">
            <v>050040831417</v>
          </cell>
          <cell r="F612" t="str">
            <v>C14422DOAN MINH TAM050040831417</v>
          </cell>
        </row>
        <row r="613">
          <cell r="B613" t="str">
            <v>C5715</v>
          </cell>
          <cell r="C613" t="str">
            <v>Nguyễn Thị Lê</v>
          </cell>
          <cell r="D613" t="str">
            <v>NGUYEN THI LE</v>
          </cell>
          <cell r="E613" t="str">
            <v>050040796611</v>
          </cell>
          <cell r="F613" t="str">
            <v>C5715NGUYEN THI LE050040796611</v>
          </cell>
        </row>
        <row r="614">
          <cell r="B614" t="str">
            <v>C5922</v>
          </cell>
          <cell r="C614" t="str">
            <v>Nguyễn Thị Thu Giang</v>
          </cell>
          <cell r="D614" t="str">
            <v>NGUYEN THI THU GIANG</v>
          </cell>
          <cell r="E614" t="str">
            <v>050040796492</v>
          </cell>
          <cell r="F614" t="str">
            <v>C5922NGUYEN THI THU GIANG050040796492</v>
          </cell>
        </row>
        <row r="615">
          <cell r="B615" t="str">
            <v>C7281</v>
          </cell>
          <cell r="C615" t="str">
            <v>Nguyễn Thị Thúy Hằng</v>
          </cell>
          <cell r="D615" t="str">
            <v>NGUYEN THI THUY HANG</v>
          </cell>
          <cell r="E615" t="str">
            <v>050090478408</v>
          </cell>
          <cell r="F615" t="str">
            <v>C7281NGUYEN THI THUY HANG050090478408</v>
          </cell>
        </row>
        <row r="616">
          <cell r="B616" t="str">
            <v>C7293</v>
          </cell>
          <cell r="C616" t="str">
            <v>Nguyễn Thành Sơn</v>
          </cell>
          <cell r="D616" t="str">
            <v>NGUYEN THANH SON</v>
          </cell>
          <cell r="E616" t="str">
            <v>050090476855</v>
          </cell>
          <cell r="F616" t="str">
            <v>C7293NGUYEN THANH SON050090476855</v>
          </cell>
        </row>
        <row r="617">
          <cell r="B617" t="str">
            <v>C7392</v>
          </cell>
          <cell r="C617" t="str">
            <v>Nguyễn Ngọc Sơn</v>
          </cell>
          <cell r="D617" t="str">
            <v>NGUYEN NGOC SON</v>
          </cell>
          <cell r="E617" t="str">
            <v>050120366383</v>
          </cell>
          <cell r="F617" t="str">
            <v>C7392NGUYEN NGOC SON050120366383</v>
          </cell>
        </row>
        <row r="618">
          <cell r="B618" t="str">
            <v>C7624</v>
          </cell>
          <cell r="C618" t="str">
            <v>Trần Thị Thu Hiền</v>
          </cell>
          <cell r="D618" t="str">
            <v>TRAN THI THU HIEN</v>
          </cell>
          <cell r="E618" t="str">
            <v>050072622641</v>
          </cell>
          <cell r="F618" t="str">
            <v>C7624TRAN THI THU HIEN050072622641</v>
          </cell>
        </row>
        <row r="619">
          <cell r="B619" t="str">
            <v>C12169</v>
          </cell>
          <cell r="C619" t="str">
            <v>Quan Hồng Vân</v>
          </cell>
          <cell r="D619" t="str">
            <v>QUAN HONG VAN</v>
          </cell>
          <cell r="E619" t="str">
            <v>050117429331</v>
          </cell>
          <cell r="F619" t="str">
            <v>C12169QUAN HONG VAN050117429331</v>
          </cell>
        </row>
        <row r="620">
          <cell r="B620" t="str">
            <v>C12364</v>
          </cell>
          <cell r="C620" t="str">
            <v>Nguyễn Thị Phương Thảo</v>
          </cell>
          <cell r="D620" t="str">
            <v>NGUYEN THI PHUONG THAO</v>
          </cell>
          <cell r="E620" t="str">
            <v>050106506784</v>
          </cell>
          <cell r="F620" t="str">
            <v>C12364NGUYEN THI PHUONG THAO050106506784</v>
          </cell>
        </row>
        <row r="621">
          <cell r="B621" t="str">
            <v>C15365</v>
          </cell>
          <cell r="C621" t="str">
            <v>Nguyễn Thị Liên</v>
          </cell>
          <cell r="D621" t="str">
            <v>NGUYEN THI LIEN</v>
          </cell>
          <cell r="E621" t="str">
            <v>050044122305</v>
          </cell>
          <cell r="F621" t="str">
            <v>C15365NGUYEN THI LIEN050044122305</v>
          </cell>
        </row>
        <row r="622">
          <cell r="B622" t="str">
            <v>C7100</v>
          </cell>
          <cell r="C622" t="str">
            <v>Võ Văn Thanh</v>
          </cell>
          <cell r="D622" t="str">
            <v>VO VAN THANH</v>
          </cell>
          <cell r="E622" t="str">
            <v>050083467697</v>
          </cell>
          <cell r="F622" t="str">
            <v>C7100VO VAN THANH050083467697</v>
          </cell>
        </row>
        <row r="623">
          <cell r="B623" t="str">
            <v>C15075</v>
          </cell>
          <cell r="C623" t="str">
            <v>Phạm Thị Kiều Oanh</v>
          </cell>
          <cell r="D623" t="str">
            <v>PHAM THI KIEU OANH</v>
          </cell>
          <cell r="E623" t="str">
            <v>050113753908</v>
          </cell>
          <cell r="F623" t="str">
            <v>C15075PHAM THI KIEU OANH050113753908</v>
          </cell>
        </row>
        <row r="624">
          <cell r="B624" t="str">
            <v>C0298</v>
          </cell>
          <cell r="C624" t="str">
            <v>Đặng Thị Hoài Thương</v>
          </cell>
          <cell r="D624" t="str">
            <v>DANG THI HOAI THUONG</v>
          </cell>
          <cell r="E624" t="str">
            <v>050040817724</v>
          </cell>
          <cell r="F624" t="str">
            <v>C0298DANG THI HOAI THUONG050040817724</v>
          </cell>
        </row>
        <row r="625">
          <cell r="B625" t="str">
            <v>C4387</v>
          </cell>
          <cell r="C625" t="str">
            <v>Nguyễn Thị Mai Lan</v>
          </cell>
          <cell r="D625" t="str">
            <v>NGUYEN THI MAI LAN</v>
          </cell>
          <cell r="E625" t="str">
            <v>050040874051</v>
          </cell>
          <cell r="F625" t="str">
            <v>C4387NGUYEN THI MAI LAN050040874051</v>
          </cell>
        </row>
        <row r="626">
          <cell r="B626" t="str">
            <v>C6677</v>
          </cell>
          <cell r="C626" t="str">
            <v>Trần Thị Bích</v>
          </cell>
          <cell r="D626" t="str">
            <v>TRAN THI BICH</v>
          </cell>
          <cell r="E626" t="str">
            <v>050043052842</v>
          </cell>
          <cell r="F626" t="str">
            <v>C6677TRAN THI BICH050043052842</v>
          </cell>
        </row>
        <row r="627">
          <cell r="B627" t="str">
            <v>C7743</v>
          </cell>
          <cell r="C627" t="str">
            <v>Đỗ Quốc Bảo</v>
          </cell>
          <cell r="D627" t="str">
            <v>DO QUOC BAO</v>
          </cell>
          <cell r="E627" t="str">
            <v>050068121016</v>
          </cell>
          <cell r="F627" t="str">
            <v>C7743DO QUOC BAO050068121016</v>
          </cell>
        </row>
        <row r="628">
          <cell r="B628" t="str">
            <v>C12403</v>
          </cell>
          <cell r="C628" t="str">
            <v>Lê Thị Mỹ Duyên</v>
          </cell>
          <cell r="D628" t="str">
            <v>LE THI MY DUYEN</v>
          </cell>
          <cell r="E628" t="str">
            <v>050119454538</v>
          </cell>
          <cell r="F628" t="str">
            <v>C12403LE THI MY DUYEN050119454538</v>
          </cell>
        </row>
        <row r="629">
          <cell r="B629" t="str">
            <v>C12561</v>
          </cell>
          <cell r="C629" t="str">
            <v>Nguyễn Thị Thu Hồng</v>
          </cell>
          <cell r="D629" t="str">
            <v>NGUYEN THI THU HONG</v>
          </cell>
          <cell r="E629" t="str">
            <v>050056732206</v>
          </cell>
          <cell r="F629" t="str">
            <v>C12561NGUYEN THI THU HONG050056732206</v>
          </cell>
        </row>
        <row r="630">
          <cell r="B630" t="str">
            <v>C13256</v>
          </cell>
          <cell r="C630" t="str">
            <v>Hồ Thị Hoài</v>
          </cell>
          <cell r="D630" t="str">
            <v>HO THI HOAI</v>
          </cell>
          <cell r="E630" t="str">
            <v>050055353287</v>
          </cell>
          <cell r="F630" t="str">
            <v>C13256HO THI HOAI050055353287</v>
          </cell>
        </row>
        <row r="631">
          <cell r="B631" t="str">
            <v>C13254</v>
          </cell>
          <cell r="C631" t="str">
            <v>Phạm Thị Tú</v>
          </cell>
          <cell r="D631" t="str">
            <v>PHAM THI TU</v>
          </cell>
          <cell r="E631" t="str">
            <v>050029026111</v>
          </cell>
          <cell r="F631" t="str">
            <v>C13254PHAM THI TU050029026111</v>
          </cell>
        </row>
        <row r="632">
          <cell r="B632" t="str">
            <v>C5107</v>
          </cell>
          <cell r="C632" t="str">
            <v>Roãn Văn Hòa</v>
          </cell>
          <cell r="D632" t="str">
            <v>ROAN VAN HOA</v>
          </cell>
          <cell r="E632" t="str">
            <v>050041004387</v>
          </cell>
          <cell r="F632" t="str">
            <v>C5107ROAN VAN HOA050041004387</v>
          </cell>
        </row>
        <row r="633">
          <cell r="B633" t="str">
            <v>C3657</v>
          </cell>
          <cell r="C633" t="str">
            <v>Lâm Thị Ánh Vân</v>
          </cell>
          <cell r="D633" t="str">
            <v>LAM THI ANH VAN</v>
          </cell>
          <cell r="E633" t="str">
            <v>050040849601</v>
          </cell>
          <cell r="F633" t="str">
            <v>C3657LAM THI ANH VAN050040849601</v>
          </cell>
        </row>
        <row r="634">
          <cell r="B634" t="str">
            <v>C6854</v>
          </cell>
          <cell r="C634" t="str">
            <v>Nguyễn Thái Quốc</v>
          </cell>
          <cell r="D634" t="str">
            <v>NGUYEN THAI QUOC</v>
          </cell>
          <cell r="E634" t="str">
            <v>050063551098</v>
          </cell>
          <cell r="F634" t="str">
            <v>C6854NGUYEN THAI QUOC050063551098</v>
          </cell>
        </row>
        <row r="635">
          <cell r="B635" t="str">
            <v>C5887</v>
          </cell>
          <cell r="C635" t="str">
            <v>Lê Thị Trang Lý</v>
          </cell>
          <cell r="D635" t="str">
            <v>LE THI TRANG LY</v>
          </cell>
          <cell r="E635" t="str">
            <v>050040966215</v>
          </cell>
          <cell r="F635" t="str">
            <v>C5887LE THI TRANG LY050040966215</v>
          </cell>
        </row>
        <row r="636">
          <cell r="B636" t="str">
            <v>C11710</v>
          </cell>
          <cell r="C636" t="str">
            <v>Trần Thị Thanh Lam</v>
          </cell>
          <cell r="D636" t="str">
            <v>TRAN THI THANH LAM</v>
          </cell>
          <cell r="E636" t="str">
            <v>050115373517</v>
          </cell>
          <cell r="F636" t="str">
            <v>C11710TRAN THI THANH LAM050115373517</v>
          </cell>
        </row>
        <row r="637">
          <cell r="B637" t="str">
            <v>C13539</v>
          </cell>
          <cell r="C637" t="str">
            <v>Trần Văn Nhật</v>
          </cell>
          <cell r="D637" t="str">
            <v>TRAN VAN NHAT</v>
          </cell>
          <cell r="E637" t="str">
            <v>050123122566</v>
          </cell>
          <cell r="F637" t="str">
            <v>C13539TRAN VAN NHAT050123122566</v>
          </cell>
        </row>
        <row r="638">
          <cell r="B638" t="str">
            <v>C15362</v>
          </cell>
          <cell r="C638" t="str">
            <v>Vũ Văn Dũng</v>
          </cell>
          <cell r="D638" t="str">
            <v>VU VAN DUNG</v>
          </cell>
          <cell r="E638" t="str">
            <v>050054732578</v>
          </cell>
          <cell r="F638" t="str">
            <v>C15362VU VAN DUNG050054732578</v>
          </cell>
        </row>
        <row r="639">
          <cell r="B639" t="str">
            <v>C5138</v>
          </cell>
          <cell r="C639" t="str">
            <v>Đặng Văn Út</v>
          </cell>
          <cell r="D639" t="str">
            <v>DANG VAN UT</v>
          </cell>
          <cell r="E639" t="str">
            <v>050040832200</v>
          </cell>
          <cell r="F639" t="str">
            <v>C5138DANG VAN UT050040832200</v>
          </cell>
        </row>
        <row r="640">
          <cell r="B640" t="str">
            <v>C7889</v>
          </cell>
          <cell r="C640" t="str">
            <v>Nguyễn Thanh Hồng</v>
          </cell>
          <cell r="D640" t="str">
            <v>NGUYEN THANH HONG</v>
          </cell>
          <cell r="E640" t="str">
            <v>050106514191</v>
          </cell>
          <cell r="F640" t="str">
            <v>C7889NGUYEN THANH HONG050106514191</v>
          </cell>
        </row>
        <row r="641">
          <cell r="B641" t="str">
            <v>C7890</v>
          </cell>
          <cell r="C641" t="str">
            <v>Trần Minh Tường</v>
          </cell>
          <cell r="D641" t="str">
            <v>TRAN MINH TUONG</v>
          </cell>
          <cell r="E641" t="str">
            <v>060327626372</v>
          </cell>
          <cell r="F641" t="str">
            <v>C7890TRAN MINH TUONG060327626372</v>
          </cell>
        </row>
        <row r="642">
          <cell r="B642" t="str">
            <v>C11690</v>
          </cell>
          <cell r="C642" t="str">
            <v>Trần Thanh Phong</v>
          </cell>
          <cell r="D642" t="str">
            <v>TRAN THANH PHONG</v>
          </cell>
          <cell r="E642" t="str">
            <v>050040849871</v>
          </cell>
          <cell r="F642" t="str">
            <v>C11690TRAN THANH PHONG050040849871</v>
          </cell>
        </row>
        <row r="643">
          <cell r="B643" t="str">
            <v>C11720</v>
          </cell>
          <cell r="C643" t="str">
            <v>Từ Phong Nhã</v>
          </cell>
          <cell r="D643" t="str">
            <v>TU PHONG NHA</v>
          </cell>
          <cell r="E643" t="str">
            <v>050115373487</v>
          </cell>
          <cell r="F643" t="str">
            <v>C11720TU PHONG NHA050115373487</v>
          </cell>
        </row>
        <row r="644">
          <cell r="B644" t="str">
            <v>C11762</v>
          </cell>
          <cell r="C644" t="str">
            <v>Trần Trọng Nghĩa</v>
          </cell>
          <cell r="D644" t="str">
            <v>TRAN TRONG NGHIA</v>
          </cell>
          <cell r="E644" t="str">
            <v>050116007999</v>
          </cell>
          <cell r="F644" t="str">
            <v>C11762TRAN TRONG NGHIA050116007999</v>
          </cell>
        </row>
        <row r="645">
          <cell r="B645" t="str">
            <v>C13252</v>
          </cell>
          <cell r="C645" t="str">
            <v>Đỗ Thiện Tâm</v>
          </cell>
          <cell r="D645" t="str">
            <v>DO THIEN TAM</v>
          </cell>
          <cell r="E645" t="str">
            <v>050126082761</v>
          </cell>
          <cell r="F645" t="str">
            <v>C13252DO THIEN TAM050126082761</v>
          </cell>
        </row>
        <row r="646">
          <cell r="B646" t="str">
            <v>C14656</v>
          </cell>
          <cell r="C646" t="str">
            <v>Phạm Văn Hùng</v>
          </cell>
          <cell r="D646" t="str">
            <v>PHAM VAN HUNG</v>
          </cell>
          <cell r="E646" t="str">
            <v>050134580231</v>
          </cell>
          <cell r="F646" t="str">
            <v>C14656PHAM VAN HUNG050134580231</v>
          </cell>
        </row>
        <row r="647">
          <cell r="B647" t="str">
            <v>C15376</v>
          </cell>
          <cell r="C647" t="str">
            <v>Điểu Nghênh</v>
          </cell>
          <cell r="D647" t="str">
            <v>DIEU NGHENH</v>
          </cell>
          <cell r="E647" t="str">
            <v>050143384540</v>
          </cell>
          <cell r="F647" t="str">
            <v>C15376DIEU NGHENH050143384540</v>
          </cell>
        </row>
        <row r="648">
          <cell r="B648" t="str">
            <v>C15387</v>
          </cell>
          <cell r="C648" t="str">
            <v>Trương Văn Thuyết</v>
          </cell>
          <cell r="D648" t="str">
            <v>TRUONG VAN THUYET</v>
          </cell>
          <cell r="E648" t="str">
            <v>050112723436</v>
          </cell>
          <cell r="F648" t="str">
            <v>C15387TRUONG VAN THUYET050112723436</v>
          </cell>
        </row>
        <row r="649">
          <cell r="B649" t="str">
            <v>C4464</v>
          </cell>
          <cell r="C649" t="str">
            <v>Ngô Văn Lịch</v>
          </cell>
          <cell r="D649" t="str">
            <v>NGO VAN LICH</v>
          </cell>
          <cell r="E649" t="str">
            <v>050040832464</v>
          </cell>
          <cell r="F649" t="str">
            <v>C4464NGO VAN LICH050040832464</v>
          </cell>
        </row>
        <row r="650">
          <cell r="B650" t="str">
            <v>C7025</v>
          </cell>
          <cell r="C650" t="str">
            <v>Nguyễn Trọng Hải</v>
          </cell>
          <cell r="D650" t="str">
            <v>NGUYEN TRONG HAI</v>
          </cell>
          <cell r="E650" t="str">
            <v>050081198656</v>
          </cell>
          <cell r="F650" t="str">
            <v>C7025NGUYEN TRONG HAI050081198656</v>
          </cell>
        </row>
        <row r="651">
          <cell r="B651" t="str">
            <v>C7448</v>
          </cell>
          <cell r="C651" t="str">
            <v>Mao Hùng Hiệp</v>
          </cell>
          <cell r="D651" t="str">
            <v>MAO HUNG HIEP</v>
          </cell>
          <cell r="E651" t="str">
            <v>050100024672</v>
          </cell>
          <cell r="F651" t="str">
            <v>C7448MAO HUNG HIEP050100024672</v>
          </cell>
        </row>
        <row r="652">
          <cell r="B652" t="str">
            <v>C7451</v>
          </cell>
          <cell r="C652" t="str">
            <v>Nguyễn Văn Thành</v>
          </cell>
          <cell r="D652" t="str">
            <v>NGUYEN VAN THANH</v>
          </cell>
          <cell r="E652" t="str">
            <v>050095670706</v>
          </cell>
          <cell r="F652" t="str">
            <v>C7451NGUYEN VAN THANH050095670706</v>
          </cell>
        </row>
        <row r="653">
          <cell r="B653" t="str">
            <v>C7642</v>
          </cell>
          <cell r="C653" t="str">
            <v>Phạm Thế Đông</v>
          </cell>
          <cell r="D653" t="str">
            <v>PHAM THE DONG</v>
          </cell>
          <cell r="E653" t="str">
            <v>050099761048</v>
          </cell>
          <cell r="F653" t="str">
            <v>C7642PHAM THE DONG050099761048</v>
          </cell>
        </row>
        <row r="654">
          <cell r="B654" t="str">
            <v>C7956</v>
          </cell>
          <cell r="C654" t="str">
            <v>Nguyễn Công Trứ</v>
          </cell>
          <cell r="D654" t="str">
            <v>NGUYEN CONG TRU</v>
          </cell>
          <cell r="E654" t="str">
            <v>050106514175</v>
          </cell>
          <cell r="F654" t="str">
            <v>C7956NGUYEN CONG TRU050106514175</v>
          </cell>
        </row>
        <row r="655">
          <cell r="B655" t="str">
            <v>C8101</v>
          </cell>
          <cell r="C655" t="str">
            <v>Lê Anh Sự</v>
          </cell>
          <cell r="D655" t="str">
            <v>LE ANH SU</v>
          </cell>
          <cell r="E655" t="str">
            <v>050108371533</v>
          </cell>
          <cell r="F655" t="str">
            <v>C8101LE ANH SU050108371533</v>
          </cell>
        </row>
        <row r="656">
          <cell r="B656" t="str">
            <v>C8436</v>
          </cell>
          <cell r="C656" t="str">
            <v>Lê Vũ Dương</v>
          </cell>
          <cell r="D656" t="str">
            <v>LE VU DUONG</v>
          </cell>
          <cell r="E656" t="str">
            <v>050106514183</v>
          </cell>
          <cell r="F656" t="str">
            <v>C8436LE VU DUONG050106514183</v>
          </cell>
        </row>
        <row r="657">
          <cell r="B657" t="str">
            <v>C10864</v>
          </cell>
          <cell r="C657" t="str">
            <v>Phạm Trung Thành</v>
          </cell>
          <cell r="D657" t="str">
            <v>PHAM TRUNG THANH</v>
          </cell>
          <cell r="E657" t="str">
            <v>050109986809</v>
          </cell>
          <cell r="F657" t="str">
            <v>C10864PHAM TRUNG THANH050109986809</v>
          </cell>
        </row>
        <row r="658">
          <cell r="B658" t="str">
            <v>C11602</v>
          </cell>
          <cell r="C658" t="str">
            <v>Nguyễn Bá Tâm</v>
          </cell>
          <cell r="D658" t="str">
            <v>NGUYEN BA TAM</v>
          </cell>
          <cell r="E658" t="str">
            <v>050067867715</v>
          </cell>
          <cell r="F658" t="str">
            <v>C11602NGUYEN BA TAM050067867715</v>
          </cell>
        </row>
        <row r="659">
          <cell r="B659" t="str">
            <v>C11749</v>
          </cell>
          <cell r="C659" t="str">
            <v>Lê Văn Ga</v>
          </cell>
          <cell r="D659" t="str">
            <v>LE VAN GA</v>
          </cell>
          <cell r="E659" t="str">
            <v>050116008103</v>
          </cell>
          <cell r="F659" t="str">
            <v>C11749LE VAN GA050116008103</v>
          </cell>
        </row>
        <row r="660">
          <cell r="B660" t="str">
            <v>C11750</v>
          </cell>
          <cell r="C660" t="str">
            <v>Phạm Đức Lịch</v>
          </cell>
          <cell r="D660" t="str">
            <v>PHAM DUC LICH</v>
          </cell>
          <cell r="E660" t="str">
            <v>050116008091</v>
          </cell>
          <cell r="F660" t="str">
            <v>C11750PHAM DUC LICH050116008091</v>
          </cell>
        </row>
        <row r="661">
          <cell r="B661" t="str">
            <v>C12005</v>
          </cell>
          <cell r="C661" t="str">
            <v>Lê Thành Thông</v>
          </cell>
          <cell r="D661" t="str">
            <v>LE THANH THONG</v>
          </cell>
          <cell r="E661" t="str">
            <v>050117665681</v>
          </cell>
          <cell r="F661" t="str">
            <v>C12005LE THANH THONG050117665681</v>
          </cell>
        </row>
        <row r="662">
          <cell r="B662" t="str">
            <v>C12400</v>
          </cell>
          <cell r="C662" t="str">
            <v>Hoàng Văn Anh</v>
          </cell>
          <cell r="D662" t="str">
            <v>HOANG VAN ANH</v>
          </cell>
          <cell r="E662" t="str">
            <v>050103282508</v>
          </cell>
          <cell r="F662" t="str">
            <v>C12400HOANG VAN ANH050103282508</v>
          </cell>
        </row>
        <row r="663">
          <cell r="B663" t="str">
            <v>C13356</v>
          </cell>
          <cell r="C663" t="str">
            <v>Trương Nguyên Điểm</v>
          </cell>
          <cell r="D663" t="str">
            <v>TRUONG NGUYEN DIEM</v>
          </cell>
          <cell r="E663" t="str">
            <v>050126849327</v>
          </cell>
          <cell r="F663" t="str">
            <v>C13356TRUONG NGUYEN DIEM050126849327</v>
          </cell>
        </row>
        <row r="664">
          <cell r="B664" t="str">
            <v>C13411</v>
          </cell>
          <cell r="C664" t="str">
            <v>Mao Hùng Hưng</v>
          </cell>
          <cell r="D664" t="str">
            <v>MAO HUNG HUNG</v>
          </cell>
          <cell r="E664" t="str">
            <v>050029382937</v>
          </cell>
          <cell r="F664" t="str">
            <v>C13411MAO HUNG HUNG050029382937</v>
          </cell>
        </row>
        <row r="665">
          <cell r="B665" t="str">
            <v>C14019</v>
          </cell>
          <cell r="C665" t="str">
            <v>Nguyễn Đình Hoài</v>
          </cell>
          <cell r="D665" t="str">
            <v>NGUYEN DINH HOAI</v>
          </cell>
          <cell r="E665" t="str">
            <v>050128235709</v>
          </cell>
          <cell r="F665" t="str">
            <v>C14019NGUYEN DINH HOAI050128235709</v>
          </cell>
        </row>
        <row r="666">
          <cell r="B666" t="str">
            <v>C14280</v>
          </cell>
          <cell r="C666" t="str">
            <v>Phạm Quang Đức</v>
          </cell>
          <cell r="D666" t="str">
            <v>PHAM QUANG DUC</v>
          </cell>
          <cell r="E666" t="str">
            <v>050128583545</v>
          </cell>
          <cell r="F666" t="str">
            <v>C14280PHAM QUANG DUC050128583545</v>
          </cell>
        </row>
        <row r="667">
          <cell r="B667" t="str">
            <v>C14476</v>
          </cell>
          <cell r="C667" t="str">
            <v>Ngô Quốc Dũng</v>
          </cell>
          <cell r="D667" t="str">
            <v>NGO QUOC DUNG</v>
          </cell>
          <cell r="E667" t="str">
            <v>050134580175</v>
          </cell>
          <cell r="F667" t="str">
            <v>C14476NGO QUOC DUNG050134580175</v>
          </cell>
        </row>
        <row r="668">
          <cell r="B668" t="str">
            <v>C14699</v>
          </cell>
          <cell r="C668" t="str">
            <v>Dương Thái Tân</v>
          </cell>
          <cell r="D668" t="str">
            <v>DUONG THAI TAN</v>
          </cell>
          <cell r="E668" t="str">
            <v>050020202952</v>
          </cell>
          <cell r="F668" t="str">
            <v>C14699DUONG THAI TAN050020202952</v>
          </cell>
        </row>
        <row r="669">
          <cell r="B669" t="str">
            <v>C15423</v>
          </cell>
          <cell r="C669" t="str">
            <v>Hoàng Văn Thanh</v>
          </cell>
          <cell r="D669" t="str">
            <v>HOANG VAN THANH</v>
          </cell>
          <cell r="E669" t="str">
            <v>050143873517</v>
          </cell>
          <cell r="F669" t="str">
            <v>C15423HOANG VAN THANH050143873517</v>
          </cell>
        </row>
        <row r="670">
          <cell r="B670" t="str">
            <v>C15435</v>
          </cell>
          <cell r="C670" t="str">
            <v>Phan Trọng Tiến</v>
          </cell>
          <cell r="D670" t="str">
            <v>PHAN TRONG TIEN</v>
          </cell>
          <cell r="E670" t="str">
            <v>050069199272</v>
          </cell>
          <cell r="F670" t="str">
            <v>C15435PHAN TRONG TIEN050069199272</v>
          </cell>
        </row>
        <row r="671">
          <cell r="B671" t="str">
            <v>C6101</v>
          </cell>
          <cell r="C671" t="str">
            <v>Lê Văn Tùng</v>
          </cell>
          <cell r="D671" t="str">
            <v>LE VAN TUNG</v>
          </cell>
          <cell r="E671" t="str">
            <v>050040827231</v>
          </cell>
          <cell r="F671" t="str">
            <v>C6101LE VAN TUNG050040827231</v>
          </cell>
        </row>
        <row r="672">
          <cell r="B672" t="str">
            <v>C6332</v>
          </cell>
          <cell r="C672" t="str">
            <v>Đỗ Văn Thái</v>
          </cell>
          <cell r="D672" t="str">
            <v>DO VAN THAI</v>
          </cell>
          <cell r="E672" t="str">
            <v>050050582962</v>
          </cell>
          <cell r="F672" t="str">
            <v>C6332DO VAN THAI050050582962</v>
          </cell>
        </row>
        <row r="673">
          <cell r="B673" t="str">
            <v>C10790</v>
          </cell>
          <cell r="C673" t="str">
            <v>Nguyễn Văn Lành</v>
          </cell>
          <cell r="D673" t="str">
            <v>NGUYEN VAN LANH</v>
          </cell>
          <cell r="E673" t="str">
            <v>050107263958</v>
          </cell>
          <cell r="F673" t="str">
            <v>C10790NGUYEN VAN LANH050107263958</v>
          </cell>
        </row>
        <row r="674">
          <cell r="B674" t="str">
            <v>C6333</v>
          </cell>
          <cell r="C674" t="str">
            <v>Kiều Quốc Tuấn</v>
          </cell>
          <cell r="D674" t="str">
            <v>KIEU QUOC TUAN</v>
          </cell>
          <cell r="E674" t="str">
            <v>050053004560</v>
          </cell>
          <cell r="F674" t="str">
            <v>C6333KIEU QUOC TUAN050053004560</v>
          </cell>
        </row>
        <row r="675">
          <cell r="B675" t="str">
            <v>C7189</v>
          </cell>
          <cell r="C675" t="str">
            <v>Cao Đình Khánh</v>
          </cell>
          <cell r="D675" t="str">
            <v>CAO DINH KHANH</v>
          </cell>
          <cell r="E675" t="str">
            <v>050087500761</v>
          </cell>
          <cell r="F675" t="str">
            <v>C7189CAO DINH KHANH050087500761</v>
          </cell>
        </row>
        <row r="676">
          <cell r="B676" t="str">
            <v>C10564</v>
          </cell>
          <cell r="C676" t="str">
            <v>Trần Tấn Đạt</v>
          </cell>
          <cell r="D676" t="str">
            <v>TRAN TAN DAT</v>
          </cell>
          <cell r="E676" t="str">
            <v>050105128425</v>
          </cell>
          <cell r="F676" t="str">
            <v>C10564TRAN TAN DAT050105128425</v>
          </cell>
        </row>
        <row r="677">
          <cell r="B677" t="str">
            <v>C12577</v>
          </cell>
          <cell r="C677" t="str">
            <v>Nguyễn Trọng Chiêu</v>
          </cell>
          <cell r="D677" t="str">
            <v>NGUYEN TRONG CHIEU</v>
          </cell>
          <cell r="E677" t="str">
            <v>050121173473</v>
          </cell>
          <cell r="F677" t="str">
            <v>C12577NGUYEN TRONG CHIEU050121173473</v>
          </cell>
        </row>
        <row r="678">
          <cell r="B678" t="str">
            <v>C13229</v>
          </cell>
          <cell r="C678" t="str">
            <v>Lê Văn Nhí</v>
          </cell>
          <cell r="D678" t="str">
            <v>LE VAN NHI</v>
          </cell>
          <cell r="E678" t="str">
            <v>050069293491</v>
          </cell>
          <cell r="F678" t="str">
            <v>C13229LE VAN NHI050069293491</v>
          </cell>
        </row>
        <row r="679">
          <cell r="B679" t="str">
            <v>C13835</v>
          </cell>
          <cell r="C679" t="str">
            <v>Dương Quang Huy</v>
          </cell>
          <cell r="D679" t="str">
            <v>DUONG QUANG HUY</v>
          </cell>
          <cell r="E679" t="str">
            <v>050126191097</v>
          </cell>
          <cell r="F679" t="str">
            <v>C13835DUONG QUANG HUY050126191097</v>
          </cell>
        </row>
        <row r="680">
          <cell r="B680" t="str">
            <v>C15392</v>
          </cell>
          <cell r="C680" t="str">
            <v>La Hồng Thi</v>
          </cell>
          <cell r="D680" t="str">
            <v>LA HONG THI</v>
          </cell>
          <cell r="E680" t="str">
            <v>050114198452</v>
          </cell>
          <cell r="F680" t="str">
            <v>C15392LA HONG THI050114198452</v>
          </cell>
        </row>
        <row r="681">
          <cell r="B681" t="str">
            <v>C8922</v>
          </cell>
          <cell r="C681" t="str">
            <v>Hoàng Thành Đô</v>
          </cell>
          <cell r="D681" t="str">
            <v>HOANG THANH DO</v>
          </cell>
          <cell r="E681" t="str">
            <v>050067092780</v>
          </cell>
          <cell r="F681" t="str">
            <v>C8922HOANG THANH DO050067092780</v>
          </cell>
        </row>
        <row r="682">
          <cell r="B682" t="str">
            <v>C7354</v>
          </cell>
          <cell r="C682" t="str">
            <v>Nguyễn Phương Lâm</v>
          </cell>
          <cell r="D682" t="str">
            <v>NGUYEN PHUONG LAM</v>
          </cell>
          <cell r="E682" t="str">
            <v>050043531503</v>
          </cell>
          <cell r="F682" t="str">
            <v>C7354NGUYEN PHUONG LAM050043531503</v>
          </cell>
        </row>
        <row r="683">
          <cell r="B683" t="str">
            <v>C12498</v>
          </cell>
          <cell r="C683" t="str">
            <v>Phạm Hoàng Vũ</v>
          </cell>
          <cell r="D683" t="str">
            <v>PHAM HOANG VU</v>
          </cell>
          <cell r="E683" t="str">
            <v>050091850467</v>
          </cell>
          <cell r="F683" t="str">
            <v>C12498PHAM HOANG VU050091850467</v>
          </cell>
        </row>
        <row r="684">
          <cell r="B684" t="str">
            <v>C12505</v>
          </cell>
          <cell r="C684" t="str">
            <v>Mai Thanh Hải</v>
          </cell>
          <cell r="D684" t="str">
            <v>MAI THANH HAI</v>
          </cell>
          <cell r="E684" t="str">
            <v>050121373405</v>
          </cell>
          <cell r="F684" t="str">
            <v>C12505MAI THANH HAI050121373405</v>
          </cell>
        </row>
        <row r="685">
          <cell r="B685" t="str">
            <v>C13310</v>
          </cell>
          <cell r="C685" t="str">
            <v>Võ Minh Khang</v>
          </cell>
          <cell r="D685" t="str">
            <v>VO MINH KHANG</v>
          </cell>
          <cell r="E685" t="str">
            <v>050112146714</v>
          </cell>
          <cell r="F685" t="str">
            <v>C13310VO MINH KHANG050112146714</v>
          </cell>
        </row>
        <row r="686">
          <cell r="B686" t="str">
            <v>C13311</v>
          </cell>
          <cell r="C686" t="str">
            <v>Mai Long Hải</v>
          </cell>
          <cell r="D686" t="str">
            <v>MAI LONG HAI</v>
          </cell>
          <cell r="E686" t="str">
            <v>050110058850</v>
          </cell>
          <cell r="F686" t="str">
            <v>C13311MAI LONG HAI050110058850</v>
          </cell>
        </row>
        <row r="687">
          <cell r="B687" t="str">
            <v>C15087</v>
          </cell>
          <cell r="C687" t="str">
            <v>Nguyễn Ngọc Phước</v>
          </cell>
          <cell r="D687" t="str">
            <v>NGUYEN NGOC PHUOC</v>
          </cell>
          <cell r="E687" t="str">
            <v>050060898380</v>
          </cell>
          <cell r="F687" t="str">
            <v>C15087NGUYEN NGOC PHUOC050060898380</v>
          </cell>
        </row>
        <row r="688">
          <cell r="B688" t="str">
            <v>C15405</v>
          </cell>
          <cell r="C688" t="str">
            <v>Nguyễn Ngọc Liên</v>
          </cell>
          <cell r="D688" t="str">
            <v>NGUYEN NGOC LIEN</v>
          </cell>
          <cell r="E688" t="str">
            <v>050143681774</v>
          </cell>
          <cell r="F688" t="str">
            <v>C15405NGUYEN NGOC LIEN050143681774</v>
          </cell>
        </row>
        <row r="689">
          <cell r="B689" t="str">
            <v>C3746</v>
          </cell>
          <cell r="C689" t="str">
            <v>Mai Phi Thể</v>
          </cell>
          <cell r="D689" t="str">
            <v>MAI PHI THE</v>
          </cell>
          <cell r="E689" t="str">
            <v>050040934364</v>
          </cell>
          <cell r="F689" t="str">
            <v>C3746MAI PHI THE050040934364</v>
          </cell>
        </row>
        <row r="690">
          <cell r="B690" t="str">
            <v>C11481</v>
          </cell>
          <cell r="C690" t="str">
            <v>Nguyễn Văn Linh</v>
          </cell>
          <cell r="D690" t="str">
            <v>NGUYEN VAN LINH</v>
          </cell>
          <cell r="E690" t="str">
            <v>050061079804</v>
          </cell>
          <cell r="F690" t="str">
            <v>C11481NGUYEN VAN LINH050061079804</v>
          </cell>
        </row>
        <row r="691">
          <cell r="B691" t="str">
            <v>C11649</v>
          </cell>
          <cell r="C691" t="str">
            <v>Trần Xuân Hùng</v>
          </cell>
          <cell r="D691" t="str">
            <v>TRAN XUAN HUNG</v>
          </cell>
          <cell r="E691" t="str">
            <v>050078137174</v>
          </cell>
          <cell r="F691" t="str">
            <v>C11649TRAN XUAN HUNG050078137174</v>
          </cell>
        </row>
        <row r="692">
          <cell r="B692" t="str">
            <v>C12340</v>
          </cell>
          <cell r="C692" t="str">
            <v>Nguyễn Nhật Duy</v>
          </cell>
          <cell r="D692" t="str">
            <v>NGUYEN NHAT DUY</v>
          </cell>
          <cell r="E692" t="str">
            <v>050095670935</v>
          </cell>
          <cell r="F692" t="str">
            <v>C12340NGUYEN NHAT DUY050095670935</v>
          </cell>
        </row>
        <row r="693">
          <cell r="B693" t="str">
            <v>C13303</v>
          </cell>
          <cell r="C693" t="str">
            <v>Vũ Văn Tú</v>
          </cell>
          <cell r="D693" t="str">
            <v>VU VAN TU</v>
          </cell>
          <cell r="E693" t="str">
            <v>050089016824</v>
          </cell>
          <cell r="F693" t="str">
            <v>C13303VU VAN TU050089016824</v>
          </cell>
        </row>
        <row r="694">
          <cell r="B694" t="str">
            <v>C3442</v>
          </cell>
          <cell r="C694" t="str">
            <v>Võ Thị Thanh Kiều</v>
          </cell>
          <cell r="D694" t="str">
            <v>VO THI THANH KIEU</v>
          </cell>
          <cell r="E694" t="str">
            <v>050068231091</v>
          </cell>
          <cell r="F694" t="str">
            <v>C3442VO THI THANH KIEU050068231091</v>
          </cell>
        </row>
        <row r="695">
          <cell r="B695" t="str">
            <v>C3459</v>
          </cell>
          <cell r="C695" t="str">
            <v>Nguyễn Chí Tâm</v>
          </cell>
          <cell r="D695" t="str">
            <v>NGUYEN CHI TAM</v>
          </cell>
          <cell r="E695" t="str">
            <v>050068231245</v>
          </cell>
          <cell r="F695" t="str">
            <v>C3459NGUYEN CHI TAM050068231245</v>
          </cell>
        </row>
        <row r="696">
          <cell r="B696" t="str">
            <v>C6071</v>
          </cell>
          <cell r="C696" t="str">
            <v>Nguyễn Đặng Quốc</v>
          </cell>
          <cell r="D696" t="str">
            <v>NGUYEN DANG QUOC</v>
          </cell>
          <cell r="E696" t="str">
            <v>050040998699</v>
          </cell>
          <cell r="F696" t="str">
            <v>C6071NGUYEN DANG QUOC050040998699</v>
          </cell>
        </row>
        <row r="697">
          <cell r="B697" t="str">
            <v>C7032</v>
          </cell>
          <cell r="C697" t="str">
            <v>Đoàn Chí Công</v>
          </cell>
          <cell r="D697" t="str">
            <v>DOAN CHI CONG</v>
          </cell>
          <cell r="E697" t="str">
            <v>050081198664</v>
          </cell>
          <cell r="F697" t="str">
            <v>C7032DOAN CHI CONG050081198664</v>
          </cell>
        </row>
        <row r="698">
          <cell r="B698" t="str">
            <v>C7232</v>
          </cell>
          <cell r="C698" t="str">
            <v>Nguyễn Văn Bé Sáu</v>
          </cell>
          <cell r="D698" t="str">
            <v>NGUYEN VAN BE SAU</v>
          </cell>
          <cell r="E698" t="str">
            <v>050064979830</v>
          </cell>
          <cell r="F698" t="str">
            <v>C7232NGUYEN VAN BE SAU050064979830</v>
          </cell>
        </row>
        <row r="699">
          <cell r="B699" t="str">
            <v>C7395</v>
          </cell>
          <cell r="C699" t="str">
            <v>Nguyễn Hoàng Khải</v>
          </cell>
          <cell r="D699" t="str">
            <v>NGUYEN HOANG KHAI</v>
          </cell>
          <cell r="E699" t="str">
            <v>050095313148</v>
          </cell>
          <cell r="F699" t="str">
            <v>C7395NGUYEN HOANG KHAI050095313148</v>
          </cell>
        </row>
        <row r="700">
          <cell r="B700" t="str">
            <v>C7563</v>
          </cell>
          <cell r="C700" t="str">
            <v>Phan Quốc Tới</v>
          </cell>
          <cell r="D700" t="str">
            <v>PHAN QUOC TOI</v>
          </cell>
          <cell r="E700" t="str">
            <v>050040968617</v>
          </cell>
          <cell r="F700" t="str">
            <v>C7563PHAN QUOC TOI050040968617</v>
          </cell>
        </row>
        <row r="701">
          <cell r="B701" t="str">
            <v>C7587</v>
          </cell>
          <cell r="C701" t="str">
            <v>Nguyễn Hữu Trung</v>
          </cell>
          <cell r="D701" t="str">
            <v>NGUYEN HUU TRUNG</v>
          </cell>
          <cell r="E701" t="str">
            <v>050099885065</v>
          </cell>
          <cell r="F701" t="str">
            <v>C7587NGUYEN HUU TRUNG050099885065</v>
          </cell>
        </row>
        <row r="702">
          <cell r="B702" t="str">
            <v>C11501</v>
          </cell>
          <cell r="C702" t="str">
            <v>Ngô Văn Hiếu</v>
          </cell>
          <cell r="D702" t="str">
            <v>NGO VAN HIEU</v>
          </cell>
          <cell r="E702" t="str">
            <v>050089711255</v>
          </cell>
          <cell r="F702" t="str">
            <v>C11501NGO VAN HIEU050089711255</v>
          </cell>
        </row>
        <row r="703">
          <cell r="B703" t="str">
            <v>C11969</v>
          </cell>
          <cell r="C703" t="str">
            <v>Điểu Sơn</v>
          </cell>
          <cell r="D703" t="str">
            <v>DIEU SON</v>
          </cell>
          <cell r="E703" t="str">
            <v>050116653319</v>
          </cell>
          <cell r="F703" t="str">
            <v>C11969DIEU SON050116653319</v>
          </cell>
        </row>
        <row r="704">
          <cell r="B704" t="str">
            <v>C15393</v>
          </cell>
          <cell r="C704" t="str">
            <v>Phạm Thanh Phong</v>
          </cell>
          <cell r="D704" t="str">
            <v>PHAM THANH PHONG</v>
          </cell>
          <cell r="E704" t="str">
            <v>050143384559</v>
          </cell>
          <cell r="F704" t="str">
            <v>C15393PHAM THANH PHONG050143384559</v>
          </cell>
        </row>
        <row r="705">
          <cell r="B705" t="str">
            <v>C4673</v>
          </cell>
          <cell r="C705" t="str">
            <v>Nguyễn Thị Lý</v>
          </cell>
          <cell r="D705" t="str">
            <v>NGUYEN THI LY</v>
          </cell>
          <cell r="E705" t="str">
            <v>050040901814</v>
          </cell>
          <cell r="F705" t="str">
            <v>C4673NGUYEN THI LY050040901814</v>
          </cell>
        </row>
        <row r="706">
          <cell r="B706" t="str">
            <v>C11502</v>
          </cell>
          <cell r="C706" t="str">
            <v>Trần Thị Thúy Hằng</v>
          </cell>
          <cell r="D706" t="str">
            <v>TRAN THI THUY HANG</v>
          </cell>
          <cell r="E706" t="str">
            <v>050094553811</v>
          </cell>
          <cell r="F706" t="str">
            <v>C11502TRAN THI THUY HANG050094553811</v>
          </cell>
        </row>
        <row r="707">
          <cell r="B707" t="str">
            <v>C4549</v>
          </cell>
          <cell r="C707" t="str">
            <v>Huỳnh Minh Tâm</v>
          </cell>
          <cell r="D707" t="str">
            <v>HUYNH MINH TAM</v>
          </cell>
          <cell r="E707" t="str">
            <v>050068237499</v>
          </cell>
          <cell r="F707" t="str">
            <v>C4549HUYNH MINH TAM050068237499</v>
          </cell>
        </row>
        <row r="708">
          <cell r="B708" t="str">
            <v>C0445</v>
          </cell>
          <cell r="C708" t="str">
            <v>Vũ Xuân Hiếu</v>
          </cell>
          <cell r="D708" t="str">
            <v>VU XUAN HIEU</v>
          </cell>
          <cell r="E708" t="str">
            <v>050070926935</v>
          </cell>
          <cell r="F708" t="str">
            <v>C0445VU XUAN HIEU050070926935</v>
          </cell>
        </row>
        <row r="709">
          <cell r="B709" t="str">
            <v>C7148</v>
          </cell>
          <cell r="C709" t="str">
            <v>Hồ Minh Luân</v>
          </cell>
          <cell r="D709" t="str">
            <v>HO MINH LUAN</v>
          </cell>
          <cell r="E709" t="str">
            <v>050086552687</v>
          </cell>
          <cell r="F709" t="str">
            <v>C7148HO MINH LUAN050086552687</v>
          </cell>
        </row>
        <row r="710">
          <cell r="B710" t="str">
            <v>C7388</v>
          </cell>
          <cell r="C710" t="str">
            <v>Trần Văn Nghĩa</v>
          </cell>
          <cell r="D710" t="str">
            <v>TRAN VAN NGHIA</v>
          </cell>
          <cell r="E710" t="str">
            <v>050066936896</v>
          </cell>
          <cell r="F710" t="str">
            <v>C7388TRAN VAN NGHIA050066936896</v>
          </cell>
        </row>
        <row r="711">
          <cell r="B711" t="str">
            <v>C7822</v>
          </cell>
          <cell r="C711" t="str">
            <v>Thạch Quí</v>
          </cell>
          <cell r="D711" t="str">
            <v>THACH QUI</v>
          </cell>
          <cell r="E711" t="str">
            <v>050103659921</v>
          </cell>
          <cell r="F711" t="str">
            <v>C7822THACH QUI050103659921</v>
          </cell>
        </row>
        <row r="712">
          <cell r="B712" t="str">
            <v>C11119</v>
          </cell>
          <cell r="C712" t="str">
            <v>Siu Rô</v>
          </cell>
          <cell r="D712" t="str">
            <v>SIU RO</v>
          </cell>
          <cell r="E712" t="str">
            <v>050110754172</v>
          </cell>
          <cell r="F712" t="str">
            <v>C11119SIU RO050110754172</v>
          </cell>
        </row>
        <row r="713">
          <cell r="B713" t="str">
            <v>C12381</v>
          </cell>
          <cell r="C713" t="str">
            <v>Điểu Sơn</v>
          </cell>
          <cell r="D713" t="str">
            <v>DIEU SON</v>
          </cell>
          <cell r="E713" t="str">
            <v>050087500125</v>
          </cell>
          <cell r="F713" t="str">
            <v>C12381DIEU SON050087500125</v>
          </cell>
        </row>
        <row r="714">
          <cell r="B714" t="str">
            <v>C13451</v>
          </cell>
          <cell r="C714" t="str">
            <v>Võ Hùng Long</v>
          </cell>
          <cell r="D714" t="str">
            <v>VO HUNG LONG</v>
          </cell>
          <cell r="E714" t="str">
            <v>050123329837</v>
          </cell>
          <cell r="F714" t="str">
            <v>C13451VO HUNG LONG050123329837</v>
          </cell>
        </row>
        <row r="715">
          <cell r="B715" t="str">
            <v>C13486</v>
          </cell>
          <cell r="C715" t="str">
            <v>Nguyễn Văn Sinh</v>
          </cell>
          <cell r="D715" t="str">
            <v>NGUYEN VAN SINH</v>
          </cell>
          <cell r="E715" t="str">
            <v>050097633281</v>
          </cell>
          <cell r="F715" t="str">
            <v>C13486NGUYEN VAN SINH050097633281</v>
          </cell>
        </row>
        <row r="716">
          <cell r="B716" t="str">
            <v>C13890</v>
          </cell>
          <cell r="C716" t="str">
            <v>Phạm Thanh Song</v>
          </cell>
          <cell r="D716" t="str">
            <v>PHAM THANH SONG</v>
          </cell>
          <cell r="E716" t="str">
            <v>050120388832</v>
          </cell>
          <cell r="F716" t="str">
            <v>C13890PHAM THANH SONG050120388832</v>
          </cell>
        </row>
        <row r="717">
          <cell r="B717" t="str">
            <v>C14218</v>
          </cell>
          <cell r="C717" t="str">
            <v>Điểu Phụng</v>
          </cell>
          <cell r="D717" t="str">
            <v>DIEU PHUNG</v>
          </cell>
          <cell r="E717" t="str">
            <v>050126708820</v>
          </cell>
          <cell r="F717" t="str">
            <v>C14218DIEU PHUNG050126708820</v>
          </cell>
        </row>
        <row r="718">
          <cell r="B718" t="str">
            <v>C14832</v>
          </cell>
          <cell r="C718" t="str">
            <v>Huỳnh Hữu Đang</v>
          </cell>
          <cell r="D718" t="str">
            <v>HUYNH HUU DANG</v>
          </cell>
          <cell r="E718" t="str">
            <v>050119422245</v>
          </cell>
          <cell r="F718" t="str">
            <v>C14832HUYNH HUU DANG050119422245</v>
          </cell>
        </row>
        <row r="719">
          <cell r="B719" t="str">
            <v>C14967</v>
          </cell>
          <cell r="C719" t="str">
            <v>Nguyễn Văn Bảo</v>
          </cell>
          <cell r="D719" t="str">
            <v>NGUYEN VAN BAO</v>
          </cell>
          <cell r="E719" t="str">
            <v>050109388316</v>
          </cell>
          <cell r="F719" t="str">
            <v>C14967NGUYEN VAN BAO050109388316</v>
          </cell>
        </row>
        <row r="720">
          <cell r="B720" t="str">
            <v>C0020</v>
          </cell>
          <cell r="C720" t="str">
            <v>Phan Tuấn Khanh</v>
          </cell>
          <cell r="D720" t="str">
            <v>PHAN TUAN KHANH</v>
          </cell>
          <cell r="E720" t="str">
            <v>050040818488</v>
          </cell>
          <cell r="F720" t="str">
            <v>C0020PHAN TUAN KHANH050040818488</v>
          </cell>
        </row>
        <row r="721">
          <cell r="B721" t="str">
            <v>C5371</v>
          </cell>
          <cell r="C721" t="str">
            <v>Hoàng Văn Phúc</v>
          </cell>
          <cell r="D721" t="str">
            <v>HOANG VAN PHUC</v>
          </cell>
          <cell r="E721" t="str">
            <v>050040872271</v>
          </cell>
          <cell r="F721" t="str">
            <v>C5371HOANG VAN PHUC050040872271</v>
          </cell>
        </row>
        <row r="722">
          <cell r="B722" t="str">
            <v>C5551</v>
          </cell>
          <cell r="C722" t="str">
            <v>Hoàng Thị Thảo</v>
          </cell>
          <cell r="D722" t="str">
            <v>HOANG THI THAO</v>
          </cell>
          <cell r="E722" t="str">
            <v>050040932566</v>
          </cell>
          <cell r="F722" t="str">
            <v>C5551HOANG THI THAO050040932566</v>
          </cell>
        </row>
        <row r="723">
          <cell r="B723" t="str">
            <v>C0102</v>
          </cell>
          <cell r="C723" t="str">
            <v>Nguyễn Thị Thanh Dung</v>
          </cell>
          <cell r="D723" t="str">
            <v>NGUYEN THI THANH DUNG</v>
          </cell>
          <cell r="E723" t="str">
            <v>050040931977</v>
          </cell>
          <cell r="F723" t="str">
            <v>C0102NGUYEN THI THANH DUNG050040931977</v>
          </cell>
        </row>
        <row r="724">
          <cell r="B724" t="str">
            <v>C1459</v>
          </cell>
          <cell r="C724" t="str">
            <v>Thị Lý</v>
          </cell>
          <cell r="D724" t="str">
            <v>THI LY</v>
          </cell>
          <cell r="E724" t="str">
            <v>050040931756</v>
          </cell>
          <cell r="F724" t="str">
            <v>C1459THI LY050040931756</v>
          </cell>
        </row>
        <row r="725">
          <cell r="B725" t="str">
            <v>C1475</v>
          </cell>
          <cell r="C725" t="str">
            <v>Lê Thị Hiệp</v>
          </cell>
          <cell r="D725" t="str">
            <v>LE THI HIEP</v>
          </cell>
          <cell r="E725" t="str">
            <v>050040931497</v>
          </cell>
          <cell r="F725" t="str">
            <v>C1475LE THI HIEP050040931497</v>
          </cell>
        </row>
        <row r="726">
          <cell r="B726" t="str">
            <v>C3651</v>
          </cell>
          <cell r="C726" t="str">
            <v>Dương Thị Nga</v>
          </cell>
          <cell r="D726" t="str">
            <v>DUONG THI NGA</v>
          </cell>
          <cell r="E726" t="str">
            <v>050040931241</v>
          </cell>
          <cell r="F726" t="str">
            <v>C3651DUONG THI NGA050040931241</v>
          </cell>
        </row>
        <row r="727">
          <cell r="B727" t="str">
            <v>C5353</v>
          </cell>
          <cell r="C727" t="str">
            <v>Phạm Thị Thanh Bình</v>
          </cell>
          <cell r="D727" t="str">
            <v>PHAM THI THANH BINH</v>
          </cell>
          <cell r="E727" t="str">
            <v>050040935867</v>
          </cell>
          <cell r="F727" t="str">
            <v>C5353PHAM THI THANH BINH050040935867</v>
          </cell>
        </row>
        <row r="728">
          <cell r="B728" t="str">
            <v>C6720</v>
          </cell>
          <cell r="C728" t="str">
            <v>Nguyễn Thị Mai</v>
          </cell>
          <cell r="D728" t="str">
            <v>NGUYEN THI MAI</v>
          </cell>
          <cell r="E728" t="str">
            <v>050031161107</v>
          </cell>
          <cell r="F728" t="str">
            <v>C6720NGUYEN THI MAI050031161107</v>
          </cell>
        </row>
        <row r="729">
          <cell r="B729" t="str">
            <v>C7973</v>
          </cell>
          <cell r="C729" t="str">
            <v>Nguyễn Thị Minh Phượng</v>
          </cell>
          <cell r="D729" t="str">
            <v>NGUYEN THI MINH PHUONG</v>
          </cell>
          <cell r="E729" t="str">
            <v>050075311866</v>
          </cell>
          <cell r="F729" t="str">
            <v>C7973NGUYEN THI MINH PHUONG050075311866</v>
          </cell>
        </row>
        <row r="730">
          <cell r="B730" t="str">
            <v>C11630</v>
          </cell>
          <cell r="C730" t="str">
            <v>Nguyễn Thị Tuyết</v>
          </cell>
          <cell r="D730" t="str">
            <v>NGUYEN THI TUYET</v>
          </cell>
          <cell r="E730" t="str">
            <v>050113873458</v>
          </cell>
          <cell r="F730" t="str">
            <v>C11630NGUYEN THI TUYET050113873458</v>
          </cell>
        </row>
        <row r="731">
          <cell r="B731" t="str">
            <v>C12851</v>
          </cell>
          <cell r="C731" t="str">
            <v>La Hồng Nhi</v>
          </cell>
          <cell r="D731" t="str">
            <v>LA HONG NHI</v>
          </cell>
          <cell r="E731" t="str">
            <v>050121917545</v>
          </cell>
          <cell r="F731" t="str">
            <v>C12851LA HONG NHI050121917545</v>
          </cell>
        </row>
        <row r="732">
          <cell r="B732" t="str">
            <v>C14698</v>
          </cell>
          <cell r="C732" t="str">
            <v>Trần Thị Phương</v>
          </cell>
          <cell r="D732" t="str">
            <v>TRAN THI PHUONG</v>
          </cell>
          <cell r="E732" t="str">
            <v>050020204297</v>
          </cell>
          <cell r="F732" t="str">
            <v>C14698TRAN THI PHUONG050020204297</v>
          </cell>
        </row>
        <row r="733">
          <cell r="B733" t="str">
            <v>C14730</v>
          </cell>
          <cell r="C733" t="str">
            <v>Phan Thị Kim Viền</v>
          </cell>
          <cell r="D733" t="str">
            <v>PHAN THI KIM VIEN</v>
          </cell>
          <cell r="E733" t="str">
            <v>070102799761</v>
          </cell>
          <cell r="F733" t="str">
            <v>C14730PHAN THI KIM VIEN070102799761</v>
          </cell>
        </row>
        <row r="734">
          <cell r="B734" t="str">
            <v>C14731</v>
          </cell>
          <cell r="C734" t="str">
            <v>Châu Thanh Tùng</v>
          </cell>
          <cell r="D734" t="str">
            <v>CHAU THANH TUNG</v>
          </cell>
          <cell r="E734" t="str">
            <v>050118804802</v>
          </cell>
          <cell r="F734" t="str">
            <v>C14731CHAU THANH TUNG050118804802</v>
          </cell>
        </row>
        <row r="735">
          <cell r="B735" t="str">
            <v>C0808</v>
          </cell>
          <cell r="C735" t="str">
            <v>Trương Thị Mơ</v>
          </cell>
          <cell r="D735" t="str">
            <v>TRUONG THI MO</v>
          </cell>
          <cell r="E735" t="str">
            <v>050040874353</v>
          </cell>
          <cell r="F735" t="str">
            <v>C0808TRUONG THI MO050040874353</v>
          </cell>
        </row>
        <row r="736">
          <cell r="B736" t="str">
            <v>C3349</v>
          </cell>
          <cell r="C736" t="str">
            <v>Mai Văn Tiến</v>
          </cell>
          <cell r="D736" t="str">
            <v>MAI VAN TIEN</v>
          </cell>
          <cell r="E736" t="str">
            <v>050040874191</v>
          </cell>
          <cell r="F736" t="str">
            <v>C3349MAI VAN TIEN050040874191</v>
          </cell>
        </row>
        <row r="737">
          <cell r="B737" t="str">
            <v>C0542</v>
          </cell>
          <cell r="C737" t="str">
            <v>Thị Bô Pha</v>
          </cell>
          <cell r="D737" t="str">
            <v>THI BO PHA</v>
          </cell>
          <cell r="E737" t="str">
            <v>050040874116</v>
          </cell>
          <cell r="F737" t="str">
            <v>C0542THI BO PHA050040874116</v>
          </cell>
        </row>
        <row r="738">
          <cell r="B738" t="str">
            <v>C6212</v>
          </cell>
          <cell r="C738" t="str">
            <v>Nguyễn Thị Tuyết Nhung</v>
          </cell>
          <cell r="D738" t="str">
            <v>NGUYEN THI TUYET NHUNG</v>
          </cell>
          <cell r="E738" t="str">
            <v>050041743171</v>
          </cell>
          <cell r="F738" t="str">
            <v>C6212NGUYEN THI TUYET NHUNG050041743171</v>
          </cell>
        </row>
        <row r="739">
          <cell r="B739" t="str">
            <v>C7912</v>
          </cell>
          <cell r="C739" t="str">
            <v>Bùi Quang Thiện</v>
          </cell>
          <cell r="D739" t="str">
            <v>BUI QUANG THIEN</v>
          </cell>
          <cell r="E739" t="str">
            <v>050089025394</v>
          </cell>
          <cell r="F739" t="str">
            <v>C7912BUI QUANG THIEN050089025394</v>
          </cell>
        </row>
        <row r="740">
          <cell r="B740" t="str">
            <v>C7966</v>
          </cell>
          <cell r="C740" t="str">
            <v>Nguyễn Ngọc Thắng</v>
          </cell>
          <cell r="D740" t="str">
            <v>NGUYEN NGOC THANG</v>
          </cell>
          <cell r="E740" t="str">
            <v>050049872922</v>
          </cell>
          <cell r="F740" t="str">
            <v>C7966NGUYEN NGOC THANG050049872922</v>
          </cell>
        </row>
        <row r="741">
          <cell r="B741" t="str">
            <v>C8061</v>
          </cell>
          <cell r="C741" t="str">
            <v>Nguyễn Trường Chinh</v>
          </cell>
          <cell r="D741" t="str">
            <v>NGUYEN TRUONG CHINH</v>
          </cell>
          <cell r="E741" t="str">
            <v>050103659751</v>
          </cell>
          <cell r="F741" t="str">
            <v>C8061NGUYEN TRUONG CHINH050103659751</v>
          </cell>
        </row>
        <row r="742">
          <cell r="B742" t="str">
            <v>C10544</v>
          </cell>
          <cell r="C742" t="str">
            <v>Lê Thị Thùy Dung</v>
          </cell>
          <cell r="D742" t="str">
            <v>LE THI THUY DUNG</v>
          </cell>
          <cell r="E742" t="str">
            <v>050064575616</v>
          </cell>
          <cell r="F742" t="str">
            <v>C10544LE THI THUY DUNG050064575616</v>
          </cell>
        </row>
        <row r="743">
          <cell r="B743" t="str">
            <v>C10951</v>
          </cell>
          <cell r="C743" t="str">
            <v>Điểu Quan</v>
          </cell>
          <cell r="D743" t="str">
            <v>DIEU QUAN</v>
          </cell>
          <cell r="E743" t="str">
            <v>050105127275</v>
          </cell>
          <cell r="F743" t="str">
            <v>C10951DIEU QUAN050105127275</v>
          </cell>
        </row>
        <row r="744">
          <cell r="B744" t="str">
            <v>C11527</v>
          </cell>
          <cell r="C744" t="str">
            <v>Trịnh Thị Mai Huyền</v>
          </cell>
          <cell r="D744" t="str">
            <v>TRINH THI MAI HUYEN</v>
          </cell>
          <cell r="E744" t="str">
            <v>050113185276</v>
          </cell>
          <cell r="F744" t="str">
            <v>C11527TRINH THI MAI HUYEN050113185276</v>
          </cell>
        </row>
        <row r="745">
          <cell r="B745" t="str">
            <v>C11983</v>
          </cell>
          <cell r="C745" t="str">
            <v>Điểu Đôm</v>
          </cell>
          <cell r="D745" t="str">
            <v>DIEU DOM</v>
          </cell>
          <cell r="E745" t="str">
            <v>050117703931</v>
          </cell>
          <cell r="F745" t="str">
            <v>C11983DIEU DOM050117703931</v>
          </cell>
        </row>
        <row r="746">
          <cell r="B746" t="str">
            <v>C5424</v>
          </cell>
          <cell r="C746" t="str">
            <v>Huỳnh Văn Tính</v>
          </cell>
          <cell r="D746" t="str">
            <v>HUYNH VAN TINH</v>
          </cell>
          <cell r="E746" t="str">
            <v>050040869066</v>
          </cell>
          <cell r="F746" t="str">
            <v>C5424HUYNH VAN TINH050040869066</v>
          </cell>
        </row>
        <row r="747">
          <cell r="B747" t="str">
            <v>C7380</v>
          </cell>
          <cell r="C747" t="str">
            <v>Lê Đức Ánh</v>
          </cell>
          <cell r="D747" t="str">
            <v>LE DUC ANH</v>
          </cell>
          <cell r="E747" t="str">
            <v>050093355048</v>
          </cell>
          <cell r="F747" t="str">
            <v>C7380LE DUC ANH050093355048</v>
          </cell>
        </row>
        <row r="748">
          <cell r="B748" t="str">
            <v>C12410</v>
          </cell>
          <cell r="C748" t="str">
            <v>Điểu Tặng</v>
          </cell>
          <cell r="D748" t="str">
            <v>DIEU TANG</v>
          </cell>
          <cell r="E748" t="str">
            <v>050120836088</v>
          </cell>
          <cell r="F748" t="str">
            <v>C12410DIEU TANG050120836088</v>
          </cell>
        </row>
        <row r="749">
          <cell r="B749" t="str">
            <v>C12427</v>
          </cell>
          <cell r="C749" t="str">
            <v>Mai Văn Hoàng</v>
          </cell>
          <cell r="D749" t="str">
            <v>MAI VAN HOANG</v>
          </cell>
          <cell r="E749" t="str">
            <v>050071912067</v>
          </cell>
          <cell r="F749" t="str">
            <v>C12427MAI VAN HOANG050071912067</v>
          </cell>
        </row>
        <row r="750">
          <cell r="B750" t="str">
            <v>C13230</v>
          </cell>
          <cell r="C750" t="str">
            <v>Bùi Văn Tân</v>
          </cell>
          <cell r="D750" t="str">
            <v>BUI VAN TAN</v>
          </cell>
          <cell r="E750" t="str">
            <v>050086670205</v>
          </cell>
          <cell r="F750" t="str">
            <v>C13230BUI VAN TAN050086670205</v>
          </cell>
        </row>
        <row r="751">
          <cell r="B751" t="str">
            <v>C13747</v>
          </cell>
          <cell r="C751" t="str">
            <v>Lê Đức Trọng</v>
          </cell>
          <cell r="D751" t="str">
            <v>LE DUC TRONG</v>
          </cell>
          <cell r="E751" t="str">
            <v>050127546972</v>
          </cell>
          <cell r="F751" t="str">
            <v>C13747LE DUC TRONG050127546972</v>
          </cell>
        </row>
        <row r="752">
          <cell r="B752" t="str">
            <v>C14536</v>
          </cell>
          <cell r="C752" t="str">
            <v>Nguyễn Hồng Phúc</v>
          </cell>
          <cell r="D752" t="str">
            <v>NGUYEN HONG PHUC</v>
          </cell>
          <cell r="E752" t="str">
            <v>050134580167</v>
          </cell>
          <cell r="F752" t="str">
            <v>C14536NGUYEN HONG PHUC050134580167</v>
          </cell>
        </row>
        <row r="753">
          <cell r="B753" t="str">
            <v>C14725</v>
          </cell>
          <cell r="C753" t="str">
            <v>Nguyễn Hoàng Quân</v>
          </cell>
          <cell r="D753" t="str">
            <v>NGUYEN HOANG QUAN</v>
          </cell>
          <cell r="E753" t="str">
            <v>050135319977</v>
          </cell>
          <cell r="F753" t="str">
            <v>C14725NGUYEN HOANG QUAN050135319977</v>
          </cell>
        </row>
        <row r="754">
          <cell r="B754" t="str">
            <v>C14770</v>
          </cell>
          <cell r="C754" t="str">
            <v>Lê Đức Sỹ</v>
          </cell>
          <cell r="D754" t="str">
            <v>LE DUC SY</v>
          </cell>
          <cell r="E754" t="str">
            <v>050072092942</v>
          </cell>
          <cell r="F754" t="str">
            <v>C14770LE DUC SY050072092942</v>
          </cell>
        </row>
        <row r="755">
          <cell r="B755" t="str">
            <v>C10967</v>
          </cell>
          <cell r="C755" t="str">
            <v>Phạm Văn Vũ</v>
          </cell>
          <cell r="D755" t="str">
            <v>PHAM VAN VU</v>
          </cell>
          <cell r="E755" t="str">
            <v>050106970219</v>
          </cell>
          <cell r="F755" t="str">
            <v>C10967PHAM VAN VU050106970219</v>
          </cell>
        </row>
        <row r="756">
          <cell r="B756" t="str">
            <v>C12378</v>
          </cell>
          <cell r="C756" t="str">
            <v>Trương Đình Tâm</v>
          </cell>
          <cell r="D756" t="str">
            <v>TRUONG DINH TAM</v>
          </cell>
          <cell r="E756" t="str">
            <v>050119422318</v>
          </cell>
          <cell r="F756" t="str">
            <v>C12378TRUONG DINH TAM050119422318</v>
          </cell>
        </row>
        <row r="757">
          <cell r="B757" t="str">
            <v>C12584</v>
          </cell>
          <cell r="C757" t="str">
            <v>Nguyễn Bá Hải</v>
          </cell>
          <cell r="D757" t="str">
            <v>NGUYEN BA HAI</v>
          </cell>
          <cell r="E757" t="str">
            <v>050083934309</v>
          </cell>
          <cell r="F757" t="str">
            <v>C12584NGUYEN BA HAI050083934309</v>
          </cell>
        </row>
        <row r="758">
          <cell r="B758" t="str">
            <v>C13468</v>
          </cell>
          <cell r="C758" t="str">
            <v>Bùi Hữu Minh Thiện</v>
          </cell>
          <cell r="D758" t="str">
            <v>BUI HUU MINH THIEN</v>
          </cell>
          <cell r="E758" t="str">
            <v>050103647808</v>
          </cell>
          <cell r="F758" t="str">
            <v>C13468BUI HUU MINH THIEN050103647808</v>
          </cell>
        </row>
        <row r="759">
          <cell r="B759" t="str">
            <v>C11679</v>
          </cell>
          <cell r="C759" t="str">
            <v>Điểu Thành</v>
          </cell>
          <cell r="D759" t="str">
            <v>DIEU THANH</v>
          </cell>
          <cell r="E759" t="str">
            <v>050092339952</v>
          </cell>
          <cell r="F759" t="str">
            <v>C11679DIEU THANH050092339952</v>
          </cell>
        </row>
        <row r="760">
          <cell r="B760" t="str">
            <v>C14479</v>
          </cell>
          <cell r="C760" t="str">
            <v>Vũ Thị Hải Yến</v>
          </cell>
          <cell r="D760" t="str">
            <v>VU THI HAI YEN</v>
          </cell>
          <cell r="E760" t="str">
            <v>050134580205</v>
          </cell>
          <cell r="F760" t="str">
            <v>C14479VU THI HAI YEN050134580205</v>
          </cell>
        </row>
        <row r="761">
          <cell r="B761" t="str">
            <v>C3731</v>
          </cell>
          <cell r="C761" t="str">
            <v>Nguyễn Thị Cẩm Vân</v>
          </cell>
          <cell r="D761" t="str">
            <v>NGUYEN THI CAM VAN</v>
          </cell>
          <cell r="E761" t="str">
            <v>050040901768</v>
          </cell>
          <cell r="F761" t="str">
            <v>C3731NGUYEN THI CAM VAN050040901768</v>
          </cell>
        </row>
        <row r="762">
          <cell r="B762" t="str">
            <v>C6719</v>
          </cell>
          <cell r="C762" t="str">
            <v>Lê Thị Bích Đào</v>
          </cell>
          <cell r="D762" t="str">
            <v>LE THI BICH DAO</v>
          </cell>
          <cell r="E762" t="str">
            <v>050068230664</v>
          </cell>
          <cell r="F762" t="str">
            <v>C6719LE THI BICH DAO050068230664</v>
          </cell>
        </row>
        <row r="763">
          <cell r="B763" t="str">
            <v>C7619</v>
          </cell>
          <cell r="C763" t="str">
            <v>Triệu Thị Yến</v>
          </cell>
          <cell r="D763" t="str">
            <v>TRIEU THI YEN</v>
          </cell>
          <cell r="E763" t="str">
            <v>050066791146</v>
          </cell>
          <cell r="F763" t="str">
            <v>C7619TRIEU THI YEN050066791146</v>
          </cell>
        </row>
        <row r="764">
          <cell r="B764" t="str">
            <v>C8016</v>
          </cell>
          <cell r="C764" t="str">
            <v>Nguyễn Thị Ngọc Bích</v>
          </cell>
          <cell r="D764" t="str">
            <v>NGUYEN THI NGOC BICH</v>
          </cell>
          <cell r="E764" t="str">
            <v>050070864700</v>
          </cell>
          <cell r="F764" t="str">
            <v>C8016NGUYEN THI NGOC BICH050070864700</v>
          </cell>
        </row>
        <row r="765">
          <cell r="B765" t="str">
            <v>C8126</v>
          </cell>
          <cell r="C765" t="str">
            <v>Trần Thị Loan</v>
          </cell>
          <cell r="D765" t="str">
            <v>TRAN THI LOAN</v>
          </cell>
          <cell r="E765" t="str">
            <v>050040901849</v>
          </cell>
          <cell r="F765" t="str">
            <v>C8126TRAN THI LOAN050040901849</v>
          </cell>
        </row>
        <row r="766">
          <cell r="B766" t="str">
            <v>C8348</v>
          </cell>
          <cell r="C766" t="str">
            <v>Lữ Thị Phương</v>
          </cell>
          <cell r="D766" t="str">
            <v>LU THI PHUONG</v>
          </cell>
          <cell r="E766" t="str">
            <v>050089858167</v>
          </cell>
          <cell r="F766" t="str">
            <v>C8348LU THI PHUONG050089858167</v>
          </cell>
        </row>
        <row r="767">
          <cell r="B767" t="str">
            <v>C11733</v>
          </cell>
          <cell r="C767" t="str">
            <v>Phạm Thị Mỹ Hiếu</v>
          </cell>
          <cell r="D767" t="str">
            <v>PHAM THI MY HIEU</v>
          </cell>
          <cell r="E767" t="str">
            <v>050116008170</v>
          </cell>
          <cell r="F767" t="str">
            <v>C11733PHAM THI MY HIEU050116008170</v>
          </cell>
        </row>
        <row r="768">
          <cell r="B768" t="str">
            <v>C11770</v>
          </cell>
          <cell r="C768" t="str">
            <v>Điểu Tấn Thịnh</v>
          </cell>
          <cell r="D768" t="str">
            <v>DIEU TAN THINH</v>
          </cell>
          <cell r="E768" t="str">
            <v>050116008049</v>
          </cell>
          <cell r="F768" t="str">
            <v>C11770DIEU TAN THINH050116008049</v>
          </cell>
        </row>
        <row r="769">
          <cell r="B769" t="str">
            <v>C12003</v>
          </cell>
          <cell r="C769" t="str">
            <v>Mai Thị Ngọc Bích</v>
          </cell>
          <cell r="D769" t="str">
            <v>MAI THI NGOC BICH</v>
          </cell>
          <cell r="E769" t="str">
            <v>050075696199</v>
          </cell>
          <cell r="F769" t="str">
            <v>C12003MAI THI NGOC BICH050075696199</v>
          </cell>
        </row>
        <row r="770">
          <cell r="B770" t="str">
            <v>C14200</v>
          </cell>
          <cell r="C770" t="str">
            <v>Phạm Thị Hạnh Nguyên</v>
          </cell>
          <cell r="D770" t="str">
            <v>PHAM THI HANH NGUYEN</v>
          </cell>
          <cell r="E770" t="str">
            <v>050105852301</v>
          </cell>
          <cell r="F770" t="str">
            <v>C14200PHAM THI HANH NGUYEN050105852301</v>
          </cell>
        </row>
        <row r="771">
          <cell r="B771" t="str">
            <v>C14503</v>
          </cell>
          <cell r="C771" t="str">
            <v>Tô Ánh Xuân</v>
          </cell>
          <cell r="D771" t="str">
            <v>TO ANH XUAN</v>
          </cell>
          <cell r="E771" t="str">
            <v>050099237764</v>
          </cell>
          <cell r="F771" t="str">
            <v>C14503TO ANH XUAN050099237764</v>
          </cell>
        </row>
        <row r="772">
          <cell r="B772" t="str">
            <v>C15115</v>
          </cell>
          <cell r="C772" t="str">
            <v>Nguyễn Thị Thanh Thúy</v>
          </cell>
          <cell r="D772" t="str">
            <v>NGUYEN THI THANH THUY</v>
          </cell>
          <cell r="E772" t="str">
            <v>050133982717</v>
          </cell>
          <cell r="F772" t="str">
            <v>C15115NGUYEN THI THANH THUY050133982717</v>
          </cell>
        </row>
        <row r="773">
          <cell r="B773" t="str">
            <v>C15126</v>
          </cell>
          <cell r="C773" t="str">
            <v>Lê Ngọc Yến</v>
          </cell>
          <cell r="D773" t="str">
            <v>LE NGOC YEN</v>
          </cell>
          <cell r="E773" t="str">
            <v>050078506341</v>
          </cell>
          <cell r="F773" t="str">
            <v>C15126LE NGOC YEN050078506341</v>
          </cell>
        </row>
        <row r="774">
          <cell r="B774" t="str">
            <v>C1671</v>
          </cell>
          <cell r="C774" t="str">
            <v>Hồ Thị Châu</v>
          </cell>
          <cell r="D774" t="str">
            <v>HO THI CHAU</v>
          </cell>
          <cell r="E774" t="str">
            <v>050040875252</v>
          </cell>
          <cell r="F774" t="str">
            <v>C1671HO THI CHAU050040875252</v>
          </cell>
        </row>
        <row r="775">
          <cell r="B775" t="str">
            <v>C5878</v>
          </cell>
          <cell r="C775" t="str">
            <v>Võ Thị Lệ</v>
          </cell>
          <cell r="D775" t="str">
            <v>VO THI LE</v>
          </cell>
          <cell r="E775" t="str">
            <v>050040933392</v>
          </cell>
          <cell r="F775" t="str">
            <v>C5878VO THI LE050040933392</v>
          </cell>
        </row>
        <row r="776">
          <cell r="B776" t="str">
            <v>C7470</v>
          </cell>
          <cell r="C776" t="str">
            <v>Lê Thị Bích Thủy</v>
          </cell>
          <cell r="D776" t="str">
            <v>LE THI BICH THUY</v>
          </cell>
          <cell r="E776" t="str">
            <v>050096717811</v>
          </cell>
          <cell r="F776" t="str">
            <v>C7470LE THI BICH THUY050096717811</v>
          </cell>
        </row>
        <row r="777">
          <cell r="B777" t="str">
            <v>C7562</v>
          </cell>
          <cell r="C777" t="str">
            <v>Lê Thị Trúc Phượng</v>
          </cell>
          <cell r="D777" t="str">
            <v>LE THI TRUC PHUONG</v>
          </cell>
          <cell r="E777" t="str">
            <v>050098252239</v>
          </cell>
          <cell r="F777" t="str">
            <v>C7562LE THI TRUC PHUONG050098252239</v>
          </cell>
        </row>
        <row r="778">
          <cell r="B778" t="str">
            <v>C7621</v>
          </cell>
          <cell r="C778" t="str">
            <v>Long Văn Mạo</v>
          </cell>
          <cell r="D778" t="str">
            <v>LONG VAN MAO</v>
          </cell>
          <cell r="E778" t="str">
            <v>050066182204</v>
          </cell>
          <cell r="F778" t="str">
            <v>C7621LONG VAN MAO050066182204</v>
          </cell>
        </row>
        <row r="779">
          <cell r="B779" t="str">
            <v>C7622</v>
          </cell>
          <cell r="C779" t="str">
            <v>Mai Nguyễn Giang Hà</v>
          </cell>
          <cell r="D779" t="str">
            <v>MAI NGUYEN GIANG HA</v>
          </cell>
          <cell r="E779" t="str">
            <v>050105915753</v>
          </cell>
          <cell r="F779" t="str">
            <v>C7622MAI NGUYEN GIANG HA050105915753</v>
          </cell>
        </row>
        <row r="780">
          <cell r="B780" t="str">
            <v>C7862</v>
          </cell>
          <cell r="C780" t="str">
            <v>Nguyễn Thị Mộng</v>
          </cell>
          <cell r="D780" t="str">
            <v>NGUYEN THI MONG</v>
          </cell>
          <cell r="E780" t="str">
            <v>050103062966</v>
          </cell>
          <cell r="F780" t="str">
            <v>C7862NGUYEN THI MONG050103062966</v>
          </cell>
        </row>
        <row r="781">
          <cell r="B781" t="str">
            <v>C8039</v>
          </cell>
          <cell r="C781" t="str">
            <v>Nguyễn Văn Lớn</v>
          </cell>
          <cell r="D781" t="str">
            <v>NGUYEN VAN LON</v>
          </cell>
          <cell r="E781" t="str">
            <v>050104420319</v>
          </cell>
          <cell r="F781" t="str">
            <v>C8039NGUYEN VAN LON050104420319</v>
          </cell>
        </row>
        <row r="782">
          <cell r="B782" t="str">
            <v>C8112</v>
          </cell>
          <cell r="C782" t="str">
            <v>Lâm Sơn</v>
          </cell>
          <cell r="D782" t="str">
            <v>LAM SON</v>
          </cell>
          <cell r="E782" t="str">
            <v>050028925570</v>
          </cell>
          <cell r="F782" t="str">
            <v>C8112LAM SON050028925570</v>
          </cell>
        </row>
        <row r="783">
          <cell r="B783" t="str">
            <v>C8231</v>
          </cell>
          <cell r="C783" t="str">
            <v>Nguyễn Thị Hiên</v>
          </cell>
          <cell r="D783" t="str">
            <v>NGUYEN THI HIEN</v>
          </cell>
          <cell r="E783" t="str">
            <v>050104420637</v>
          </cell>
          <cell r="F783" t="str">
            <v>C8231NGUYEN THI HIEN050104420637</v>
          </cell>
        </row>
        <row r="784">
          <cell r="B784" t="str">
            <v>C8255</v>
          </cell>
          <cell r="C784" t="str">
            <v>Phan Thị Hồng Lụa</v>
          </cell>
          <cell r="D784" t="str">
            <v>PHAN THI HONG LUA</v>
          </cell>
          <cell r="E784" t="str">
            <v>050104420459</v>
          </cell>
          <cell r="F784" t="str">
            <v>C8255PHAN THI HONG LUA050104420459</v>
          </cell>
        </row>
        <row r="785">
          <cell r="B785" t="str">
            <v>C8354</v>
          </cell>
          <cell r="C785" t="str">
            <v>Lữ Thị Thoan</v>
          </cell>
          <cell r="D785" t="str">
            <v>LU THI THOAN</v>
          </cell>
          <cell r="E785" t="str">
            <v>050104424748</v>
          </cell>
          <cell r="F785" t="str">
            <v>C8354LU THI THOAN050104424748</v>
          </cell>
        </row>
        <row r="786">
          <cell r="B786" t="str">
            <v>C8365</v>
          </cell>
          <cell r="C786" t="str">
            <v>Thị Gái</v>
          </cell>
          <cell r="D786" t="str">
            <v>THI GAI</v>
          </cell>
          <cell r="E786" t="str">
            <v>050104420361</v>
          </cell>
          <cell r="F786" t="str">
            <v>C8365THI GAI050104420361</v>
          </cell>
        </row>
        <row r="787">
          <cell r="B787" t="str">
            <v>C8394</v>
          </cell>
          <cell r="C787" t="str">
            <v>Trần Sa Mai</v>
          </cell>
          <cell r="D787" t="str">
            <v>TRAN SA MAI</v>
          </cell>
          <cell r="E787" t="str">
            <v>050067867669</v>
          </cell>
          <cell r="F787" t="str">
            <v>C8394TRAN SA MAI050067867669</v>
          </cell>
        </row>
        <row r="788">
          <cell r="B788" t="str">
            <v>C8379</v>
          </cell>
          <cell r="C788" t="str">
            <v>Ngô Thị Dương</v>
          </cell>
          <cell r="D788" t="str">
            <v>NGO THI DUONG</v>
          </cell>
          <cell r="E788" t="str">
            <v>050104420270</v>
          </cell>
          <cell r="F788" t="str">
            <v>C8379NGO THI DUONG050104420270</v>
          </cell>
        </row>
        <row r="789">
          <cell r="B789" t="str">
            <v>C8486</v>
          </cell>
          <cell r="C789" t="str">
            <v>Phùng Thị Tuyển</v>
          </cell>
          <cell r="D789" t="str">
            <v>PHUNG THI TUYEN</v>
          </cell>
          <cell r="E789" t="str">
            <v>050105915966</v>
          </cell>
          <cell r="F789" t="str">
            <v>C8486PHUNG THI TUYEN050105915966</v>
          </cell>
        </row>
        <row r="790">
          <cell r="B790" t="str">
            <v>C10491</v>
          </cell>
          <cell r="C790" t="str">
            <v>Lê Thanh Bình</v>
          </cell>
          <cell r="D790" t="str">
            <v>LE THANH BINH</v>
          </cell>
          <cell r="E790" t="str">
            <v>050105128611</v>
          </cell>
          <cell r="F790" t="str">
            <v>C10491LE THANH BINH050105128611</v>
          </cell>
        </row>
        <row r="791">
          <cell r="B791" t="str">
            <v>C10565</v>
          </cell>
          <cell r="C791" t="str">
            <v>Đặng Thành Thuận</v>
          </cell>
          <cell r="D791" t="str">
            <v>DANG THANH THUAN</v>
          </cell>
          <cell r="E791" t="str">
            <v>050105128530</v>
          </cell>
          <cell r="F791" t="str">
            <v>C10565DANG THANH THUAN050105128530</v>
          </cell>
        </row>
        <row r="792">
          <cell r="B792" t="str">
            <v>C10675</v>
          </cell>
          <cell r="C792" t="str">
            <v>Lê Thị Giang</v>
          </cell>
          <cell r="D792" t="str">
            <v>LE THI GIANG</v>
          </cell>
          <cell r="E792" t="str">
            <v>050063197014</v>
          </cell>
          <cell r="F792" t="str">
            <v>C10675LE THI GIANG050063197014</v>
          </cell>
        </row>
        <row r="793">
          <cell r="B793" t="str">
            <v>C10696</v>
          </cell>
          <cell r="C793" t="str">
            <v>Vũ Thị Ngọc Thanh</v>
          </cell>
          <cell r="D793" t="str">
            <v>VU THI NGOC THANH</v>
          </cell>
          <cell r="E793" t="str">
            <v>050035711489</v>
          </cell>
          <cell r="F793" t="str">
            <v>C10696VU THI NGOC THANH050035711489</v>
          </cell>
        </row>
        <row r="794">
          <cell r="B794" t="str">
            <v>C11186</v>
          </cell>
          <cell r="C794" t="str">
            <v>Nguyễn Trung Hiếu</v>
          </cell>
          <cell r="D794" t="str">
            <v>NGUYEN TRUNG HIEU</v>
          </cell>
          <cell r="E794" t="str">
            <v>050104617661</v>
          </cell>
          <cell r="F794" t="str">
            <v>C11186NGUYEN TRUNG HIEU050104617661</v>
          </cell>
        </row>
        <row r="795">
          <cell r="B795" t="str">
            <v>C11188</v>
          </cell>
          <cell r="C795" t="str">
            <v>Ngô Hiếu Thảo</v>
          </cell>
          <cell r="D795" t="str">
            <v>NGO HIEU THAO</v>
          </cell>
          <cell r="E795" t="str">
            <v>050087500931</v>
          </cell>
          <cell r="F795" t="str">
            <v>C11188NGO HIEU THAO050087500931</v>
          </cell>
        </row>
        <row r="796">
          <cell r="B796" t="str">
            <v>C11258</v>
          </cell>
          <cell r="C796" t="str">
            <v>Lâm Chương</v>
          </cell>
          <cell r="D796" t="str">
            <v>LAM CHUONG</v>
          </cell>
          <cell r="E796" t="str">
            <v>050111068930</v>
          </cell>
          <cell r="F796" t="str">
            <v>C11258LAM CHUONG050111068930</v>
          </cell>
        </row>
        <row r="797">
          <cell r="B797" t="str">
            <v>C11274</v>
          </cell>
          <cell r="C797" t="str">
            <v>Lâm Bốc</v>
          </cell>
          <cell r="D797" t="str">
            <v>LAM BOC</v>
          </cell>
          <cell r="E797" t="str">
            <v>050110182268</v>
          </cell>
          <cell r="F797" t="str">
            <v>C11274LAM BOC050110182268</v>
          </cell>
        </row>
        <row r="798">
          <cell r="B798" t="str">
            <v>C11272</v>
          </cell>
          <cell r="C798" t="str">
            <v>Lâm Rứch</v>
          </cell>
          <cell r="D798" t="str">
            <v>LAM RUCH</v>
          </cell>
          <cell r="E798" t="str">
            <v>050111868856</v>
          </cell>
          <cell r="F798" t="str">
            <v>C11272LAM RUCH050111868856</v>
          </cell>
        </row>
        <row r="799">
          <cell r="B799" t="str">
            <v>C11541</v>
          </cell>
          <cell r="C799" t="str">
            <v>Trần Thị Hằng</v>
          </cell>
          <cell r="D799" t="str">
            <v>TRAN THI HANG</v>
          </cell>
          <cell r="E799" t="str">
            <v>050105590366</v>
          </cell>
          <cell r="F799" t="str">
            <v>C11541TRAN THI HANG050105590366</v>
          </cell>
        </row>
        <row r="800">
          <cell r="B800" t="str">
            <v>C11735</v>
          </cell>
          <cell r="C800" t="str">
            <v>Lâm Đức Nhuận</v>
          </cell>
          <cell r="D800" t="str">
            <v>LAM DUC NHUAN</v>
          </cell>
          <cell r="E800" t="str">
            <v>050116008073</v>
          </cell>
          <cell r="F800" t="str">
            <v>C11735LAM DUC NHUAN050116008073</v>
          </cell>
        </row>
        <row r="801">
          <cell r="B801" t="str">
            <v>C11732</v>
          </cell>
          <cell r="C801" t="str">
            <v>Lâm Văn Phanh</v>
          </cell>
          <cell r="D801" t="str">
            <v>LAM VAN PHANH</v>
          </cell>
          <cell r="E801" t="str">
            <v>050116008162</v>
          </cell>
          <cell r="F801" t="str">
            <v>C11732LAM VAN PHANH050116008162</v>
          </cell>
        </row>
        <row r="802">
          <cell r="B802" t="str">
            <v>C11753</v>
          </cell>
          <cell r="C802" t="str">
            <v>Nguyễn Thị Mèo</v>
          </cell>
          <cell r="D802" t="str">
            <v>NGUYEN THI MEO</v>
          </cell>
          <cell r="E802" t="str">
            <v>050116312422</v>
          </cell>
          <cell r="F802" t="str">
            <v>C11753NGUYEN THI MEO050116312422</v>
          </cell>
        </row>
        <row r="803">
          <cell r="B803" t="str">
            <v>C11951</v>
          </cell>
          <cell r="C803" t="str">
            <v>Nguyễn Văn Hiếu</v>
          </cell>
          <cell r="D803" t="str">
            <v>NGUYEN VAN HIEU</v>
          </cell>
          <cell r="E803" t="str">
            <v>050114782324</v>
          </cell>
          <cell r="F803" t="str">
            <v>C11951NGUYEN VAN HIEU050114782324</v>
          </cell>
        </row>
        <row r="804">
          <cell r="B804" t="str">
            <v>C12013</v>
          </cell>
          <cell r="C804" t="str">
            <v>Nguyễn Văn Thái</v>
          </cell>
          <cell r="D804" t="str">
            <v>NGUYEN VAN THAI</v>
          </cell>
          <cell r="E804" t="str">
            <v>050061305537</v>
          </cell>
          <cell r="F804" t="str">
            <v>C12013NGUYEN VAN THAI050061305537</v>
          </cell>
        </row>
        <row r="805">
          <cell r="B805" t="str">
            <v>C12110</v>
          </cell>
          <cell r="C805" t="str">
            <v>Nguyễn Thị Diễm</v>
          </cell>
          <cell r="D805" t="str">
            <v>NGUYEN THI DIEM</v>
          </cell>
          <cell r="E805" t="str">
            <v>050117176700</v>
          </cell>
          <cell r="F805" t="str">
            <v>C12110NGUYEN THI DIEM050117176700</v>
          </cell>
        </row>
        <row r="806">
          <cell r="B806" t="str">
            <v>C13182</v>
          </cell>
          <cell r="C806" t="str">
            <v>Vũ Thị Thủy Tiên</v>
          </cell>
          <cell r="D806" t="str">
            <v>VU THI THUY TIEN</v>
          </cell>
          <cell r="E806" t="str">
            <v>050103659881</v>
          </cell>
          <cell r="F806" t="str">
            <v>C13182VU THI THUY TIEN050103659881</v>
          </cell>
        </row>
        <row r="807">
          <cell r="B807" t="str">
            <v>C13296</v>
          </cell>
          <cell r="C807" t="str">
            <v>Hồ Thị Linh</v>
          </cell>
          <cell r="D807" t="str">
            <v>HO THI LINH</v>
          </cell>
          <cell r="E807" t="str">
            <v>050126082859</v>
          </cell>
          <cell r="F807" t="str">
            <v>C13296HO THI LINH050126082859</v>
          </cell>
        </row>
        <row r="808">
          <cell r="B808" t="str">
            <v>C13424</v>
          </cell>
          <cell r="C808" t="str">
            <v>Nguyễn Văn Tôn</v>
          </cell>
          <cell r="D808" t="str">
            <v>NGUYEN VAN TON</v>
          </cell>
          <cell r="E808" t="str">
            <v>050114098083</v>
          </cell>
          <cell r="F808" t="str">
            <v>C13424NGUYEN VAN TON050114098083</v>
          </cell>
        </row>
        <row r="809">
          <cell r="B809" t="str">
            <v>C13420</v>
          </cell>
          <cell r="C809" t="str">
            <v>Nguyễn Thị Phấn</v>
          </cell>
          <cell r="D809" t="str">
            <v>NGUYEN THI PHAN</v>
          </cell>
          <cell r="E809" t="str">
            <v>050117176689</v>
          </cell>
          <cell r="F809" t="str">
            <v>C13420NGUYEN THI PHAN050117176689</v>
          </cell>
        </row>
        <row r="810">
          <cell r="B810" t="str">
            <v>C13793</v>
          </cell>
          <cell r="C810" t="str">
            <v>Phan Tấn Đạt</v>
          </cell>
          <cell r="D810" t="str">
            <v>PHAN TAN DAT</v>
          </cell>
          <cell r="E810" t="str">
            <v>050124634382</v>
          </cell>
          <cell r="F810" t="str">
            <v>C13793PHAN TAN DAT050124634382</v>
          </cell>
        </row>
        <row r="811">
          <cell r="B811" t="str">
            <v>C14127</v>
          </cell>
          <cell r="C811" t="str">
            <v>Đậu Thị Hoài Hương</v>
          </cell>
          <cell r="D811" t="str">
            <v>DAU THI HOAI HUONG</v>
          </cell>
          <cell r="E811" t="str">
            <v>050128583596</v>
          </cell>
          <cell r="F811" t="str">
            <v>C14127DAU THI HOAI HUONG050128583596</v>
          </cell>
        </row>
        <row r="812">
          <cell r="B812" t="str">
            <v>C14340</v>
          </cell>
          <cell r="C812" t="str">
            <v>Lê Thị Mỹ Phương</v>
          </cell>
          <cell r="D812" t="str">
            <v>LE THI MY PHUONG</v>
          </cell>
          <cell r="E812" t="str">
            <v>070109897653</v>
          </cell>
          <cell r="F812" t="str">
            <v>C14340LE THI MY PHUONG070109897653</v>
          </cell>
        </row>
        <row r="813">
          <cell r="B813" t="str">
            <v>C14452</v>
          </cell>
          <cell r="C813" t="str">
            <v>Nguyễn Thị Cẩm Tiên</v>
          </cell>
          <cell r="D813" t="str">
            <v>NGUYEN THI CAM TIEN</v>
          </cell>
          <cell r="E813" t="str">
            <v>050117176972</v>
          </cell>
          <cell r="F813" t="str">
            <v>C14452NGUYEN THI CAM TIEN050117176972</v>
          </cell>
        </row>
        <row r="814">
          <cell r="B814" t="str">
            <v>C14900</v>
          </cell>
          <cell r="C814" t="str">
            <v>Nguyễn Phước Hậu</v>
          </cell>
          <cell r="D814" t="str">
            <v>NGUYEN PHUOC HAU</v>
          </cell>
          <cell r="E814" t="str">
            <v>050136912371</v>
          </cell>
          <cell r="F814" t="str">
            <v>C14900NGUYEN PHUOC HAU050136912371</v>
          </cell>
        </row>
        <row r="815">
          <cell r="B815" t="str">
            <v>C14941</v>
          </cell>
          <cell r="C815" t="str">
            <v>Trương Thị Thuỷ</v>
          </cell>
          <cell r="D815" t="str">
            <v>TRUONG THI THUY</v>
          </cell>
          <cell r="E815" t="str">
            <v>050136912450</v>
          </cell>
          <cell r="F815" t="str">
            <v>C14941TRUONG THI THUY050136912450</v>
          </cell>
        </row>
        <row r="816">
          <cell r="B816" t="str">
            <v>C15011</v>
          </cell>
          <cell r="C816" t="str">
            <v>Trần Dũ Khang</v>
          </cell>
          <cell r="D816" t="str">
            <v>TRAN DU KHANG</v>
          </cell>
          <cell r="E816" t="str">
            <v>050137135180</v>
          </cell>
          <cell r="F816" t="str">
            <v>C15011TRAN DU KHANG050137135180</v>
          </cell>
        </row>
        <row r="817">
          <cell r="B817" t="str">
            <v>C15167</v>
          </cell>
          <cell r="C817" t="str">
            <v>Nguyễn Gi Phương</v>
          </cell>
          <cell r="D817" t="str">
            <v>NGUYEN GI PHUONG</v>
          </cell>
          <cell r="E817" t="str">
            <v>050116973844</v>
          </cell>
          <cell r="F817" t="str">
            <v>C15167NGUYEN GI PHUONG050116973844</v>
          </cell>
        </row>
        <row r="818">
          <cell r="B818" t="str">
            <v>C15329</v>
          </cell>
          <cell r="C818" t="str">
            <v>Đàm Thị Thao</v>
          </cell>
          <cell r="D818" t="str">
            <v>DAM THI THAO</v>
          </cell>
          <cell r="E818" t="str">
            <v>050135261227</v>
          </cell>
          <cell r="F818" t="str">
            <v>C15329DAM THI THAO050135261227</v>
          </cell>
        </row>
        <row r="819">
          <cell r="B819" t="str">
            <v>C0176</v>
          </cell>
          <cell r="C819" t="str">
            <v>Nguyễn Thị Lệ Nga</v>
          </cell>
          <cell r="D819" t="str">
            <v>NGUYEN THI LE NGA</v>
          </cell>
          <cell r="E819" t="str">
            <v>050040871990</v>
          </cell>
          <cell r="F819" t="str">
            <v>C0176NGUYEN THI LE NGA050040871990</v>
          </cell>
        </row>
        <row r="820">
          <cell r="B820" t="str">
            <v>C2525</v>
          </cell>
          <cell r="C820" t="str">
            <v>Thị Anh</v>
          </cell>
          <cell r="D820" t="str">
            <v>THI ANH</v>
          </cell>
          <cell r="E820" t="str">
            <v>050040832065</v>
          </cell>
          <cell r="F820" t="str">
            <v>C2525THI ANH050040832065</v>
          </cell>
        </row>
        <row r="821">
          <cell r="B821" t="str">
            <v>C1892</v>
          </cell>
          <cell r="C821" t="str">
            <v>Thái Thị Hoa</v>
          </cell>
          <cell r="D821" t="str">
            <v>THAI THI HOA</v>
          </cell>
          <cell r="E821" t="str">
            <v>050040934062</v>
          </cell>
          <cell r="F821" t="str">
            <v>C1892THAI THI HOA050040934062</v>
          </cell>
        </row>
        <row r="822">
          <cell r="B822" t="str">
            <v>C2495</v>
          </cell>
          <cell r="C822" t="str">
            <v>Thị Thủy</v>
          </cell>
          <cell r="D822" t="str">
            <v>THI THUY</v>
          </cell>
          <cell r="E822" t="str">
            <v>050040835455</v>
          </cell>
          <cell r="F822" t="str">
            <v>C2495THI THUY050040835455</v>
          </cell>
        </row>
        <row r="823">
          <cell r="B823" t="str">
            <v>C3107</v>
          </cell>
          <cell r="C823" t="str">
            <v>Đỗ Thị Huệ</v>
          </cell>
          <cell r="D823" t="str">
            <v>DO THI HUE</v>
          </cell>
          <cell r="E823" t="str">
            <v>050067513220</v>
          </cell>
          <cell r="F823" t="str">
            <v>C3107DO THI HUE050067513220</v>
          </cell>
        </row>
        <row r="824">
          <cell r="B824" t="str">
            <v>C3935</v>
          </cell>
          <cell r="C824" t="str">
            <v>Phạm Văn Bình</v>
          </cell>
          <cell r="D824" t="str">
            <v>PHAM VAN BINH</v>
          </cell>
          <cell r="E824" t="str">
            <v>050040933732</v>
          </cell>
          <cell r="F824" t="str">
            <v>C3935PHAM VAN BINH050040933732</v>
          </cell>
        </row>
        <row r="825">
          <cell r="B825" t="str">
            <v>C4151</v>
          </cell>
          <cell r="C825" t="str">
            <v>Đỗ Thị Mộng Trinh</v>
          </cell>
          <cell r="D825" t="str">
            <v>DO THI MONG TRINH</v>
          </cell>
          <cell r="E825" t="str">
            <v>050040845272</v>
          </cell>
          <cell r="F825" t="str">
            <v>C4151DO THI MONG TRINH050040845272</v>
          </cell>
        </row>
        <row r="826">
          <cell r="B826" t="str">
            <v>C5057</v>
          </cell>
          <cell r="C826" t="str">
            <v>Huỳnh Ngọc Vui</v>
          </cell>
          <cell r="D826" t="str">
            <v>HUYNH NGOC VUI</v>
          </cell>
          <cell r="E826" t="str">
            <v>050020224034</v>
          </cell>
          <cell r="F826" t="str">
            <v>C5057HUYNH NGOC VUI050020224034</v>
          </cell>
        </row>
        <row r="827">
          <cell r="B827" t="str">
            <v>C7134</v>
          </cell>
          <cell r="C827" t="str">
            <v>Thái Thị Huỳnh Như</v>
          </cell>
          <cell r="D827" t="str">
            <v>THAI THI HUYNH NHU</v>
          </cell>
          <cell r="E827" t="str">
            <v>050083120034</v>
          </cell>
          <cell r="F827" t="str">
            <v>C7134THAI THI HUYNH NHU050083120034</v>
          </cell>
        </row>
        <row r="828">
          <cell r="B828" t="str">
            <v>C8109</v>
          </cell>
          <cell r="C828" t="str">
            <v>Lâm Thị Lý</v>
          </cell>
          <cell r="D828" t="str">
            <v>LAM THI LY</v>
          </cell>
          <cell r="E828" t="str">
            <v>050104420696</v>
          </cell>
          <cell r="F828" t="str">
            <v>C8109LAM THI LY050104420696</v>
          </cell>
        </row>
        <row r="829">
          <cell r="B829" t="str">
            <v>C8375</v>
          </cell>
          <cell r="C829" t="str">
            <v>Nguyễn Chí Hưng</v>
          </cell>
          <cell r="D829" t="str">
            <v>NGUYEN CHI HUNG</v>
          </cell>
          <cell r="E829" t="str">
            <v>050104424799</v>
          </cell>
          <cell r="F829" t="str">
            <v>C8375NGUYEN CHI HUNG050104424799</v>
          </cell>
        </row>
        <row r="830">
          <cell r="B830" t="str">
            <v>C10417</v>
          </cell>
          <cell r="C830" t="str">
            <v>Hồ Thị Ngân</v>
          </cell>
          <cell r="D830" t="str">
            <v>HO THI NGAN</v>
          </cell>
          <cell r="E830" t="str">
            <v>050062802720</v>
          </cell>
          <cell r="F830" t="str">
            <v>C10417HO THI NGAN050062802720</v>
          </cell>
        </row>
        <row r="831">
          <cell r="B831" t="str">
            <v>C10910</v>
          </cell>
          <cell r="C831" t="str">
            <v>Trần Thị Ngọc Thúy</v>
          </cell>
          <cell r="D831" t="str">
            <v>TRAN THI NGOC THUY</v>
          </cell>
          <cell r="E831" t="str">
            <v>050108990527</v>
          </cell>
          <cell r="F831" t="str">
            <v>C10910TRAN THI NGOC THUY050108990527</v>
          </cell>
        </row>
        <row r="832">
          <cell r="B832" t="str">
            <v>C11130</v>
          </cell>
          <cell r="C832" t="str">
            <v>Vũ Cao Đại</v>
          </cell>
          <cell r="D832" t="str">
            <v>VU CAO DAI</v>
          </cell>
          <cell r="E832" t="str">
            <v>050106514353</v>
          </cell>
          <cell r="F832" t="str">
            <v>C11130VU CAO DAI050106514353</v>
          </cell>
        </row>
        <row r="833">
          <cell r="B833" t="str">
            <v>C11448</v>
          </cell>
          <cell r="C833" t="str">
            <v>Thái Minh Thùy</v>
          </cell>
          <cell r="D833" t="str">
            <v>THAI MINH THUY</v>
          </cell>
          <cell r="E833" t="str">
            <v>050112982040</v>
          </cell>
          <cell r="F833" t="str">
            <v>C11448THAI MINH THUY050112982040</v>
          </cell>
        </row>
        <row r="834">
          <cell r="B834" t="str">
            <v>C11449</v>
          </cell>
          <cell r="C834" t="str">
            <v>Nguyễn Minh Tân</v>
          </cell>
          <cell r="D834" t="str">
            <v>NGUYEN MINH TAN</v>
          </cell>
          <cell r="E834" t="str">
            <v>050112981214</v>
          </cell>
          <cell r="F834" t="str">
            <v>C11449NGUYEN MINH TAN050112981214</v>
          </cell>
        </row>
        <row r="835">
          <cell r="B835" t="str">
            <v>C11491</v>
          </cell>
          <cell r="C835" t="str">
            <v>Siu Suel</v>
          </cell>
          <cell r="D835" t="str">
            <v>SIU SUEL</v>
          </cell>
          <cell r="E835" t="str">
            <v>050112979546</v>
          </cell>
          <cell r="F835" t="str">
            <v>C11491SIU SUEL050112979546</v>
          </cell>
        </row>
        <row r="836">
          <cell r="B836" t="str">
            <v>C11564</v>
          </cell>
          <cell r="C836" t="str">
            <v>Võ Văn Đạt</v>
          </cell>
          <cell r="D836" t="str">
            <v>VO VAN DAT</v>
          </cell>
          <cell r="E836" t="str">
            <v>050113179136</v>
          </cell>
          <cell r="F836" t="str">
            <v>C11564VO VAN DAT050113179136</v>
          </cell>
        </row>
        <row r="837">
          <cell r="B837" t="str">
            <v>C11565</v>
          </cell>
          <cell r="C837" t="str">
            <v>Thị Me</v>
          </cell>
          <cell r="D837" t="str">
            <v>THI ME</v>
          </cell>
          <cell r="E837" t="str">
            <v>050113179179</v>
          </cell>
          <cell r="F837" t="str">
            <v>C11565THI ME050113179179</v>
          </cell>
        </row>
        <row r="838">
          <cell r="B838" t="str">
            <v>C11558</v>
          </cell>
          <cell r="C838" t="str">
            <v>Siu Sem</v>
          </cell>
          <cell r="D838" t="str">
            <v>SIU SEM</v>
          </cell>
          <cell r="E838" t="str">
            <v>050091201256</v>
          </cell>
          <cell r="F838" t="str">
            <v>C11558SIU SEM050091201256</v>
          </cell>
        </row>
        <row r="839">
          <cell r="B839" t="str">
            <v>C11622</v>
          </cell>
          <cell r="C839" t="str">
            <v>Thị Thân Thủy</v>
          </cell>
          <cell r="D839" t="str">
            <v>THI THAN THUY</v>
          </cell>
          <cell r="E839" t="str">
            <v>050114066297</v>
          </cell>
          <cell r="F839" t="str">
            <v>C11622THI THAN THUY050114066297</v>
          </cell>
        </row>
        <row r="840">
          <cell r="B840" t="str">
            <v>C11756</v>
          </cell>
          <cell r="C840" t="str">
            <v>Lâm Tý</v>
          </cell>
          <cell r="D840" t="str">
            <v>LAM TY</v>
          </cell>
          <cell r="E840" t="str">
            <v>050116008057</v>
          </cell>
          <cell r="F840" t="str">
            <v>C11756LAM TY050116008057</v>
          </cell>
        </row>
        <row r="841">
          <cell r="B841" t="str">
            <v>C11946</v>
          </cell>
          <cell r="C841" t="str">
            <v>Lý Hùng</v>
          </cell>
          <cell r="D841" t="str">
            <v>LY HUNG</v>
          </cell>
          <cell r="E841" t="str">
            <v>050116653394</v>
          </cell>
          <cell r="F841" t="str">
            <v>C11946LY HUNG050116653394</v>
          </cell>
        </row>
        <row r="842">
          <cell r="B842" t="str">
            <v>C12016</v>
          </cell>
          <cell r="C842" t="str">
            <v>Nguyễn Chí Hưởng</v>
          </cell>
          <cell r="D842" t="str">
            <v>NGUYEN CHI HUONG</v>
          </cell>
          <cell r="E842" t="str">
            <v>050116653191</v>
          </cell>
          <cell r="F842" t="str">
            <v>C12016NGUYEN CHI HUONG050116653191</v>
          </cell>
        </row>
        <row r="843">
          <cell r="B843" t="str">
            <v>C12025</v>
          </cell>
          <cell r="C843" t="str">
            <v>Đinh Thị Nga</v>
          </cell>
          <cell r="D843" t="str">
            <v>DINH THI NGA</v>
          </cell>
          <cell r="E843" t="str">
            <v>050116653262</v>
          </cell>
          <cell r="F843" t="str">
            <v>C12025DINH THI NGA050116653262</v>
          </cell>
        </row>
        <row r="844">
          <cell r="B844" t="str">
            <v>C12690</v>
          </cell>
          <cell r="C844" t="str">
            <v>Phạm Thị Thu Hoa</v>
          </cell>
          <cell r="D844" t="str">
            <v>PHAM THI THU HOA</v>
          </cell>
          <cell r="E844" t="str">
            <v>050098646954</v>
          </cell>
          <cell r="F844" t="str">
            <v>C12690PHAM THI THU HOA050098646954</v>
          </cell>
        </row>
        <row r="845">
          <cell r="B845" t="str">
            <v>C12920</v>
          </cell>
          <cell r="C845" t="str">
            <v>Lê  Ngọc Anh</v>
          </cell>
          <cell r="D845" t="str">
            <v>LE NGOC ANH</v>
          </cell>
          <cell r="E845" t="str">
            <v>050102525229</v>
          </cell>
          <cell r="F845" t="str">
            <v>C12920LE NGOC ANH050102525229</v>
          </cell>
        </row>
        <row r="846">
          <cell r="B846" t="str">
            <v>C13004</v>
          </cell>
          <cell r="C846" t="str">
            <v>Nguyễn Thị Đào</v>
          </cell>
          <cell r="D846" t="str">
            <v>NGUYEN THI DAO</v>
          </cell>
          <cell r="E846" t="str">
            <v>050095447934</v>
          </cell>
          <cell r="F846" t="str">
            <v>C13004NGUYEN THI DAO050095447934</v>
          </cell>
        </row>
        <row r="847">
          <cell r="B847" t="str">
            <v>C13146</v>
          </cell>
          <cell r="C847" t="str">
            <v>Phạm Ngọc Khang</v>
          </cell>
          <cell r="D847" t="str">
            <v>PHAM NGOC KHANG</v>
          </cell>
          <cell r="E847" t="str">
            <v>050080012141</v>
          </cell>
          <cell r="F847" t="str">
            <v>C13146PHAM NGOC KHANG050080012141</v>
          </cell>
        </row>
        <row r="848">
          <cell r="B848" t="str">
            <v>C13426</v>
          </cell>
          <cell r="C848" t="str">
            <v>Nguyễn Sơn Phước</v>
          </cell>
          <cell r="D848" t="str">
            <v>NGUYEN SON PHUOC</v>
          </cell>
          <cell r="E848" t="str">
            <v>050127559764</v>
          </cell>
          <cell r="F848" t="str">
            <v>C13426NGUYEN SON PHUOC050127559764</v>
          </cell>
        </row>
        <row r="849">
          <cell r="B849" t="str">
            <v>C13423</v>
          </cell>
          <cell r="C849" t="str">
            <v>Trần Thị Mai Xuân</v>
          </cell>
          <cell r="D849" t="str">
            <v>TRAN THI MAI XUAN</v>
          </cell>
          <cell r="E849" t="str">
            <v>050114098067</v>
          </cell>
          <cell r="F849" t="str">
            <v>C13423TRAN THI MAI XUAN050114098067</v>
          </cell>
        </row>
        <row r="850">
          <cell r="B850" t="str">
            <v>C13505</v>
          </cell>
          <cell r="C850" t="str">
            <v>Vy Văn Thái</v>
          </cell>
          <cell r="D850" t="str">
            <v>VY VAN THAI</v>
          </cell>
          <cell r="E850" t="str">
            <v>050121853938</v>
          </cell>
          <cell r="F850" t="str">
            <v>C13505VY VAN THAI050121853938</v>
          </cell>
        </row>
        <row r="851">
          <cell r="B851" t="str">
            <v>C13700</v>
          </cell>
          <cell r="C851" t="str">
            <v>Điểu Trung</v>
          </cell>
          <cell r="D851" t="str">
            <v>DIEU TRUNG</v>
          </cell>
          <cell r="E851" t="str">
            <v>050128086207</v>
          </cell>
          <cell r="F851" t="str">
            <v>C13700DIEU TRUNG050128086207</v>
          </cell>
        </row>
        <row r="852">
          <cell r="B852" t="str">
            <v>C14213</v>
          </cell>
          <cell r="C852" t="str">
            <v>Trần Hữu Khánh</v>
          </cell>
          <cell r="D852" t="str">
            <v>TRAN HUU KHANH</v>
          </cell>
          <cell r="E852" t="str">
            <v>060263728648</v>
          </cell>
          <cell r="F852" t="str">
            <v>C14213TRAN HUU KHANH060263728648</v>
          </cell>
        </row>
        <row r="853">
          <cell r="B853" t="str">
            <v>C14247</v>
          </cell>
          <cell r="C853" t="str">
            <v>Nguyễn Thị Quang</v>
          </cell>
          <cell r="D853" t="str">
            <v>NGUYEN THI QUANG</v>
          </cell>
          <cell r="E853" t="str">
            <v>050128754889</v>
          </cell>
          <cell r="F853" t="str">
            <v>C14247NGUYEN THI QUANG050128754889</v>
          </cell>
        </row>
        <row r="854">
          <cell r="B854" t="str">
            <v>C14546</v>
          </cell>
          <cell r="C854" t="str">
            <v>Lê Thị Minh Vy</v>
          </cell>
          <cell r="D854" t="str">
            <v>LE THI MINH VY</v>
          </cell>
          <cell r="E854" t="str">
            <v>050135167530</v>
          </cell>
          <cell r="F854" t="str">
            <v>C14546LE THI MINH VY050135167530</v>
          </cell>
        </row>
        <row r="855">
          <cell r="B855" t="str">
            <v>C14655</v>
          </cell>
          <cell r="C855" t="str">
            <v>Lương Thanh Lâm</v>
          </cell>
          <cell r="D855" t="str">
            <v>LUONG THANH LAM</v>
          </cell>
          <cell r="E855" t="str">
            <v>050117176883</v>
          </cell>
          <cell r="F855" t="str">
            <v>C14655LUONG THANH LAM050117176883</v>
          </cell>
        </row>
        <row r="856">
          <cell r="B856" t="str">
            <v>C14721</v>
          </cell>
          <cell r="C856" t="str">
            <v>Nguyễn Thị Ngọc Cẩm</v>
          </cell>
          <cell r="D856" t="str">
            <v>NGUYEN THI NGOC CAM</v>
          </cell>
          <cell r="E856" t="str">
            <v>050059803562</v>
          </cell>
          <cell r="F856" t="str">
            <v>C14721NGUYEN THI NGOC CAM050059803562</v>
          </cell>
        </row>
        <row r="857">
          <cell r="B857" t="str">
            <v>C14749</v>
          </cell>
          <cell r="C857" t="str">
            <v>Phan Thị Cẩm Tiên</v>
          </cell>
          <cell r="D857" t="str">
            <v>PHAN THI CAM TIEN</v>
          </cell>
          <cell r="E857" t="str">
            <v>050113230794</v>
          </cell>
          <cell r="F857" t="str">
            <v>C14749PHAN THI CAM TIEN050113230794</v>
          </cell>
        </row>
        <row r="858">
          <cell r="B858" t="str">
            <v>C14870</v>
          </cell>
          <cell r="C858" t="str">
            <v>Nguyễn Minh Tâm</v>
          </cell>
          <cell r="D858" t="str">
            <v>NGUYEN MINH TAM</v>
          </cell>
          <cell r="E858" t="str">
            <v>050104420742</v>
          </cell>
          <cell r="F858" t="str">
            <v>C14870NGUYEN MINH TAM050104420742</v>
          </cell>
        </row>
        <row r="859">
          <cell r="B859" t="str">
            <v>C14948</v>
          </cell>
          <cell r="C859" t="str">
            <v>Lâm Thành Long</v>
          </cell>
          <cell r="D859" t="str">
            <v>LAM THANH LONG</v>
          </cell>
          <cell r="E859" t="str">
            <v>050136912434</v>
          </cell>
          <cell r="F859" t="str">
            <v>C14948LAM THANH LONG050136912434</v>
          </cell>
        </row>
        <row r="860">
          <cell r="B860" t="str">
            <v>C15114</v>
          </cell>
          <cell r="C860" t="str">
            <v>Trần Thị Như Ý</v>
          </cell>
          <cell r="D860" t="str">
            <v>TRAN THI NHU Y</v>
          </cell>
          <cell r="E860" t="str">
            <v>050137313569</v>
          </cell>
          <cell r="F860" t="str">
            <v>C15114TRAN THI NHU Y050137313569</v>
          </cell>
        </row>
        <row r="861">
          <cell r="B861" t="str">
            <v>C15314</v>
          </cell>
          <cell r="C861" t="str">
            <v>Trần Thanh Hiền</v>
          </cell>
          <cell r="D861" t="str">
            <v>TRAN THANH HIEN</v>
          </cell>
          <cell r="E861" t="str">
            <v>050137429354</v>
          </cell>
          <cell r="F861" t="str">
            <v>C15314TRAN THANH HIEN050137429354</v>
          </cell>
        </row>
        <row r="862">
          <cell r="B862" t="str">
            <v>C7942</v>
          </cell>
          <cell r="C862" t="str">
            <v>Trương Văn Trí</v>
          </cell>
          <cell r="D862" t="str">
            <v>TRUONG VAN TRI</v>
          </cell>
          <cell r="E862" t="str">
            <v>050104420841</v>
          </cell>
          <cell r="F862" t="str">
            <v>C7942TRUONG VAN TRI050104420841</v>
          </cell>
        </row>
        <row r="863">
          <cell r="B863" t="str">
            <v>C0015</v>
          </cell>
          <cell r="C863" t="str">
            <v>Lê Thị Sương</v>
          </cell>
          <cell r="D863" t="str">
            <v>LE THI SUONG</v>
          </cell>
          <cell r="E863" t="str">
            <v>050040828300</v>
          </cell>
          <cell r="F863" t="str">
            <v>C0015LE THI SUONG050040828300</v>
          </cell>
        </row>
        <row r="864">
          <cell r="B864" t="str">
            <v>C4860</v>
          </cell>
          <cell r="C864" t="str">
            <v>Hoàng Thị Thùy Dung</v>
          </cell>
          <cell r="D864" t="str">
            <v>HOANG THI THUY DUNG</v>
          </cell>
          <cell r="E864" t="str">
            <v>050040828912</v>
          </cell>
          <cell r="F864" t="str">
            <v>C4860HOANG THI THUY DUNG050040828912</v>
          </cell>
        </row>
        <row r="865">
          <cell r="B865" t="str">
            <v>C5238</v>
          </cell>
          <cell r="C865" t="str">
            <v>Huỳnh Thị Phương Thảo</v>
          </cell>
          <cell r="D865" t="str">
            <v>HUYNH THI PHUONG THAO</v>
          </cell>
          <cell r="E865" t="str">
            <v>050041644297</v>
          </cell>
          <cell r="F865" t="str">
            <v>C5238HUYNH THI PHUONG THAO050041644297</v>
          </cell>
        </row>
        <row r="866">
          <cell r="B866" t="str">
            <v>C5519</v>
          </cell>
          <cell r="C866" t="str">
            <v>Vũ Thị Hải</v>
          </cell>
          <cell r="D866" t="str">
            <v>VU THI HAI</v>
          </cell>
          <cell r="E866" t="str">
            <v>050040933503</v>
          </cell>
          <cell r="F866" t="str">
            <v>C5519VU THI HAI050040933503</v>
          </cell>
        </row>
        <row r="867">
          <cell r="B867" t="str">
            <v>C6618</v>
          </cell>
          <cell r="C867" t="str">
            <v>Lê Thị Diễm Trinh</v>
          </cell>
          <cell r="D867" t="str">
            <v>LE THI DIEM TRINH</v>
          </cell>
          <cell r="E867" t="str">
            <v>050055279087</v>
          </cell>
          <cell r="F867" t="str">
            <v>C6618LE THI DIEM TRINH050055279087</v>
          </cell>
        </row>
        <row r="868">
          <cell r="B868" t="str">
            <v>C7457</v>
          </cell>
          <cell r="C868" t="str">
            <v>Hồ Thị Na</v>
          </cell>
          <cell r="D868" t="str">
            <v>HO THI NA</v>
          </cell>
          <cell r="E868" t="str">
            <v>050095670692</v>
          </cell>
          <cell r="F868" t="str">
            <v>C7457HO THI NA050095670692</v>
          </cell>
        </row>
        <row r="869">
          <cell r="B869" t="str">
            <v>C8352</v>
          </cell>
          <cell r="C869" t="str">
            <v>Nguyễn Thị Kim Giàu</v>
          </cell>
          <cell r="D869" t="str">
            <v>NGUYEN THI KIM GIAU</v>
          </cell>
          <cell r="E869" t="str">
            <v>050104420106</v>
          </cell>
          <cell r="F869" t="str">
            <v>C8352NGUYEN THI KIM GIAU050104420106</v>
          </cell>
        </row>
        <row r="870">
          <cell r="B870" t="str">
            <v>C10738</v>
          </cell>
          <cell r="C870" t="str">
            <v>Nguyễn Thùy Linh</v>
          </cell>
          <cell r="D870" t="str">
            <v>NGUYEN THUY LINH</v>
          </cell>
          <cell r="E870" t="str">
            <v>060041391386</v>
          </cell>
          <cell r="F870" t="str">
            <v>C10738NGUYEN THUY LINH060041391386</v>
          </cell>
        </row>
        <row r="871">
          <cell r="B871" t="str">
            <v>C11058</v>
          </cell>
          <cell r="C871" t="str">
            <v>Đàm Thị Quyên</v>
          </cell>
          <cell r="D871" t="str">
            <v>DAM THI QUYEN</v>
          </cell>
          <cell r="E871" t="str">
            <v>050029026162</v>
          </cell>
          <cell r="F871" t="str">
            <v>C11058DAM THI QUYEN050029026162</v>
          </cell>
        </row>
        <row r="872">
          <cell r="B872" t="str">
            <v>C13228</v>
          </cell>
          <cell r="C872" t="str">
            <v>Trần Thị Dung</v>
          </cell>
          <cell r="D872" t="str">
            <v>TRAN THI DUNG</v>
          </cell>
          <cell r="E872" t="str">
            <v>050116845870</v>
          </cell>
          <cell r="F872" t="str">
            <v>C13228TRAN THI DUNG050116845870</v>
          </cell>
        </row>
        <row r="873">
          <cell r="B873" t="str">
            <v>C14541</v>
          </cell>
          <cell r="C873" t="str">
            <v>Nguyễn Hồng Loan</v>
          </cell>
          <cell r="D873" t="str">
            <v>NGUYEN HONG LOAN</v>
          </cell>
          <cell r="E873" t="str">
            <v>050134556746</v>
          </cell>
          <cell r="F873" t="str">
            <v>C14541NGUYEN HONG LOAN050134556746</v>
          </cell>
        </row>
        <row r="874">
          <cell r="B874" t="str">
            <v>C14647</v>
          </cell>
          <cell r="C874" t="str">
            <v>Lê Thị Hồng Dung</v>
          </cell>
          <cell r="D874" t="str">
            <v>LE THI HONG DUNG</v>
          </cell>
          <cell r="E874" t="str">
            <v>060257557203</v>
          </cell>
          <cell r="F874" t="str">
            <v>C14647LE THI HONG DUNG060257557203</v>
          </cell>
        </row>
        <row r="875">
          <cell r="B875" t="str">
            <v>C14812</v>
          </cell>
          <cell r="C875" t="str">
            <v>Nguyễn Thị Xuân Hải</v>
          </cell>
          <cell r="D875" t="str">
            <v>NGUYEN THI XUAN HAI</v>
          </cell>
          <cell r="E875" t="str">
            <v>050100276604</v>
          </cell>
          <cell r="F875" t="str">
            <v>C14812NGUYEN THI XUAN HAI050100276604</v>
          </cell>
        </row>
        <row r="876">
          <cell r="B876" t="str">
            <v>C7332</v>
          </cell>
          <cell r="C876" t="str">
            <v>Kim Sa Mươne</v>
          </cell>
          <cell r="D876" t="str">
            <v>KIM SA MUONE</v>
          </cell>
          <cell r="E876" t="str">
            <v>050091857747</v>
          </cell>
          <cell r="F876" t="str">
            <v>C7332KIM SA MUONE050091857747</v>
          </cell>
        </row>
        <row r="877">
          <cell r="B877" t="str">
            <v>C7494</v>
          </cell>
          <cell r="C877" t="str">
            <v>Lê Văn Tuấn</v>
          </cell>
          <cell r="D877" t="str">
            <v>LE VAN TUAN</v>
          </cell>
          <cell r="E877" t="str">
            <v>050098252069</v>
          </cell>
          <cell r="F877" t="str">
            <v>C7494LE VAN TUAN050098252069</v>
          </cell>
        </row>
        <row r="878">
          <cell r="B878" t="str">
            <v>C7769</v>
          </cell>
          <cell r="C878" t="str">
            <v>Nguyễn Văn Thắng</v>
          </cell>
          <cell r="D878" t="str">
            <v>NGUYEN VAN THANG</v>
          </cell>
          <cell r="E878" t="str">
            <v>050102998461</v>
          </cell>
          <cell r="F878" t="str">
            <v>C7769NGUYEN VAN THANG050102998461</v>
          </cell>
        </row>
        <row r="879">
          <cell r="B879" t="str">
            <v>C13826</v>
          </cell>
          <cell r="C879" t="str">
            <v>Lê Tiến Nam</v>
          </cell>
          <cell r="D879" t="str">
            <v>LE TIEN NAM</v>
          </cell>
          <cell r="E879" t="str">
            <v>050112496197</v>
          </cell>
          <cell r="F879" t="str">
            <v>C13826LE TIEN NAM050112496197</v>
          </cell>
        </row>
        <row r="880">
          <cell r="B880" t="str">
            <v>C13980</v>
          </cell>
          <cell r="C880" t="str">
            <v>Y Khuin KBuôr</v>
          </cell>
          <cell r="D880" t="str">
            <v>Y KHUIN KBUOR</v>
          </cell>
          <cell r="E880" t="str">
            <v>050127859598</v>
          </cell>
          <cell r="F880" t="str">
            <v>C13980Y KHUIN KBUOR050127859598</v>
          </cell>
        </row>
        <row r="881">
          <cell r="B881" t="str">
            <v>C14485</v>
          </cell>
          <cell r="C881" t="str">
            <v>Lê Văn Thái</v>
          </cell>
          <cell r="D881" t="str">
            <v>LE VAN THAI</v>
          </cell>
          <cell r="E881" t="str">
            <v>050134714521</v>
          </cell>
          <cell r="F881" t="str">
            <v>C14485LE VAN THAI050134714521</v>
          </cell>
        </row>
        <row r="882">
          <cell r="B882" t="str">
            <v>C14605</v>
          </cell>
          <cell r="C882" t="str">
            <v>Nguyễn Trọng Phú</v>
          </cell>
          <cell r="D882" t="str">
            <v>NGUYEN TRONG PHU</v>
          </cell>
          <cell r="E882" t="str">
            <v>050096738266</v>
          </cell>
          <cell r="F882" t="str">
            <v>C14605NGUYEN TRONG PHU050096738266</v>
          </cell>
        </row>
        <row r="883">
          <cell r="B883" t="str">
            <v>V054</v>
          </cell>
          <cell r="C883" t="str">
            <v>Huỳnh Ngọc Thảo</v>
          </cell>
          <cell r="D883" t="str">
            <v>HUYNH NGOC THAO</v>
          </cell>
          <cell r="E883" t="str">
            <v>050040849944</v>
          </cell>
          <cell r="F883" t="str">
            <v>V054HUYNH NGOC THAO050040849944</v>
          </cell>
        </row>
        <row r="884">
          <cell r="B884" t="str">
            <v>C5128</v>
          </cell>
          <cell r="C884" t="str">
            <v>Đinh Thị Hoàng Yến</v>
          </cell>
          <cell r="D884" t="str">
            <v>DINH THI HOANG YEN</v>
          </cell>
          <cell r="E884" t="str">
            <v>050040851051</v>
          </cell>
          <cell r="F884" t="str">
            <v>C5128DINH THI HOANG YEN050040851051</v>
          </cell>
        </row>
        <row r="885">
          <cell r="B885" t="str">
            <v>C7722</v>
          </cell>
          <cell r="C885" t="str">
            <v>Võ Thị Ngọc Trang</v>
          </cell>
          <cell r="D885" t="str">
            <v>VO THI NGOC TRANG</v>
          </cell>
          <cell r="E885" t="str">
            <v>050075949186</v>
          </cell>
          <cell r="F885" t="str">
            <v>C7722VO THI NGOC TRANG050075949186</v>
          </cell>
        </row>
        <row r="886">
          <cell r="B886" t="str">
            <v>C14816</v>
          </cell>
          <cell r="C886" t="str">
            <v>Trần Thị Thanh Thảo</v>
          </cell>
          <cell r="D886" t="str">
            <v>TRAN THI THANH THAO</v>
          </cell>
          <cell r="E886" t="str">
            <v>050131611584</v>
          </cell>
          <cell r="F886" t="str">
            <v>C14816TRAN THI THANH THAO050131611584</v>
          </cell>
        </row>
        <row r="887">
          <cell r="B887" t="str">
            <v>C5597</v>
          </cell>
          <cell r="C887" t="str">
            <v>Hồ Nam Khánh</v>
          </cell>
          <cell r="D887" t="str">
            <v>HO NAM KHANH</v>
          </cell>
          <cell r="E887" t="str">
            <v>050040852031</v>
          </cell>
          <cell r="F887" t="str">
            <v>C5597HO NAM KHANH050040852031</v>
          </cell>
        </row>
        <row r="888">
          <cell r="B888" t="str">
            <v>C5996</v>
          </cell>
          <cell r="C888" t="str">
            <v>Trương Thị Thúy</v>
          </cell>
          <cell r="D888" t="str">
            <v>TRUONG THI THUY</v>
          </cell>
          <cell r="E888" t="str">
            <v>050036263919</v>
          </cell>
          <cell r="F888" t="str">
            <v>C5996TRUONG THI THUY050036263919</v>
          </cell>
        </row>
        <row r="889">
          <cell r="B889" t="str">
            <v>C8138</v>
          </cell>
          <cell r="C889" t="str">
            <v>Phạm Thị Cẩm Châu</v>
          </cell>
          <cell r="D889" t="str">
            <v>PHAM THI CAM CHAU</v>
          </cell>
          <cell r="E889" t="str">
            <v>050106809949</v>
          </cell>
          <cell r="F889" t="str">
            <v>C8138PHAM THI CAM CHAU050106809949</v>
          </cell>
        </row>
        <row r="890">
          <cell r="B890" t="str">
            <v>C11676</v>
          </cell>
          <cell r="C890" t="str">
            <v>Dương Thảo Trinh Trinh</v>
          </cell>
          <cell r="D890" t="str">
            <v>DUONG THAO TRINH TRINH</v>
          </cell>
          <cell r="E890" t="str">
            <v>050112518999</v>
          </cell>
          <cell r="F890" t="str">
            <v>C11676DUONG THAO TRINH TRINH050112518999</v>
          </cell>
        </row>
        <row r="891">
          <cell r="B891" t="str">
            <v>C14566</v>
          </cell>
          <cell r="C891" t="str">
            <v>Nguyễn Như Huyền</v>
          </cell>
          <cell r="D891" t="str">
            <v>NGUYEN NHU HUYEN</v>
          </cell>
          <cell r="E891" t="str">
            <v>050082294731</v>
          </cell>
          <cell r="F891" t="str">
            <v>C14566NGUYEN NHU HUYEN050082294731</v>
          </cell>
        </row>
        <row r="892">
          <cell r="B892" t="str">
            <v>C14773</v>
          </cell>
          <cell r="C892" t="str">
            <v>Võ Thị Liên</v>
          </cell>
          <cell r="D892" t="str">
            <v>VO THI LIEN</v>
          </cell>
          <cell r="E892" t="str">
            <v>050136331121</v>
          </cell>
          <cell r="F892" t="str">
            <v>C14773VO THI LIEN050136331121</v>
          </cell>
        </row>
        <row r="893">
          <cell r="B893" t="str">
            <v>C15383</v>
          </cell>
          <cell r="C893" t="str">
            <v>Nguyễn Thị Hoài Lan</v>
          </cell>
          <cell r="D893" t="str">
            <v>NGUYEN THI HOAI LAN</v>
          </cell>
          <cell r="E893" t="str">
            <v>050143320003</v>
          </cell>
          <cell r="F893" t="str">
            <v>C15383NGUYEN THI HOAI LAN050143320003</v>
          </cell>
        </row>
        <row r="894">
          <cell r="B894" t="str">
            <v>C15415</v>
          </cell>
          <cell r="C894" t="str">
            <v>Nguyễn Thị Kim Thủy</v>
          </cell>
          <cell r="D894" t="str">
            <v>NGUYEN THI KIM THUY</v>
          </cell>
          <cell r="E894" t="str">
            <v>050143873495</v>
          </cell>
          <cell r="F894" t="str">
            <v>C15415NGUYEN THI KIM THUY050143873495</v>
          </cell>
        </row>
        <row r="895">
          <cell r="B895" t="str">
            <v>C15422</v>
          </cell>
          <cell r="C895" t="str">
            <v>Đàm Kim Cúc</v>
          </cell>
          <cell r="D895" t="str">
            <v>DAM KIM CUC</v>
          </cell>
          <cell r="E895" t="str">
            <v>050049772383</v>
          </cell>
          <cell r="F895" t="str">
            <v>C15422DAM KIM CUC050049772383</v>
          </cell>
        </row>
        <row r="896">
          <cell r="B896" t="str">
            <v>C1450</v>
          </cell>
          <cell r="C896" t="str">
            <v>Lâm Thị Luối</v>
          </cell>
          <cell r="D896" t="str">
            <v>LAM THI LUOI</v>
          </cell>
          <cell r="E896" t="str">
            <v>050040832162</v>
          </cell>
          <cell r="F896" t="str">
            <v>C1450LAM THI LUOI050040832162</v>
          </cell>
        </row>
        <row r="897">
          <cell r="B897" t="str">
            <v>C1733</v>
          </cell>
          <cell r="C897" t="str">
            <v>Đào Thị Giỏi</v>
          </cell>
          <cell r="D897" t="str">
            <v>DAO THI GIOI</v>
          </cell>
          <cell r="E897" t="str">
            <v>050154836931</v>
          </cell>
          <cell r="F897" t="str">
            <v>C1733DAO THI GIOI050154836931</v>
          </cell>
        </row>
        <row r="898">
          <cell r="B898" t="str">
            <v>C7271</v>
          </cell>
          <cell r="C898" t="str">
            <v>Bùi Khắc Thìn</v>
          </cell>
          <cell r="D898" t="str">
            <v>BUI KHAC THIN</v>
          </cell>
          <cell r="E898" t="str">
            <v>050088957722</v>
          </cell>
          <cell r="F898" t="str">
            <v>C7271BUI KHAC THIN050088957722</v>
          </cell>
        </row>
        <row r="899">
          <cell r="B899" t="str">
            <v>C10422</v>
          </cell>
          <cell r="C899" t="str">
            <v>Phan Thị Thắm</v>
          </cell>
          <cell r="D899" t="str">
            <v>PHAN THI THAM</v>
          </cell>
          <cell r="E899" t="str">
            <v>050104420955</v>
          </cell>
          <cell r="F899" t="str">
            <v>C10422PHAN THI THAM050104420955</v>
          </cell>
        </row>
        <row r="900">
          <cell r="B900" t="str">
            <v>C10471</v>
          </cell>
          <cell r="C900" t="str">
            <v>Nguyễn Hoàng Bảo</v>
          </cell>
          <cell r="D900" t="str">
            <v>NGUYEN HOANG BAO</v>
          </cell>
          <cell r="E900" t="str">
            <v>050106812540</v>
          </cell>
          <cell r="F900" t="str">
            <v>C10471NGUYEN HOANG BAO050106812540</v>
          </cell>
        </row>
        <row r="901">
          <cell r="B901" t="str">
            <v>C11033</v>
          </cell>
          <cell r="C901" t="str">
            <v>Nguyễn Thị Bích Thủy</v>
          </cell>
          <cell r="D901" t="str">
            <v>NGUYEN THI BICH THUY</v>
          </cell>
          <cell r="E901" t="str">
            <v>050060667346</v>
          </cell>
          <cell r="F901" t="str">
            <v>C11033NGUYEN THI BICH THUY050060667346</v>
          </cell>
        </row>
        <row r="902">
          <cell r="B902" t="str">
            <v>C11657</v>
          </cell>
          <cell r="C902" t="str">
            <v>Điểu Phươn</v>
          </cell>
          <cell r="D902" t="str">
            <v>DIEU PHUON</v>
          </cell>
          <cell r="E902" t="str">
            <v>050114206676</v>
          </cell>
          <cell r="F902" t="str">
            <v>C11657DIEU PHUON050114206676</v>
          </cell>
        </row>
        <row r="903">
          <cell r="B903" t="str">
            <v>C15443</v>
          </cell>
          <cell r="C903" t="str">
            <v>Lê Thị Hảo</v>
          </cell>
          <cell r="D903" t="str">
            <v>LE THI HAO</v>
          </cell>
          <cell r="E903" t="str">
            <v>050055489235</v>
          </cell>
          <cell r="F903" t="str">
            <v>C15443LE THI HAO050055489235</v>
          </cell>
        </row>
        <row r="904">
          <cell r="B904" t="str">
            <v>C15446</v>
          </cell>
          <cell r="C904" t="str">
            <v>Võ Thị Thanh Loan</v>
          </cell>
          <cell r="D904" t="str">
            <v>VO THI THANH LOAN</v>
          </cell>
          <cell r="E904" t="str">
            <v>050140211912</v>
          </cell>
          <cell r="F904" t="str">
            <v>C15446VO THI THANH LOAN050140211912</v>
          </cell>
        </row>
        <row r="905">
          <cell r="B905" t="str">
            <v>C15447</v>
          </cell>
          <cell r="C905" t="str">
            <v>Hồ Thị Thanh Tâm</v>
          </cell>
          <cell r="D905" t="str">
            <v>HO THI THANH TAM</v>
          </cell>
          <cell r="E905" t="str">
            <v>050063346389</v>
          </cell>
          <cell r="F905" t="str">
            <v>C15447HO THI THANH TAM050063346389</v>
          </cell>
        </row>
        <row r="906">
          <cell r="B906" t="str">
            <v>C15451</v>
          </cell>
          <cell r="C906" t="str">
            <v>Sơn Thị Cô Láp</v>
          </cell>
          <cell r="D906" t="str">
            <v>SON THI CO LAP</v>
          </cell>
          <cell r="E906" t="str">
            <v>050040879533</v>
          </cell>
          <cell r="F906" t="str">
            <v>C15451SON THI CO LAP050040879533</v>
          </cell>
        </row>
        <row r="907">
          <cell r="B907" t="str">
            <v>C15452</v>
          </cell>
          <cell r="C907" t="str">
            <v>Nguyễn Ngọc Ngà</v>
          </cell>
          <cell r="D907" t="str">
            <v>NGUYEN NGOC NGA</v>
          </cell>
          <cell r="E907" t="str">
            <v>050117412102</v>
          </cell>
          <cell r="F907" t="str">
            <v>C15452NGUYEN NGOC NGA050117412102</v>
          </cell>
        </row>
        <row r="908">
          <cell r="B908" t="str">
            <v>C15449</v>
          </cell>
          <cell r="C908" t="str">
            <v>Nguyễn Thị Kim Mỵ</v>
          </cell>
          <cell r="D908" t="str">
            <v>NGUYEN THI KIM MY</v>
          </cell>
          <cell r="E908" t="str">
            <v>050045647509</v>
          </cell>
          <cell r="F908" t="str">
            <v>C15449NGUYEN THI KIM MY050045647509</v>
          </cell>
        </row>
        <row r="909">
          <cell r="B909" t="str">
            <v>C15450</v>
          </cell>
          <cell r="C909" t="str">
            <v>Kiều Thị Mỹ Nga</v>
          </cell>
          <cell r="D909" t="str">
            <v>KIEU THI MY NGA</v>
          </cell>
          <cell r="E909" t="str">
            <v>050104425639</v>
          </cell>
          <cell r="F909" t="str">
            <v>C15450KIEU THI MY NGA050104425639</v>
          </cell>
        </row>
        <row r="910">
          <cell r="B910" t="str">
            <v>C15454</v>
          </cell>
          <cell r="C910" t="str">
            <v>Phạm Thị Bông</v>
          </cell>
          <cell r="D910" t="str">
            <v>PHAM THI BONG</v>
          </cell>
          <cell r="E910" t="str">
            <v>050140885603</v>
          </cell>
          <cell r="F910" t="str">
            <v>C15454PHAM THI BONG050140885603</v>
          </cell>
        </row>
        <row r="911">
          <cell r="B911" t="str">
            <v>C15455</v>
          </cell>
          <cell r="C911" t="str">
            <v>Vũ Thị Luyến</v>
          </cell>
          <cell r="D911" t="str">
            <v>VU THI LUYEN</v>
          </cell>
          <cell r="E911" t="str">
            <v>050113033980</v>
          </cell>
          <cell r="F911" t="str">
            <v>C15455VU THI LUYEN050113033980</v>
          </cell>
        </row>
        <row r="912">
          <cell r="B912" t="str">
            <v>C15459</v>
          </cell>
          <cell r="C912" t="str">
            <v>Bùi Thị Bảo Nguyên</v>
          </cell>
          <cell r="D912" t="str">
            <v>BUI THI BAO NGUYEN</v>
          </cell>
          <cell r="E912" t="str">
            <v>050135128322</v>
          </cell>
          <cell r="F912" t="str">
            <v>C15459BUI THI BAO NGUYEN050135128322</v>
          </cell>
        </row>
        <row r="913">
          <cell r="B913" t="str">
            <v>C15484</v>
          </cell>
          <cell r="C913" t="str">
            <v>Nguyễn Thị Bích Nguyệt</v>
          </cell>
          <cell r="D913" t="str">
            <v>NGUYEN THI BICH NGUYET</v>
          </cell>
          <cell r="E913" t="str">
            <v>050147825746</v>
          </cell>
          <cell r="F913" t="str">
            <v>C15484NGUYEN THI BICH NGUYET050147825746</v>
          </cell>
        </row>
        <row r="914">
          <cell r="B914" t="str">
            <v>C15453</v>
          </cell>
          <cell r="C914" t="str">
            <v>Đặng Vũ Thảo Huyền</v>
          </cell>
          <cell r="D914" t="str">
            <v>DANG VU THAO HUYEN</v>
          </cell>
          <cell r="E914" t="str">
            <v>050120705986</v>
          </cell>
          <cell r="F914" t="str">
            <v>C15453DANG VU THAO HUYEN050120705986</v>
          </cell>
        </row>
        <row r="915">
          <cell r="B915" t="str">
            <v>C15475</v>
          </cell>
          <cell r="C915" t="str">
            <v>Nguyễn Thị Mỹ Duyên</v>
          </cell>
          <cell r="D915" t="str">
            <v>NGUYEN THI MY DUYEN</v>
          </cell>
          <cell r="E915" t="str">
            <v>050122461812</v>
          </cell>
          <cell r="F915" t="str">
            <v>C15475NGUYEN THI MY DUYEN050122461812</v>
          </cell>
        </row>
        <row r="916">
          <cell r="B916" t="str">
            <v>C15463</v>
          </cell>
          <cell r="C916" t="str">
            <v>Hoàng Thị Cảnh</v>
          </cell>
          <cell r="D916" t="str">
            <v>HOANG THI CANH</v>
          </cell>
          <cell r="E916" t="str">
            <v>050087243319</v>
          </cell>
          <cell r="F916" t="str">
            <v>C15463HOANG THI CANH050087243319</v>
          </cell>
        </row>
        <row r="917">
          <cell r="B917" t="str">
            <v>C15486</v>
          </cell>
          <cell r="C917" t="str">
            <v>Lê Thanh Hương</v>
          </cell>
          <cell r="D917" t="str">
            <v>LE THANH HUONG</v>
          </cell>
          <cell r="E917" t="str">
            <v>050113230247</v>
          </cell>
          <cell r="F917" t="str">
            <v>C15486LE THANH HUONG050113230247</v>
          </cell>
        </row>
        <row r="918">
          <cell r="B918" t="str">
            <v>C15478</v>
          </cell>
          <cell r="C918" t="str">
            <v>Nguyễn Thanh Hằng</v>
          </cell>
          <cell r="D918" t="str">
            <v>NGUYEN THANH HANG</v>
          </cell>
          <cell r="E918" t="str">
            <v>050147769625</v>
          </cell>
          <cell r="F918" t="str">
            <v>C15478NGUYEN THANH HANG050147769625</v>
          </cell>
        </row>
        <row r="919">
          <cell r="B919" t="str">
            <v>C15460</v>
          </cell>
          <cell r="C919" t="str">
            <v>Đỗ Thị Ngọc Nhi</v>
          </cell>
          <cell r="D919" t="str">
            <v>DO THI NGOC NHI</v>
          </cell>
          <cell r="E919" t="str">
            <v>050147935142</v>
          </cell>
          <cell r="F919" t="str">
            <v>C15460DO THI NGOC NHI050147935142</v>
          </cell>
        </row>
        <row r="920">
          <cell r="B920" t="str">
            <v>C15483</v>
          </cell>
          <cell r="C920" t="str">
            <v>Lê Thị Hồng Thảo</v>
          </cell>
          <cell r="D920" t="str">
            <v>LE THI HONG THAO</v>
          </cell>
          <cell r="E920" t="str">
            <v>050964281650</v>
          </cell>
          <cell r="F920" t="str">
            <v>C15483LE THI HONG THAO050964281650</v>
          </cell>
        </row>
        <row r="921">
          <cell r="B921" t="str">
            <v>C15466</v>
          </cell>
          <cell r="C921" t="str">
            <v>Võ Trần Tấn Lộc</v>
          </cell>
          <cell r="D921" t="str">
            <v>VO TRAN TAN LOC</v>
          </cell>
          <cell r="E921" t="str">
            <v>050389907877</v>
          </cell>
          <cell r="F921" t="str">
            <v>C15466VO TRAN TAN LOC050389907877</v>
          </cell>
        </row>
        <row r="922">
          <cell r="B922" t="str">
            <v>C15492</v>
          </cell>
          <cell r="C922" t="str">
            <v>Nguyễn Cà Thi</v>
          </cell>
          <cell r="D922" t="str">
            <v>NGUYEN CA THI</v>
          </cell>
          <cell r="E922" t="str">
            <v>050147898999</v>
          </cell>
          <cell r="F922" t="str">
            <v>C15492NGUYEN CA THI050147898999</v>
          </cell>
        </row>
        <row r="923">
          <cell r="B923" t="str">
            <v>C15462</v>
          </cell>
          <cell r="C923" t="str">
            <v>Nguyễn Thị Thu Thảo</v>
          </cell>
          <cell r="D923" t="str">
            <v>NGUYEN THI THU THAO</v>
          </cell>
          <cell r="E923" t="str">
            <v>050132576091</v>
          </cell>
          <cell r="F923" t="str">
            <v>C15462NGUYEN THI THU THAO050132576091</v>
          </cell>
        </row>
        <row r="924">
          <cell r="B924" t="str">
            <v>C15499</v>
          </cell>
          <cell r="C924" t="str">
            <v>Nguyễn Quốc Thuần</v>
          </cell>
          <cell r="D924" t="str">
            <v>NGUYEN QUOC THUAN</v>
          </cell>
          <cell r="E924" t="str">
            <v>060115030860</v>
          </cell>
          <cell r="F924" t="str">
            <v>C15499NGUYEN QUOC THUAN060115030860</v>
          </cell>
        </row>
        <row r="925">
          <cell r="B925" t="str">
            <v>C15512</v>
          </cell>
          <cell r="C925" t="str">
            <v>Huỳnh Thị Tú Bình</v>
          </cell>
          <cell r="D925" t="str">
            <v>HUYNH THI TU BINH</v>
          </cell>
          <cell r="E925" t="str">
            <v>050118880541</v>
          </cell>
          <cell r="F925" t="str">
            <v>C15512HUYNH THI TU BINH050118880541</v>
          </cell>
        </row>
        <row r="926">
          <cell r="B926" t="str">
            <v>C15518</v>
          </cell>
          <cell r="C926" t="str">
            <v>Mai Ngọc Chăm</v>
          </cell>
          <cell r="D926" t="str">
            <v>MAI NGOC CHAM</v>
          </cell>
          <cell r="E926" t="str">
            <v>060086770736</v>
          </cell>
          <cell r="F926" t="str">
            <v>C15518MAI NGOC CHAM060086770736</v>
          </cell>
        </row>
        <row r="927">
          <cell r="B927" t="str">
            <v>C15505</v>
          </cell>
          <cell r="C927" t="str">
            <v>Hứa Vũ Thị Thùy Dương</v>
          </cell>
          <cell r="D927" t="str">
            <v>HUA VU THI THUY DUONG</v>
          </cell>
          <cell r="E927" t="str">
            <v>050133883123</v>
          </cell>
          <cell r="F927" t="str">
            <v>C15505HUA VU THI THUY DUONG050133883123</v>
          </cell>
        </row>
        <row r="928">
          <cell r="B928" t="str">
            <v>C15506</v>
          </cell>
          <cell r="C928" t="str">
            <v>Trần Thị Hoàng Thương</v>
          </cell>
          <cell r="D928" t="str">
            <v>TRAN THI HOANG THUONG</v>
          </cell>
          <cell r="E928" t="str">
            <v>050112035203</v>
          </cell>
          <cell r="F928" t="str">
            <v>C15506TRAN THI HOANG THUONG050112035203</v>
          </cell>
        </row>
        <row r="929">
          <cell r="B929" t="str">
            <v>C15507</v>
          </cell>
          <cell r="C929" t="str">
            <v>Ngũ Huệ Nhi</v>
          </cell>
          <cell r="D929" t="str">
            <v>NGU HUE NHI</v>
          </cell>
          <cell r="E929" t="str">
            <v>050148148616</v>
          </cell>
          <cell r="F929" t="str">
            <v>C15507NGU HUE NHI050148148616</v>
          </cell>
        </row>
        <row r="930">
          <cell r="B930" t="str">
            <v>C15509</v>
          </cell>
          <cell r="C930" t="str">
            <v>Nguyễn Thị Cẩm Nhung</v>
          </cell>
          <cell r="D930" t="str">
            <v>NGUYEN THI CAM NHUNG</v>
          </cell>
          <cell r="E930" t="str">
            <v>050148148209</v>
          </cell>
          <cell r="F930" t="str">
            <v>C15509NGUYEN THI CAM NHUNG050148148209</v>
          </cell>
        </row>
        <row r="931">
          <cell r="B931" t="str">
            <v>C15519</v>
          </cell>
          <cell r="C931" t="str">
            <v>Nguyễn Châu Thịnh</v>
          </cell>
          <cell r="D931" t="str">
            <v>NGUYEN CHAU THINH</v>
          </cell>
          <cell r="E931" t="str">
            <v>050148899344</v>
          </cell>
          <cell r="F931" t="str">
            <v>C15519NGUYEN CHAU THINH050148899344</v>
          </cell>
        </row>
        <row r="932">
          <cell r="B932" t="str">
            <v>C15521</v>
          </cell>
          <cell r="C932" t="str">
            <v>Lê Thị Mơ</v>
          </cell>
          <cell r="D932" t="str">
            <v>LE THI MO</v>
          </cell>
          <cell r="E932" t="str">
            <v>050148899352</v>
          </cell>
          <cell r="F932" t="str">
            <v>C15521LE THI MO050148899352</v>
          </cell>
        </row>
        <row r="933">
          <cell r="B933" t="str">
            <v>C15526</v>
          </cell>
          <cell r="C933" t="str">
            <v>Nguyễn Thị Cẩm Hường</v>
          </cell>
          <cell r="D933" t="str">
            <v>NGUYEN THI CAM HUONG</v>
          </cell>
          <cell r="E933" t="str">
            <v>050112834661</v>
          </cell>
          <cell r="F933" t="str">
            <v>C15526NGUYEN THI CAM HUONG050112834661</v>
          </cell>
        </row>
        <row r="934">
          <cell r="B934" t="str">
            <v>C15523</v>
          </cell>
          <cell r="C934" t="str">
            <v>Nguyễn Xuân Ngọ</v>
          </cell>
          <cell r="D934" t="str">
            <v>NGUYEN XUAN NGO</v>
          </cell>
          <cell r="E934" t="str">
            <v>050120050017</v>
          </cell>
          <cell r="F934" t="str">
            <v>C15523NGUYEN XUAN NGO050120050017</v>
          </cell>
        </row>
        <row r="935">
          <cell r="B935" t="str">
            <v>C15522</v>
          </cell>
          <cell r="C935" t="str">
            <v>Nguyễn Tuấn Kiệt</v>
          </cell>
          <cell r="D935" t="str">
            <v>NGUYEN TUAN KIET</v>
          </cell>
          <cell r="E935" t="str">
            <v>050123002005</v>
          </cell>
          <cell r="F935" t="str">
            <v>C15522NGUYEN TUAN KIET050123002005</v>
          </cell>
        </row>
        <row r="936">
          <cell r="B936" t="str">
            <v>C15528</v>
          </cell>
          <cell r="C936" t="str">
            <v>Nguyễn Thị Hải</v>
          </cell>
          <cell r="D936" t="str">
            <v>NGUYEN THI HAI</v>
          </cell>
          <cell r="E936" t="str">
            <v>050149624039</v>
          </cell>
          <cell r="F936" t="str">
            <v>C15528NGUYEN THI HAI050149624039</v>
          </cell>
        </row>
        <row r="937">
          <cell r="B937" t="str">
            <v>C15543</v>
          </cell>
          <cell r="C937" t="str">
            <v>Châu Thị Hồng Nhiên</v>
          </cell>
          <cell r="D937" t="str">
            <v>CHAU THI HONG NHIEN</v>
          </cell>
          <cell r="E937" t="str">
            <v>050138191203</v>
          </cell>
          <cell r="F937" t="str">
            <v>C15543CHAU THI HONG NHIEN050138191203</v>
          </cell>
        </row>
        <row r="938">
          <cell r="B938" t="str">
            <v>C15534</v>
          </cell>
          <cell r="C938" t="str">
            <v>Lê Thành Chung</v>
          </cell>
          <cell r="D938" t="str">
            <v>LE THANH CHUNG</v>
          </cell>
          <cell r="E938" t="str">
            <v>050149638171</v>
          </cell>
          <cell r="F938" t="str">
            <v>C15534LE THANH CHUNG050149638171</v>
          </cell>
        </row>
        <row r="939">
          <cell r="B939" t="str">
            <v>C15535</v>
          </cell>
          <cell r="C939" t="str">
            <v>Nguyễn Văn Hiếu</v>
          </cell>
          <cell r="D939" t="str">
            <v>NGUYEN VAN HIEU</v>
          </cell>
          <cell r="E939" t="str">
            <v>050137000285</v>
          </cell>
          <cell r="F939" t="str">
            <v>C15535NGUYEN VAN HIEU050137000285</v>
          </cell>
        </row>
        <row r="940">
          <cell r="B940" t="str">
            <v>C15538</v>
          </cell>
          <cell r="C940" t="str">
            <v>Trần Thị Thanh Tâm</v>
          </cell>
          <cell r="D940" t="str">
            <v>TRAN THI THANH TAM</v>
          </cell>
          <cell r="E940" t="str">
            <v>050108990624</v>
          </cell>
          <cell r="F940" t="str">
            <v>C15538TRAN THI THANH TAM050108990624</v>
          </cell>
        </row>
        <row r="941">
          <cell r="B941" t="str">
            <v>C15541</v>
          </cell>
          <cell r="C941" t="str">
            <v>Thái Thị Diễm Trang</v>
          </cell>
          <cell r="D941" t="str">
            <v>THAI THI DIEM TRANG</v>
          </cell>
          <cell r="E941" t="str">
            <v>050126082891</v>
          </cell>
          <cell r="F941" t="str">
            <v>C15541THAI THI DIEM TRANG050126082891</v>
          </cell>
        </row>
        <row r="942">
          <cell r="B942" t="str">
            <v>C15547</v>
          </cell>
          <cell r="C942" t="str">
            <v>Trịnh Ngọc Bình</v>
          </cell>
          <cell r="D942" t="str">
            <v>TRINH NGOC BINH</v>
          </cell>
          <cell r="E942" t="str">
            <v>050074206619</v>
          </cell>
          <cell r="F942" t="str">
            <v>C15547TRINH NGOC BINH050074206619</v>
          </cell>
        </row>
        <row r="943">
          <cell r="B943" t="str">
            <v>C15588</v>
          </cell>
          <cell r="C943" t="str">
            <v>Huỳnh Văn Hậu</v>
          </cell>
          <cell r="D943" t="str">
            <v>HUYNH VAN HAU</v>
          </cell>
          <cell r="E943" t="str">
            <v>050090128237</v>
          </cell>
          <cell r="F943" t="str">
            <v>C15588HUYNH VAN HAU050090128237</v>
          </cell>
        </row>
        <row r="944">
          <cell r="B944" t="str">
            <v>C15585</v>
          </cell>
          <cell r="C944" t="str">
            <v>Điểu Nhật</v>
          </cell>
          <cell r="D944" t="str">
            <v>DIEU NHAT</v>
          </cell>
          <cell r="E944" t="str">
            <v>050111253916</v>
          </cell>
          <cell r="F944" t="str">
            <v>C15585DIEU NHAT050111253916</v>
          </cell>
        </row>
        <row r="945">
          <cell r="B945" t="str">
            <v>C15590</v>
          </cell>
          <cell r="C945" t="str">
            <v>Phạm Như Khánh</v>
          </cell>
          <cell r="D945" t="str">
            <v>PHAM NHU KHANH</v>
          </cell>
          <cell r="E945" t="str">
            <v>050126802861</v>
          </cell>
          <cell r="F945" t="str">
            <v>C15590PHAM NHU KHANH050126802861</v>
          </cell>
        </row>
        <row r="946">
          <cell r="B946" t="str">
            <v>C15592</v>
          </cell>
          <cell r="C946" t="str">
            <v>Thị Hạnh</v>
          </cell>
          <cell r="D946" t="str">
            <v>THI HANH</v>
          </cell>
          <cell r="E946" t="str">
            <v>050125111871</v>
          </cell>
          <cell r="F946" t="str">
            <v>C15592THI HANH050125111871</v>
          </cell>
        </row>
        <row r="947">
          <cell r="B947" t="str">
            <v>C15560</v>
          </cell>
          <cell r="C947" t="str">
            <v>Nguyễn Thị Như Thúy</v>
          </cell>
          <cell r="D947" t="str">
            <v>NGUYEN THI NHU THUY</v>
          </cell>
          <cell r="E947" t="str">
            <v>050122809691</v>
          </cell>
          <cell r="F947" t="str">
            <v>C15560NGUYEN THI NHU THUY050122809691</v>
          </cell>
        </row>
        <row r="948">
          <cell r="B948" t="str">
            <v>C15624</v>
          </cell>
          <cell r="C948" t="str">
            <v>Lê Thị Mai</v>
          </cell>
          <cell r="D948" t="str">
            <v>LE THI MAI</v>
          </cell>
          <cell r="E948" t="str">
            <v>050041644009</v>
          </cell>
          <cell r="F948" t="str">
            <v>C15624LE THI MAI050041644009</v>
          </cell>
        </row>
        <row r="949">
          <cell r="B949" t="str">
            <v>C15637</v>
          </cell>
          <cell r="C949" t="str">
            <v>Dư Văn Quang</v>
          </cell>
          <cell r="D949" t="str">
            <v>DU VAN QUANG</v>
          </cell>
          <cell r="E949" t="str">
            <v>050040825638</v>
          </cell>
          <cell r="F949" t="str">
            <v>C15637DU VAN QUANG050040825638</v>
          </cell>
        </row>
        <row r="950">
          <cell r="B950" t="str">
            <v>C15713</v>
          </cell>
          <cell r="C950" t="str">
            <v>Hoàng Lâm Tới</v>
          </cell>
          <cell r="D950" t="str">
            <v>HOANG LAM TOI</v>
          </cell>
          <cell r="E950" t="str">
            <v>053530499999</v>
          </cell>
          <cell r="F950" t="str">
            <v>C15713HOANG LAM TOI053530499999</v>
          </cell>
        </row>
        <row r="951">
          <cell r="B951" t="str">
            <v>C15623</v>
          </cell>
          <cell r="C951" t="str">
            <v>Nguyễn Thị Phương Thảo</v>
          </cell>
          <cell r="D951" t="str">
            <v>NGUYEN THI PHUONG THAO</v>
          </cell>
          <cell r="E951" t="str">
            <v>050112517968</v>
          </cell>
          <cell r="F951" t="str">
            <v>C15623NGUYEN THI PHUONG THAO050112517968</v>
          </cell>
        </row>
        <row r="952">
          <cell r="B952" t="str">
            <v>C15634</v>
          </cell>
          <cell r="C952" t="str">
            <v>Ngô Thị Giàu</v>
          </cell>
          <cell r="D952" t="str">
            <v>NGO THI GIAU</v>
          </cell>
          <cell r="E952" t="str">
            <v>060055351328</v>
          </cell>
          <cell r="F952" t="str">
            <v>C15634NGO THI GIAU060055351328</v>
          </cell>
        </row>
        <row r="953">
          <cell r="B953" t="str">
            <v>C15707</v>
          </cell>
          <cell r="C953" t="str">
            <v>Lê Thị Hồng Trang</v>
          </cell>
          <cell r="D953" t="str">
            <v>LE THI HONG TRANG</v>
          </cell>
          <cell r="E953" t="str">
            <v>050040851124</v>
          </cell>
          <cell r="F953" t="str">
            <v>C15707LE THI HONG TRANG050040851124</v>
          </cell>
        </row>
        <row r="954">
          <cell r="B954" t="str">
            <v>C15785</v>
          </cell>
          <cell r="C954" t="str">
            <v>Nguyễn Hữu Anh</v>
          </cell>
          <cell r="D954" t="str">
            <v>NGUYEN HUU ANH</v>
          </cell>
          <cell r="E954" t="str">
            <v>050117429102</v>
          </cell>
          <cell r="F954" t="str">
            <v>C15785NGUYEN HUU ANH050117429102</v>
          </cell>
        </row>
        <row r="955">
          <cell r="B955" t="str">
            <v>C15603</v>
          </cell>
          <cell r="C955" t="str">
            <v>Thạch Thị Thuỷ Tiên</v>
          </cell>
          <cell r="D955" t="str">
            <v>THACH THI THUY TIEN</v>
          </cell>
          <cell r="E955" t="str">
            <v>050121173341</v>
          </cell>
          <cell r="F955" t="str">
            <v>C15603THACH THI THUY TIEN050121173341</v>
          </cell>
        </row>
        <row r="956">
          <cell r="B956" t="str">
            <v>C15564</v>
          </cell>
          <cell r="C956" t="str">
            <v>Lê Văn Nhớ</v>
          </cell>
          <cell r="D956" t="str">
            <v>LE VAN NHO</v>
          </cell>
          <cell r="E956" t="str">
            <v>050151637091</v>
          </cell>
          <cell r="F956" t="str">
            <v>C15564LE VAN NHO050151637091</v>
          </cell>
        </row>
        <row r="957">
          <cell r="B957" t="str">
            <v>C15678</v>
          </cell>
          <cell r="C957" t="str">
            <v>Kiều Thị Ngọc Anh</v>
          </cell>
          <cell r="D957" t="str">
            <v>KIEU THI NGOC ANH</v>
          </cell>
          <cell r="E957" t="str">
            <v>050109837773</v>
          </cell>
          <cell r="F957" t="str">
            <v>C15678KIEU THI NGOC ANH050109837773</v>
          </cell>
        </row>
        <row r="958">
          <cell r="B958" t="str">
            <v>C15633</v>
          </cell>
          <cell r="C958" t="str">
            <v>Đỗ Minh Tâm</v>
          </cell>
          <cell r="D958" t="str">
            <v>DO MINH TAM</v>
          </cell>
          <cell r="E958" t="str">
            <v>050040874280</v>
          </cell>
          <cell r="F958" t="str">
            <v>C15633DO MINH TAM050040874280</v>
          </cell>
        </row>
        <row r="959">
          <cell r="B959" t="str">
            <v>C15628</v>
          </cell>
          <cell r="C959" t="str">
            <v>Lê Văn An Toàn</v>
          </cell>
          <cell r="D959" t="str">
            <v>LE VAN AN TOAN</v>
          </cell>
          <cell r="E959" t="str">
            <v>050151523282</v>
          </cell>
          <cell r="F959" t="str">
            <v>C15628LE VAN AN TOAN050151523282</v>
          </cell>
        </row>
        <row r="960">
          <cell r="B960" t="str">
            <v>C15629</v>
          </cell>
          <cell r="C960" t="str">
            <v>Nguyễn Hoàng Huy</v>
          </cell>
          <cell r="D960" t="str">
            <v>NGUYEN HOANG HUY</v>
          </cell>
          <cell r="E960" t="str">
            <v>050151504946</v>
          </cell>
          <cell r="F960" t="str">
            <v>C15629NGUYEN HOANG HUY050151504946</v>
          </cell>
        </row>
        <row r="961">
          <cell r="B961" t="str">
            <v>C15630</v>
          </cell>
          <cell r="C961" t="str">
            <v>Điểu Trung Nghĩa</v>
          </cell>
          <cell r="D961" t="str">
            <v>DIEU TRUNG NGHIA</v>
          </cell>
          <cell r="E961" t="str">
            <v>050077956716</v>
          </cell>
          <cell r="F961" t="str">
            <v>C15630DIEU TRUNG NGHIA050077956716</v>
          </cell>
        </row>
        <row r="962">
          <cell r="B962" t="str">
            <v>C15716</v>
          </cell>
          <cell r="C962" t="str">
            <v>Trần Huy Sơn</v>
          </cell>
          <cell r="D962" t="str">
            <v>TRAN HUY SON</v>
          </cell>
          <cell r="E962" t="str">
            <v>050138535417</v>
          </cell>
          <cell r="F962" t="str">
            <v>C15716TRAN HUY SON050138535417</v>
          </cell>
        </row>
        <row r="963">
          <cell r="B963" t="str">
            <v>C15750</v>
          </cell>
          <cell r="C963" t="str">
            <v>Đỗ Nhật Minh</v>
          </cell>
          <cell r="D963" t="str">
            <v>DO NHAT MINH</v>
          </cell>
          <cell r="E963" t="str">
            <v>050127714611</v>
          </cell>
          <cell r="F963" t="str">
            <v>C15750DO NHAT MINH050127714611</v>
          </cell>
        </row>
        <row r="964">
          <cell r="B964" t="str">
            <v>C15715</v>
          </cell>
          <cell r="C964" t="str">
            <v>Thị Kim Chi</v>
          </cell>
          <cell r="D964" t="str">
            <v>THI KIM CHI</v>
          </cell>
          <cell r="E964" t="str">
            <v>050075395121</v>
          </cell>
          <cell r="F964" t="str">
            <v>C15715THI KIM CHI050075395121</v>
          </cell>
        </row>
        <row r="965">
          <cell r="B965" t="str">
            <v>C15710</v>
          </cell>
          <cell r="C965" t="str">
            <v>Văn Thị Vũ Thường</v>
          </cell>
          <cell r="D965" t="str">
            <v>VAN THI VU THUONG</v>
          </cell>
          <cell r="E965" t="str">
            <v>050040823015</v>
          </cell>
          <cell r="F965" t="str">
            <v>C15710VAN THI VU THUONG050040823015</v>
          </cell>
        </row>
        <row r="966">
          <cell r="B966" t="str">
            <v>C15770</v>
          </cell>
          <cell r="C966" t="str">
            <v>Lê Thanh Sang</v>
          </cell>
          <cell r="D966" t="str">
            <v>LE THANH SANG</v>
          </cell>
          <cell r="E966" t="str">
            <v>050151740178</v>
          </cell>
          <cell r="F966" t="str">
            <v>C15770LE THANH SANG050151740178</v>
          </cell>
        </row>
        <row r="967">
          <cell r="B967" t="str">
            <v>C15604</v>
          </cell>
          <cell r="C967" t="str">
            <v>Đặng Thị Hoài Thương</v>
          </cell>
          <cell r="D967" t="str">
            <v>DANG THI HOAI THUONG</v>
          </cell>
          <cell r="E967" t="str">
            <v>050121340167</v>
          </cell>
          <cell r="F967" t="str">
            <v>C15604DANG THI HOAI THUONG050121340167</v>
          </cell>
        </row>
        <row r="968">
          <cell r="B968" t="str">
            <v>C15744</v>
          </cell>
          <cell r="C968" t="str">
            <v>Lê Văn Tấn</v>
          </cell>
          <cell r="D968" t="str">
            <v>LE VAN TAN</v>
          </cell>
          <cell r="E968" t="str">
            <v>050089661835</v>
          </cell>
          <cell r="F968" t="str">
            <v>C15744LE VAN TAN050089661835</v>
          </cell>
        </row>
        <row r="969">
          <cell r="B969" t="str">
            <v>C15777</v>
          </cell>
          <cell r="C969" t="str">
            <v>Phan Thị Như Quỳnh</v>
          </cell>
          <cell r="D969" t="str">
            <v>PHAN THI NHU QUYNH</v>
          </cell>
          <cell r="E969" t="str">
            <v>050077160172</v>
          </cell>
          <cell r="F969" t="str">
            <v>C15777PHAN THI NHU QUYNH050077160172</v>
          </cell>
        </row>
        <row r="970">
          <cell r="B970" t="str">
            <v>C15606</v>
          </cell>
          <cell r="C970" t="str">
            <v>Điểu Linh Em</v>
          </cell>
          <cell r="D970" t="str">
            <v>DIEU LINH EM</v>
          </cell>
          <cell r="E970" t="str">
            <v>050143746639</v>
          </cell>
          <cell r="F970" t="str">
            <v>C15606DIEU LINH EM050143746639</v>
          </cell>
        </row>
        <row r="971">
          <cell r="B971" t="str">
            <v>C15608</v>
          </cell>
          <cell r="C971" t="str">
            <v>Điểu Dũng</v>
          </cell>
          <cell r="D971" t="str">
            <v>DIEU DUNG</v>
          </cell>
          <cell r="E971" t="str">
            <v>050151356254</v>
          </cell>
          <cell r="F971" t="str">
            <v>C15608DIEU DUNG050151356254</v>
          </cell>
        </row>
        <row r="972">
          <cell r="B972" t="str">
            <v>C15665</v>
          </cell>
          <cell r="C972" t="str">
            <v>Siu Ê Sai</v>
          </cell>
          <cell r="D972" t="str">
            <v>SIU E SAI</v>
          </cell>
          <cell r="E972" t="str">
            <v>050081796911</v>
          </cell>
          <cell r="F972" t="str">
            <v>C15665SIU E SAI050081796911</v>
          </cell>
        </row>
        <row r="973">
          <cell r="B973" t="str">
            <v>C15682</v>
          </cell>
          <cell r="C973" t="str">
            <v>Kiều Ngọc Tuấn</v>
          </cell>
          <cell r="D973" t="str">
            <v>KIEU NGOC TUAN</v>
          </cell>
          <cell r="E973" t="str">
            <v>050148228350</v>
          </cell>
          <cell r="F973" t="str">
            <v>C15682KIEU NGOC TUAN050148228350</v>
          </cell>
        </row>
        <row r="974">
          <cell r="B974" t="str">
            <v>C15717</v>
          </cell>
          <cell r="C974" t="str">
            <v>Huỳnh Hữu Đức</v>
          </cell>
          <cell r="D974" t="str">
            <v>HUYNH HUU DUC</v>
          </cell>
          <cell r="E974" t="str">
            <v>050116211227</v>
          </cell>
          <cell r="F974" t="str">
            <v>C15717HUYNH HUU DUC050116211227</v>
          </cell>
        </row>
        <row r="975">
          <cell r="B975" t="str">
            <v>C15675</v>
          </cell>
          <cell r="C975" t="str">
            <v>Lê Thị Ánh</v>
          </cell>
          <cell r="D975" t="str">
            <v>LE THI ANH</v>
          </cell>
          <cell r="E975" t="str">
            <v>050112834238</v>
          </cell>
          <cell r="F975" t="str">
            <v>C15675LE THI ANH050112834238</v>
          </cell>
        </row>
        <row r="976">
          <cell r="B976" t="str">
            <v>C15690</v>
          </cell>
          <cell r="C976" t="str">
            <v>Điểu Hùng</v>
          </cell>
          <cell r="D976" t="str">
            <v>DIEU HUNG</v>
          </cell>
          <cell r="E976" t="str">
            <v>050126321004</v>
          </cell>
          <cell r="F976" t="str">
            <v>C15690DIEU HUNG050126321004</v>
          </cell>
        </row>
        <row r="977">
          <cell r="B977" t="str">
            <v>C15662</v>
          </cell>
          <cell r="C977" t="str">
            <v>Danh Thị Thu Ngàn</v>
          </cell>
          <cell r="D977" t="str">
            <v>DANH THI THU NGAN</v>
          </cell>
          <cell r="E977" t="str">
            <v>050121917278</v>
          </cell>
          <cell r="F977" t="str">
            <v>C15662DANH THI THU NGAN050121917278</v>
          </cell>
        </row>
        <row r="978">
          <cell r="B978" t="str">
            <v>C15664</v>
          </cell>
          <cell r="C978" t="str">
            <v>Hà Thị Thảo</v>
          </cell>
          <cell r="D978" t="str">
            <v>HA THI THAO</v>
          </cell>
          <cell r="E978" t="str">
            <v>050113293036</v>
          </cell>
          <cell r="F978" t="str">
            <v>C15664HA THI THAO050113293036</v>
          </cell>
        </row>
        <row r="979">
          <cell r="B979" t="str">
            <v>C15688</v>
          </cell>
          <cell r="C979" t="str">
            <v>Tô Thanh Thủy</v>
          </cell>
          <cell r="D979" t="str">
            <v>TO THANH THUY</v>
          </cell>
          <cell r="E979" t="str">
            <v>054514032000</v>
          </cell>
          <cell r="F979" t="str">
            <v>C15688TO THANH THUY054514032000</v>
          </cell>
        </row>
        <row r="980">
          <cell r="B980" t="str">
            <v>C15582</v>
          </cell>
          <cell r="C980" t="str">
            <v>Hồ Thị Hằng</v>
          </cell>
          <cell r="D980" t="str">
            <v>HO THI HANG</v>
          </cell>
          <cell r="E980" t="str">
            <v>050094005296</v>
          </cell>
          <cell r="F980" t="str">
            <v>C15582HO THI HANG050094005296</v>
          </cell>
        </row>
        <row r="981">
          <cell r="B981" t="str">
            <v>C15652</v>
          </cell>
          <cell r="C981" t="str">
            <v>H Lan Kdrai</v>
          </cell>
          <cell r="D981" t="str">
            <v>H LAN KDRAI</v>
          </cell>
          <cell r="E981" t="str">
            <v>050139948324</v>
          </cell>
          <cell r="F981" t="str">
            <v>C15652H LAN KDRAI050139948324</v>
          </cell>
        </row>
        <row r="982">
          <cell r="B982" t="str">
            <v>C15653</v>
          </cell>
          <cell r="C982" t="str">
            <v>Trần Minh Thuận</v>
          </cell>
          <cell r="D982" t="str">
            <v>TRAN MINH THUAN</v>
          </cell>
          <cell r="E982" t="str">
            <v>050129251211</v>
          </cell>
          <cell r="F982" t="str">
            <v>C15653TRAN MINH THUAN050129251211</v>
          </cell>
        </row>
        <row r="983">
          <cell r="B983" t="str">
            <v>C15666</v>
          </cell>
          <cell r="C983" t="str">
            <v>Nguyễn Thị Cẩm Tiên</v>
          </cell>
          <cell r="D983" t="str">
            <v>NGUYEN THI CAM TIEN</v>
          </cell>
          <cell r="E983" t="str">
            <v>050068237790</v>
          </cell>
          <cell r="F983" t="str">
            <v>C15666NGUYEN THI CAM TIEN050068237790</v>
          </cell>
        </row>
        <row r="984">
          <cell r="B984" t="str">
            <v>C15705</v>
          </cell>
          <cell r="C984" t="str">
            <v>Lê Bình Đông</v>
          </cell>
          <cell r="D984" t="str">
            <v>LE BINH DONG</v>
          </cell>
          <cell r="E984" t="str">
            <v>050151296154</v>
          </cell>
          <cell r="F984" t="str">
            <v>C15705LE BINH DONG050151296154</v>
          </cell>
        </row>
        <row r="985">
          <cell r="B985" t="str">
            <v>C15704</v>
          </cell>
          <cell r="C985" t="str">
            <v>Võ Thị Thanh Ngân</v>
          </cell>
          <cell r="D985" t="str">
            <v>VO THI THANH NGAN</v>
          </cell>
          <cell r="E985" t="str">
            <v>050116653531</v>
          </cell>
          <cell r="F985" t="str">
            <v>C15704VO THI THANH NGAN050116653531</v>
          </cell>
        </row>
        <row r="986">
          <cell r="B986" t="str">
            <v>C15569</v>
          </cell>
          <cell r="C986" t="str">
            <v>Kiều Viết Yên</v>
          </cell>
          <cell r="D986" t="str">
            <v>KIEU VIET YEN</v>
          </cell>
          <cell r="E986" t="str">
            <v>050097814251</v>
          </cell>
          <cell r="F986" t="str">
            <v>C15569KIEU VIET YEN050097814251</v>
          </cell>
        </row>
        <row r="987">
          <cell r="B987" t="str">
            <v>C15772</v>
          </cell>
          <cell r="C987" t="str">
            <v>Nguyễn Thị Yến Trinh</v>
          </cell>
          <cell r="D987" t="str">
            <v>NGUYEN THI YEN TRINH</v>
          </cell>
          <cell r="E987" t="str">
            <v>050126321160</v>
          </cell>
          <cell r="F987" t="str">
            <v>C15772NGUYEN THI YEN TRINH050126321160</v>
          </cell>
        </row>
        <row r="988">
          <cell r="B988" t="str">
            <v>C15803</v>
          </cell>
          <cell r="C988" t="str">
            <v>Lâm Em</v>
          </cell>
          <cell r="D988" t="str">
            <v>LAM EM</v>
          </cell>
          <cell r="E988" t="str">
            <v>050103660154</v>
          </cell>
          <cell r="F988" t="str">
            <v>C15803LAM EM050103660154</v>
          </cell>
        </row>
        <row r="989">
          <cell r="B989" t="str">
            <v>C15741</v>
          </cell>
          <cell r="C989" t="str">
            <v>Thượng Thị Thanh Trúc</v>
          </cell>
          <cell r="D989" t="str">
            <v>THUONG THI THANH TRUC</v>
          </cell>
          <cell r="E989" t="str">
            <v>050126321012</v>
          </cell>
          <cell r="F989" t="str">
            <v>C15741THUONG THI THANH TRUC050126321012</v>
          </cell>
        </row>
        <row r="990">
          <cell r="B990" t="str">
            <v>C15550</v>
          </cell>
          <cell r="C990" t="str">
            <v>Phạm Duy Quang</v>
          </cell>
          <cell r="D990" t="str">
            <v>PHAM DUY QUANG</v>
          </cell>
          <cell r="E990" t="str">
            <v>050128214043</v>
          </cell>
          <cell r="F990" t="str">
            <v>C15550PHAM DUY QUANG050128214043</v>
          </cell>
        </row>
        <row r="991">
          <cell r="B991" t="str">
            <v>C15548</v>
          </cell>
          <cell r="C991" t="str">
            <v>Võ Đức Nhật</v>
          </cell>
          <cell r="D991" t="str">
            <v>VO DUC NHAT</v>
          </cell>
          <cell r="E991" t="str">
            <v>050084143798</v>
          </cell>
          <cell r="F991" t="str">
            <v>C15548VO DUC NHAT050084143798</v>
          </cell>
        </row>
        <row r="992">
          <cell r="B992" t="str">
            <v>C15789</v>
          </cell>
          <cell r="C992" t="str">
            <v>Lê Văn Cường</v>
          </cell>
          <cell r="D992" t="str">
            <v>LE VAN CUONG</v>
          </cell>
          <cell r="E992" t="str">
            <v>050109202328</v>
          </cell>
          <cell r="F992" t="str">
            <v>C15789LE VAN CUONG050109202328</v>
          </cell>
        </row>
        <row r="993">
          <cell r="B993" t="str">
            <v>C15766</v>
          </cell>
          <cell r="C993" t="str">
            <v>Hồ Đức Tường</v>
          </cell>
          <cell r="D993" t="str">
            <v>HO DUC TUONG</v>
          </cell>
          <cell r="E993" t="str">
            <v>050151719977</v>
          </cell>
          <cell r="F993" t="str">
            <v>C15766HO DUC TUONG050151719977</v>
          </cell>
        </row>
        <row r="994">
          <cell r="B994" t="str">
            <v>C15792</v>
          </cell>
          <cell r="C994" t="str">
            <v>Nguyễn Quốc Thắng</v>
          </cell>
          <cell r="D994" t="str">
            <v>NGUYEN QUOC THANG</v>
          </cell>
          <cell r="E994" t="str">
            <v>050020225227</v>
          </cell>
          <cell r="F994" t="str">
            <v>C15792NGUYEN QUOC THANG050020225227</v>
          </cell>
        </row>
        <row r="995">
          <cell r="B995" t="str">
            <v>C15673</v>
          </cell>
          <cell r="C995" t="str">
            <v>Nguyễn Thị Giầu</v>
          </cell>
          <cell r="D995" t="str">
            <v>NGUYEN THI GIAU</v>
          </cell>
          <cell r="E995" t="str">
            <v>050151917531</v>
          </cell>
          <cell r="F995" t="str">
            <v>C15673NGUYEN THI GIAU050151917531</v>
          </cell>
        </row>
        <row r="996">
          <cell r="B996" t="str">
            <v>C15599</v>
          </cell>
          <cell r="C996" t="str">
            <v>Hoàng Thị Thu Thương</v>
          </cell>
          <cell r="D996" t="str">
            <v>HOANG THI THU THUONG</v>
          </cell>
          <cell r="E996" t="str">
            <v>050044164385</v>
          </cell>
          <cell r="F996" t="str">
            <v>C15599HOANG THI THU THUONG050044164385</v>
          </cell>
        </row>
        <row r="997">
          <cell r="B997" t="str">
            <v>C15876</v>
          </cell>
          <cell r="C997" t="str">
            <v>Nguyễn Lê Lai</v>
          </cell>
          <cell r="D997" t="str">
            <v>NGUYEN LE LAI</v>
          </cell>
          <cell r="E997" t="str">
            <v>050144011039</v>
          </cell>
          <cell r="F997" t="str">
            <v>C15876NGUYEN LE LAI050144011039</v>
          </cell>
        </row>
        <row r="998">
          <cell r="B998" t="str">
            <v>C15702</v>
          </cell>
          <cell r="C998" t="str">
            <v>Trần Văn Tài</v>
          </cell>
          <cell r="D998" t="str">
            <v>TRAN VAN TAI</v>
          </cell>
          <cell r="E998" t="str">
            <v>057111061999</v>
          </cell>
          <cell r="F998" t="str">
            <v>C15702TRAN VAN TAI057111061999</v>
          </cell>
        </row>
        <row r="999">
          <cell r="B999" t="str">
            <v>C15577</v>
          </cell>
          <cell r="C999" t="str">
            <v>Vũ Thị Xuân</v>
          </cell>
          <cell r="D999" t="str">
            <v>VU THI XUAN</v>
          </cell>
          <cell r="E999" t="str">
            <v>050104425590</v>
          </cell>
          <cell r="F999" t="str">
            <v>C15577VU THI XUAN050104425590</v>
          </cell>
        </row>
        <row r="1000">
          <cell r="B1000" t="str">
            <v>C15823</v>
          </cell>
          <cell r="C1000" t="str">
            <v>Huỳnh Thị Thanh Hằng</v>
          </cell>
          <cell r="D1000" t="str">
            <v>HUYNH THI THANH HANG</v>
          </cell>
          <cell r="E1000" t="str">
            <v>050091850671</v>
          </cell>
          <cell r="F1000" t="str">
            <v>C15823HUYNH THI THANH HANG050091850671</v>
          </cell>
        </row>
        <row r="1001">
          <cell r="B1001" t="str">
            <v>C15845</v>
          </cell>
          <cell r="C1001" t="str">
            <v>Phạm Văn Giào</v>
          </cell>
          <cell r="D1001" t="str">
            <v>PHAM VAN GIAO</v>
          </cell>
          <cell r="E1001" t="str">
            <v>050152324471</v>
          </cell>
          <cell r="F1001" t="str">
            <v>C15845PHAM VAN GIAO050152324471</v>
          </cell>
        </row>
        <row r="1002">
          <cell r="B1002" t="str">
            <v>C15575</v>
          </cell>
          <cell r="C1002" t="str">
            <v>Điểu Trung Thành</v>
          </cell>
          <cell r="D1002" t="str">
            <v>DIEU TRUNG THANH</v>
          </cell>
          <cell r="E1002" t="str">
            <v>050040935875</v>
          </cell>
          <cell r="F1002" t="str">
            <v>C15575DIEU TRUNG THANH050040935875</v>
          </cell>
        </row>
        <row r="1003">
          <cell r="B1003" t="str">
            <v>C15576</v>
          </cell>
          <cell r="C1003" t="str">
            <v>Thị Diễm Hà</v>
          </cell>
          <cell r="D1003" t="str">
            <v>THI DIEM HA</v>
          </cell>
          <cell r="E1003" t="str">
            <v>050146922969</v>
          </cell>
          <cell r="F1003" t="str">
            <v>C15576THI DIEM HA050146922969</v>
          </cell>
        </row>
        <row r="1004">
          <cell r="B1004" t="str">
            <v>C15625</v>
          </cell>
          <cell r="C1004" t="str">
            <v>Phan Ngọc Hương</v>
          </cell>
          <cell r="D1004" t="str">
            <v>PHAN NGOC HUONG</v>
          </cell>
          <cell r="E1004" t="str">
            <v>050046861172</v>
          </cell>
          <cell r="F1004" t="str">
            <v>C15625PHAN NGOC HUONG050046861172</v>
          </cell>
        </row>
        <row r="1005">
          <cell r="B1005" t="str">
            <v>C15826</v>
          </cell>
          <cell r="C1005" t="str">
            <v>Lê Thị Ngọc Thảo</v>
          </cell>
          <cell r="D1005" t="str">
            <v>LE THI NGOC THAO</v>
          </cell>
          <cell r="E1005" t="str">
            <v>050128086053</v>
          </cell>
          <cell r="F1005" t="str">
            <v>C15826LE THI NGOC THAO050128086053</v>
          </cell>
        </row>
        <row r="1006">
          <cell r="B1006" t="str">
            <v>C15829</v>
          </cell>
          <cell r="C1006" t="str">
            <v>Đặng Thị Alyna</v>
          </cell>
          <cell r="D1006" t="str">
            <v>DANG THI ALYNA</v>
          </cell>
          <cell r="E1006" t="str">
            <v>050143585112</v>
          </cell>
          <cell r="F1006" t="str">
            <v>C15829DANG THI ALYNA050143585112</v>
          </cell>
        </row>
        <row r="1007">
          <cell r="B1007" t="str">
            <v>C15846</v>
          </cell>
          <cell r="C1007" t="str">
            <v>Huỳnh Thị Mộng Thu</v>
          </cell>
          <cell r="D1007" t="str">
            <v>HUYNH THI MONG THU</v>
          </cell>
          <cell r="E1007" t="str">
            <v>050152268022</v>
          </cell>
          <cell r="F1007" t="str">
            <v>C15846HUYNH THI MONG THU050152268022</v>
          </cell>
        </row>
        <row r="1008">
          <cell r="B1008" t="str">
            <v>C15626</v>
          </cell>
          <cell r="C1008" t="str">
            <v>Nguyễn Trọng Nghĩa</v>
          </cell>
          <cell r="D1008" t="str">
            <v>NGUYEN TRONG NGHIA</v>
          </cell>
          <cell r="E1008" t="str">
            <v>050102386083</v>
          </cell>
          <cell r="F1008" t="str">
            <v>C15626NGUYEN TRONG NGHIA050102386083</v>
          </cell>
        </row>
        <row r="1009">
          <cell r="B1009" t="str">
            <v>C15570</v>
          </cell>
          <cell r="C1009" t="str">
            <v>Quách Ngọc Kim Thư</v>
          </cell>
          <cell r="D1009" t="str">
            <v>QUACH NGOC KIM THU</v>
          </cell>
          <cell r="E1009" t="str">
            <v>050151290903</v>
          </cell>
          <cell r="F1009" t="str">
            <v>C15570QUACH NGOC KIM THU050151290903</v>
          </cell>
        </row>
        <row r="1010">
          <cell r="B1010" t="str">
            <v>C15729</v>
          </cell>
          <cell r="C1010" t="str">
            <v>Nguyễn Thị Thu Hiền</v>
          </cell>
          <cell r="D1010" t="str">
            <v>NGUYEN THI THU HIEN</v>
          </cell>
          <cell r="E1010" t="str">
            <v>050108990551</v>
          </cell>
          <cell r="F1010" t="str">
            <v>C15729NGUYEN THI THU HIEN050108990551</v>
          </cell>
        </row>
        <row r="1011">
          <cell r="B1011" t="str">
            <v>C15819</v>
          </cell>
          <cell r="C1011" t="str">
            <v>Nông Thị Lê Oanh</v>
          </cell>
          <cell r="D1011" t="str">
            <v>NONG THI LE OANH</v>
          </cell>
          <cell r="E1011" t="str">
            <v>050123059971</v>
          </cell>
          <cell r="F1011" t="str">
            <v>C15819NONG THI LE OANH050123059971</v>
          </cell>
        </row>
        <row r="1012">
          <cell r="B1012" t="str">
            <v>C15836</v>
          </cell>
          <cell r="C1012" t="str">
            <v>Nguyễn Thị Kim Phụng</v>
          </cell>
          <cell r="D1012" t="str">
            <v>NGUYEN THI KIM PHUNG</v>
          </cell>
          <cell r="E1012" t="str">
            <v>050152567852</v>
          </cell>
          <cell r="F1012" t="str">
            <v>C15836NGUYEN THI KIM PHUNG050152567852</v>
          </cell>
        </row>
        <row r="1013">
          <cell r="B1013" t="str">
            <v>C15853</v>
          </cell>
          <cell r="C1013" t="str">
            <v>Vũ Thị Huyền</v>
          </cell>
          <cell r="D1013" t="str">
            <v>VU THI HUYEN</v>
          </cell>
          <cell r="E1013" t="str">
            <v>050041028261</v>
          </cell>
          <cell r="F1013" t="str">
            <v>C15853VU THI HUYEN050041028261</v>
          </cell>
        </row>
        <row r="1014">
          <cell r="B1014" t="str">
            <v>C15757</v>
          </cell>
          <cell r="C1014" t="str">
            <v>Bùi Thị Minh Tâm</v>
          </cell>
          <cell r="D1014" t="str">
            <v>BUI THI MINH TAM</v>
          </cell>
          <cell r="E1014" t="str">
            <v>050152673415</v>
          </cell>
          <cell r="F1014" t="str">
            <v>C15757BUI THI MINH TAM050152673415</v>
          </cell>
        </row>
        <row r="1015">
          <cell r="B1015" t="str">
            <v>C15791</v>
          </cell>
          <cell r="C1015" t="str">
            <v>Trịnh Văn Thắng</v>
          </cell>
          <cell r="D1015" t="str">
            <v>TRINH VAN THANG</v>
          </cell>
          <cell r="E1015" t="str">
            <v>050152670920</v>
          </cell>
          <cell r="F1015" t="str">
            <v>C15791TRINH VAN THANG050152670920</v>
          </cell>
        </row>
        <row r="1016">
          <cell r="B1016" t="str">
            <v>C15830</v>
          </cell>
          <cell r="C1016" t="str">
            <v>Điểu Dũng</v>
          </cell>
          <cell r="D1016" t="str">
            <v>DIEU DUNG</v>
          </cell>
          <cell r="E1016" t="str">
            <v>050152610741</v>
          </cell>
          <cell r="F1016" t="str">
            <v>C15830DIEU DUNG050152610741</v>
          </cell>
        </row>
        <row r="1017">
          <cell r="B1017" t="str">
            <v>C15842</v>
          </cell>
          <cell r="C1017" t="str">
            <v>Trần Thị Mỹ Xuyên</v>
          </cell>
          <cell r="D1017" t="str">
            <v>TRAN THI MY XUYEN</v>
          </cell>
          <cell r="E1017" t="str">
            <v>050152427945</v>
          </cell>
          <cell r="F1017" t="str">
            <v>C15842TRAN THI MY XUYEN050152427945</v>
          </cell>
        </row>
        <row r="1018">
          <cell r="B1018" t="str">
            <v>C15843</v>
          </cell>
          <cell r="C1018" t="str">
            <v>Huỳnh Thị Cẩm Tiên</v>
          </cell>
          <cell r="D1018" t="str">
            <v>HUYNH THI CAM TIEN</v>
          </cell>
          <cell r="E1018" t="str">
            <v>050152439722</v>
          </cell>
          <cell r="F1018" t="str">
            <v>C15843HUYNH THI CAM TIEN050152439722</v>
          </cell>
        </row>
        <row r="1019">
          <cell r="B1019" t="str">
            <v>C15903</v>
          </cell>
          <cell r="C1019" t="str">
            <v>Ngô Thị Thanh Nguyên</v>
          </cell>
          <cell r="D1019" t="str">
            <v>NGO THI THANH NGUYEN</v>
          </cell>
          <cell r="E1019" t="str">
            <v>050146573212</v>
          </cell>
          <cell r="F1019" t="str">
            <v>C15903NGO THI THANH NGUYEN050146573212</v>
          </cell>
        </row>
        <row r="1020">
          <cell r="B1020" t="str">
            <v>C15968</v>
          </cell>
          <cell r="C1020" t="str">
            <v>Lê Minh Hiếu</v>
          </cell>
          <cell r="D1020" t="str">
            <v>LE MINH HIEU</v>
          </cell>
          <cell r="E1020" t="str">
            <v>050143994772</v>
          </cell>
          <cell r="F1020" t="str">
            <v>C15968LE MINH HIEU050143994772</v>
          </cell>
        </row>
        <row r="1021">
          <cell r="B1021" t="str">
            <v>C15964</v>
          </cell>
          <cell r="C1021" t="str">
            <v>Võ Thị Thanh Vân</v>
          </cell>
          <cell r="D1021" t="str">
            <v>VO THI THANH VAN</v>
          </cell>
          <cell r="E1021" t="str">
            <v>050130754136</v>
          </cell>
          <cell r="F1021" t="str">
            <v>C15964VO THI THANH VAN050130754136</v>
          </cell>
        </row>
        <row r="1022">
          <cell r="B1022" t="str">
            <v>C15948</v>
          </cell>
          <cell r="C1022" t="str">
            <v>Nguyễn Thanh Tuấn</v>
          </cell>
          <cell r="D1022" t="str">
            <v>NGUYEN THANH TUAN</v>
          </cell>
          <cell r="E1022" t="str">
            <v>050117955912</v>
          </cell>
          <cell r="F1022" t="str">
            <v>C15948NGUYEN THANH TUAN050117955912</v>
          </cell>
        </row>
        <row r="1023">
          <cell r="B1023" t="str">
            <v>C15815</v>
          </cell>
          <cell r="C1023" t="str">
            <v>Nguyễn Thị Mỹ Thuyền</v>
          </cell>
          <cell r="D1023" t="str">
            <v>NGUYEN THI MY THUYEN</v>
          </cell>
          <cell r="E1023" t="str">
            <v>050153298863</v>
          </cell>
          <cell r="F1023" t="str">
            <v>C15815NGUYEN THI MY THUYEN050153298863</v>
          </cell>
        </row>
        <row r="1024">
          <cell r="B1024" t="str">
            <v>C15945</v>
          </cell>
          <cell r="C1024" t="str">
            <v>Lâm Trung</v>
          </cell>
          <cell r="D1024" t="str">
            <v>LAM TRUNG</v>
          </cell>
          <cell r="E1024" t="str">
            <v>050134170651</v>
          </cell>
          <cell r="F1024" t="str">
            <v>C15945LAM TRUNG050134170651</v>
          </cell>
        </row>
        <row r="1025">
          <cell r="B1025" t="str">
            <v>C15908</v>
          </cell>
          <cell r="C1025" t="str">
            <v>Nguyễn Minh Luân</v>
          </cell>
          <cell r="D1025" t="str">
            <v>NGUYEN MINH LUAN</v>
          </cell>
          <cell r="E1025" t="str">
            <v>050134828711</v>
          </cell>
          <cell r="F1025" t="str">
            <v>C15908NGUYEN MINH LUAN050134828711</v>
          </cell>
        </row>
        <row r="1026">
          <cell r="B1026" t="str">
            <v>C15910</v>
          </cell>
          <cell r="C1026" t="str">
            <v>Vũ Văn Kỳ</v>
          </cell>
          <cell r="D1026" t="str">
            <v>VU VAN KY</v>
          </cell>
          <cell r="E1026" t="str">
            <v>050053265313</v>
          </cell>
          <cell r="F1026" t="str">
            <v>C15910VU VAN KY050053265313</v>
          </cell>
        </row>
        <row r="1027">
          <cell r="B1027" t="str">
            <v>C15921</v>
          </cell>
          <cell r="C1027" t="str">
            <v>Bùi Hữu Thương</v>
          </cell>
          <cell r="D1027" t="str">
            <v>BUI HUU THUONG</v>
          </cell>
          <cell r="E1027" t="str">
            <v>050150918186</v>
          </cell>
          <cell r="F1027" t="str">
            <v>C15921BUI HUU THUONG050150918186</v>
          </cell>
        </row>
        <row r="1028">
          <cell r="B1028" t="str">
            <v>C15932</v>
          </cell>
          <cell r="C1028" t="str">
            <v>Hoàng Văn Hà</v>
          </cell>
          <cell r="D1028" t="str">
            <v>HOANG VAN HA</v>
          </cell>
          <cell r="E1028" t="str">
            <v>050116653025</v>
          </cell>
          <cell r="F1028" t="str">
            <v>C15932HOANG VAN HA050116653025</v>
          </cell>
        </row>
        <row r="1029">
          <cell r="B1029" t="str">
            <v>C15928</v>
          </cell>
          <cell r="C1029" t="str">
            <v>Phan Thị Ngọc Ánh</v>
          </cell>
          <cell r="D1029" t="str">
            <v>PHAN THI NGOC ANH</v>
          </cell>
          <cell r="E1029" t="str">
            <v>050040796441</v>
          </cell>
          <cell r="F1029" t="str">
            <v>C15928PHAN THI NGOC ANH050040796441</v>
          </cell>
        </row>
        <row r="1030">
          <cell r="B1030" t="str">
            <v>C15909</v>
          </cell>
          <cell r="C1030" t="str">
            <v>Nguyễn Hoàng Phi</v>
          </cell>
          <cell r="D1030" t="str">
            <v>NGUYEN HOANG PHI</v>
          </cell>
          <cell r="E1030" t="str">
            <v>050091458443</v>
          </cell>
          <cell r="F1030" t="str">
            <v>C15909NGUYEN HOANG PHI050091458443</v>
          </cell>
        </row>
        <row r="1031">
          <cell r="B1031" t="str">
            <v>C15933</v>
          </cell>
          <cell r="C1031" t="str">
            <v>Lê Nguyễn Anh Tuấn</v>
          </cell>
          <cell r="D1031" t="str">
            <v>LE NGUYEN ANH TUAN</v>
          </cell>
          <cell r="E1031" t="str">
            <v>060280565582</v>
          </cell>
          <cell r="F1031" t="str">
            <v>C15933LE NGUYEN ANH TUAN060280565582</v>
          </cell>
        </row>
        <row r="1032">
          <cell r="B1032" t="str">
            <v>C15987</v>
          </cell>
          <cell r="C1032" t="str">
            <v>Lưu Thanh Minh</v>
          </cell>
          <cell r="D1032" t="str">
            <v>LUU THANH MINH</v>
          </cell>
          <cell r="E1032" t="str">
            <v>050057039741</v>
          </cell>
          <cell r="F1032" t="str">
            <v>C15987LUU THANH MINH050057039741</v>
          </cell>
        </row>
        <row r="1033">
          <cell r="B1033" t="str">
            <v>C15930</v>
          </cell>
          <cell r="C1033" t="str">
            <v>Mai Thành Tài</v>
          </cell>
          <cell r="D1033" t="str">
            <v>MAI THANH TAI</v>
          </cell>
          <cell r="E1033" t="str">
            <v>050121173856</v>
          </cell>
          <cell r="F1033" t="str">
            <v>C15930MAI THANH TAI050121173856</v>
          </cell>
        </row>
        <row r="1034">
          <cell r="B1034" t="str">
            <v>C15931</v>
          </cell>
          <cell r="C1034" t="str">
            <v>Trần Văn Long</v>
          </cell>
          <cell r="D1034" t="str">
            <v>TRAN VAN LONG</v>
          </cell>
          <cell r="E1034" t="str">
            <v>050153175877</v>
          </cell>
          <cell r="F1034" t="str">
            <v>C15931TRAN VAN LONG050153175877</v>
          </cell>
        </row>
        <row r="1035">
          <cell r="B1035" t="str">
            <v>C15871</v>
          </cell>
          <cell r="C1035" t="str">
            <v>Lâm Trang</v>
          </cell>
          <cell r="D1035" t="str">
            <v>LAM TRANG</v>
          </cell>
          <cell r="E1035" t="str">
            <v>050153391456</v>
          </cell>
          <cell r="F1035" t="str">
            <v>C15871LAM TRANG050153391456</v>
          </cell>
        </row>
        <row r="1036">
          <cell r="B1036" t="str">
            <v>C15906</v>
          </cell>
          <cell r="C1036" t="str">
            <v>Phạm Thị Thu Thương</v>
          </cell>
          <cell r="D1036" t="str">
            <v>PHAM THI THU THUONG</v>
          </cell>
          <cell r="E1036" t="str">
            <v>050135011281</v>
          </cell>
          <cell r="F1036" t="str">
            <v>C15906PHAM THI THU THUONG050135011281</v>
          </cell>
        </row>
        <row r="1037">
          <cell r="B1037" t="str">
            <v>C15959</v>
          </cell>
          <cell r="C1037" t="str">
            <v>Khiếu Thị Hoàng Vân</v>
          </cell>
          <cell r="D1037" t="str">
            <v>KHIEU THI HOANG VAN</v>
          </cell>
          <cell r="E1037" t="str">
            <v>050074107580</v>
          </cell>
          <cell r="F1037" t="str">
            <v>C15959KHIEU THI HOANG VAN050074107580</v>
          </cell>
        </row>
        <row r="1038">
          <cell r="B1038" t="str">
            <v>C15955</v>
          </cell>
          <cell r="C1038" t="str">
            <v>Nguyễn Thị Phượng</v>
          </cell>
          <cell r="D1038" t="str">
            <v>NGUYEN THI PHUONG</v>
          </cell>
          <cell r="E1038" t="str">
            <v>050153202742</v>
          </cell>
          <cell r="F1038" t="str">
            <v>C15955NGUYEN THI PHUONG050153202742</v>
          </cell>
        </row>
        <row r="1039">
          <cell r="B1039" t="str">
            <v>C15986</v>
          </cell>
          <cell r="C1039" t="str">
            <v>Trần Thị Hoàng Yến</v>
          </cell>
          <cell r="D1039" t="str">
            <v>TRAN THI HOANG YEN</v>
          </cell>
          <cell r="E1039" t="str">
            <v>050126086595</v>
          </cell>
          <cell r="F1039" t="str">
            <v>C15986TRAN THI HOANG YEN050126086595</v>
          </cell>
        </row>
        <row r="1040">
          <cell r="B1040" t="str">
            <v>C15994</v>
          </cell>
          <cell r="C1040" t="str">
            <v>Nguyễn Thị Thanh Hiên</v>
          </cell>
          <cell r="D1040" t="str">
            <v>NGUYEN THI THANH HIEN</v>
          </cell>
          <cell r="E1040" t="str">
            <v>050044163672</v>
          </cell>
          <cell r="F1040" t="str">
            <v>C15994NGUYEN THI THANH HIEN050044163672</v>
          </cell>
        </row>
        <row r="1041">
          <cell r="B1041" t="str">
            <v>C15984</v>
          </cell>
          <cell r="C1041" t="str">
            <v>Lưu Thị Thúy Hà</v>
          </cell>
          <cell r="D1041" t="str">
            <v>LUU THI THUY HA</v>
          </cell>
          <cell r="E1041" t="str">
            <v>050053941068</v>
          </cell>
          <cell r="F1041" t="str">
            <v>C15984LUU THI THUY HA050053941068</v>
          </cell>
        </row>
        <row r="1042">
          <cell r="B1042" t="str">
            <v>C15938</v>
          </cell>
          <cell r="C1042" t="str">
            <v>Đỗ Thanh Hải</v>
          </cell>
          <cell r="D1042" t="str">
            <v>DO THANH HAI</v>
          </cell>
          <cell r="E1042" t="str">
            <v>050152960260</v>
          </cell>
          <cell r="F1042" t="str">
            <v>C15938DO THANH HAI050152960260</v>
          </cell>
        </row>
        <row r="1043">
          <cell r="B1043" t="str">
            <v>C15918</v>
          </cell>
          <cell r="C1043" t="str">
            <v>Lâm Văn Ron</v>
          </cell>
          <cell r="D1043" t="str">
            <v>LAM VAN RON</v>
          </cell>
          <cell r="E1043" t="str">
            <v>050109870177</v>
          </cell>
          <cell r="F1043" t="str">
            <v>C15918LAM VAN RON050109870177</v>
          </cell>
        </row>
        <row r="1044">
          <cell r="B1044" t="str">
            <v>C15919</v>
          </cell>
          <cell r="C1044" t="str">
            <v>Lê Thị Yên</v>
          </cell>
          <cell r="D1044" t="str">
            <v>LE THI YEN</v>
          </cell>
          <cell r="E1044" t="str">
            <v>050150910878</v>
          </cell>
          <cell r="F1044" t="str">
            <v>C15919LE THI YEN050150910878</v>
          </cell>
        </row>
        <row r="1045">
          <cell r="B1045" t="str">
            <v>C15958</v>
          </cell>
          <cell r="C1045" t="str">
            <v>Thị Mỹ</v>
          </cell>
          <cell r="D1045" t="str">
            <v>THI MY</v>
          </cell>
          <cell r="E1045" t="str">
            <v>050153459433</v>
          </cell>
          <cell r="F1045" t="str">
            <v>C15958THI MY050153459433</v>
          </cell>
        </row>
        <row r="1046">
          <cell r="B1046" t="str">
            <v>C15953</v>
          </cell>
          <cell r="C1046" t="str">
            <v>Nguyễn Lương Thành</v>
          </cell>
          <cell r="D1046" t="str">
            <v>NGUYEN LUONG THANH</v>
          </cell>
          <cell r="E1046" t="str">
            <v>050153655054</v>
          </cell>
          <cell r="F1046" t="str">
            <v>C15953NGUYEN LUONG THANH050153655054</v>
          </cell>
        </row>
        <row r="1047">
          <cell r="B1047" t="str">
            <v>C15912</v>
          </cell>
          <cell r="C1047" t="str">
            <v>Dương Kim Đỗ</v>
          </cell>
          <cell r="D1047" t="str">
            <v>DUONG KIM DO</v>
          </cell>
          <cell r="E1047" t="str">
            <v>050153623608</v>
          </cell>
          <cell r="F1047" t="str">
            <v>C15912DUONG KIM DO050153623608</v>
          </cell>
        </row>
        <row r="1048">
          <cell r="B1048" t="str">
            <v>C15998</v>
          </cell>
          <cell r="C1048" t="str">
            <v>Lưu Thị Thu Hà</v>
          </cell>
          <cell r="D1048" t="str">
            <v>LUU THI THU HA</v>
          </cell>
          <cell r="E1048" t="str">
            <v>050116972929</v>
          </cell>
          <cell r="F1048" t="str">
            <v>C15998LUU THI THU HA050116972929</v>
          </cell>
        </row>
        <row r="1049">
          <cell r="B1049" t="str">
            <v>C15917</v>
          </cell>
          <cell r="C1049" t="str">
            <v>Nguyễn Ngọc Lâm</v>
          </cell>
          <cell r="D1049" t="str">
            <v>NGUYEN NGOC LAM</v>
          </cell>
          <cell r="E1049" t="str">
            <v>058201012004</v>
          </cell>
          <cell r="F1049" t="str">
            <v>C15917NGUYEN NGOC LAM058201012004</v>
          </cell>
        </row>
        <row r="1050">
          <cell r="B1050" t="str">
            <v>C3402</v>
          </cell>
          <cell r="C1050" t="str">
            <v>Đoàn Thị Hiếu Loan</v>
          </cell>
          <cell r="D1050" t="str">
            <v>DOAN THI HIEU LOAN</v>
          </cell>
          <cell r="E1050" t="str">
            <v>050153746262</v>
          </cell>
          <cell r="F1050" t="str">
            <v>C3402DOAN THI HIEU LOAN050153746262</v>
          </cell>
        </row>
        <row r="1051">
          <cell r="B1051" t="str">
            <v>C15937</v>
          </cell>
          <cell r="C1051" t="str">
            <v>Lê Thị Cẩm Nhung</v>
          </cell>
          <cell r="D1051" t="str">
            <v>LE THI CAM NHUNG</v>
          </cell>
          <cell r="E1051" t="str">
            <v>050153430923</v>
          </cell>
          <cell r="F1051" t="str">
            <v>C15937LE THI CAM NHUNG050153430923</v>
          </cell>
        </row>
        <row r="1052">
          <cell r="B1052" t="str">
            <v>C15957</v>
          </cell>
          <cell r="C1052" t="str">
            <v>Trương Thị Hậu</v>
          </cell>
          <cell r="D1052" t="str">
            <v>TRUONG THI HAU</v>
          </cell>
          <cell r="E1052" t="str">
            <v>050157151913</v>
          </cell>
          <cell r="F1052" t="str">
            <v>C15957TRUONG THI HAU050157151913</v>
          </cell>
        </row>
        <row r="1053">
          <cell r="B1053" t="str">
            <v>C15923</v>
          </cell>
          <cell r="C1053" t="str">
            <v>Lưu Thị Mỹ Dung</v>
          </cell>
          <cell r="D1053" t="str">
            <v>LUU THI MY DUNG</v>
          </cell>
          <cell r="E1053" t="str">
            <v>050153731354</v>
          </cell>
          <cell r="F1053" t="str">
            <v>C15923LUU THI MY DUNG050153731354</v>
          </cell>
        </row>
        <row r="1054">
          <cell r="B1054" t="str">
            <v>C15989</v>
          </cell>
          <cell r="C1054" t="str">
            <v>Phan Quang Huy</v>
          </cell>
          <cell r="D1054" t="str">
            <v>PHAN QUANG HUY</v>
          </cell>
          <cell r="E1054" t="str">
            <v>050153709741</v>
          </cell>
          <cell r="F1054" t="str">
            <v>C15989PHAN QUANG HUY050153709741</v>
          </cell>
        </row>
        <row r="1055">
          <cell r="B1055" t="str">
            <v>C15990</v>
          </cell>
          <cell r="C1055" t="str">
            <v>Phạm Anh Tùng</v>
          </cell>
          <cell r="D1055" t="str">
            <v>PHAM ANH TUNG</v>
          </cell>
          <cell r="E1055" t="str">
            <v>050110471014</v>
          </cell>
          <cell r="F1055" t="str">
            <v>C15990PHAM ANH TUNG050110471014</v>
          </cell>
        </row>
        <row r="1056">
          <cell r="B1056" t="str">
            <v>C15980</v>
          </cell>
          <cell r="C1056" t="str">
            <v>Lưu Kỳ Minh</v>
          </cell>
          <cell r="D1056" t="str">
            <v>LUU KY MINH</v>
          </cell>
          <cell r="E1056" t="str">
            <v>050137325230</v>
          </cell>
          <cell r="F1056" t="str">
            <v>C15980LUU KY MINH050137325230</v>
          </cell>
        </row>
        <row r="1057">
          <cell r="B1057" t="str">
            <v>C15837</v>
          </cell>
          <cell r="C1057" t="str">
            <v>Phạm Thị Hồng Anh</v>
          </cell>
          <cell r="D1057" t="str">
            <v>PHAM THI HONG ANH</v>
          </cell>
          <cell r="E1057" t="str">
            <v>050153722101</v>
          </cell>
          <cell r="F1057" t="str">
            <v>C15837PHAM THI HONG ANH050153722101</v>
          </cell>
        </row>
        <row r="1058">
          <cell r="B1058" t="str">
            <v>C15992</v>
          </cell>
          <cell r="C1058" t="str">
            <v>Quách Trang</v>
          </cell>
          <cell r="D1058" t="str">
            <v>QUACH TRANG</v>
          </cell>
          <cell r="E1058" t="str">
            <v>050077956228</v>
          </cell>
          <cell r="F1058" t="str">
            <v>C15992QUACH TRANG050077956228</v>
          </cell>
        </row>
        <row r="1059">
          <cell r="B1059" t="str">
            <v>C15999</v>
          </cell>
          <cell r="C1059" t="str">
            <v>Trần Thanh Sơn</v>
          </cell>
          <cell r="D1059" t="str">
            <v>TRAN THANH SON</v>
          </cell>
          <cell r="E1059" t="str">
            <v>050129251686</v>
          </cell>
          <cell r="F1059" t="str">
            <v>C15999TRAN THANH SON050129251686</v>
          </cell>
        </row>
        <row r="1060">
          <cell r="B1060" t="str">
            <v>C16000</v>
          </cell>
          <cell r="C1060" t="str">
            <v>Nguyễn Thị Quỳnh Như</v>
          </cell>
          <cell r="D1060" t="str">
            <v>NGUYEN THI QUYNH NHU</v>
          </cell>
          <cell r="E1060" t="str">
            <v>050153571721</v>
          </cell>
          <cell r="F1060" t="str">
            <v>C16000NGUYEN THI QUYNH NHU050153571721</v>
          </cell>
        </row>
        <row r="1061">
          <cell r="B1061" t="str">
            <v>C15814</v>
          </cell>
          <cell r="C1061" t="str">
            <v>Lê Thị Kim Lợi</v>
          </cell>
          <cell r="D1061" t="str">
            <v>LE THI KIM LOI</v>
          </cell>
          <cell r="E1061" t="str">
            <v>050153417420</v>
          </cell>
          <cell r="F1061" t="str">
            <v>C15814LE THI KIM LOI050153417420</v>
          </cell>
        </row>
        <row r="1062">
          <cell r="B1062" t="str">
            <v>C15969</v>
          </cell>
          <cell r="C1062" t="str">
            <v>Phan Thị Kim Dung</v>
          </cell>
          <cell r="D1062" t="str">
            <v>PHAN THI KIM DUNG</v>
          </cell>
          <cell r="E1062" t="str">
            <v>050027684553</v>
          </cell>
          <cell r="F1062" t="str">
            <v>C15969PHAN THI KIM DUNG050027684553</v>
          </cell>
        </row>
        <row r="1063">
          <cell r="B1063" t="str">
            <v>C15950</v>
          </cell>
          <cell r="C1063" t="str">
            <v>Nguyễn Thị Thu Hòa</v>
          </cell>
          <cell r="D1063" t="str">
            <v>NGUYEN THI THU HOA</v>
          </cell>
          <cell r="E1063" t="str">
            <v>050154087831</v>
          </cell>
          <cell r="F1063" t="str">
            <v>C15950NGUYEN THI THU HOA050154087831</v>
          </cell>
        </row>
        <row r="1064">
          <cell r="B1064" t="str">
            <v>C16022</v>
          </cell>
          <cell r="C1064" t="str">
            <v>Trần Thị Tuyền Trinh</v>
          </cell>
          <cell r="D1064" t="str">
            <v>TRAN THI TUYEN TRINH</v>
          </cell>
          <cell r="E1064" t="str">
            <v>050111835850</v>
          </cell>
          <cell r="F1064" t="str">
            <v>C16022TRAN THI TUYEN TRINH050111835850</v>
          </cell>
        </row>
        <row r="1065">
          <cell r="B1065" t="str">
            <v>C16004</v>
          </cell>
          <cell r="C1065" t="str">
            <v>Nguyễn Thị Ngọc Xuân</v>
          </cell>
          <cell r="D1065" t="str">
            <v>NGUYEN THI NGOC XUAN</v>
          </cell>
          <cell r="E1065" t="str">
            <v>050153752157</v>
          </cell>
          <cell r="F1065" t="str">
            <v>C16004NGUYEN THI NGOC XUAN050153752157</v>
          </cell>
        </row>
        <row r="1066">
          <cell r="B1066" t="str">
            <v>C16021</v>
          </cell>
          <cell r="C1066" t="str">
            <v>Nguyễn Văn Nghiệp</v>
          </cell>
          <cell r="D1066" t="str">
            <v>NGUYEN VAN NGHIEP</v>
          </cell>
          <cell r="E1066" t="str">
            <v>050098252190</v>
          </cell>
          <cell r="F1066" t="str">
            <v>C16021NGUYEN VAN NGHIEP050098252190</v>
          </cell>
        </row>
        <row r="1067">
          <cell r="B1067" t="str">
            <v>C16067</v>
          </cell>
          <cell r="C1067" t="str">
            <v>Nguyễn Thành Tâm</v>
          </cell>
          <cell r="D1067" t="str">
            <v>NGUYEN THANH TAM</v>
          </cell>
          <cell r="E1067" t="str">
            <v>050129249525</v>
          </cell>
          <cell r="F1067" t="str">
            <v>C16067NGUYEN THANH TAM050129249525</v>
          </cell>
        </row>
        <row r="1068">
          <cell r="B1068" t="str">
            <v>C15977</v>
          </cell>
          <cell r="C1068" t="str">
            <v>Đinh Thùy Dung</v>
          </cell>
          <cell r="D1068" t="str">
            <v>DINH THUY DUNG</v>
          </cell>
          <cell r="E1068" t="str">
            <v>054103062001</v>
          </cell>
          <cell r="F1068" t="str">
            <v>C15977DINH THUY DUNG054103062001</v>
          </cell>
        </row>
        <row r="1069">
          <cell r="B1069" t="str">
            <v>C16057</v>
          </cell>
          <cell r="C1069" t="str">
            <v>Thị Thé</v>
          </cell>
          <cell r="D1069" t="str">
            <v>THI THE</v>
          </cell>
          <cell r="E1069" t="str">
            <v>050092203589</v>
          </cell>
          <cell r="F1069" t="str">
            <v>C16057THI THE050092203589</v>
          </cell>
        </row>
        <row r="1070">
          <cell r="B1070" t="str">
            <v>C16058</v>
          </cell>
          <cell r="C1070" t="str">
            <v>Phạm Thị Tâm</v>
          </cell>
          <cell r="D1070" t="str">
            <v>PHAM THI TAM</v>
          </cell>
          <cell r="E1070" t="str">
            <v>050106513942</v>
          </cell>
          <cell r="F1070" t="str">
            <v>C16058PHAM THI TAM050106513942</v>
          </cell>
        </row>
        <row r="1071">
          <cell r="B1071" t="str">
            <v>C15988</v>
          </cell>
          <cell r="C1071" t="str">
            <v>Võ Niên Thảo</v>
          </cell>
          <cell r="D1071" t="str">
            <v>VO NIEN THAO</v>
          </cell>
          <cell r="E1071" t="str">
            <v>050153927305</v>
          </cell>
          <cell r="F1071" t="str">
            <v>C15988VO NIEN THAO050153927305</v>
          </cell>
        </row>
        <row r="1072">
          <cell r="B1072" t="str">
            <v>C16037</v>
          </cell>
          <cell r="C1072" t="str">
            <v>Thăng Văn Tệt</v>
          </cell>
          <cell r="D1072" t="str">
            <v>THANG VAN TET</v>
          </cell>
          <cell r="E1072" t="str">
            <v>050136474501</v>
          </cell>
          <cell r="F1072" t="str">
            <v>C16037THANG VAN TET050136474501</v>
          </cell>
        </row>
        <row r="1073">
          <cell r="B1073" t="str">
            <v>C16053</v>
          </cell>
          <cell r="C1073" t="str">
            <v>Lê Giang Vĩ Khanh</v>
          </cell>
          <cell r="D1073" t="str">
            <v>LE GIANG VI KHANH</v>
          </cell>
          <cell r="E1073" t="str">
            <v>050154488100</v>
          </cell>
          <cell r="F1073" t="str">
            <v>C16053LE GIANG VI KHANH050154488100</v>
          </cell>
        </row>
        <row r="1074">
          <cell r="B1074" t="str">
            <v>C15905</v>
          </cell>
          <cell r="C1074" t="str">
            <v>Nguyễn Thị Phượng Mai</v>
          </cell>
          <cell r="D1074" t="str">
            <v>NGUYEN THI PHUONG MAI</v>
          </cell>
          <cell r="E1074" t="str">
            <v>050131184368</v>
          </cell>
          <cell r="F1074" t="str">
            <v>C15905NGUYEN THI PHUONG MAI050131184368</v>
          </cell>
        </row>
        <row r="1075">
          <cell r="B1075" t="str">
            <v>C16019</v>
          </cell>
          <cell r="C1075" t="str">
            <v>Võ Văn Hoàng</v>
          </cell>
          <cell r="D1075" t="str">
            <v>VO VAN HOANG</v>
          </cell>
          <cell r="E1075" t="str">
            <v>050128711187</v>
          </cell>
          <cell r="F1075" t="str">
            <v>C16019VO VAN HOANG050128711187</v>
          </cell>
        </row>
        <row r="1076">
          <cell r="B1076" t="str">
            <v>C15974</v>
          </cell>
          <cell r="C1076" t="str">
            <v>Nguyễn Thị Thùy Dung</v>
          </cell>
          <cell r="D1076" t="str">
            <v>NGUYEN THI THUY DUNG</v>
          </cell>
          <cell r="E1076" t="str">
            <v>050153927291</v>
          </cell>
          <cell r="F1076" t="str">
            <v>C15974NGUYEN THI THUY DUNG050153927291</v>
          </cell>
        </row>
        <row r="1077">
          <cell r="B1077" t="str">
            <v>C15975</v>
          </cell>
          <cell r="C1077" t="str">
            <v>Nguyễn Chí Nguyện</v>
          </cell>
          <cell r="D1077" t="str">
            <v>NGUYEN CHI NGUYEN</v>
          </cell>
          <cell r="E1077" t="str">
            <v>050153927283</v>
          </cell>
          <cell r="F1077" t="str">
            <v>C15975NGUYEN CHI NGUYEN050153927283</v>
          </cell>
        </row>
        <row r="1078">
          <cell r="B1078" t="str">
            <v>C16017</v>
          </cell>
          <cell r="C1078" t="str">
            <v>Thị Hợi</v>
          </cell>
          <cell r="D1078" t="str">
            <v>THI HOI</v>
          </cell>
          <cell r="E1078" t="str">
            <v>050148166460</v>
          </cell>
          <cell r="F1078" t="str">
            <v>C16017THI HOI050148166460</v>
          </cell>
        </row>
        <row r="1079">
          <cell r="B1079" t="str">
            <v>C16035</v>
          </cell>
          <cell r="C1079" t="str">
            <v>Trần Thị Hồng Đào</v>
          </cell>
          <cell r="D1079" t="str">
            <v>TRAN THI HONG DAO</v>
          </cell>
          <cell r="E1079" t="str">
            <v>050128253464</v>
          </cell>
          <cell r="F1079" t="str">
            <v>C16035TRAN THI HONG DAO050128253464</v>
          </cell>
        </row>
        <row r="1080">
          <cell r="B1080" t="str">
            <v>C16070</v>
          </cell>
          <cell r="C1080" t="str">
            <v>Nguyễn Văn Phúc</v>
          </cell>
          <cell r="D1080" t="str">
            <v>NGUYEN VAN PHUC</v>
          </cell>
          <cell r="E1080" t="str">
            <v>050140630060</v>
          </cell>
          <cell r="F1080" t="str">
            <v>C16070NGUYEN VAN PHUC050140630060</v>
          </cell>
        </row>
        <row r="1081">
          <cell r="B1081" t="str">
            <v>C16132</v>
          </cell>
          <cell r="C1081" t="str">
            <v>Phạm Thị Thúy Vân</v>
          </cell>
          <cell r="D1081" t="str">
            <v>PHAM THI THUY VAN</v>
          </cell>
          <cell r="E1081" t="str">
            <v>060222166856</v>
          </cell>
          <cell r="F1081" t="str">
            <v>C16132PHAM THI THUY VAN060222166856</v>
          </cell>
        </row>
        <row r="1082">
          <cell r="B1082" t="str">
            <v>C16044</v>
          </cell>
          <cell r="C1082" t="str">
            <v>Trịnh Hữu Đức</v>
          </cell>
          <cell r="D1082" t="str">
            <v>TRINH HUU DUC</v>
          </cell>
          <cell r="E1082" t="str">
            <v>055405112000</v>
          </cell>
          <cell r="F1082" t="str">
            <v>C16044TRINH HUU DUC055405112000</v>
          </cell>
        </row>
        <row r="1083">
          <cell r="B1083" t="str">
            <v>C16069</v>
          </cell>
          <cell r="C1083" t="str">
            <v>Tưởng Văn Lâm</v>
          </cell>
          <cell r="D1083" t="str">
            <v>TUONG VAN LAM</v>
          </cell>
          <cell r="E1083" t="str">
            <v>050144848443</v>
          </cell>
          <cell r="F1083" t="str">
            <v>C16069TUONG VAN LAM050144848443</v>
          </cell>
        </row>
        <row r="1084">
          <cell r="B1084" t="str">
            <v>C16100</v>
          </cell>
          <cell r="C1084" t="str">
            <v>Nguyễn Hoàng Linh</v>
          </cell>
          <cell r="D1084" t="str">
            <v>NGUYEN HOANG LINH</v>
          </cell>
          <cell r="E1084" t="str">
            <v>060215057723</v>
          </cell>
          <cell r="F1084" t="str">
            <v>C16100NGUYEN HOANG LINH060215057723</v>
          </cell>
        </row>
        <row r="1085">
          <cell r="B1085" t="str">
            <v>C16101</v>
          </cell>
          <cell r="C1085" t="str">
            <v>Lê Văn Linh</v>
          </cell>
          <cell r="D1085" t="str">
            <v>LE VAN LINH</v>
          </cell>
          <cell r="E1085" t="str">
            <v>050120046801</v>
          </cell>
          <cell r="F1085" t="str">
            <v>C16101LE VAN LINH050120046801</v>
          </cell>
        </row>
        <row r="1086">
          <cell r="B1086" t="str">
            <v>C16033</v>
          </cell>
          <cell r="C1086" t="str">
            <v>Hồ Thị Ngọc Hân</v>
          </cell>
          <cell r="D1086" t="str">
            <v>HO THI NGOC HAN</v>
          </cell>
          <cell r="E1086" t="str">
            <v>050154980455</v>
          </cell>
          <cell r="F1086" t="str">
            <v>C16033HO THI NGOC HAN050154980455</v>
          </cell>
        </row>
        <row r="1087">
          <cell r="B1087" t="str">
            <v>C16009</v>
          </cell>
          <cell r="C1087" t="str">
            <v>Lê Ngọc Khánh Vy</v>
          </cell>
          <cell r="D1087" t="str">
            <v>LE NGOC KHANH VY</v>
          </cell>
          <cell r="E1087" t="str">
            <v>050155095099</v>
          </cell>
          <cell r="F1087" t="str">
            <v>C16009LE NGOC KHANH VY050155095099</v>
          </cell>
        </row>
        <row r="1088">
          <cell r="B1088" t="str">
            <v>C16047</v>
          </cell>
          <cell r="C1088" t="str">
            <v>Nguyễn Thị Thu Thảo</v>
          </cell>
          <cell r="D1088" t="str">
            <v>NGUYEN THI THU THAO</v>
          </cell>
          <cell r="E1088" t="str">
            <v>050155095072</v>
          </cell>
          <cell r="F1088" t="str">
            <v>C16047NGUYEN THI THU THAO050155095072</v>
          </cell>
        </row>
        <row r="1089">
          <cell r="B1089" t="str">
            <v>C16038</v>
          </cell>
          <cell r="C1089" t="str">
            <v>Lâm Năm</v>
          </cell>
          <cell r="D1089" t="str">
            <v>LAM NAM</v>
          </cell>
          <cell r="E1089" t="str">
            <v>050154541869</v>
          </cell>
          <cell r="F1089" t="str">
            <v>C16038LAM NAM050154541869</v>
          </cell>
        </row>
        <row r="1090">
          <cell r="B1090" t="str">
            <v>C16071</v>
          </cell>
          <cell r="C1090" t="str">
            <v>Nguyễn Khắc Kiệt</v>
          </cell>
          <cell r="D1090" t="str">
            <v>NGUYEN KHAC KIET</v>
          </cell>
          <cell r="E1090" t="str">
            <v>050155288903</v>
          </cell>
          <cell r="F1090" t="str">
            <v>C16071NGUYEN KHAC KIET050155288903</v>
          </cell>
        </row>
        <row r="1091">
          <cell r="B1091" t="str">
            <v>C16136</v>
          </cell>
          <cell r="C1091" t="str">
            <v>Nguyễn Thị Kim Tuyền</v>
          </cell>
          <cell r="D1091" t="str">
            <v>NGUYEN THI KIM TUYEN</v>
          </cell>
          <cell r="E1091" t="str">
            <v>050040932795</v>
          </cell>
          <cell r="F1091" t="str">
            <v>C16136NGUYEN THI KIM TUYEN050040932795</v>
          </cell>
        </row>
        <row r="1092">
          <cell r="B1092" t="str">
            <v>C16096</v>
          </cell>
          <cell r="C1092" t="str">
            <v>Phan Phi Long</v>
          </cell>
          <cell r="D1092" t="str">
            <v>PHAN PHI LONG</v>
          </cell>
          <cell r="E1092" t="str">
            <v>050051931286</v>
          </cell>
          <cell r="F1092" t="str">
            <v>C16096PHAN PHI LONG050051931286</v>
          </cell>
        </row>
        <row r="1093">
          <cell r="B1093" t="str">
            <v>C16097</v>
          </cell>
          <cell r="C1093" t="str">
            <v>Lê Thị Lan</v>
          </cell>
          <cell r="D1093" t="str">
            <v>LE THI LAN</v>
          </cell>
          <cell r="E1093" t="str">
            <v>050040932841</v>
          </cell>
          <cell r="F1093" t="str">
            <v>C16097LE THI LAN050040932841</v>
          </cell>
        </row>
        <row r="1094">
          <cell r="B1094" t="str">
            <v>C16068</v>
          </cell>
          <cell r="C1094" t="str">
            <v>Trần Thị thảo Sương</v>
          </cell>
          <cell r="D1094" t="str">
            <v>TRAN THI THAO SUONG</v>
          </cell>
          <cell r="E1094" t="str">
            <v>050155274732</v>
          </cell>
          <cell r="F1094" t="str">
            <v>C16068TRAN THI THAO SUONG050155274732</v>
          </cell>
        </row>
        <row r="1095">
          <cell r="B1095" t="str">
            <v>C16066</v>
          </cell>
          <cell r="C1095" t="str">
            <v>Đàm Văn Long</v>
          </cell>
          <cell r="D1095" t="str">
            <v>DAM VAN LONG</v>
          </cell>
          <cell r="E1095" t="str">
            <v>050153900131</v>
          </cell>
          <cell r="F1095" t="str">
            <v>C16066DAM VAN LONG050153900131</v>
          </cell>
        </row>
        <row r="1096">
          <cell r="B1096" t="str">
            <v>C16091</v>
          </cell>
          <cell r="C1096" t="str">
            <v>Lâm Văn Xom</v>
          </cell>
          <cell r="D1096" t="str">
            <v>LAM VAN XOM</v>
          </cell>
          <cell r="E1096" t="str">
            <v>0834289556</v>
          </cell>
          <cell r="F1096" t="str">
            <v>C16091LAM VAN XOM0834289556</v>
          </cell>
        </row>
        <row r="1097">
          <cell r="B1097" t="str">
            <v>C16078</v>
          </cell>
          <cell r="C1097" t="str">
            <v>Thị Kim Tiên</v>
          </cell>
          <cell r="D1097" t="str">
            <v>THI KIM TIEN</v>
          </cell>
          <cell r="E1097" t="str">
            <v>050154831557</v>
          </cell>
          <cell r="F1097" t="str">
            <v>C16078THI KIM TIEN050154831557</v>
          </cell>
        </row>
        <row r="1098">
          <cell r="B1098" t="str">
            <v>C16081</v>
          </cell>
          <cell r="C1098" t="str">
            <v>Lâm Xam Bô</v>
          </cell>
          <cell r="D1098" t="str">
            <v>LAM XAM BO</v>
          </cell>
          <cell r="E1098" t="str">
            <v>050150993757</v>
          </cell>
          <cell r="F1098" t="str">
            <v>C16081LAM XAM BO050150993757</v>
          </cell>
        </row>
        <row r="1099">
          <cell r="B1099" t="str">
            <v>C16079</v>
          </cell>
          <cell r="C1099" t="str">
            <v>Phạm Văn Cảnh</v>
          </cell>
          <cell r="D1099" t="str">
            <v>PHAM VAN CANH</v>
          </cell>
          <cell r="E1099" t="str">
            <v>050154836133</v>
          </cell>
          <cell r="F1099" t="str">
            <v>C16079PHAM VAN CANH050154836133</v>
          </cell>
        </row>
        <row r="1100">
          <cell r="B1100" t="str">
            <v>C16074</v>
          </cell>
          <cell r="C1100" t="str">
            <v>Lâm Điểu Dương</v>
          </cell>
          <cell r="D1100" t="str">
            <v>LAM DIEU DUONG</v>
          </cell>
          <cell r="E1100" t="str">
            <v>0962582741</v>
          </cell>
          <cell r="F1100" t="str">
            <v>C16074LAM DIEU DUONG0962582741</v>
          </cell>
        </row>
        <row r="1101">
          <cell r="B1101" t="str">
            <v>C16075</v>
          </cell>
          <cell r="C1101" t="str">
            <v>Điểu Phước</v>
          </cell>
          <cell r="D1101" t="str">
            <v>DIEU PHUOC</v>
          </cell>
          <cell r="E1101" t="str">
            <v>0969384261</v>
          </cell>
          <cell r="F1101" t="str">
            <v>C16075DIEU PHUOC0969384261</v>
          </cell>
        </row>
        <row r="1102">
          <cell r="B1102" t="str">
            <v>C16089</v>
          </cell>
          <cell r="C1102" t="str">
            <v>Lương Thị Kim Huệ</v>
          </cell>
          <cell r="D1102" t="str">
            <v>LUONG THI KIM HUE</v>
          </cell>
          <cell r="E1102" t="str">
            <v>050056222275</v>
          </cell>
          <cell r="F1102" t="str">
            <v>C16089LUONG THI KIM HUE050056222275</v>
          </cell>
        </row>
        <row r="1103">
          <cell r="B1103" t="str">
            <v>C16076</v>
          </cell>
          <cell r="C1103" t="str">
            <v>Trương Thế Thông</v>
          </cell>
          <cell r="D1103" t="str">
            <v>TRUONG THE THONG</v>
          </cell>
          <cell r="E1103" t="str">
            <v>050105128344</v>
          </cell>
          <cell r="F1103" t="str">
            <v>C16076TRUONG THE THONG050105128344</v>
          </cell>
        </row>
        <row r="1104">
          <cell r="B1104" t="str">
            <v>C16234</v>
          </cell>
          <cell r="C1104" t="str">
            <v>Đỗ Đặng Hiền Hoà</v>
          </cell>
          <cell r="D1104" t="str">
            <v>DO DANG HIEN HOA</v>
          </cell>
          <cell r="E1104" t="str">
            <v>050040933597</v>
          </cell>
          <cell r="F1104" t="str">
            <v>C16234DO DANG HIEN HOA050040933597</v>
          </cell>
        </row>
        <row r="1105">
          <cell r="B1105" t="str">
            <v>C16152</v>
          </cell>
          <cell r="C1105" t="str">
            <v>Nguyễn Thanh Tâm</v>
          </cell>
          <cell r="D1105" t="str">
            <v>NGUYEN THANH TAM</v>
          </cell>
          <cell r="E1105" t="str">
            <v>050155273221</v>
          </cell>
          <cell r="F1105" t="str">
            <v>C16152NGUYEN THANH TAM050155273221</v>
          </cell>
        </row>
        <row r="1106">
          <cell r="B1106" t="str">
            <v>C16123</v>
          </cell>
          <cell r="C1106" t="str">
            <v>Quách Văn Hiền</v>
          </cell>
          <cell r="D1106" t="str">
            <v>QUACH VAN HIEN</v>
          </cell>
          <cell r="E1106" t="str">
            <v>050058821966</v>
          </cell>
          <cell r="F1106" t="str">
            <v>C16123QUACH VAN HIEN050058821966</v>
          </cell>
        </row>
        <row r="1107">
          <cell r="B1107" t="str">
            <v>C16137</v>
          </cell>
          <cell r="C1107" t="str">
            <v>Nguyễn Văn Chất</v>
          </cell>
          <cell r="D1107" t="str">
            <v>NGUYEN VAN CHAT</v>
          </cell>
          <cell r="E1107" t="str">
            <v>050153703271</v>
          </cell>
          <cell r="F1107" t="str">
            <v>C16137NGUYEN VAN CHAT050153703271</v>
          </cell>
        </row>
        <row r="1108">
          <cell r="B1108" t="str">
            <v>C16202</v>
          </cell>
          <cell r="C1108" t="str">
            <v>Nguyễn Thị Hồng</v>
          </cell>
          <cell r="D1108" t="str">
            <v>NGUYEN THI HONG</v>
          </cell>
          <cell r="E1108" t="str">
            <v>050040932612</v>
          </cell>
          <cell r="F1108" t="str">
            <v>C16202NGUYEN THI HONG050040932612</v>
          </cell>
        </row>
        <row r="1109">
          <cell r="B1109" t="str">
            <v>C16204</v>
          </cell>
          <cell r="C1109" t="str">
            <v>Nguyễn Thị Thanh</v>
          </cell>
          <cell r="D1109" t="str">
            <v>NGUYEN THI THANH</v>
          </cell>
          <cell r="E1109" t="str">
            <v>050155538357</v>
          </cell>
          <cell r="F1109" t="str">
            <v>C16204NGUYEN THI THANH050155538357</v>
          </cell>
        </row>
        <row r="1110">
          <cell r="B1110" t="str">
            <v>C16153</v>
          </cell>
          <cell r="C1110" t="str">
            <v>Hoàng Thị Ca</v>
          </cell>
          <cell r="D1110" t="str">
            <v>HOANG THI CA</v>
          </cell>
          <cell r="E1110" t="str">
            <v>050116653051</v>
          </cell>
          <cell r="F1110" t="str">
            <v>C16153HOANG THI CA050116653051</v>
          </cell>
        </row>
        <row r="1111">
          <cell r="B1111" t="str">
            <v>C16182</v>
          </cell>
          <cell r="C1111" t="str">
            <v>Phan Thị Đào</v>
          </cell>
          <cell r="D1111" t="str">
            <v>PHAN THI DAO</v>
          </cell>
          <cell r="E1111" t="str">
            <v>050155621297</v>
          </cell>
          <cell r="F1111" t="str">
            <v>C16182PHAN THI DAO050155621297</v>
          </cell>
        </row>
        <row r="1112">
          <cell r="B1112" t="str">
            <v>C16178</v>
          </cell>
          <cell r="C1112" t="str">
            <v>Bùi Thị Hoàn</v>
          </cell>
          <cell r="D1112" t="str">
            <v>BUI THI HOAN</v>
          </cell>
          <cell r="E1112" t="str">
            <v>050062085662</v>
          </cell>
          <cell r="F1112" t="str">
            <v>C16178BUI THI HOAN050062085662</v>
          </cell>
        </row>
        <row r="1113">
          <cell r="B1113" t="str">
            <v>C16112</v>
          </cell>
          <cell r="C1113" t="str">
            <v>Ngô Thị Tâm</v>
          </cell>
          <cell r="D1113" t="str">
            <v>NGO THI TAM</v>
          </cell>
          <cell r="E1113" t="str">
            <v>050155812467</v>
          </cell>
          <cell r="F1113" t="str">
            <v>C16112NGO THI TAM050155812467</v>
          </cell>
        </row>
        <row r="1114">
          <cell r="B1114" t="str">
            <v>C16177</v>
          </cell>
          <cell r="C1114" t="str">
            <v>Trần Đăng Hào</v>
          </cell>
          <cell r="D1114" t="str">
            <v>TRAN DANG HAO</v>
          </cell>
          <cell r="E1114" t="str">
            <v>050122741572</v>
          </cell>
          <cell r="F1114" t="str">
            <v>C16177TRAN DANG HAO050122741572</v>
          </cell>
        </row>
        <row r="1115">
          <cell r="B1115" t="str">
            <v>C16167</v>
          </cell>
          <cell r="C1115" t="str">
            <v>Lê Thị Thu Hòa</v>
          </cell>
          <cell r="D1115" t="str">
            <v>LE THI THU HOA</v>
          </cell>
          <cell r="E1115" t="str">
            <v>050116800321</v>
          </cell>
          <cell r="F1115" t="str">
            <v>C16167LE THI THU HOA050116800321</v>
          </cell>
        </row>
        <row r="1116">
          <cell r="B1116" t="str">
            <v>C16143</v>
          </cell>
          <cell r="C1116" t="str">
            <v>Trần Văn Vụ</v>
          </cell>
          <cell r="D1116" t="str">
            <v>TRAN VAN VU</v>
          </cell>
          <cell r="E1116" t="str">
            <v>060153700292</v>
          </cell>
          <cell r="F1116" t="str">
            <v>C16143TRAN VAN VU060153700292</v>
          </cell>
        </row>
        <row r="1117">
          <cell r="B1117" t="str">
            <v>C16106</v>
          </cell>
          <cell r="C1117" t="str">
            <v>Lâm Văn Phối Dân</v>
          </cell>
          <cell r="D1117" t="str">
            <v>LAM VAN PHOI DAN</v>
          </cell>
          <cell r="E1117" t="str">
            <v>050155600052</v>
          </cell>
          <cell r="F1117" t="str">
            <v>C16106LAM VAN PHOI DAN050155600052</v>
          </cell>
        </row>
        <row r="1118">
          <cell r="B1118" t="str">
            <v>C16107</v>
          </cell>
          <cell r="C1118" t="str">
            <v>Nguyễn Văn Được</v>
          </cell>
          <cell r="D1118" t="str">
            <v>NGUYEN VAN DUOC</v>
          </cell>
          <cell r="E1118" t="str">
            <v>050155601547</v>
          </cell>
          <cell r="F1118" t="str">
            <v>C16107NGUYEN VAN DUOC050155601547</v>
          </cell>
        </row>
        <row r="1119">
          <cell r="B1119" t="str">
            <v>C16170</v>
          </cell>
          <cell r="C1119" t="str">
            <v>Nguyễn Thị Hường</v>
          </cell>
          <cell r="D1119" t="str">
            <v>NGUYEN THI HUONG</v>
          </cell>
          <cell r="E1119" t="str">
            <v>050122382599</v>
          </cell>
          <cell r="F1119" t="str">
            <v>C16170NGUYEN THI HUONG050122382599</v>
          </cell>
        </row>
        <row r="1120">
          <cell r="B1120" t="str">
            <v>C16088</v>
          </cell>
          <cell r="C1120" t="str">
            <v>Nguyễn Văn Sơn</v>
          </cell>
          <cell r="D1120" t="str">
            <v>NGUYEN VAN SON</v>
          </cell>
          <cell r="E1120" t="str">
            <v>050105773551</v>
          </cell>
          <cell r="F1120" t="str">
            <v>C16088NGUYEN VAN SON050105773551</v>
          </cell>
        </row>
        <row r="1121">
          <cell r="B1121" t="str">
            <v>C16128</v>
          </cell>
          <cell r="C1121" t="str">
            <v>Thị Cúc</v>
          </cell>
          <cell r="D1121" t="str">
            <v>THI CUC</v>
          </cell>
          <cell r="E1121" t="str">
            <v>050155383205</v>
          </cell>
          <cell r="F1121" t="str">
            <v>C16128THI CUC050155383205</v>
          </cell>
        </row>
        <row r="1122">
          <cell r="B1122" t="str">
            <v>C16131</v>
          </cell>
          <cell r="C1122" t="str">
            <v>Lại Thị Bích Ngọc</v>
          </cell>
          <cell r="D1122" t="str">
            <v>LAI THI BICH NGOC</v>
          </cell>
          <cell r="E1122" t="str">
            <v>050155551401</v>
          </cell>
          <cell r="F1122" t="str">
            <v>C16131LAI THI BICH NGOC050155551401</v>
          </cell>
        </row>
        <row r="1123">
          <cell r="B1123" t="str">
            <v>C16130</v>
          </cell>
          <cell r="C1123" t="str">
            <v>Trần Minh Cường</v>
          </cell>
          <cell r="D1123" t="str">
            <v>TRAN MINH CUONG</v>
          </cell>
          <cell r="E1123" t="str">
            <v>050075129650</v>
          </cell>
          <cell r="F1123" t="str">
            <v>C16130TRAN MINH CUONG050075129650</v>
          </cell>
        </row>
        <row r="1124">
          <cell r="B1124" t="str">
            <v>C16144</v>
          </cell>
          <cell r="C1124" t="str">
            <v>Đỗ Đức Huy</v>
          </cell>
          <cell r="D1124" t="str">
            <v>DO DUC HUY</v>
          </cell>
          <cell r="E1124" t="str">
            <v>050086759389</v>
          </cell>
          <cell r="F1124" t="str">
            <v>C16144DO DUC HUY050086759389</v>
          </cell>
        </row>
        <row r="1125">
          <cell r="B1125" t="str">
            <v>C16230</v>
          </cell>
          <cell r="C1125" t="str">
            <v>Nguyễn Thị Thanh Hoa</v>
          </cell>
          <cell r="D1125" t="str">
            <v>NGUYEN THI THANH HOA</v>
          </cell>
          <cell r="E1125" t="str">
            <v>050127000211</v>
          </cell>
          <cell r="F1125" t="str">
            <v>C16230NGUYEN THI THANH HOA050127000211</v>
          </cell>
        </row>
        <row r="1126">
          <cell r="B1126" t="str">
            <v>C16240</v>
          </cell>
          <cell r="C1126" t="str">
            <v>Thị Sưng Ly</v>
          </cell>
          <cell r="D1126" t="str">
            <v>THI SUNG LY</v>
          </cell>
          <cell r="E1126" t="str">
            <v>050117956201</v>
          </cell>
          <cell r="F1126" t="str">
            <v>C16240THI SUNG LY050117956201</v>
          </cell>
        </row>
        <row r="1127">
          <cell r="B1127" t="str">
            <v>C16292</v>
          </cell>
          <cell r="C1127" t="str">
            <v>Nguyễn Thị Hoài Nhớ</v>
          </cell>
          <cell r="D1127" t="str">
            <v>NGUYEN THI HOAI NHO</v>
          </cell>
          <cell r="E1127" t="str">
            <v>050117412080</v>
          </cell>
          <cell r="F1127" t="str">
            <v>C16292NGUYEN THI HOAI NHO050117412080</v>
          </cell>
        </row>
        <row r="1128">
          <cell r="B1128" t="str">
            <v>C16320</v>
          </cell>
          <cell r="C1128" t="str">
            <v>Nguyễn Thị Châu</v>
          </cell>
          <cell r="D1128" t="str">
            <v>NGUYEN THI CHAU</v>
          </cell>
          <cell r="E1128" t="str">
            <v>052212081988</v>
          </cell>
          <cell r="F1128" t="str">
            <v>C16320NGUYEN THI CHAU052212081988</v>
          </cell>
        </row>
        <row r="1129">
          <cell r="B1129" t="str">
            <v>C16293</v>
          </cell>
          <cell r="C1129" t="str">
            <v>Thị Thia</v>
          </cell>
          <cell r="D1129" t="str">
            <v>THI THIA</v>
          </cell>
          <cell r="E1129" t="str">
            <v>050156252333</v>
          </cell>
          <cell r="F1129" t="str">
            <v>C16293THI THIA050156252333</v>
          </cell>
        </row>
        <row r="1130">
          <cell r="B1130" t="str">
            <v>C16303</v>
          </cell>
          <cell r="C1130" t="str">
            <v>Đào Thị Nữ</v>
          </cell>
          <cell r="D1130" t="str">
            <v>DAO THI NU</v>
          </cell>
          <cell r="E1130" t="str">
            <v>050134264291</v>
          </cell>
          <cell r="F1130" t="str">
            <v>C16303DAO THI NU050134264291</v>
          </cell>
        </row>
        <row r="1131">
          <cell r="B1131" t="str">
            <v>C16245</v>
          </cell>
          <cell r="C1131" t="str">
            <v>Lâm Văn Lam</v>
          </cell>
          <cell r="D1131" t="str">
            <v>LAM VAN LAM</v>
          </cell>
          <cell r="E1131" t="str">
            <v>050120199258</v>
          </cell>
          <cell r="F1131" t="str">
            <v>C16245LAM VAN LAM050120199258</v>
          </cell>
        </row>
        <row r="1132">
          <cell r="B1132" t="str">
            <v>C16235</v>
          </cell>
          <cell r="C1132" t="str">
            <v>Lâm Thị Như Quỳnh</v>
          </cell>
          <cell r="D1132" t="str">
            <v>LAM THI NHU QUYNH</v>
          </cell>
          <cell r="E1132" t="str">
            <v>050135776944</v>
          </cell>
          <cell r="F1132" t="str">
            <v>C16235LAM THI NHU QUYNH050135776944</v>
          </cell>
        </row>
        <row r="1133">
          <cell r="B1133" t="str">
            <v>C16291</v>
          </cell>
          <cell r="C1133" t="str">
            <v>Sơn Thanh</v>
          </cell>
          <cell r="D1133" t="str">
            <v>SON THANH</v>
          </cell>
          <cell r="E1133" t="str">
            <v>050119623070</v>
          </cell>
          <cell r="F1133" t="str">
            <v>C16291SON THANH050119623070</v>
          </cell>
        </row>
        <row r="1134">
          <cell r="B1134" t="str">
            <v>C16206</v>
          </cell>
          <cell r="C1134" t="str">
            <v>Nguyễn Lâm Hào</v>
          </cell>
          <cell r="D1134" t="str">
            <v>NGUYEN LAM HAO</v>
          </cell>
          <cell r="E1134" t="str">
            <v>050108683578</v>
          </cell>
          <cell r="F1134" t="str">
            <v>C16206NGUYEN LAM HAO050108683578</v>
          </cell>
        </row>
        <row r="1135">
          <cell r="B1135" t="str">
            <v>C16229</v>
          </cell>
          <cell r="C1135" t="str">
            <v>Trần Văn Tân</v>
          </cell>
          <cell r="D1135" t="str">
            <v>TRAN VAN TAN</v>
          </cell>
          <cell r="E1135" t="str">
            <v>050326701941</v>
          </cell>
          <cell r="F1135" t="str">
            <v>C16229TRAN VAN TAN050326701941</v>
          </cell>
        </row>
        <row r="1136">
          <cell r="B1136" t="str">
            <v>C16237</v>
          </cell>
          <cell r="C1136" t="str">
            <v>Điểu Cảnh</v>
          </cell>
          <cell r="D1136" t="str">
            <v>DIEU CANH</v>
          </cell>
          <cell r="E1136" t="str">
            <v>050111391022</v>
          </cell>
          <cell r="F1136" t="str">
            <v>C16237DIEU CANH050111391022</v>
          </cell>
        </row>
        <row r="1137">
          <cell r="B1137" t="str">
            <v>C16218</v>
          </cell>
          <cell r="C1137" t="str">
            <v>Nguyễn Văn Quý</v>
          </cell>
          <cell r="D1137" t="str">
            <v>NGUYEN VAN QUY</v>
          </cell>
          <cell r="E1137" t="str">
            <v>056516061983</v>
          </cell>
          <cell r="F1137" t="str">
            <v>C16218NGUYEN VAN QUY056516061983</v>
          </cell>
        </row>
        <row r="1138">
          <cell r="B1138" t="str">
            <v>C16256</v>
          </cell>
          <cell r="C1138" t="str">
            <v>Trần Thị Thoa</v>
          </cell>
          <cell r="D1138" t="str">
            <v>TRAN THI THOA</v>
          </cell>
          <cell r="E1138" t="str">
            <v>050063533006</v>
          </cell>
          <cell r="F1138" t="str">
            <v>C16256TRAN THI THOA050063533006</v>
          </cell>
        </row>
        <row r="1139">
          <cell r="B1139" t="str">
            <v>C16238</v>
          </cell>
          <cell r="C1139" t="str">
            <v>Hoàng Thị Sang</v>
          </cell>
          <cell r="D1139" t="str">
            <v>HOANG THI SANG</v>
          </cell>
          <cell r="E1139" t="str">
            <v>050155983989</v>
          </cell>
          <cell r="F1139" t="str">
            <v>C16238HOANG THI SANG050155983989</v>
          </cell>
        </row>
        <row r="1140">
          <cell r="B1140" t="str">
            <v>C16203</v>
          </cell>
          <cell r="C1140" t="str">
            <v>Nguyễn Lê Thúy Vy</v>
          </cell>
          <cell r="D1140" t="str">
            <v>NGUYEN LE THUY VY</v>
          </cell>
          <cell r="E1140" t="str">
            <v>050155758721</v>
          </cell>
          <cell r="F1140" t="str">
            <v>C16203NGUYEN LE THUY VY050155758721</v>
          </cell>
        </row>
        <row r="1141">
          <cell r="B1141" t="str">
            <v>C16219</v>
          </cell>
          <cell r="C1141" t="str">
            <v>Nguyễn Minh Tâm</v>
          </cell>
          <cell r="D1141" t="str">
            <v>NGUYEN MINH TAM</v>
          </cell>
          <cell r="E1141" t="str">
            <v>050155725564</v>
          </cell>
          <cell r="F1141" t="str">
            <v>C16219NGUYEN MINH TAM050155725564</v>
          </cell>
        </row>
        <row r="1142">
          <cell r="B1142" t="str">
            <v>C16220</v>
          </cell>
          <cell r="C1142" t="str">
            <v>Huỳnh Thị Ngọc Thư</v>
          </cell>
          <cell r="D1142" t="str">
            <v>HUYNH THI NGOC THU</v>
          </cell>
          <cell r="E1142" t="str">
            <v>050155964518</v>
          </cell>
          <cell r="F1142" t="str">
            <v>C16220HUYNH THI NGOC THU050155964518</v>
          </cell>
        </row>
        <row r="1143">
          <cell r="B1143" t="str">
            <v>C16221</v>
          </cell>
          <cell r="C1143" t="str">
            <v>Huỳnh Thị Hương</v>
          </cell>
          <cell r="D1143" t="str">
            <v>HUYNH THI HUONG</v>
          </cell>
          <cell r="E1143" t="str">
            <v>0392227807</v>
          </cell>
          <cell r="F1143" t="str">
            <v>C16221HUYNH THI HUONG0392227807</v>
          </cell>
        </row>
        <row r="1144">
          <cell r="B1144" t="str">
            <v>C16329</v>
          </cell>
          <cell r="C1144" t="str">
            <v>Lê Thị Thu Sương</v>
          </cell>
          <cell r="D1144" t="str">
            <v>LE THI THU SUONG</v>
          </cell>
          <cell r="E1144" t="str">
            <v>060264037045</v>
          </cell>
          <cell r="F1144" t="str">
            <v>C16329LE THI THU SUONG060264037045</v>
          </cell>
        </row>
        <row r="1145">
          <cell r="B1145" t="str">
            <v>C16228</v>
          </cell>
          <cell r="C1145" t="str">
            <v>Y Thanh Hiền</v>
          </cell>
          <cell r="D1145" t="str">
            <v>Y THANH HIEN</v>
          </cell>
          <cell r="E1145" t="str">
            <v>050155781091</v>
          </cell>
          <cell r="F1145" t="str">
            <v>C16228Y THANH HIEN050155781091</v>
          </cell>
        </row>
        <row r="1146">
          <cell r="B1146" t="str">
            <v>C16201</v>
          </cell>
          <cell r="C1146" t="str">
            <v>Đoàn Trường Đại</v>
          </cell>
          <cell r="D1146" t="str">
            <v>DOAN TRUONG DAI</v>
          </cell>
          <cell r="E1146" t="str">
            <v>050156247631</v>
          </cell>
          <cell r="F1146" t="str">
            <v>C16201DOAN TRUONG DAI050156247631</v>
          </cell>
        </row>
        <row r="1147">
          <cell r="B1147" t="str">
            <v>C16200</v>
          </cell>
          <cell r="C1147" t="str">
            <v>Phạm Ngọc Dung</v>
          </cell>
          <cell r="D1147" t="str">
            <v>PHAM NGOC DUNG</v>
          </cell>
          <cell r="E1147" t="str">
            <v>050121532171</v>
          </cell>
          <cell r="F1147" t="str">
            <v>C16200PHAM NGOC DUNG050121532171</v>
          </cell>
        </row>
        <row r="1148">
          <cell r="B1148" t="str">
            <v>C16272</v>
          </cell>
          <cell r="C1148" t="str">
            <v>Phan Anh Đức</v>
          </cell>
          <cell r="D1148" t="str">
            <v>PHAN ANH DUC</v>
          </cell>
          <cell r="E1148" t="str">
            <v>050156047225</v>
          </cell>
          <cell r="F1148" t="str">
            <v>C16272PHAN ANH DUC050156047225</v>
          </cell>
        </row>
        <row r="1149">
          <cell r="B1149" t="str">
            <v>C16279</v>
          </cell>
          <cell r="C1149" t="str">
            <v>Nguyễn Cao Cường</v>
          </cell>
          <cell r="D1149" t="str">
            <v>NGUYEN CAO CUONG</v>
          </cell>
          <cell r="E1149" t="str">
            <v>050113402994</v>
          </cell>
          <cell r="F1149" t="str">
            <v>C16279NGUYEN CAO CUONG050113402994</v>
          </cell>
        </row>
        <row r="1150">
          <cell r="B1150" t="str">
            <v>C16207</v>
          </cell>
          <cell r="C1150" t="str">
            <v>Trần Thị Lụa</v>
          </cell>
          <cell r="D1150" t="str">
            <v>TRAN THI LUA</v>
          </cell>
          <cell r="E1150" t="str">
            <v>050156047330</v>
          </cell>
          <cell r="F1150" t="str">
            <v>C16207TRAN THI LUA050156047330</v>
          </cell>
        </row>
        <row r="1151">
          <cell r="B1151" t="str">
            <v>C16175</v>
          </cell>
          <cell r="C1151" t="str">
            <v>Đinh Công Thực</v>
          </cell>
          <cell r="D1151" t="str">
            <v>DINH CONG THUC</v>
          </cell>
          <cell r="E1151" t="str">
            <v>050155299344</v>
          </cell>
          <cell r="F1151" t="str">
            <v>C16175DINH CONG THUC050155299344</v>
          </cell>
        </row>
        <row r="1152">
          <cell r="B1152" t="str">
            <v>C16316</v>
          </cell>
          <cell r="C1152" t="str">
            <v>Hoàng Phương Dung</v>
          </cell>
          <cell r="D1152" t="str">
            <v>HOANG PHUONG DUNG</v>
          </cell>
          <cell r="E1152" t="str">
            <v>050152564594</v>
          </cell>
          <cell r="F1152" t="str">
            <v>C16316HOANG PHUONG DUNG050152564594</v>
          </cell>
        </row>
        <row r="1153">
          <cell r="B1153" t="str">
            <v>C16349</v>
          </cell>
          <cell r="C1153" t="str">
            <v>Trần Công Thái</v>
          </cell>
          <cell r="D1153" t="str">
            <v>TRAN CONG THAI</v>
          </cell>
          <cell r="E1153" t="str">
            <v>050145099606</v>
          </cell>
          <cell r="F1153" t="str">
            <v>C16349TRAN CONG THAI050145099606</v>
          </cell>
        </row>
        <row r="1154">
          <cell r="B1154" t="str">
            <v>C16351</v>
          </cell>
          <cell r="C1154" t="str">
            <v>Thị Thắm</v>
          </cell>
          <cell r="D1154" t="str">
            <v>THI THAM</v>
          </cell>
          <cell r="E1154" t="str">
            <v>050127346205</v>
          </cell>
          <cell r="F1154" t="str">
            <v>C16351THI THAM050127346205</v>
          </cell>
        </row>
        <row r="1155">
          <cell r="B1155" t="str">
            <v>C16364</v>
          </cell>
          <cell r="C1155" t="str">
            <v>Điểu Thị Hoa</v>
          </cell>
          <cell r="D1155" t="str">
            <v>DIEU THI HOA</v>
          </cell>
          <cell r="E1155" t="str">
            <v>050122288665</v>
          </cell>
          <cell r="F1155" t="str">
            <v>C16364DIEU THI HOA050122288665</v>
          </cell>
        </row>
        <row r="1156">
          <cell r="B1156" t="str">
            <v>C16267</v>
          </cell>
          <cell r="C1156" t="str">
            <v>Đỗ Cao Sơn</v>
          </cell>
          <cell r="D1156" t="str">
            <v>DO CAO SON</v>
          </cell>
          <cell r="E1156" t="str">
            <v>050156307308</v>
          </cell>
          <cell r="F1156" t="str">
            <v>C16267DO CAO SON050156307308</v>
          </cell>
        </row>
        <row r="1157">
          <cell r="B1157" t="str">
            <v>C16341</v>
          </cell>
          <cell r="C1157" t="str">
            <v>Nguyễn Lan Vy</v>
          </cell>
          <cell r="D1157" t="str">
            <v>NGUYEN LAN VY</v>
          </cell>
          <cell r="E1157" t="str">
            <v>050155393405</v>
          </cell>
          <cell r="F1157" t="str">
            <v>C16341NGUYEN LAN VY050155393405</v>
          </cell>
        </row>
        <row r="1158">
          <cell r="B1158" t="str">
            <v>C16342</v>
          </cell>
          <cell r="C1158" t="str">
            <v>Cao Thị Từ</v>
          </cell>
          <cell r="D1158" t="str">
            <v>CAO THI TU</v>
          </cell>
          <cell r="E1158" t="str">
            <v>050040851991</v>
          </cell>
          <cell r="F1158" t="str">
            <v>C16342CAO THI TU050040851991</v>
          </cell>
        </row>
        <row r="1159">
          <cell r="B1159" t="str">
            <v>C16295</v>
          </cell>
          <cell r="C1159" t="str">
            <v>Lê Thị Minh Trang</v>
          </cell>
          <cell r="D1159" t="str">
            <v>LE THI MINH TRANG</v>
          </cell>
          <cell r="E1159" t="str">
            <v>050130574731</v>
          </cell>
          <cell r="F1159" t="str">
            <v>C16295LE THI MINH TRANG050130574731</v>
          </cell>
        </row>
        <row r="1160">
          <cell r="B1160" t="str">
            <v>C16343</v>
          </cell>
          <cell r="C1160" t="str">
            <v>Lê Xuân Huynh</v>
          </cell>
          <cell r="D1160" t="str">
            <v>LE XUAN HUYNH</v>
          </cell>
          <cell r="E1160" t="str">
            <v>050103660464</v>
          </cell>
          <cell r="F1160" t="str">
            <v>C16343LE XUAN HUYNH050103660464</v>
          </cell>
        </row>
        <row r="1161">
          <cell r="B1161" t="str">
            <v>C16323</v>
          </cell>
          <cell r="C1161" t="str">
            <v>Nguyễn Thành Đạt</v>
          </cell>
          <cell r="D1161" t="str">
            <v>NGUYEN THANH DAT</v>
          </cell>
          <cell r="E1161" t="str">
            <v>051208102006</v>
          </cell>
          <cell r="F1161" t="str">
            <v>C16323NGUYEN THANH DAT051208102006</v>
          </cell>
        </row>
        <row r="1162">
          <cell r="B1162" t="str">
            <v>C16336</v>
          </cell>
          <cell r="C1162" t="str">
            <v>Bùi Thị Giang</v>
          </cell>
          <cell r="D1162" t="str">
            <v>BUI THI GIANG</v>
          </cell>
          <cell r="E1162" t="str">
            <v>050156674440</v>
          </cell>
          <cell r="F1162" t="str">
            <v>C16336BUI THI GIANG050156674440</v>
          </cell>
        </row>
        <row r="1163">
          <cell r="B1163" t="str">
            <v>C16271</v>
          </cell>
          <cell r="C1163" t="str">
            <v>Trịnh Nguyễn Anh Khoa</v>
          </cell>
          <cell r="D1163" t="str">
            <v>TRINH NGUYEN ANH KHOA</v>
          </cell>
          <cell r="E1163" t="str">
            <v>050156032538</v>
          </cell>
          <cell r="F1163" t="str">
            <v>C16271TRINH NGUYEN ANH KHOA050156032538</v>
          </cell>
        </row>
        <row r="1164">
          <cell r="B1164" t="str">
            <v>C16311</v>
          </cell>
          <cell r="C1164" t="str">
            <v>Nguyễn Thị Huyền Trân</v>
          </cell>
          <cell r="D1164" t="str">
            <v>NGUYEN THI HUYEN TRAN</v>
          </cell>
          <cell r="E1164" t="str">
            <v>050046197264</v>
          </cell>
          <cell r="F1164" t="str">
            <v>C16311NGUYEN THI HUYEN TRAN050046197264</v>
          </cell>
        </row>
        <row r="1165">
          <cell r="B1165" t="str">
            <v>C16319</v>
          </cell>
          <cell r="C1165" t="str">
            <v>Nguyễn Thị Huệ</v>
          </cell>
          <cell r="D1165" t="str">
            <v>NGUYEN THI HUE</v>
          </cell>
          <cell r="E1165" t="str">
            <v>050156612208</v>
          </cell>
          <cell r="F1165" t="str">
            <v>C16319NGUYEN THI HUE050156612208</v>
          </cell>
        </row>
        <row r="1166">
          <cell r="B1166" t="str">
            <v>C16195</v>
          </cell>
          <cell r="C1166" t="str">
            <v>Nguyễn Thị Thương</v>
          </cell>
          <cell r="D1166" t="str">
            <v>NGUYEN THI THUONG</v>
          </cell>
          <cell r="E1166" t="str">
            <v>0987161885</v>
          </cell>
          <cell r="F1166" t="str">
            <v>C16195NGUYEN THI THUONG0987161885</v>
          </cell>
        </row>
        <row r="1167">
          <cell r="B1167" t="str">
            <v>C16276</v>
          </cell>
          <cell r="C1167" t="str">
            <v>Nang Thị Bưởi</v>
          </cell>
          <cell r="D1167" t="str">
            <v>NANG THI BUOI</v>
          </cell>
          <cell r="E1167" t="str">
            <v>050156846896</v>
          </cell>
          <cell r="F1167" t="str">
            <v>C16276NANG THI BUOI050156846896</v>
          </cell>
        </row>
        <row r="1168">
          <cell r="B1168" t="str">
            <v>C16150</v>
          </cell>
          <cell r="C1168" t="str">
            <v>Nguyễn Thị Kiều Trang</v>
          </cell>
          <cell r="D1168" t="str">
            <v>NGUYEN THI KIEU TRANG</v>
          </cell>
          <cell r="E1168" t="str">
            <v>33441986</v>
          </cell>
          <cell r="F1168" t="str">
            <v>C16150NGUYEN THI KIEU TRANG33441986</v>
          </cell>
        </row>
        <row r="1169">
          <cell r="B1169" t="str">
            <v>C16168</v>
          </cell>
          <cell r="C1169" t="str">
            <v>Bùi Thị Kim Ngân</v>
          </cell>
          <cell r="D1169" t="str">
            <v>BUI THI KIM NGAN</v>
          </cell>
          <cell r="E1169" t="str">
            <v>050156388251</v>
          </cell>
          <cell r="F1169" t="str">
            <v>C16168BUI THI KIM NGAN050156388251</v>
          </cell>
        </row>
        <row r="1170">
          <cell r="B1170" t="str">
            <v>C16171</v>
          </cell>
          <cell r="C1170" t="str">
            <v>Trần Thị Kim Linh</v>
          </cell>
          <cell r="D1170" t="str">
            <v>TRAN THI KIM LINH</v>
          </cell>
          <cell r="E1170" t="str">
            <v>050156922495</v>
          </cell>
          <cell r="F1170" t="str">
            <v>C16171TRAN THI KIM LINH050156922495</v>
          </cell>
        </row>
        <row r="1171">
          <cell r="B1171" t="str">
            <v>C16388</v>
          </cell>
          <cell r="C1171" t="str">
            <v>Nguyễn Minh Toàn</v>
          </cell>
          <cell r="D1171" t="str">
            <v>NGUYEN MINH TOAN</v>
          </cell>
          <cell r="E1171" t="str">
            <v>050118663370</v>
          </cell>
          <cell r="F1171" t="str">
            <v>C16388NGUYEN MINH TOAN050118663370</v>
          </cell>
        </row>
        <row r="1172">
          <cell r="B1172" t="str">
            <v>C16352</v>
          </cell>
          <cell r="C1172" t="str">
            <v>Điểu Thị Huỳnh</v>
          </cell>
          <cell r="D1172" t="str">
            <v>DIEU THI HUYNH</v>
          </cell>
          <cell r="E1172" t="str">
            <v>050157013413</v>
          </cell>
          <cell r="F1172" t="str">
            <v>C16352DIEU THI HUYNH050157013413</v>
          </cell>
        </row>
        <row r="1173">
          <cell r="B1173" t="str">
            <v>C16340</v>
          </cell>
          <cell r="C1173" t="str">
            <v>Nguyễn Thanh Sang</v>
          </cell>
          <cell r="D1173" t="str">
            <v>NGUYEN THANH SANG</v>
          </cell>
          <cell r="E1173" t="str">
            <v>050082750190</v>
          </cell>
          <cell r="F1173" t="str">
            <v>C16340NGUYEN THANH SANG050082750190</v>
          </cell>
        </row>
        <row r="1174">
          <cell r="B1174" t="str">
            <v>C16370</v>
          </cell>
          <cell r="C1174" t="str">
            <v>Trần Văn Cảnh</v>
          </cell>
          <cell r="D1174" t="str">
            <v>TRAN VAN CANH</v>
          </cell>
          <cell r="E1174" t="str">
            <v>050026933975</v>
          </cell>
          <cell r="F1174" t="str">
            <v>C16370TRAN VAN CANH050026933975</v>
          </cell>
        </row>
        <row r="1175">
          <cell r="B1175" t="str">
            <v>C16376</v>
          </cell>
          <cell r="C1175" t="str">
            <v>Thị Minh</v>
          </cell>
          <cell r="D1175" t="str">
            <v>THI MINH</v>
          </cell>
          <cell r="E1175" t="str">
            <v>050153344024</v>
          </cell>
          <cell r="F1175" t="str">
            <v>C16376THI MINH050153344024</v>
          </cell>
        </row>
        <row r="1176">
          <cell r="B1176" t="str">
            <v>C16348</v>
          </cell>
          <cell r="C1176" t="str">
            <v>Võ Thị Thanh Vy</v>
          </cell>
          <cell r="D1176" t="str">
            <v>VO THI THANH VY</v>
          </cell>
          <cell r="E1176" t="str">
            <v>050157314227</v>
          </cell>
          <cell r="F1176" t="str">
            <v>C16348VO THI THANH VY050157314227</v>
          </cell>
        </row>
        <row r="1177">
          <cell r="B1177" t="str">
            <v>C16386</v>
          </cell>
          <cell r="C1177" t="str">
            <v>Nguyễn Thị Hồng Thắm</v>
          </cell>
          <cell r="D1177" t="str">
            <v>NGUYEN THI HONG THAM</v>
          </cell>
          <cell r="E1177" t="str">
            <v>050126182111</v>
          </cell>
          <cell r="F1177" t="str">
            <v>C16386NGUYEN THI HONG THAM050126182111</v>
          </cell>
        </row>
        <row r="1178">
          <cell r="B1178" t="str">
            <v>C16389</v>
          </cell>
          <cell r="C1178" t="str">
            <v>Niêng Thị Tẹ</v>
          </cell>
          <cell r="D1178" t="str">
            <v>NIENG THI TE</v>
          </cell>
          <cell r="E1178" t="str">
            <v>050119623356</v>
          </cell>
          <cell r="F1178" t="str">
            <v>C16389NIENG THI TE050119623356</v>
          </cell>
        </row>
        <row r="1179">
          <cell r="B1179" t="str">
            <v>C16367</v>
          </cell>
          <cell r="C1179" t="str">
            <v>Nguyễn Phạm Thanh Hân</v>
          </cell>
          <cell r="D1179" t="str">
            <v>NGUYEN PHAM THANH HAN</v>
          </cell>
          <cell r="E1179" t="str">
            <v>050156921537</v>
          </cell>
          <cell r="F1179" t="str">
            <v>C16367NGUYEN PHAM THANH HAN050156921537</v>
          </cell>
        </row>
        <row r="1180">
          <cell r="B1180" t="str">
            <v>C16390</v>
          </cell>
          <cell r="C1180" t="str">
            <v>Lâm Svay</v>
          </cell>
          <cell r="D1180" t="str">
            <v>LAM SVAY</v>
          </cell>
          <cell r="E1180" t="str">
            <v>050128706086</v>
          </cell>
          <cell r="F1180" t="str">
            <v>C16390LAM SVAY050128706086</v>
          </cell>
        </row>
        <row r="1181">
          <cell r="B1181" t="str">
            <v>C16358</v>
          </cell>
          <cell r="C1181" t="str">
            <v>Lê Thị Hằng</v>
          </cell>
          <cell r="D1181" t="str">
            <v>LE THI HANG</v>
          </cell>
          <cell r="E1181" t="str">
            <v>050040933031</v>
          </cell>
          <cell r="F1181" t="str">
            <v>C16358LE THI HANG050040933031</v>
          </cell>
        </row>
        <row r="1182">
          <cell r="B1182" t="str">
            <v>C16365</v>
          </cell>
          <cell r="C1182" t="str">
            <v>Trần Phước Bình</v>
          </cell>
          <cell r="D1182" t="str">
            <v>TRAN PHUOC BINH</v>
          </cell>
          <cell r="E1182" t="str">
            <v>050119574517</v>
          </cell>
          <cell r="F1182" t="str">
            <v>C16365TRAN PHUOC BINH050119574517</v>
          </cell>
        </row>
        <row r="1183">
          <cell r="B1183" t="str">
            <v>C16357</v>
          </cell>
          <cell r="C1183" t="str">
            <v>Trần Văn Xuân</v>
          </cell>
          <cell r="D1183" t="str">
            <v>TRAN VAN XUAN</v>
          </cell>
          <cell r="E1183" t="str">
            <v>050153477865</v>
          </cell>
          <cell r="F1183" t="str">
            <v>C16357TRAN VAN XUAN050153477865</v>
          </cell>
        </row>
        <row r="1184">
          <cell r="B1184" t="str">
            <v>C16366</v>
          </cell>
          <cell r="C1184" t="str">
            <v>Lê Thị Cẩm Tú</v>
          </cell>
          <cell r="D1184" t="str">
            <v>LE THI CAM TU</v>
          </cell>
          <cell r="E1184" t="str">
            <v>050156858789</v>
          </cell>
          <cell r="F1184" t="str">
            <v>C16366LE THI CAM TU050156858789</v>
          </cell>
        </row>
        <row r="1185">
          <cell r="B1185" t="str">
            <v>C16378</v>
          </cell>
          <cell r="C1185" t="str">
            <v>Nguyễn Thị Liên</v>
          </cell>
          <cell r="D1185" t="str">
            <v>NGUYEN THI LIEN</v>
          </cell>
          <cell r="E1185" t="str">
            <v>050059804631</v>
          </cell>
          <cell r="F1185" t="str">
            <v>C16378NGUYEN THI LIEN050059804631</v>
          </cell>
        </row>
        <row r="1186">
          <cell r="B1186" t="str">
            <v>C16381</v>
          </cell>
          <cell r="C1186" t="str">
            <v>Nguyễn Thùy Linh</v>
          </cell>
          <cell r="D1186" t="str">
            <v>NGUYEN THUY LINH</v>
          </cell>
          <cell r="E1186" t="str">
            <v>050157026280</v>
          </cell>
          <cell r="F1186" t="str">
            <v>C16381NGUYEN THUY LINH050157026280</v>
          </cell>
        </row>
        <row r="1187">
          <cell r="B1187" t="str">
            <v>C16368</v>
          </cell>
          <cell r="C1187" t="str">
            <v>Trần Hoàng Hiệp</v>
          </cell>
          <cell r="D1187" t="str">
            <v>TRAN HOANG HIEP</v>
          </cell>
          <cell r="E1187" t="str">
            <v>050119422385</v>
          </cell>
          <cell r="F1187" t="str">
            <v>C16368TRAN HOANG HIEP050119422385</v>
          </cell>
        </row>
        <row r="1188">
          <cell r="B1188" t="str">
            <v>C7608</v>
          </cell>
          <cell r="C1188" t="str">
            <v>Lê Văn Thọ</v>
          </cell>
          <cell r="D1188" t="str">
            <v>LE VAN THO</v>
          </cell>
          <cell r="E1188" t="str">
            <v>050087243270</v>
          </cell>
          <cell r="F1188" t="str">
            <v>C7608LE VAN THO050087243270</v>
          </cell>
        </row>
        <row r="1189">
          <cell r="B1189" t="str">
            <v>C5851</v>
          </cell>
          <cell r="C1189" t="str">
            <v>Phan Ngọc Tuyền</v>
          </cell>
          <cell r="D1189" t="str">
            <v>PHAN NGOC TUYEN</v>
          </cell>
          <cell r="E1189" t="str">
            <v>050843043491</v>
          </cell>
          <cell r="F1189" t="str">
            <v>C5851PHAN NGOC TUYEN050843043491</v>
          </cell>
        </row>
        <row r="1190">
          <cell r="B1190" t="str">
            <v>C14786</v>
          </cell>
          <cell r="C1190" t="str">
            <v>Điểu Tài</v>
          </cell>
          <cell r="D1190" t="str">
            <v>DIEU TAI</v>
          </cell>
          <cell r="E1190" t="str">
            <v>050110052798</v>
          </cell>
          <cell r="F1190" t="str">
            <v>C14786DIEU TAI050110052798</v>
          </cell>
        </row>
        <row r="1191">
          <cell r="B1191" t="str">
            <v>C2630</v>
          </cell>
          <cell r="C1191" t="str">
            <v>Phạm Thị Thu</v>
          </cell>
          <cell r="D1191" t="str">
            <v>PHAM THI THU</v>
          </cell>
          <cell r="E1191" t="str">
            <v>050040901873</v>
          </cell>
          <cell r="F1191" t="str">
            <v>C2630PHAM THI THU050040901873</v>
          </cell>
        </row>
        <row r="1192">
          <cell r="B1192" t="str">
            <v>C16423</v>
          </cell>
          <cell r="C1192" t="str">
            <v>Nguyễn Thị Đào</v>
          </cell>
          <cell r="D1192" t="str">
            <v>NGUYEN THI DAO</v>
          </cell>
          <cell r="E1192" t="str">
            <v>050103659628</v>
          </cell>
          <cell r="F1192" t="str">
            <v>C16423NGUYEN THI DAO050103659628</v>
          </cell>
        </row>
        <row r="1193">
          <cell r="B1193" t="str">
            <v>C16452</v>
          </cell>
          <cell r="C1193" t="str">
            <v>Lý Thị Som</v>
          </cell>
          <cell r="D1193" t="str">
            <v>LY THI SOM</v>
          </cell>
          <cell r="E1193" t="str">
            <v>050053921490</v>
          </cell>
          <cell r="F1193" t="str">
            <v>C16452LY THI SOM050053921490</v>
          </cell>
        </row>
        <row r="1194">
          <cell r="B1194" t="str">
            <v>C16396</v>
          </cell>
          <cell r="C1194" t="str">
            <v>Nguyễn Hoàng Anh</v>
          </cell>
          <cell r="D1194" t="str">
            <v>NGUYEN HOANG ANH</v>
          </cell>
          <cell r="E1194" t="str">
            <v>050158061454</v>
          </cell>
          <cell r="F1194" t="str">
            <v>C16396NGUYEN HOANG ANH050158061454</v>
          </cell>
        </row>
        <row r="1195">
          <cell r="B1195" t="str">
            <v>C16426</v>
          </cell>
          <cell r="C1195" t="str">
            <v>Trần Thị Thu</v>
          </cell>
          <cell r="D1195" t="str">
            <v>TRAN THI THU</v>
          </cell>
          <cell r="E1195" t="str">
            <v>050055059702</v>
          </cell>
          <cell r="F1195" t="str">
            <v>C16426TRAN THI THU050055059702</v>
          </cell>
        </row>
        <row r="1196">
          <cell r="B1196" t="str">
            <v>C16397</v>
          </cell>
          <cell r="C1196" t="str">
            <v>Nguyễn Thị Ngọc Lý</v>
          </cell>
          <cell r="D1196" t="str">
            <v>NGUYEN THI NGOC LY</v>
          </cell>
          <cell r="E1196" t="str">
            <v>050158061594</v>
          </cell>
          <cell r="F1196" t="str">
            <v>C16397NGUYEN THI NGOC LY050158061594</v>
          </cell>
        </row>
        <row r="1197">
          <cell r="B1197" t="str">
            <v>C16418</v>
          </cell>
          <cell r="C1197" t="str">
            <v>Phan Minh Thành</v>
          </cell>
          <cell r="D1197" t="str">
            <v>PHAN MINH THANH</v>
          </cell>
          <cell r="E1197" t="str">
            <v>050106514132</v>
          </cell>
          <cell r="F1197" t="str">
            <v>C16418PHAN MINH THANH050106514132</v>
          </cell>
        </row>
        <row r="1198">
          <cell r="B1198" t="str">
            <v>C16428</v>
          </cell>
          <cell r="C1198" t="str">
            <v>Lê Văn Định</v>
          </cell>
          <cell r="D1198" t="str">
            <v>LE VAN DINH</v>
          </cell>
          <cell r="E1198" t="str">
            <v>050075311939</v>
          </cell>
          <cell r="F1198" t="str">
            <v>C16428LE VAN DINH050075311939</v>
          </cell>
        </row>
        <row r="1199">
          <cell r="B1199" t="str">
            <v>C16420</v>
          </cell>
          <cell r="C1199" t="str">
            <v>Lý Tiết Thắng</v>
          </cell>
          <cell r="D1199" t="str">
            <v>LY TIET THANG</v>
          </cell>
          <cell r="E1199" t="str">
            <v>050412062005</v>
          </cell>
          <cell r="F1199" t="str">
            <v>C16420LY TIET THANG050412062005</v>
          </cell>
        </row>
        <row r="1200">
          <cell r="B1200" t="str">
            <v>C16448</v>
          </cell>
          <cell r="C1200" t="str">
            <v>Đỗ Văn Nam</v>
          </cell>
          <cell r="D1200" t="str">
            <v>DO VAN NAM</v>
          </cell>
          <cell r="E1200" t="str">
            <v>050129179918</v>
          </cell>
          <cell r="F1200" t="str">
            <v>C16448DO VAN NAM050129179918</v>
          </cell>
        </row>
        <row r="1201">
          <cell r="B1201" t="str">
            <v>C16434</v>
          </cell>
          <cell r="C1201" t="str">
            <v>A Lại</v>
          </cell>
          <cell r="D1201" t="str">
            <v>A LAI</v>
          </cell>
          <cell r="E1201" t="str">
            <v>050158170946</v>
          </cell>
          <cell r="F1201" t="str">
            <v>C16434A LAI050158170946</v>
          </cell>
        </row>
        <row r="1202">
          <cell r="B1202" t="str">
            <v>C16435</v>
          </cell>
          <cell r="C1202" t="str">
            <v>Nguyễn Văn Cường</v>
          </cell>
          <cell r="D1202" t="str">
            <v>NGUYEN VAN CUONG</v>
          </cell>
          <cell r="E1202" t="str">
            <v>050067349455</v>
          </cell>
          <cell r="F1202" t="str">
            <v>C16435NGUYEN VAN CUONG050067349455</v>
          </cell>
        </row>
        <row r="1203">
          <cell r="B1203" t="str">
            <v>C16430</v>
          </cell>
          <cell r="C1203" t="str">
            <v>Trần Thị Kim Loan</v>
          </cell>
          <cell r="D1203" t="str">
            <v>TRAN THI KIM LOAN</v>
          </cell>
          <cell r="E1203" t="str">
            <v>050079859432</v>
          </cell>
          <cell r="F1203" t="str">
            <v>C16430TRAN THI KIM LOAN050079859432</v>
          </cell>
        </row>
        <row r="1204">
          <cell r="B1204" t="str">
            <v>C16431</v>
          </cell>
          <cell r="C1204" t="str">
            <v>Trần Anh Tài</v>
          </cell>
          <cell r="D1204" t="str">
            <v>TRAN ANH TAI</v>
          </cell>
          <cell r="E1204" t="str">
            <v>050120475451</v>
          </cell>
          <cell r="F1204" t="str">
            <v>C16431TRAN ANH TAI050120475451</v>
          </cell>
        </row>
        <row r="1205">
          <cell r="B1205" t="str">
            <v>C16457</v>
          </cell>
          <cell r="C1205" t="str">
            <v>Lê Thị Kiều Oanh</v>
          </cell>
          <cell r="D1205" t="str">
            <v>LE THI KIEU OANH</v>
          </cell>
          <cell r="E1205" t="str">
            <v>050126635394</v>
          </cell>
          <cell r="F1205" t="str">
            <v>C16457LE THI KIEU OANH050126635394</v>
          </cell>
        </row>
        <row r="1206">
          <cell r="B1206" t="str">
            <v>C16419</v>
          </cell>
          <cell r="C1206" t="str">
            <v>Đặng Thị Kim Hoa</v>
          </cell>
          <cell r="D1206" t="str">
            <v>DANG THI KIM HOA</v>
          </cell>
          <cell r="E1206" t="str">
            <v>050085003809</v>
          </cell>
          <cell r="F1206" t="str">
            <v>C16419DANG THI KIM HOA050085003809</v>
          </cell>
        </row>
        <row r="1207">
          <cell r="B1207" t="str">
            <v>C16429</v>
          </cell>
          <cell r="C1207" t="str">
            <v>Đặng Thị Thu Truyền</v>
          </cell>
          <cell r="D1207" t="str">
            <v>DANG THI THU TRUYEN</v>
          </cell>
          <cell r="E1207" t="str">
            <v>050115839095</v>
          </cell>
          <cell r="F1207" t="str">
            <v>C16429DANG THI THU TRUYEN050115839095</v>
          </cell>
        </row>
        <row r="1208">
          <cell r="B1208" t="str">
            <v>C16432</v>
          </cell>
          <cell r="C1208" t="str">
            <v>Vũ Thành Chung</v>
          </cell>
          <cell r="D1208" t="str">
            <v>VU THANH CHUNG</v>
          </cell>
          <cell r="E1208" t="str">
            <v>050129505246</v>
          </cell>
          <cell r="F1208" t="str">
            <v>C16432VU THANH CHUNG050129505246</v>
          </cell>
        </row>
        <row r="1209">
          <cell r="B1209" t="str">
            <v>C16433</v>
          </cell>
          <cell r="C1209" t="str">
            <v>Nguyễn Thanh Tâm</v>
          </cell>
          <cell r="D1209" t="str">
            <v>NGUYEN THANH TAM</v>
          </cell>
          <cell r="E1209" t="str">
            <v>050157974881</v>
          </cell>
          <cell r="F1209" t="str">
            <v>C16433NGUYEN THANH TAM050157974881</v>
          </cell>
        </row>
        <row r="1210">
          <cell r="B1210" t="str">
            <v>C16449</v>
          </cell>
          <cell r="C1210" t="str">
            <v>Thị Phương</v>
          </cell>
          <cell r="D1210" t="str">
            <v>THI PHUONG</v>
          </cell>
          <cell r="E1210" t="str">
            <v>050042567466</v>
          </cell>
          <cell r="F1210" t="str">
            <v>C16449THI PHUONG050042567466</v>
          </cell>
        </row>
        <row r="1211">
          <cell r="B1211" t="str">
            <v>C16450</v>
          </cell>
          <cell r="C1211" t="str">
            <v>Châu Thị Hồng Yến</v>
          </cell>
          <cell r="D1211" t="str">
            <v>CHAU THI HONG YEN</v>
          </cell>
          <cell r="E1211" t="str">
            <v>050156266725</v>
          </cell>
          <cell r="F1211" t="str">
            <v>C16450CHAU THI HONG YEN050156266725</v>
          </cell>
        </row>
        <row r="1212">
          <cell r="B1212" t="str">
            <v>C16464</v>
          </cell>
          <cell r="C1212" t="str">
            <v>Trương Minh Khải</v>
          </cell>
          <cell r="D1212" t="str">
            <v>TRUONG MINH KHAI</v>
          </cell>
          <cell r="E1212" t="str">
            <v>050111254394</v>
          </cell>
          <cell r="F1212" t="str">
            <v>C16464TRUONG MINH KHAI050111254394</v>
          </cell>
        </row>
        <row r="1213">
          <cell r="B1213" t="str">
            <v>C16400</v>
          </cell>
          <cell r="C1213" t="str">
            <v>Nguyễn Nhật Trung</v>
          </cell>
          <cell r="D1213" t="str">
            <v>NGUYEN NHAT TRUNG</v>
          </cell>
          <cell r="E1213" t="str">
            <v>050158401050</v>
          </cell>
          <cell r="F1213" t="str">
            <v>C16400NGUYEN NHAT TRUNG050158401050</v>
          </cell>
        </row>
        <row r="1214">
          <cell r="B1214" t="str">
            <v>C16401</v>
          </cell>
          <cell r="C1214" t="str">
            <v>Bùi Duy Tiên</v>
          </cell>
          <cell r="D1214" t="str">
            <v>BUI DUY TIEN</v>
          </cell>
          <cell r="E1214" t="str">
            <v>060235498157</v>
          </cell>
          <cell r="F1214" t="str">
            <v>C16401BUI DUY TIEN060235498157</v>
          </cell>
        </row>
        <row r="1215">
          <cell r="B1215" t="str">
            <v>C16405</v>
          </cell>
          <cell r="C1215" t="str">
            <v>Trần Ngọc Khánh</v>
          </cell>
          <cell r="D1215" t="str">
            <v>TRAN NGOC KHANH</v>
          </cell>
          <cell r="E1215" t="str">
            <v>050081246065</v>
          </cell>
          <cell r="F1215" t="str">
            <v>C16405TRAN NGOC KHANH050081246065</v>
          </cell>
        </row>
        <row r="1216">
          <cell r="B1216" t="str">
            <v>C16406</v>
          </cell>
          <cell r="C1216" t="str">
            <v>Lê Chí Lịnh</v>
          </cell>
          <cell r="D1216" t="str">
            <v>LE CHI LINH</v>
          </cell>
          <cell r="E1216" t="str">
            <v>050153210321</v>
          </cell>
          <cell r="F1216" t="str">
            <v>C16406LE CHI LINH050153210321</v>
          </cell>
        </row>
        <row r="1217">
          <cell r="B1217" t="str">
            <v>C16407</v>
          </cell>
          <cell r="C1217" t="str">
            <v>Cao Minh Nhựt</v>
          </cell>
          <cell r="D1217" t="str">
            <v>CAO MINH NHUT</v>
          </cell>
          <cell r="E1217" t="str">
            <v>050136196542</v>
          </cell>
          <cell r="F1217" t="str">
            <v>C16407CAO MINH NHUT050136196542</v>
          </cell>
        </row>
        <row r="1218">
          <cell r="B1218" t="str">
            <v>C16415</v>
          </cell>
          <cell r="C1218" t="str">
            <v>Nguyễn Duy Bảo</v>
          </cell>
          <cell r="D1218" t="str">
            <v>NGUYEN DUY BAO</v>
          </cell>
          <cell r="E1218" t="str">
            <v>050135409992</v>
          </cell>
          <cell r="F1218" t="str">
            <v>C16415NGUYEN DUY BAO050135409992</v>
          </cell>
        </row>
        <row r="1219">
          <cell r="B1219" t="str">
            <v>C16439</v>
          </cell>
          <cell r="C1219" t="str">
            <v>Nguyễn Công Danh</v>
          </cell>
          <cell r="D1219" t="str">
            <v>NGUYEN CONG DANH</v>
          </cell>
          <cell r="E1219" t="str">
            <v>050096742379</v>
          </cell>
          <cell r="F1219" t="str">
            <v>C16439NGUYEN CONG DANH050096742379</v>
          </cell>
        </row>
        <row r="1220">
          <cell r="B1220" t="str">
            <v>C16404</v>
          </cell>
          <cell r="C1220" t="str">
            <v>Thăng Quyền Anh</v>
          </cell>
          <cell r="D1220" t="str">
            <v>THANG QUYEN ANH</v>
          </cell>
          <cell r="E1220" t="str">
            <v>050158172736</v>
          </cell>
          <cell r="F1220" t="str">
            <v>C16404THANG QUYEN ANH050158172736</v>
          </cell>
        </row>
        <row r="1221">
          <cell r="B1221" t="str">
            <v>C16474</v>
          </cell>
          <cell r="C1221" t="str">
            <v>Nguyễn Văn Minh</v>
          </cell>
          <cell r="D1221" t="str">
            <v>NGUYEN VAN MINH</v>
          </cell>
          <cell r="E1221" t="str">
            <v>070942918689</v>
          </cell>
          <cell r="F1221" t="str">
            <v>C16474NGUYEN VAN MINH070942918689</v>
          </cell>
        </row>
        <row r="1222">
          <cell r="B1222" t="str">
            <v>C16475</v>
          </cell>
          <cell r="C1222" t="str">
            <v>Ngô Văn Dự</v>
          </cell>
          <cell r="D1222" t="str">
            <v>NGO VAN DU</v>
          </cell>
          <cell r="E1222" t="str">
            <v>050111430141</v>
          </cell>
          <cell r="F1222" t="str">
            <v>C16475NGO VAN DU050111430141</v>
          </cell>
        </row>
        <row r="1223">
          <cell r="B1223" t="str">
            <v>C16408</v>
          </cell>
          <cell r="C1223" t="str">
            <v>Dương Duy Khánh</v>
          </cell>
          <cell r="D1223" t="str">
            <v>DUONG DUY KHANH</v>
          </cell>
          <cell r="E1223" t="str">
            <v>050158172787</v>
          </cell>
          <cell r="F1223" t="str">
            <v>C16408DUONG DUY KHANH050158172787</v>
          </cell>
        </row>
        <row r="1224">
          <cell r="B1224" t="str">
            <v>C16416</v>
          </cell>
          <cell r="C1224" t="str">
            <v>Điểu Khỏe</v>
          </cell>
          <cell r="D1224" t="str">
            <v>DIEU KHOE</v>
          </cell>
          <cell r="E1224" t="str">
            <v>050073697767</v>
          </cell>
          <cell r="F1224" t="str">
            <v>C16416DIEU KHOE050073697767</v>
          </cell>
        </row>
        <row r="1225">
          <cell r="B1225" t="str">
            <v>C16473</v>
          </cell>
          <cell r="C1225" t="str">
            <v>Nguyễn Chí Cường</v>
          </cell>
          <cell r="D1225" t="str">
            <v>NGUYEN CHI CUONG</v>
          </cell>
          <cell r="E1225" t="str">
            <v>050126082611</v>
          </cell>
          <cell r="F1225" t="str">
            <v>C16473NGUYEN CHI CUONG050126082611</v>
          </cell>
        </row>
        <row r="1226">
          <cell r="B1226" t="str">
            <v>C16411</v>
          </cell>
          <cell r="C1226" t="str">
            <v>Nguyễn Thị Huyền Trân</v>
          </cell>
          <cell r="D1226" t="str">
            <v>NGUYEN THI HUYEN TRAN</v>
          </cell>
          <cell r="E1226" t="str">
            <v>050158172442</v>
          </cell>
          <cell r="F1226" t="str">
            <v>C16411NGUYEN THI HUYEN TRAN050158172442</v>
          </cell>
        </row>
        <row r="1227">
          <cell r="B1227" t="str">
            <v>C16413</v>
          </cell>
          <cell r="C1227" t="str">
            <v>Nguyễn Thúy Huỳnh</v>
          </cell>
          <cell r="D1227" t="str">
            <v>NGUYEN THUY HUYNH</v>
          </cell>
          <cell r="E1227" t="str">
            <v>070130788236</v>
          </cell>
          <cell r="F1227" t="str">
            <v>C16413NGUYEN THUY HUYNH070130788236</v>
          </cell>
        </row>
        <row r="1228">
          <cell r="B1228" t="str">
            <v>C16421</v>
          </cell>
          <cell r="C1228" t="str">
            <v>Lê Thị Duy</v>
          </cell>
          <cell r="D1228" t="str">
            <v>LE THI DUY</v>
          </cell>
          <cell r="E1228" t="str">
            <v>050040871788</v>
          </cell>
          <cell r="F1228" t="str">
            <v>C16421LE THI DUY050040871788</v>
          </cell>
        </row>
        <row r="1229">
          <cell r="B1229" t="str">
            <v>C16442</v>
          </cell>
          <cell r="C1229" t="str">
            <v>Trần Thị Út</v>
          </cell>
          <cell r="D1229" t="str">
            <v>TRAN THI UT</v>
          </cell>
          <cell r="E1229" t="str">
            <v>050945166809</v>
          </cell>
          <cell r="F1229" t="str">
            <v>C16442TRAN THI UT050945166809</v>
          </cell>
        </row>
        <row r="1230">
          <cell r="B1230" t="str">
            <v>C16437</v>
          </cell>
          <cell r="C1230" t="str">
            <v>Thị Nương</v>
          </cell>
          <cell r="D1230" t="str">
            <v>THI NUONG</v>
          </cell>
          <cell r="E1230" t="str">
            <v>050081496231</v>
          </cell>
          <cell r="F1230" t="str">
            <v>C16437THI NUONG050081496231</v>
          </cell>
        </row>
        <row r="1231">
          <cell r="B1231" t="str">
            <v>C16392</v>
          </cell>
          <cell r="C1231" t="str">
            <v>Lê Thị Mỹ Duyên</v>
          </cell>
          <cell r="D1231" t="str">
            <v>LE THI MY DUYEN</v>
          </cell>
          <cell r="E1231" t="str">
            <v>054319062002</v>
          </cell>
          <cell r="F1231" t="str">
            <v>C16392LE THI MY DUYEN054319062002</v>
          </cell>
        </row>
        <row r="1232">
          <cell r="B1232" t="str">
            <v>C16393</v>
          </cell>
          <cell r="C1232" t="str">
            <v>Võ Thị Như Quỳnh</v>
          </cell>
          <cell r="D1232" t="str">
            <v>VO THI NHU QUYNH</v>
          </cell>
          <cell r="E1232" t="str">
            <v>050158230574</v>
          </cell>
          <cell r="F1232" t="str">
            <v>C16393VO THI NHU QUYNH050158230574</v>
          </cell>
        </row>
        <row r="1233">
          <cell r="B1233" t="str">
            <v>C16444</v>
          </cell>
          <cell r="C1233" t="str">
            <v>Nguyễn Chí Cường</v>
          </cell>
          <cell r="D1233" t="str">
            <v>NGUYEN CHI CUONG</v>
          </cell>
          <cell r="E1233" t="str">
            <v>050941375118</v>
          </cell>
          <cell r="F1233" t="str">
            <v>C16444NGUYEN CHI CUONG050941375118</v>
          </cell>
        </row>
        <row r="1234">
          <cell r="B1234" t="str">
            <v>C16443</v>
          </cell>
          <cell r="C1234" t="str">
            <v>Nguyễn Thanh Minh Nghĩa</v>
          </cell>
          <cell r="D1234" t="str">
            <v>NGUYEN THANH MINH NGHIA</v>
          </cell>
          <cell r="E1234" t="str">
            <v>050158693647</v>
          </cell>
          <cell r="F1234" t="str">
            <v>C16443NGUYEN THANH MINH NGHIA050158693647</v>
          </cell>
        </row>
        <row r="1235">
          <cell r="B1235" t="str">
            <v>C16507</v>
          </cell>
          <cell r="C1235" t="str">
            <v>Nguyễn Anh Kiệt</v>
          </cell>
          <cell r="D1235" t="str">
            <v>NGUYEN ANH KIET</v>
          </cell>
          <cell r="E1235" t="str">
            <v>050158616707</v>
          </cell>
          <cell r="F1235" t="str">
            <v>C16507NGUYEN ANH KIET050158616707</v>
          </cell>
        </row>
        <row r="1236">
          <cell r="B1236" t="str">
            <v>C16498</v>
          </cell>
          <cell r="C1236" t="str">
            <v>Điểu Ngọc</v>
          </cell>
          <cell r="D1236" t="str">
            <v>DIEU NGOC</v>
          </cell>
          <cell r="E1236" t="str">
            <v>050072037739</v>
          </cell>
          <cell r="F1236" t="str">
            <v>C16498DIEU NGOC050072037739</v>
          </cell>
        </row>
        <row r="1237">
          <cell r="B1237" t="str">
            <v>C16531</v>
          </cell>
          <cell r="C1237" t="str">
            <v>Phạm Thị Thu Thanh</v>
          </cell>
          <cell r="D1237" t="str">
            <v>PHAM THI THU THANH</v>
          </cell>
          <cell r="E1237" t="str">
            <v>050148655143</v>
          </cell>
          <cell r="F1237" t="str">
            <v>C16531PHAM THI THU THANH050148655143</v>
          </cell>
        </row>
        <row r="1238">
          <cell r="B1238" t="str">
            <v>C16532</v>
          </cell>
          <cell r="C1238" t="str">
            <v>Trần Thị Thu Hường</v>
          </cell>
          <cell r="D1238" t="str">
            <v>TRAN THI THU HUONG</v>
          </cell>
          <cell r="E1238" t="str">
            <v>050067673686</v>
          </cell>
          <cell r="F1238" t="str">
            <v>C16532TRAN THI THU HUONG050067673686</v>
          </cell>
        </row>
        <row r="1239">
          <cell r="B1239" t="str">
            <v>C16548</v>
          </cell>
          <cell r="C1239" t="str">
            <v>Huỳnh Ngọc Huyền Trân</v>
          </cell>
          <cell r="D1239" t="str">
            <v>HUYNH NGOC HUYEN TRAN</v>
          </cell>
          <cell r="E1239" t="str">
            <v>050158790790</v>
          </cell>
          <cell r="F1239" t="str">
            <v>C16548HUYNH NGOC HUYEN TRAN050158790790</v>
          </cell>
        </row>
        <row r="1240">
          <cell r="B1240" t="str">
            <v>C16530</v>
          </cell>
          <cell r="C1240" t="str">
            <v>Trần Minh Hiếu</v>
          </cell>
          <cell r="D1240" t="str">
            <v>TRAN MINH HIEU</v>
          </cell>
          <cell r="E1240" t="str">
            <v>050089024622</v>
          </cell>
          <cell r="F1240" t="str">
            <v>C16530TRAN MINH HIEU050089024622</v>
          </cell>
        </row>
        <row r="1241">
          <cell r="B1241" t="str">
            <v>C16523</v>
          </cell>
          <cell r="C1241" t="str">
            <v>Dương Hoài Nam</v>
          </cell>
          <cell r="D1241" t="str">
            <v>DUONG HOAI NAM</v>
          </cell>
          <cell r="E1241" t="str">
            <v>050937340857</v>
          </cell>
          <cell r="F1241" t="str">
            <v>C16523DUONG HOAI NAM050937340857</v>
          </cell>
        </row>
        <row r="1242">
          <cell r="B1242" t="str">
            <v>C16550</v>
          </cell>
          <cell r="C1242" t="str">
            <v>Nguyễn Thị Hoài</v>
          </cell>
          <cell r="D1242" t="str">
            <v>NGUYEN THI HOAI</v>
          </cell>
          <cell r="E1242" t="str">
            <v>050116845889</v>
          </cell>
          <cell r="F1242" t="str">
            <v>C16550NGUYEN THI HOAI050116845889</v>
          </cell>
        </row>
        <row r="1243">
          <cell r="B1243" t="str">
            <v>C16505</v>
          </cell>
          <cell r="C1243" t="str">
            <v>Trần Thanh Ngân</v>
          </cell>
          <cell r="D1243" t="str">
            <v>TRAN THANH NGAN</v>
          </cell>
          <cell r="E1243" t="str">
            <v>050082831484</v>
          </cell>
          <cell r="F1243" t="str">
            <v>C16505TRAN THANH NGAN050082831484</v>
          </cell>
        </row>
        <row r="1244">
          <cell r="B1244" t="str">
            <v>C16499</v>
          </cell>
          <cell r="C1244" t="str">
            <v>Trượng Thị Kiểm</v>
          </cell>
          <cell r="D1244" t="str">
            <v>TRUONG THI KIEM</v>
          </cell>
          <cell r="E1244" t="str">
            <v>050116981545</v>
          </cell>
          <cell r="F1244" t="str">
            <v>C16499TRUONG THI KIEM050116981545</v>
          </cell>
        </row>
        <row r="1245">
          <cell r="B1245" t="str">
            <v>C16500</v>
          </cell>
          <cell r="C1245" t="str">
            <v>Rơ Mah Huế</v>
          </cell>
          <cell r="D1245" t="str">
            <v>RO MAH HUE</v>
          </cell>
          <cell r="E1245" t="str">
            <v>050158693736</v>
          </cell>
          <cell r="F1245" t="str">
            <v>C16500RO MAH HUE050158693736</v>
          </cell>
        </row>
        <row r="1246">
          <cell r="B1246" t="str">
            <v>C16512</v>
          </cell>
          <cell r="C1246" t="str">
            <v>Đinh Thị Thu Nguyệt</v>
          </cell>
          <cell r="D1246" t="str">
            <v>DINH THI THU NGUYET</v>
          </cell>
          <cell r="E1246" t="str">
            <v>050783577209</v>
          </cell>
          <cell r="F1246" t="str">
            <v>C16512DINH THI THU NGUYET050783577209</v>
          </cell>
        </row>
        <row r="1247">
          <cell r="B1247" t="str">
            <v>C16525</v>
          </cell>
          <cell r="C1247" t="str">
            <v>Huỳnh Ngọc Thảo</v>
          </cell>
          <cell r="D1247" t="str">
            <v>HUYNH NGOC THAO</v>
          </cell>
          <cell r="E1247" t="str">
            <v>050122117623</v>
          </cell>
          <cell r="F1247" t="str">
            <v>C16525HUYNH NGOC THAO050122117623</v>
          </cell>
        </row>
        <row r="1248">
          <cell r="B1248" t="str">
            <v>C16527</v>
          </cell>
          <cell r="C1248" t="str">
            <v>Lâm Nguyễn Tú Lan</v>
          </cell>
          <cell r="D1248" t="str">
            <v>LAM NGUYEN TU LAN</v>
          </cell>
          <cell r="E1248" t="str">
            <v>050153762292</v>
          </cell>
          <cell r="F1248" t="str">
            <v>C16527LAM NGUYEN TU LAN050153762292</v>
          </cell>
        </row>
        <row r="1249">
          <cell r="B1249" t="str">
            <v>C16402</v>
          </cell>
          <cell r="C1249" t="str">
            <v>Nguyễn Thị Ngọc Thủy</v>
          </cell>
          <cell r="D1249" t="str">
            <v>NGUYEN THI NGOC THUY</v>
          </cell>
          <cell r="E1249" t="str">
            <v>050158477081</v>
          </cell>
          <cell r="F1249" t="str">
            <v>C16402NGUYEN THI NGOC THUY050158477081</v>
          </cell>
        </row>
        <row r="1250">
          <cell r="B1250" t="str">
            <v>C16454</v>
          </cell>
          <cell r="C1250" t="str">
            <v>Đoàn Văn Vàng</v>
          </cell>
          <cell r="D1250" t="str">
            <v>DOAN VAN VANG</v>
          </cell>
          <cell r="E1250" t="str">
            <v>050087500011</v>
          </cell>
          <cell r="F1250" t="str">
            <v>C16454DOAN VAN VANG050087500011</v>
          </cell>
        </row>
        <row r="1251">
          <cell r="B1251" t="str">
            <v>C16533</v>
          </cell>
          <cell r="C1251" t="str">
            <v>Nguyễn Thị Thu Hương</v>
          </cell>
          <cell r="D1251" t="str">
            <v>NGUYEN THI THU HUONG</v>
          </cell>
          <cell r="E1251" t="str">
            <v>050116312597</v>
          </cell>
          <cell r="F1251" t="str">
            <v>C16533NGUYEN THI THU HUONG050116312597</v>
          </cell>
        </row>
        <row r="1252">
          <cell r="B1252" t="str">
            <v>C16534</v>
          </cell>
          <cell r="C1252" t="str">
            <v>Võ Thị Phượng</v>
          </cell>
          <cell r="D1252" t="str">
            <v>VO THI PHUONG</v>
          </cell>
          <cell r="E1252" t="str">
            <v>060143631985</v>
          </cell>
          <cell r="F1252" t="str">
            <v>C16534VO THI PHUONG060143631985</v>
          </cell>
        </row>
        <row r="1253">
          <cell r="B1253" t="str">
            <v>C16486</v>
          </cell>
          <cell r="C1253" t="str">
            <v>Võ Thanh Tra</v>
          </cell>
          <cell r="D1253" t="str">
            <v>VO THANH TRA</v>
          </cell>
          <cell r="E1253" t="str">
            <v>070141372678</v>
          </cell>
          <cell r="F1253" t="str">
            <v>C16486VO THANH TRA070141372678</v>
          </cell>
        </row>
        <row r="1254">
          <cell r="B1254" t="str">
            <v>C16490</v>
          </cell>
          <cell r="C1254" t="str">
            <v>Ngô Xuân Vinh</v>
          </cell>
          <cell r="D1254" t="str">
            <v>NGO XUAN VINH</v>
          </cell>
          <cell r="E1254" t="str">
            <v>050096745394</v>
          </cell>
          <cell r="F1254" t="str">
            <v>C16490NGO XUAN VINH050096745394</v>
          </cell>
        </row>
        <row r="1255">
          <cell r="B1255" t="str">
            <v>C16502</v>
          </cell>
          <cell r="C1255" t="str">
            <v>Thị Vân</v>
          </cell>
          <cell r="D1255" t="str">
            <v>THI VAN</v>
          </cell>
          <cell r="E1255" t="str">
            <v>050133451185</v>
          </cell>
          <cell r="F1255" t="str">
            <v>C16502THI VAN050133451185</v>
          </cell>
        </row>
        <row r="1256">
          <cell r="B1256" t="str">
            <v>C16503</v>
          </cell>
          <cell r="C1256" t="str">
            <v>Thị Bé Trâm</v>
          </cell>
          <cell r="D1256" t="str">
            <v>THI BE TRAM</v>
          </cell>
          <cell r="E1256" t="str">
            <v>050158151429</v>
          </cell>
          <cell r="F1256" t="str">
            <v>C16503THI BE TRAM050158151429</v>
          </cell>
        </row>
        <row r="1257">
          <cell r="B1257" t="str">
            <v>C16504</v>
          </cell>
          <cell r="C1257" t="str">
            <v>Điểu Sang</v>
          </cell>
          <cell r="D1257" t="str">
            <v>DIEU SANG</v>
          </cell>
          <cell r="E1257" t="str">
            <v>050158151585</v>
          </cell>
          <cell r="F1257" t="str">
            <v>C16504DIEU SANG050158151585</v>
          </cell>
        </row>
        <row r="1258">
          <cell r="B1258" t="str">
            <v>C16414</v>
          </cell>
          <cell r="C1258" t="str">
            <v>Lê Thị Minh Trang</v>
          </cell>
          <cell r="D1258" t="str">
            <v>LE THI MINH TRANG</v>
          </cell>
          <cell r="E1258" t="str">
            <v>050158576748</v>
          </cell>
          <cell r="F1258" t="str">
            <v>C16414LE THI MINH TRANG050158576748</v>
          </cell>
        </row>
        <row r="1259">
          <cell r="B1259" t="str">
            <v>C16409</v>
          </cell>
          <cell r="C1259" t="str">
            <v>Nguyễn Thị Út</v>
          </cell>
          <cell r="D1259" t="str">
            <v>NGUYEN THI UT</v>
          </cell>
          <cell r="E1259" t="str">
            <v>050158380738</v>
          </cell>
          <cell r="F1259" t="str">
            <v>C16409NGUYEN THI UT050158380738</v>
          </cell>
        </row>
        <row r="1260">
          <cell r="B1260" t="str">
            <v>C16410</v>
          </cell>
          <cell r="C1260" t="str">
            <v>Phạm Diễm Thúy</v>
          </cell>
          <cell r="D1260" t="str">
            <v>PHAM DIEM THUY</v>
          </cell>
          <cell r="E1260" t="str">
            <v>050149388238</v>
          </cell>
          <cell r="F1260" t="str">
            <v>C16410PHAM DIEM THUY050149388238</v>
          </cell>
        </row>
        <row r="1261">
          <cell r="B1261" t="str">
            <v>C16412</v>
          </cell>
          <cell r="C1261" t="str">
            <v>Thị Ngọc</v>
          </cell>
          <cell r="D1261" t="str">
            <v>THI NGOC</v>
          </cell>
          <cell r="E1261" t="str">
            <v>050128534544</v>
          </cell>
          <cell r="F1261" t="str">
            <v>C16412THI NGOC050128534544</v>
          </cell>
        </row>
        <row r="1262">
          <cell r="B1262" t="str">
            <v>C16441</v>
          </cell>
          <cell r="C1262" t="str">
            <v>Nguyễn Thị Hồng Yến</v>
          </cell>
          <cell r="D1262" t="str">
            <v>NGUYEN THI HONG YEN</v>
          </cell>
          <cell r="E1262" t="str">
            <v>050158694716</v>
          </cell>
          <cell r="F1262" t="str">
            <v>C16441NGUYEN THI HONG YEN050158694716</v>
          </cell>
        </row>
        <row r="1263">
          <cell r="B1263" t="str">
            <v>C16445</v>
          </cell>
          <cell r="C1263" t="str">
            <v>Nguyễn Thị Châu Hương</v>
          </cell>
          <cell r="D1263" t="str">
            <v>NGUYEN THI CHAU HUONG</v>
          </cell>
          <cell r="E1263" t="str">
            <v>050136165744</v>
          </cell>
          <cell r="F1263" t="str">
            <v>C16445NGUYEN THI CHAU HUONG050136165744</v>
          </cell>
        </row>
        <row r="1264">
          <cell r="B1264" t="str">
            <v>C16446</v>
          </cell>
          <cell r="C1264" t="str">
            <v>Lê Thị Thương</v>
          </cell>
          <cell r="D1264" t="str">
            <v>LE THI THUONG</v>
          </cell>
          <cell r="E1264" t="str">
            <v>050119110308</v>
          </cell>
          <cell r="F1264" t="str">
            <v>C16446LE THI THUONG050119110308</v>
          </cell>
        </row>
        <row r="1265">
          <cell r="B1265" t="str">
            <v>C16471</v>
          </cell>
          <cell r="C1265" t="str">
            <v>Nguyễn Thị Kim Loan</v>
          </cell>
          <cell r="D1265" t="str">
            <v>NGUYEN THI KIM LOAN</v>
          </cell>
          <cell r="E1265" t="str">
            <v>050047868111</v>
          </cell>
          <cell r="F1265" t="str">
            <v>C16471NGUYEN THI KIM LOAN050047868111</v>
          </cell>
        </row>
        <row r="1266">
          <cell r="B1266" t="str">
            <v>C16485</v>
          </cell>
          <cell r="C1266" t="str">
            <v>Lâm Bửng</v>
          </cell>
          <cell r="D1266" t="str">
            <v>LAM BUNG</v>
          </cell>
          <cell r="E1266" t="str">
            <v>050068150474</v>
          </cell>
          <cell r="F1266" t="str">
            <v>C16485LAM BUNG050068150474</v>
          </cell>
        </row>
        <row r="1267">
          <cell r="B1267" t="str">
            <v>C16497</v>
          </cell>
          <cell r="C1267" t="str">
            <v>Nguyễn Văn Trọng</v>
          </cell>
          <cell r="D1267" t="str">
            <v>NGUYEN VAN TRONG</v>
          </cell>
          <cell r="E1267" t="str">
            <v>050086855795</v>
          </cell>
          <cell r="F1267" t="str">
            <v>C16497NGUYEN VAN TRONG050086855795</v>
          </cell>
        </row>
        <row r="1268">
          <cell r="B1268" t="str">
            <v>C16508</v>
          </cell>
          <cell r="C1268" t="str">
            <v>Hồ Hoài Dương</v>
          </cell>
          <cell r="D1268" t="str">
            <v>HO HOAI DUONG</v>
          </cell>
          <cell r="E1268" t="str">
            <v>050107310069</v>
          </cell>
          <cell r="F1268" t="str">
            <v>C16508HO HOAI DUONG050107310069</v>
          </cell>
        </row>
        <row r="1269">
          <cell r="B1269" t="str">
            <v>C16492</v>
          </cell>
          <cell r="C1269" t="str">
            <v>Rlan Kyin</v>
          </cell>
          <cell r="D1269" t="str">
            <v>RLAN KYIN</v>
          </cell>
          <cell r="E1269" t="str">
            <v>050116311493</v>
          </cell>
          <cell r="F1269" t="str">
            <v>C16492RLAN KYIN050116311493</v>
          </cell>
        </row>
        <row r="1270">
          <cell r="B1270" t="str">
            <v>C16478</v>
          </cell>
          <cell r="C1270" t="str">
            <v>Nguyễn Thị Quỳnh Như</v>
          </cell>
          <cell r="D1270" t="str">
            <v>NGUYEN THI QUYNH NHU</v>
          </cell>
          <cell r="E1270" t="str">
            <v>050151733880</v>
          </cell>
          <cell r="F1270" t="str">
            <v>C16478NGUYEN THI QUYNH NHU050151733880</v>
          </cell>
        </row>
        <row r="1271">
          <cell r="B1271" t="str">
            <v>C16422</v>
          </cell>
          <cell r="C1271" t="str">
            <v>Phạm Ngọc Thuý</v>
          </cell>
          <cell r="D1271" t="str">
            <v>PHAM NGOC THUY</v>
          </cell>
          <cell r="E1271" t="str">
            <v>050138649927</v>
          </cell>
          <cell r="F1271" t="str">
            <v>C16422PHAM NGOC THUY050138649927</v>
          </cell>
        </row>
        <row r="1272">
          <cell r="B1272" t="str">
            <v>C16451</v>
          </cell>
          <cell r="C1272" t="str">
            <v>Nguyễn Thị Thanh Nga</v>
          </cell>
          <cell r="D1272" t="str">
            <v>NGUYEN THI THANH NGA</v>
          </cell>
          <cell r="E1272" t="str">
            <v>050528049394</v>
          </cell>
          <cell r="F1272" t="str">
            <v>C16451NGUYEN THI THANH NGA050528049394</v>
          </cell>
        </row>
        <row r="1273">
          <cell r="B1273" t="str">
            <v>C16425</v>
          </cell>
          <cell r="C1273" t="str">
            <v>Điểu Hy</v>
          </cell>
          <cell r="D1273" t="str">
            <v>DIEU HY</v>
          </cell>
          <cell r="E1273" t="str">
            <v>050135736713</v>
          </cell>
          <cell r="F1273" t="str">
            <v>C16425DIEU HY050135736713</v>
          </cell>
        </row>
        <row r="1274">
          <cell r="B1274" t="str">
            <v>C16453</v>
          </cell>
          <cell r="C1274" t="str">
            <v>Hoàng Lan Hương</v>
          </cell>
          <cell r="D1274" t="str">
            <v>HOANG LAN HUONG</v>
          </cell>
          <cell r="E1274" t="str">
            <v>050127974389</v>
          </cell>
          <cell r="F1274" t="str">
            <v>C16453HOANG LAN HUONG050127974389</v>
          </cell>
        </row>
        <row r="1275">
          <cell r="B1275" t="str">
            <v>C16461</v>
          </cell>
          <cell r="C1275" t="str">
            <v>Phạm Thị Hồng Thư</v>
          </cell>
          <cell r="D1275" t="str">
            <v>PHAM THI HONG THU</v>
          </cell>
          <cell r="E1275" t="str">
            <v>050119372728</v>
          </cell>
          <cell r="F1275" t="str">
            <v>C16461PHAM THI HONG THU050119372728</v>
          </cell>
        </row>
        <row r="1276">
          <cell r="B1276" t="str">
            <v>C16462</v>
          </cell>
          <cell r="C1276" t="str">
            <v>Nguyễn Hoàng Phương Thảo</v>
          </cell>
          <cell r="D1276" t="str">
            <v>NGUYEN HOANG PHUONG THAO</v>
          </cell>
          <cell r="E1276" t="str">
            <v>050158450256</v>
          </cell>
          <cell r="F1276" t="str">
            <v>C16462NGUYEN HOANG PHUONG THAO050158450256</v>
          </cell>
        </row>
        <row r="1277">
          <cell r="B1277" t="str">
            <v>C16480</v>
          </cell>
          <cell r="C1277" t="str">
            <v>Thị P Lướt</v>
          </cell>
          <cell r="D1277" t="str">
            <v>THI P LUOT</v>
          </cell>
          <cell r="E1277" t="str">
            <v>059101011998</v>
          </cell>
          <cell r="F1277" t="str">
            <v>C16480THI P LUOT059101011998</v>
          </cell>
        </row>
        <row r="1278">
          <cell r="B1278" t="str">
            <v>C16518</v>
          </cell>
          <cell r="C1278" t="str">
            <v>Nguyễn Thị Thu Thủy</v>
          </cell>
          <cell r="D1278" t="str">
            <v>NGUYEN THI THU THUY</v>
          </cell>
          <cell r="E1278" t="str">
            <v>050345900530</v>
          </cell>
          <cell r="F1278" t="str">
            <v>C16518NGUYEN THI THU THUY050345900530</v>
          </cell>
        </row>
        <row r="1279">
          <cell r="B1279" t="str">
            <v>C16568</v>
          </cell>
          <cell r="C1279" t="str">
            <v>Trần Thị Thu Ngân</v>
          </cell>
          <cell r="D1279" t="str">
            <v>TRAN THI THU NGAN</v>
          </cell>
          <cell r="E1279" t="str">
            <v>050151472157</v>
          </cell>
          <cell r="F1279" t="str">
            <v>C16568TRAN THI THU NGAN050151472157</v>
          </cell>
        </row>
        <row r="1280">
          <cell r="B1280" t="str">
            <v>C16459</v>
          </cell>
          <cell r="C1280" t="str">
            <v>Huỳnh Văn Hội</v>
          </cell>
          <cell r="D1280" t="str">
            <v>HUYNH VAN HOI</v>
          </cell>
          <cell r="E1280" t="str">
            <v>050812130424</v>
          </cell>
          <cell r="F1280" t="str">
            <v>C16459HUYNH VAN HOI050812130424</v>
          </cell>
        </row>
        <row r="1281">
          <cell r="B1281" t="str">
            <v>C16479</v>
          </cell>
          <cell r="C1281" t="str">
            <v>Trần Thị Bích Phượng</v>
          </cell>
          <cell r="D1281" t="str">
            <v>TRAN THI BICH PHUONG</v>
          </cell>
          <cell r="E1281" t="str">
            <v>050866999671</v>
          </cell>
          <cell r="F1281" t="str">
            <v>C16479TRAN THI BICH PHUONG050866999671</v>
          </cell>
        </row>
        <row r="1282">
          <cell r="B1282" t="str">
            <v>C16559</v>
          </cell>
          <cell r="C1282" t="str">
            <v>Nguyễn Ngọc Hiệp</v>
          </cell>
          <cell r="D1282" t="str">
            <v>NGUYEN NGOC HIEP</v>
          </cell>
          <cell r="E1282" t="str">
            <v>050154422924</v>
          </cell>
          <cell r="F1282" t="str">
            <v>C16559NGUYEN NGOC HIEP050154422924</v>
          </cell>
        </row>
        <row r="1283">
          <cell r="B1283" t="str">
            <v>C16460</v>
          </cell>
          <cell r="C1283" t="str">
            <v>Hà Nguyễn Tấn Trung</v>
          </cell>
          <cell r="D1283" t="str">
            <v>HA NGUYEN TAN TRUNG</v>
          </cell>
          <cell r="E1283" t="str">
            <v>050968075690</v>
          </cell>
          <cell r="F1283" t="str">
            <v>C16460HA NGUYEN TAN TRUNG050968075690</v>
          </cell>
        </row>
        <row r="1284">
          <cell r="B1284" t="str">
            <v>C16455</v>
          </cell>
          <cell r="C1284" t="str">
            <v>Keo Đinh Thành</v>
          </cell>
          <cell r="D1284" t="str">
            <v>KEO DINH THANH</v>
          </cell>
          <cell r="E1284" t="str">
            <v>050108198653</v>
          </cell>
          <cell r="F1284" t="str">
            <v>C16455KEO DINH THANH050108198653</v>
          </cell>
        </row>
        <row r="1285">
          <cell r="B1285" t="str">
            <v>C16436</v>
          </cell>
          <cell r="C1285" t="str">
            <v>Châu Khắc Cường</v>
          </cell>
          <cell r="D1285" t="str">
            <v>CHAU KHAC CUONG</v>
          </cell>
          <cell r="E1285" t="str">
            <v>050040786225</v>
          </cell>
          <cell r="F1285" t="str">
            <v>C16436CHAU KHAC CUONG050040786225</v>
          </cell>
        </row>
        <row r="1286">
          <cell r="B1286" t="str">
            <v>C16427</v>
          </cell>
          <cell r="C1286" t="str">
            <v>Lê Tiến Phúc</v>
          </cell>
          <cell r="D1286" t="str">
            <v>LE TIEN PHUC</v>
          </cell>
          <cell r="E1286" t="str">
            <v>050158103033</v>
          </cell>
          <cell r="F1286" t="str">
            <v>C16427LE TIEN PHUC050158103033</v>
          </cell>
        </row>
        <row r="1287">
          <cell r="B1287" t="str">
            <v>C16515</v>
          </cell>
          <cell r="C1287" t="str">
            <v>Bùi Văn Tú</v>
          </cell>
          <cell r="D1287" t="str">
            <v>BUI VAN TU</v>
          </cell>
          <cell r="E1287" t="str">
            <v>050158575083</v>
          </cell>
          <cell r="F1287" t="str">
            <v>C16515BUI VAN TU050158575083</v>
          </cell>
        </row>
        <row r="1288">
          <cell r="B1288" t="str">
            <v>C16481</v>
          </cell>
          <cell r="C1288" t="str">
            <v>Trần Thiện Tâm</v>
          </cell>
          <cell r="D1288" t="str">
            <v>TRAN THIEN TAM</v>
          </cell>
          <cell r="E1288" t="str">
            <v>053113082002</v>
          </cell>
          <cell r="F1288" t="str">
            <v>C16481TRAN THIEN TAM053113082002</v>
          </cell>
        </row>
        <row r="1289">
          <cell r="B1289" t="str">
            <v>C16496</v>
          </cell>
          <cell r="C1289" t="str">
            <v>Nguyễn Thành Luân</v>
          </cell>
          <cell r="D1289" t="str">
            <v>NGUYEN THANH LUAN</v>
          </cell>
          <cell r="E1289" t="str">
            <v>050088394582</v>
          </cell>
          <cell r="F1289" t="str">
            <v>C16496NGUYEN THANH LUAN050088394582</v>
          </cell>
        </row>
        <row r="1290">
          <cell r="B1290" t="str">
            <v>C16545</v>
          </cell>
          <cell r="C1290" t="str">
            <v>Tạ Khánh Duy</v>
          </cell>
          <cell r="D1290" t="str">
            <v>TA KHANH DUY</v>
          </cell>
          <cell r="E1290" t="str">
            <v>050120336948</v>
          </cell>
          <cell r="F1290" t="str">
            <v>C16545TA KHANH DUY050120336948</v>
          </cell>
        </row>
        <row r="1291">
          <cell r="B1291" t="str">
            <v>C16483</v>
          </cell>
          <cell r="C1291" t="str">
            <v>Điểu Bơ</v>
          </cell>
          <cell r="D1291" t="str">
            <v>DIEU BO</v>
          </cell>
          <cell r="E1291" t="str">
            <v>050155020072</v>
          </cell>
          <cell r="F1291" t="str">
            <v>C16483DIEU BO050155020072</v>
          </cell>
        </row>
        <row r="1292">
          <cell r="B1292" t="str">
            <v>C16495</v>
          </cell>
          <cell r="C1292" t="str">
            <v>Phan Văn Tuấn</v>
          </cell>
          <cell r="D1292" t="str">
            <v>PHAN VAN TUAN</v>
          </cell>
          <cell r="E1292" t="str">
            <v>050118111701</v>
          </cell>
          <cell r="F1292" t="str">
            <v>C16495PHAN VAN TUAN050118111701</v>
          </cell>
        </row>
        <row r="1293">
          <cell r="B1293" t="str">
            <v>C16546</v>
          </cell>
          <cell r="C1293" t="str">
            <v>Hoàng Văn Chánh</v>
          </cell>
          <cell r="D1293" t="str">
            <v>HOANG VAN CHANH</v>
          </cell>
          <cell r="E1293" t="str">
            <v>050133508985</v>
          </cell>
          <cell r="F1293" t="str">
            <v>C16546HOANG VAN CHANH050133508985</v>
          </cell>
        </row>
        <row r="1294">
          <cell r="B1294" t="str">
            <v>C16417</v>
          </cell>
          <cell r="C1294" t="str">
            <v>Huỳnh Thị Thu Hương</v>
          </cell>
          <cell r="D1294" t="str">
            <v>HUYNH THI THU HUONG</v>
          </cell>
          <cell r="E1294" t="str">
            <v>050133547131</v>
          </cell>
          <cell r="F1294" t="str">
            <v>C16417HUYNH THI THU HUONG050133547131</v>
          </cell>
        </row>
        <row r="1295">
          <cell r="B1295" t="str">
            <v>C16447</v>
          </cell>
          <cell r="C1295" t="str">
            <v>Võ Thị Bích Ngọc</v>
          </cell>
          <cell r="D1295" t="str">
            <v>VO THI BICH NGOC</v>
          </cell>
          <cell r="E1295" t="str">
            <v>050118892981</v>
          </cell>
          <cell r="F1295" t="str">
            <v>C16447VO THI BICH NGOC050118892981</v>
          </cell>
        </row>
        <row r="1296">
          <cell r="B1296" t="str">
            <v>C16465</v>
          </cell>
          <cell r="C1296" t="str">
            <v>Triệu Văn Tâm</v>
          </cell>
          <cell r="D1296" t="str">
            <v>TRIEU VAN TAM</v>
          </cell>
          <cell r="E1296" t="str">
            <v>050845186039</v>
          </cell>
          <cell r="F1296" t="str">
            <v>C16465TRIEU VAN TAM050845186039</v>
          </cell>
        </row>
        <row r="1297">
          <cell r="B1297" t="str">
            <v>C16517</v>
          </cell>
          <cell r="C1297" t="str">
            <v>Trần Thị Thu Thảo</v>
          </cell>
          <cell r="D1297" t="str">
            <v>TRAN THI THU THAO</v>
          </cell>
          <cell r="E1297" t="str">
            <v>057413052004</v>
          </cell>
          <cell r="F1297" t="str">
            <v>C16517TRAN THI THU THAO057413052004</v>
          </cell>
        </row>
        <row r="1298">
          <cell r="B1298" t="str">
            <v>C16540</v>
          </cell>
          <cell r="C1298" t="str">
            <v>Vũ Thị Thu Thảo</v>
          </cell>
          <cell r="D1298" t="str">
            <v>VU THI THU THAO</v>
          </cell>
          <cell r="E1298" t="str">
            <v>050124144288</v>
          </cell>
          <cell r="F1298" t="str">
            <v>C16540VU THI THU THAO050124144288</v>
          </cell>
        </row>
        <row r="1299">
          <cell r="B1299" t="str">
            <v>C16537</v>
          </cell>
          <cell r="C1299" t="str">
            <v>Nguyễn Đình Hiếu</v>
          </cell>
          <cell r="D1299" t="str">
            <v>NGUYEN DINH HIEU</v>
          </cell>
          <cell r="E1299" t="str">
            <v>050088931170</v>
          </cell>
          <cell r="F1299" t="str">
            <v>C16537NGUYEN DINH HIEU050088931170</v>
          </cell>
        </row>
        <row r="1300">
          <cell r="B1300" t="str">
            <v>C16542</v>
          </cell>
          <cell r="C1300" t="str">
            <v>Tô Thị Cúc Mai</v>
          </cell>
          <cell r="D1300" t="str">
            <v>TO THI CUC MAI</v>
          </cell>
          <cell r="E1300" t="str">
            <v>050202022005</v>
          </cell>
          <cell r="F1300" t="str">
            <v>C16542TO THI CUC MAI050202022005</v>
          </cell>
        </row>
        <row r="1301">
          <cell r="B1301" t="str">
            <v>C16543</v>
          </cell>
          <cell r="C1301" t="str">
            <v>Đỗ Hoài Hận</v>
          </cell>
          <cell r="D1301" t="str">
            <v>DO HOAI HAN</v>
          </cell>
          <cell r="E1301" t="str">
            <v>056409022006</v>
          </cell>
          <cell r="F1301" t="str">
            <v>C16543DO HOAI HAN056409022006</v>
          </cell>
        </row>
        <row r="1302">
          <cell r="B1302" t="str">
            <v>C16544</v>
          </cell>
          <cell r="C1302" t="str">
            <v>Trần Thị Phương Huyền</v>
          </cell>
          <cell r="D1302" t="str">
            <v>TRAN THI PHUONG HUYEN</v>
          </cell>
          <cell r="E1302" t="str">
            <v>050153069570</v>
          </cell>
          <cell r="F1302" t="str">
            <v>C16544TRAN THI PHUONG HUYEN050153069570</v>
          </cell>
        </row>
        <row r="1303">
          <cell r="B1303" t="str">
            <v>C16561</v>
          </cell>
          <cell r="C1303" t="str">
            <v>Vũ Thị Minh</v>
          </cell>
          <cell r="D1303" t="str">
            <v>VU THI MINH</v>
          </cell>
          <cell r="E1303" t="str">
            <v>050114267594</v>
          </cell>
          <cell r="F1303" t="str">
            <v>C16561VU THI MINH050114267594</v>
          </cell>
        </row>
        <row r="1304">
          <cell r="B1304" t="str">
            <v>C16565</v>
          </cell>
          <cell r="C1304" t="str">
            <v>Đào Tấn Hùng</v>
          </cell>
          <cell r="D1304" t="str">
            <v>DAO TAN HUNG</v>
          </cell>
          <cell r="E1304" t="str">
            <v>050327557739</v>
          </cell>
          <cell r="F1304" t="str">
            <v>C16565DAO TAN HUNG050327557739</v>
          </cell>
        </row>
        <row r="1305">
          <cell r="B1305" t="str">
            <v>C16562</v>
          </cell>
          <cell r="C1305" t="str">
            <v>Ngô Si Tha</v>
          </cell>
          <cell r="D1305" t="str">
            <v>NGO SI THA</v>
          </cell>
          <cell r="E1305" t="str">
            <v>050119607865</v>
          </cell>
          <cell r="F1305" t="str">
            <v>C16562NGO SI THA050119607865</v>
          </cell>
        </row>
        <row r="1306">
          <cell r="B1306" t="str">
            <v>C16564</v>
          </cell>
          <cell r="C1306" t="str">
            <v>Bùi Anh Khang</v>
          </cell>
          <cell r="D1306" t="str">
            <v>BUI ANH KHANG</v>
          </cell>
          <cell r="E1306" t="str">
            <v>050151558981</v>
          </cell>
          <cell r="F1306" t="str">
            <v>C16564BUI ANH KHANG050151558981</v>
          </cell>
        </row>
        <row r="1307">
          <cell r="B1307" t="str">
            <v>C16467</v>
          </cell>
          <cell r="C1307" t="str">
            <v>Phùng Huệ Như</v>
          </cell>
          <cell r="D1307" t="str">
            <v>PHUNG HUE NHU</v>
          </cell>
          <cell r="E1307" t="str">
            <v>050158476190</v>
          </cell>
          <cell r="F1307" t="str">
            <v>C16467PHUNG HUE NHU050158476190</v>
          </cell>
        </row>
        <row r="1308">
          <cell r="B1308" t="str">
            <v>C16560</v>
          </cell>
          <cell r="C1308" t="str">
            <v>Phan Duy Mạnh</v>
          </cell>
          <cell r="D1308" t="str">
            <v>PHAN DUY MANH</v>
          </cell>
          <cell r="E1308" t="str">
            <v>053795822305</v>
          </cell>
          <cell r="F1308" t="str">
            <v>C16560PHAN DUY MANH053795822305</v>
          </cell>
        </row>
        <row r="1309">
          <cell r="B1309" t="str">
            <v>C16555</v>
          </cell>
          <cell r="C1309" t="str">
            <v>Phạm Chung Kiên</v>
          </cell>
          <cell r="D1309" t="str">
            <v>PHAM CHUNG KIEN</v>
          </cell>
          <cell r="E1309" t="str">
            <v>050158900707</v>
          </cell>
          <cell r="F1309" t="str">
            <v>C16555PHAM CHUNG KIEN050158900707</v>
          </cell>
        </row>
        <row r="1310">
          <cell r="B1310" t="str">
            <v>C16472</v>
          </cell>
          <cell r="C1310" t="str">
            <v>Thị Thơm</v>
          </cell>
          <cell r="D1310" t="str">
            <v>THI THOM</v>
          </cell>
          <cell r="E1310" t="str">
            <v>051704041991</v>
          </cell>
          <cell r="F1310" t="str">
            <v>C16472THI THOM051704041991</v>
          </cell>
        </row>
        <row r="1311">
          <cell r="B1311" t="str">
            <v>C16487</v>
          </cell>
          <cell r="C1311" t="str">
            <v>Trần Khánh Ngân</v>
          </cell>
          <cell r="D1311" t="str">
            <v>TRAN KHANH NGAN</v>
          </cell>
          <cell r="E1311" t="str">
            <v>050116312538</v>
          </cell>
          <cell r="F1311" t="str">
            <v>C16487TRAN KHANH NGAN050116312538</v>
          </cell>
        </row>
        <row r="1312">
          <cell r="B1312" t="str">
            <v>C16535</v>
          </cell>
          <cell r="C1312" t="str">
            <v>Bùi Thị Kim Thảo</v>
          </cell>
          <cell r="D1312" t="str">
            <v>BUI THI KIM THAO</v>
          </cell>
          <cell r="E1312" t="str">
            <v>050158901622</v>
          </cell>
          <cell r="F1312" t="str">
            <v>C16535BUI THI KIM THAO050158901622</v>
          </cell>
        </row>
        <row r="1313">
          <cell r="B1313" t="str">
            <v>C16506</v>
          </cell>
          <cell r="C1313" t="str">
            <v>Thị Thu Hiền</v>
          </cell>
          <cell r="D1313" t="str">
            <v>THI THU HIEN</v>
          </cell>
          <cell r="E1313" t="str">
            <v>050158900774</v>
          </cell>
          <cell r="F1313" t="str">
            <v>C16506THI THU HIEN050158900774</v>
          </cell>
        </row>
        <row r="1314">
          <cell r="B1314" t="str">
            <v>C16511</v>
          </cell>
          <cell r="C1314" t="str">
            <v>Hoàng Thị Hà</v>
          </cell>
          <cell r="D1314" t="str">
            <v>HOANG THI HA</v>
          </cell>
          <cell r="E1314" t="str">
            <v>050158900766</v>
          </cell>
          <cell r="F1314" t="str">
            <v>C16511HOANG THI HA050158900766</v>
          </cell>
        </row>
        <row r="1315">
          <cell r="B1315" t="str">
            <v>C16549</v>
          </cell>
          <cell r="C1315" t="str">
            <v>Huỳnh Văn Tuấn</v>
          </cell>
          <cell r="D1315" t="str">
            <v>HUYNH VAN TUAN</v>
          </cell>
          <cell r="E1315" t="str">
            <v>050158901592</v>
          </cell>
          <cell r="F1315" t="str">
            <v>C16549HUYNH VAN TUAN050158901592</v>
          </cell>
        </row>
        <row r="1316">
          <cell r="B1316" t="str">
            <v>C16625</v>
          </cell>
          <cell r="C1316" t="str">
            <v>Đoàn Văn Vũ</v>
          </cell>
          <cell r="D1316" t="str">
            <v>DOAN VAN VU</v>
          </cell>
          <cell r="E1316" t="str">
            <v>050077160024</v>
          </cell>
          <cell r="F1316" t="str">
            <v>C16625DOAN VAN VU050077160024</v>
          </cell>
        </row>
        <row r="1317">
          <cell r="B1317" t="str">
            <v>C16616</v>
          </cell>
          <cell r="C1317" t="str">
            <v>Lê Thị Quỳnh Giang</v>
          </cell>
          <cell r="D1317" t="str">
            <v>LE THI QUYNH GIANG</v>
          </cell>
          <cell r="E1317" t="str">
            <v>050146365199</v>
          </cell>
          <cell r="F1317" t="str">
            <v>C16616LE THI QUYNH GIANG050146365199</v>
          </cell>
        </row>
        <row r="1318">
          <cell r="B1318" t="str">
            <v>C16612</v>
          </cell>
          <cell r="C1318" t="str">
            <v>Hoàng Thị Thúy Vui</v>
          </cell>
          <cell r="D1318" t="str">
            <v>HOANG THI THUY VUI</v>
          </cell>
          <cell r="E1318" t="str">
            <v>050139069215</v>
          </cell>
          <cell r="F1318" t="str">
            <v>C16612HOANG THI THUY VUI050139069215</v>
          </cell>
        </row>
        <row r="1319">
          <cell r="B1319" t="str">
            <v>C16613</v>
          </cell>
          <cell r="C1319" t="str">
            <v>Ngô Thị Ngọc Trâm</v>
          </cell>
          <cell r="D1319" t="str">
            <v>NGO THI NGOC TRAM</v>
          </cell>
          <cell r="E1319" t="str">
            <v>050155133950</v>
          </cell>
          <cell r="F1319" t="str">
            <v>C16613NGO THI NGOC TRAM050155133950</v>
          </cell>
        </row>
        <row r="1320">
          <cell r="B1320" t="str">
            <v>C16615</v>
          </cell>
          <cell r="C1320" t="str">
            <v>Võ Văn Thi</v>
          </cell>
          <cell r="D1320" t="str">
            <v>VO VAN THI</v>
          </cell>
          <cell r="E1320" t="str">
            <v>050154605506</v>
          </cell>
          <cell r="F1320" t="str">
            <v>C16615VO VAN THI050154605506</v>
          </cell>
        </row>
        <row r="1321">
          <cell r="B1321" t="str">
            <v>C16556</v>
          </cell>
          <cell r="C1321" t="str">
            <v>Vũ Thị Hồng Nhung</v>
          </cell>
          <cell r="D1321" t="str">
            <v>VU THI HONG NHUNG</v>
          </cell>
          <cell r="E1321" t="str">
            <v>050117176735</v>
          </cell>
          <cell r="F1321" t="str">
            <v>C16556VU THI HONG NHUNG050117176735</v>
          </cell>
        </row>
        <row r="1322">
          <cell r="B1322" t="str">
            <v>C16547</v>
          </cell>
          <cell r="C1322" t="str">
            <v>Nguyễn Văn Lưu</v>
          </cell>
          <cell r="D1322" t="str">
            <v>NGUYEN VAN LUU</v>
          </cell>
          <cell r="E1322" t="str">
            <v>050098781861</v>
          </cell>
          <cell r="F1322" t="str">
            <v>C16547NGUYEN VAN LUU050098781861</v>
          </cell>
        </row>
        <row r="1323">
          <cell r="B1323" t="str">
            <v>C16574</v>
          </cell>
          <cell r="C1323" t="str">
            <v>Thị Kim Quyên</v>
          </cell>
          <cell r="D1323" t="str">
            <v>THI KIM QUYEN</v>
          </cell>
          <cell r="E1323" t="str">
            <v>050141069184</v>
          </cell>
          <cell r="F1323" t="str">
            <v>C16574THI KIM QUYEN050141069184</v>
          </cell>
        </row>
        <row r="1324">
          <cell r="B1324" t="str">
            <v>C16576</v>
          </cell>
          <cell r="C1324" t="str">
            <v>Châu Thị Thu Nguyệt</v>
          </cell>
          <cell r="D1324" t="str">
            <v>CHAU THI THU NGUYET</v>
          </cell>
          <cell r="E1324" t="str">
            <v>050158724895</v>
          </cell>
          <cell r="F1324" t="str">
            <v>C16576CHAU THI THU NGUYET050158724895</v>
          </cell>
        </row>
        <row r="1325">
          <cell r="B1325" t="str">
            <v>C16524</v>
          </cell>
          <cell r="C1325" t="str">
            <v>Đỗ Hồng Minh Quân</v>
          </cell>
          <cell r="D1325" t="str">
            <v>DO HONG MINH QUAN</v>
          </cell>
          <cell r="E1325" t="str">
            <v>050151202680</v>
          </cell>
          <cell r="F1325" t="str">
            <v>C16524DO HONG MINH QUAN050151202680</v>
          </cell>
        </row>
        <row r="1326">
          <cell r="B1326" t="str">
            <v>C16488</v>
          </cell>
          <cell r="C1326" t="str">
            <v>Phan Hoàng Châu Giang</v>
          </cell>
          <cell r="D1326" t="str">
            <v>PHAN HOANG CHAU GIANG</v>
          </cell>
          <cell r="E1326" t="str">
            <v>053215052002</v>
          </cell>
          <cell r="F1326" t="str">
            <v>C16488PHAN HOANG CHAU GIANG053215052002</v>
          </cell>
        </row>
        <row r="1327">
          <cell r="B1327" t="str">
            <v>C16572</v>
          </cell>
          <cell r="C1327" t="str">
            <v>Thị Đóm</v>
          </cell>
          <cell r="D1327" t="str">
            <v>THI DOM</v>
          </cell>
          <cell r="E1327" t="str">
            <v>050040934046</v>
          </cell>
          <cell r="F1327" t="str">
            <v>C16572THI DOM050040934046</v>
          </cell>
        </row>
        <row r="1328">
          <cell r="B1328" t="str">
            <v>C16456</v>
          </cell>
          <cell r="C1328" t="str">
            <v>Điểu Khang</v>
          </cell>
          <cell r="D1328" t="str">
            <v>DIEU KHANG</v>
          </cell>
          <cell r="E1328" t="str">
            <v>050159034124</v>
          </cell>
          <cell r="F1328" t="str">
            <v>C16456DIEU KHANG050159034124</v>
          </cell>
        </row>
        <row r="1329">
          <cell r="B1329" t="str">
            <v>C7901</v>
          </cell>
          <cell r="C1329" t="str">
            <v>Trương Vũ Phong</v>
          </cell>
          <cell r="D1329" t="str">
            <v>TRUONG VU PHONG</v>
          </cell>
          <cell r="E1329" t="str">
            <v>050813226345</v>
          </cell>
          <cell r="F1329" t="str">
            <v>C7901TRUONG VU PHONG050813226345</v>
          </cell>
        </row>
        <row r="1330">
          <cell r="B1330" t="str">
            <v>C16573</v>
          </cell>
          <cell r="C1330" t="str">
            <v>Nông Thị Ngọc Trâm</v>
          </cell>
          <cell r="D1330" t="str">
            <v>NONG THI NGOC TRAM</v>
          </cell>
          <cell r="E1330" t="str">
            <v>050155734131</v>
          </cell>
          <cell r="F1330" t="str">
            <v>C16573NONG THI NGOC TRAM050155734131</v>
          </cell>
        </row>
        <row r="1331">
          <cell r="B1331" t="str">
            <v>C16596</v>
          </cell>
          <cell r="C1331" t="str">
            <v>Đặng Thị Ngọc Trâm</v>
          </cell>
          <cell r="D1331" t="str">
            <v>DANG THI NGOC TRAM</v>
          </cell>
          <cell r="E1331" t="str">
            <v>050095612811</v>
          </cell>
          <cell r="F1331" t="str">
            <v>C16596DANG THI NGOC TRAM050095612811</v>
          </cell>
        </row>
        <row r="1332">
          <cell r="B1332" t="str">
            <v>C16521</v>
          </cell>
          <cell r="C1332" t="str">
            <v>Nguyễn Ngọc Hạnh</v>
          </cell>
          <cell r="D1332" t="str">
            <v>NGUYEN NGOC HANH</v>
          </cell>
          <cell r="E1332" t="str">
            <v>050117176255</v>
          </cell>
          <cell r="F1332" t="str">
            <v>C16521NGUYEN NGOC HANH050117176255</v>
          </cell>
        </row>
        <row r="1333">
          <cell r="B1333" t="str">
            <v>C16567</v>
          </cell>
          <cell r="C1333" t="str">
            <v>Thị Trinh</v>
          </cell>
          <cell r="D1333" t="str">
            <v>THI TRINH</v>
          </cell>
          <cell r="E1333" t="str">
            <v>0359766121</v>
          </cell>
          <cell r="F1333" t="str">
            <v>C16567THI TRINH0359766121</v>
          </cell>
        </row>
        <row r="1334">
          <cell r="B1334" t="str">
            <v>C16569</v>
          </cell>
          <cell r="C1334" t="str">
            <v>Điểu Thị Đăng Ly</v>
          </cell>
          <cell r="D1334" t="str">
            <v>DIEU THI DANG LY</v>
          </cell>
          <cell r="E1334" t="str">
            <v>050134666061</v>
          </cell>
          <cell r="F1334" t="str">
            <v>C16569DIEU THI DANG LY050134666061</v>
          </cell>
        </row>
        <row r="1335">
          <cell r="B1335" t="str">
            <v>C16582</v>
          </cell>
          <cell r="C1335" t="str">
            <v>Đặng Thị Thảo</v>
          </cell>
          <cell r="D1335" t="str">
            <v>DANG THI THAO</v>
          </cell>
          <cell r="E1335" t="str">
            <v>050041500120</v>
          </cell>
          <cell r="F1335" t="str">
            <v>C16582DANG THI THAO050041500120</v>
          </cell>
        </row>
        <row r="1336">
          <cell r="B1336" t="str">
            <v>C16589</v>
          </cell>
          <cell r="C1336" t="str">
            <v>Hồ Thị Chắc</v>
          </cell>
          <cell r="D1336" t="str">
            <v>HO THI CHAC</v>
          </cell>
          <cell r="E1336" t="str">
            <v>056509091995</v>
          </cell>
          <cell r="F1336" t="str">
            <v>C16589HO THI CHAC056509091995</v>
          </cell>
        </row>
        <row r="1337">
          <cell r="B1337" t="str">
            <v>C16602</v>
          </cell>
          <cell r="C1337" t="str">
            <v>Hồ Thị Thảo Vy</v>
          </cell>
          <cell r="D1337" t="str">
            <v>HO THI THAO VY</v>
          </cell>
          <cell r="E1337" t="str">
            <v>051127092005</v>
          </cell>
          <cell r="F1337" t="str">
            <v>C16602HO THI THAO VY051127092005</v>
          </cell>
        </row>
        <row r="1338">
          <cell r="B1338" t="str">
            <v>C16604</v>
          </cell>
          <cell r="C1338" t="str">
            <v>Nguyễn Võ Kim Quyên</v>
          </cell>
          <cell r="D1338" t="str">
            <v>NGUYEN VO KIM QUYEN</v>
          </cell>
          <cell r="E1338" t="str">
            <v>050156212811</v>
          </cell>
          <cell r="F1338" t="str">
            <v>C16604NGUYEN VO KIM QUYEN050156212811</v>
          </cell>
        </row>
        <row r="1339">
          <cell r="B1339" t="str">
            <v>C16628</v>
          </cell>
          <cell r="C1339" t="str">
            <v>Vương Phụng</v>
          </cell>
          <cell r="D1339" t="str">
            <v>VUONG PHUNG</v>
          </cell>
          <cell r="E1339" t="str">
            <v>050072373445</v>
          </cell>
          <cell r="F1339" t="str">
            <v>C16628VUONG PHUNG050072373445</v>
          </cell>
        </row>
        <row r="1340">
          <cell r="B1340" t="str">
            <v>C16580</v>
          </cell>
          <cell r="C1340" t="str">
            <v>Nguyễn Thị Yến Nhi</v>
          </cell>
          <cell r="D1340" t="str">
            <v>NGUYEN THI YEN NHI</v>
          </cell>
          <cell r="E1340" t="str">
            <v>051823062002</v>
          </cell>
          <cell r="F1340" t="str">
            <v>C16580NGUYEN THI YEN NHI051823062002</v>
          </cell>
        </row>
        <row r="1341">
          <cell r="B1341" t="str">
            <v>C16581</v>
          </cell>
          <cell r="C1341" t="str">
            <v>Nguyễn Hải Yến</v>
          </cell>
          <cell r="D1341" t="str">
            <v>NGUYEN HAI YEN</v>
          </cell>
          <cell r="E1341" t="str">
            <v>050114072006</v>
          </cell>
          <cell r="F1341" t="str">
            <v>C16581NGUYEN HAI YEN050114072006</v>
          </cell>
        </row>
        <row r="1342">
          <cell r="B1342" t="str">
            <v>C16605</v>
          </cell>
          <cell r="C1342" t="str">
            <v>Lê Lệnh Tiến</v>
          </cell>
          <cell r="D1342" t="str">
            <v>LE LENH TIEN</v>
          </cell>
          <cell r="E1342" t="str">
            <v>050066214394</v>
          </cell>
          <cell r="F1342" t="str">
            <v>C16605LE LENH TIEN050066214394</v>
          </cell>
        </row>
        <row r="1343">
          <cell r="B1343" t="str">
            <v>C16610</v>
          </cell>
          <cell r="C1343" t="str">
            <v>Đỗ Quốc Thái</v>
          </cell>
          <cell r="D1343" t="str">
            <v>DO QUOC THAI</v>
          </cell>
          <cell r="E1343" t="str">
            <v>050357954722</v>
          </cell>
          <cell r="F1343" t="str">
            <v>C16610DO QUOC THAI050357954722</v>
          </cell>
        </row>
        <row r="1344">
          <cell r="B1344" t="str">
            <v>C16578</v>
          </cell>
          <cell r="C1344" t="str">
            <v>Trần Văn Toản</v>
          </cell>
          <cell r="D1344" t="str">
            <v>TRAN VAN TOAN</v>
          </cell>
          <cell r="E1344" t="str">
            <v>057914041977</v>
          </cell>
          <cell r="F1344" t="str">
            <v>C16578TRAN VAN TOAN057914041977</v>
          </cell>
        </row>
        <row r="1345">
          <cell r="B1345" t="str">
            <v>C16583</v>
          </cell>
          <cell r="C1345" t="str">
            <v>Điểu Kiệt</v>
          </cell>
          <cell r="D1345" t="str">
            <v>DIEU KIET</v>
          </cell>
          <cell r="E1345" t="str">
            <v>050140061023</v>
          </cell>
          <cell r="F1345" t="str">
            <v>C16583DIEU KIET050140061023</v>
          </cell>
        </row>
        <row r="1346">
          <cell r="B1346" t="str">
            <v>C16584</v>
          </cell>
          <cell r="C1346" t="str">
            <v>Thị Nguyệt</v>
          </cell>
          <cell r="D1346" t="str">
            <v>THI NGUYET</v>
          </cell>
          <cell r="E1346" t="str">
            <v>050149334103</v>
          </cell>
          <cell r="F1346" t="str">
            <v>C16584THI NGUYET050149334103</v>
          </cell>
        </row>
        <row r="1347">
          <cell r="B1347" t="str">
            <v>C16563</v>
          </cell>
          <cell r="C1347" t="str">
            <v>Điểu Giăng</v>
          </cell>
          <cell r="D1347" t="str">
            <v>DIEU GIANG</v>
          </cell>
          <cell r="E1347" t="str">
            <v>050087243149</v>
          </cell>
          <cell r="F1347" t="str">
            <v>C16563DIEU GIANG050087243149</v>
          </cell>
        </row>
        <row r="1348">
          <cell r="B1348" t="str">
            <v>C16608</v>
          </cell>
          <cell r="C1348" t="str">
            <v>Lê Đình Công</v>
          </cell>
          <cell r="D1348" t="str">
            <v>LE DINH CONG</v>
          </cell>
          <cell r="E1348" t="str">
            <v>050147459091</v>
          </cell>
          <cell r="F1348" t="str">
            <v>C16608LE DINH CONG050147459091</v>
          </cell>
        </row>
        <row r="1349">
          <cell r="B1349" t="str">
            <v>C16566</v>
          </cell>
          <cell r="C1349" t="str">
            <v>Nguyễn Văn Nhớ</v>
          </cell>
          <cell r="D1349" t="str">
            <v>NGUYEN VAN NHO</v>
          </cell>
          <cell r="E1349" t="str">
            <v>050105122001</v>
          </cell>
          <cell r="F1349" t="str">
            <v>C16566NGUYEN VAN NHO050105122001</v>
          </cell>
        </row>
        <row r="1350">
          <cell r="B1350" t="str">
            <v>C16586</v>
          </cell>
          <cell r="C1350" t="str">
            <v>Nguyễn Quách Dương</v>
          </cell>
          <cell r="D1350" t="str">
            <v>NGUYEN QUACH DUONG</v>
          </cell>
          <cell r="E1350" t="str">
            <v>050159273234</v>
          </cell>
          <cell r="F1350" t="str">
            <v>C16586NGUYEN QUACH DUONG050159273234</v>
          </cell>
        </row>
        <row r="1351">
          <cell r="B1351" t="str">
            <v>C16621</v>
          </cell>
          <cell r="C1351" t="str">
            <v>Nguyễn Quí Lộc</v>
          </cell>
          <cell r="D1351" t="str">
            <v>NGUYEN QUI LOC</v>
          </cell>
          <cell r="E1351" t="str">
            <v>054522012003</v>
          </cell>
          <cell r="F1351" t="str">
            <v>C16621NGUYEN QUI LOC054522012003</v>
          </cell>
        </row>
        <row r="1352">
          <cell r="B1352" t="str">
            <v>C16622</v>
          </cell>
          <cell r="C1352" t="str">
            <v>Chu Thị Nguyệt</v>
          </cell>
          <cell r="D1352" t="str">
            <v>CHU THI NGUYET</v>
          </cell>
          <cell r="E1352" t="str">
            <v>050071874823</v>
          </cell>
          <cell r="F1352" t="str">
            <v>C16622CHU THI NGUYET050071874823</v>
          </cell>
        </row>
        <row r="1353">
          <cell r="B1353" t="str">
            <v>C16609</v>
          </cell>
          <cell r="C1353" t="str">
            <v>Lê Đức Minh</v>
          </cell>
          <cell r="D1353" t="str">
            <v>LE DUC MINH</v>
          </cell>
          <cell r="E1353" t="str">
            <v>050130966494</v>
          </cell>
          <cell r="F1353" t="str">
            <v>C16609LE DUC MINH050130966494</v>
          </cell>
        </row>
        <row r="1354">
          <cell r="B1354" t="str">
            <v>C16577</v>
          </cell>
          <cell r="C1354" t="str">
            <v>Bùi Thị Thanh</v>
          </cell>
          <cell r="D1354" t="str">
            <v>BUI THI THANH</v>
          </cell>
          <cell r="E1354" t="str">
            <v>050365491057</v>
          </cell>
          <cell r="F1354" t="str">
            <v>C16577BUI THI THANH050365491057</v>
          </cell>
        </row>
        <row r="1355">
          <cell r="B1355" t="str">
            <v>C16611</v>
          </cell>
          <cell r="C1355" t="str">
            <v>Nguyễn Văn Lướt</v>
          </cell>
          <cell r="D1355" t="str">
            <v>NGUYEN VAN LUOT</v>
          </cell>
          <cell r="E1355" t="str">
            <v>050150935250</v>
          </cell>
          <cell r="F1355" t="str">
            <v>C16611NGUYEN VAN LUOT050150935250</v>
          </cell>
        </row>
        <row r="1356">
          <cell r="B1356" t="str">
            <v>C16591</v>
          </cell>
          <cell r="C1356" t="str">
            <v>Phan Thị Thủy Tiên</v>
          </cell>
          <cell r="D1356" t="str">
            <v>PHAN THI THUY TIEN</v>
          </cell>
          <cell r="E1356" t="str">
            <v>050074681139</v>
          </cell>
          <cell r="F1356" t="str">
            <v>C16591PHAN THI THUY TIEN050074681139</v>
          </cell>
        </row>
        <row r="1357">
          <cell r="B1357" t="str">
            <v>C16601</v>
          </cell>
          <cell r="C1357" t="str">
            <v>Trần Minh Tân</v>
          </cell>
          <cell r="D1357" t="str">
            <v>TRAN MINH TAN</v>
          </cell>
          <cell r="E1357" t="str">
            <v>050159267277</v>
          </cell>
          <cell r="F1357" t="str">
            <v>C16601TRAN MINH TAN050159267277</v>
          </cell>
        </row>
        <row r="1358">
          <cell r="B1358" t="str">
            <v>C16501</v>
          </cell>
          <cell r="C1358" t="str">
            <v>Nguyễn Thị Kim Nhanh</v>
          </cell>
          <cell r="D1358" t="str">
            <v>NGUYEN THI KIM NHANH</v>
          </cell>
          <cell r="E1358" t="str">
            <v>050153879467</v>
          </cell>
          <cell r="F1358" t="str">
            <v>C16501NGUYEN THI KIM NHANH050153879467</v>
          </cell>
        </row>
        <row r="1359">
          <cell r="B1359" t="str">
            <v>C16575</v>
          </cell>
          <cell r="C1359" t="str">
            <v>Trần Quốc Chiến</v>
          </cell>
          <cell r="D1359" t="str">
            <v>TRAN QUOC CHIEN</v>
          </cell>
          <cell r="E1359" t="str">
            <v>050159267218</v>
          </cell>
          <cell r="F1359" t="str">
            <v>C16575TRAN QUOC CHIEN050159267218</v>
          </cell>
        </row>
        <row r="1360">
          <cell r="B1360" t="str">
            <v>C16557</v>
          </cell>
          <cell r="C1360" t="str">
            <v>Huỳnh Thị Kim Trinh</v>
          </cell>
          <cell r="D1360" t="str">
            <v>HUYNH THI KIM TRINH</v>
          </cell>
          <cell r="E1360" t="str">
            <v>050159266831</v>
          </cell>
          <cell r="F1360" t="str">
            <v>C16557HUYNH THI KIM TRINH050159266831</v>
          </cell>
        </row>
        <row r="1361">
          <cell r="B1361" t="str">
            <v>C16558</v>
          </cell>
          <cell r="C1361" t="str">
            <v>Lê Thị Huyền Trang</v>
          </cell>
          <cell r="D1361" t="str">
            <v>LE THI HUYEN TRANG</v>
          </cell>
          <cell r="E1361" t="str">
            <v>050159267188</v>
          </cell>
          <cell r="F1361" t="str">
            <v>C16558LE THI HUYEN TRANG050159267188</v>
          </cell>
        </row>
        <row r="1362">
          <cell r="B1362" t="str">
            <v>C16594</v>
          </cell>
          <cell r="C1362" t="str">
            <v>Nguyễn Ngọc Lanh</v>
          </cell>
          <cell r="D1362" t="str">
            <v>NGUYEN NGOC LANH</v>
          </cell>
          <cell r="E1362" t="str">
            <v>050159267234</v>
          </cell>
          <cell r="F1362" t="str">
            <v>C16594NGUYEN NGOC LANH050159267234</v>
          </cell>
        </row>
        <row r="1363">
          <cell r="B1363" t="str">
            <v>C16595</v>
          </cell>
          <cell r="C1363" t="str">
            <v>Nguyễn Ngọc Lam</v>
          </cell>
          <cell r="D1363" t="str">
            <v>NGUYEN NGOC LAM</v>
          </cell>
          <cell r="E1363" t="str">
            <v>050159267269</v>
          </cell>
          <cell r="F1363" t="str">
            <v>C16595NGUYEN NGOC LAM050159267269</v>
          </cell>
        </row>
        <row r="1364">
          <cell r="B1364" t="str">
            <v>C16597</v>
          </cell>
          <cell r="C1364" t="str">
            <v>Đỗ Như An</v>
          </cell>
          <cell r="D1364" t="str">
            <v>DO NHU AN</v>
          </cell>
          <cell r="E1364" t="str">
            <v>050159267196</v>
          </cell>
          <cell r="F1364" t="str">
            <v>C16597DO NHU AN050159267196</v>
          </cell>
        </row>
        <row r="1365">
          <cell r="C1365" t="e">
            <v>#N/A</v>
          </cell>
          <cell r="E1365" t="e">
            <v>#N/A</v>
          </cell>
          <cell r="F1365" t="e">
            <v>#N/A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payment)"/>
      <sheetName val="Korean Salary"/>
      <sheetName val="December Bonus 2018"/>
      <sheetName val="20% Big sales Bonus 2019"/>
      <sheetName val="Salary sheet"/>
      <sheetName val="danh sach CK"/>
      <sheetName val="Cash"/>
      <sheetName val="Cash - Dep"/>
      <sheetName val="급여"/>
      <sheetName val="Average"/>
      <sheetName val="Comparison summary"/>
      <sheetName val="Sheet1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7">
          <cell r="AS27">
            <v>9777987.3393794689</v>
          </cell>
        </row>
      </sheetData>
      <sheetData sheetId="9">
        <row r="3">
          <cell r="AF3">
            <v>23340</v>
          </cell>
        </row>
        <row r="5">
          <cell r="C5">
            <v>7642200103.8559999</v>
          </cell>
          <cell r="D5">
            <v>7395535069.9544001</v>
          </cell>
          <cell r="E5">
            <v>8559547765.4006004</v>
          </cell>
          <cell r="F5">
            <v>8539976950.4106998</v>
          </cell>
          <cell r="G5">
            <v>7998606725.0533504</v>
          </cell>
          <cell r="H5">
            <v>7322705391.8907995</v>
          </cell>
          <cell r="I5">
            <v>7580295989.7406998</v>
          </cell>
          <cell r="J5">
            <v>8916351713.7571507</v>
          </cell>
          <cell r="K5">
            <v>9803104857.4235001</v>
          </cell>
          <cell r="L5">
            <v>9649436622.6410007</v>
          </cell>
          <cell r="M5">
            <v>9000946802.4899998</v>
          </cell>
          <cell r="N5">
            <v>9236581465.8999996</v>
          </cell>
          <cell r="Z5">
            <v>7285700591</v>
          </cell>
          <cell r="AF5">
            <v>7659084972</v>
          </cell>
          <cell r="AH5">
            <v>7632254225</v>
          </cell>
          <cell r="AJ5">
            <v>8072850333</v>
          </cell>
          <cell r="AL5">
            <v>7998313641</v>
          </cell>
          <cell r="AN5">
            <v>8704287799</v>
          </cell>
        </row>
        <row r="11">
          <cell r="AP11">
            <v>9220117.0308254436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payment)"/>
      <sheetName val="TOTAL(Salary)"/>
      <sheetName val="Korean salary "/>
      <sheetName val="Salary sheet"/>
      <sheetName val="danh sach CK"/>
      <sheetName val="Cash"/>
      <sheetName val="Cash - Dep"/>
      <sheetName val="Average"/>
      <sheetName val="급여"/>
      <sheetName val="Comparison summary"/>
      <sheetName val="Sheet1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G4">
            <v>8893404105.0533504</v>
          </cell>
          <cell r="Q4">
            <v>9654545204.3455009</v>
          </cell>
          <cell r="R4">
            <v>7082514164.6518002</v>
          </cell>
          <cell r="S4">
            <v>9183500747.9316807</v>
          </cell>
        </row>
        <row r="11">
          <cell r="O11">
            <v>9428987.9492199458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38DC-BD93-48BE-91DF-61EB9BE04D13}">
  <sheetPr codeName="Sheet1"/>
  <dimension ref="A1:BH94"/>
  <sheetViews>
    <sheetView zoomScaleNormal="100" workbookViewId="0">
      <selection activeCell="AJ95" sqref="AJ95"/>
    </sheetView>
  </sheetViews>
  <sheetFormatPr defaultColWidth="8.85546875" defaultRowHeight="12.75"/>
  <cols>
    <col min="1" max="1" width="16" style="607" customWidth="1"/>
    <col min="2" max="2" width="22.5703125" style="608" customWidth="1"/>
    <col min="3" max="3" width="16.85546875" style="637" hidden="1" customWidth="1"/>
    <col min="4" max="4" width="23.140625" style="608" hidden="1" customWidth="1"/>
    <col min="5" max="5" width="17.5703125" style="608" hidden="1" customWidth="1"/>
    <col min="6" max="6" width="15.28515625" style="608" hidden="1" customWidth="1"/>
    <col min="7" max="7" width="16.85546875" style="637" hidden="1" customWidth="1"/>
    <col min="8" max="8" width="21.140625" style="608" hidden="1" customWidth="1"/>
    <col min="9" max="10" width="15.28515625" style="608" hidden="1" customWidth="1"/>
    <col min="11" max="11" width="16.85546875" style="637" hidden="1" customWidth="1"/>
    <col min="12" max="12" width="21.140625" style="608" hidden="1" customWidth="1"/>
    <col min="13" max="14" width="15.28515625" style="608" hidden="1" customWidth="1"/>
    <col min="15" max="15" width="16.85546875" style="637" hidden="1" customWidth="1"/>
    <col min="16" max="16" width="21.140625" style="608" hidden="1" customWidth="1"/>
    <col min="17" max="18" width="15.28515625" style="608" hidden="1" customWidth="1"/>
    <col min="19" max="19" width="16.85546875" style="637" hidden="1" customWidth="1"/>
    <col min="20" max="20" width="21.140625" style="608" hidden="1" customWidth="1"/>
    <col min="21" max="22" width="15.28515625" style="608" hidden="1" customWidth="1"/>
    <col min="23" max="23" width="16.85546875" style="637" hidden="1" customWidth="1"/>
    <col min="24" max="24" width="21.140625" style="608" hidden="1" customWidth="1"/>
    <col min="25" max="26" width="15.28515625" style="608" hidden="1" customWidth="1"/>
    <col min="27" max="27" width="16.85546875" style="637" hidden="1" customWidth="1"/>
    <col min="28" max="28" width="21.140625" style="608" hidden="1" customWidth="1"/>
    <col min="29" max="30" width="15.28515625" style="608" hidden="1" customWidth="1"/>
    <col min="31" max="31" width="16.85546875" style="637" hidden="1" customWidth="1"/>
    <col min="32" max="32" width="21.140625" style="608" hidden="1" customWidth="1"/>
    <col min="33" max="34" width="15.28515625" style="608" hidden="1" customWidth="1"/>
    <col min="35" max="35" width="16.85546875" style="637" customWidth="1"/>
    <col min="36" max="36" width="21.140625" style="608" customWidth="1"/>
    <col min="37" max="38" width="15.28515625" style="608" customWidth="1"/>
    <col min="39" max="39" width="16.85546875" style="637" customWidth="1"/>
    <col min="40" max="40" width="21.140625" style="608" customWidth="1"/>
    <col min="41" max="42" width="15.28515625" style="608" customWidth="1"/>
    <col min="43" max="43" width="16.85546875" style="637" customWidth="1"/>
    <col min="44" max="44" width="21.140625" style="608" customWidth="1"/>
    <col min="45" max="45" width="15.28515625" style="608" customWidth="1"/>
    <col min="46" max="46" width="13.5703125" style="804" customWidth="1"/>
    <col min="47" max="47" width="16.85546875" style="637" customWidth="1"/>
    <col min="48" max="48" width="21.140625" style="608" customWidth="1"/>
    <col min="49" max="49" width="15.28515625" style="608" customWidth="1"/>
    <col min="50" max="50" width="13.5703125" style="804" customWidth="1"/>
    <col min="51" max="51" width="17.42578125" style="607" customWidth="1"/>
    <col min="52" max="52" width="21.140625" style="607" customWidth="1"/>
    <col min="53" max="53" width="23.140625" style="607" customWidth="1"/>
    <col min="54" max="55" width="8.85546875" style="607"/>
    <col min="56" max="56" width="11.7109375" style="607" bestFit="1" customWidth="1"/>
    <col min="57" max="57" width="11.5703125" style="607" bestFit="1" customWidth="1"/>
    <col min="58" max="16384" width="8.85546875" style="607"/>
  </cols>
  <sheetData>
    <row r="1" spans="1:60" ht="23.25" customHeight="1">
      <c r="B1" s="612"/>
      <c r="C1" s="631"/>
      <c r="D1" s="612"/>
      <c r="E1" s="612"/>
      <c r="F1" s="612"/>
      <c r="G1" s="631"/>
      <c r="H1" s="612"/>
      <c r="I1" s="612"/>
      <c r="J1" s="612"/>
      <c r="K1" s="631"/>
      <c r="L1" s="612"/>
      <c r="M1" s="612"/>
      <c r="N1" s="612"/>
      <c r="O1" s="631"/>
      <c r="P1" s="612"/>
      <c r="Q1" s="612"/>
      <c r="R1" s="612"/>
      <c r="S1" s="631"/>
      <c r="T1" s="612"/>
      <c r="U1" s="612"/>
      <c r="V1" s="612"/>
      <c r="W1" s="631"/>
      <c r="X1" s="612"/>
      <c r="Y1" s="612"/>
      <c r="Z1" s="612"/>
      <c r="AA1" s="631"/>
      <c r="AB1" s="612"/>
      <c r="AC1" s="612"/>
      <c r="AD1" s="612"/>
      <c r="AE1" s="631"/>
      <c r="AF1" s="612"/>
      <c r="AG1" s="612"/>
      <c r="AH1" s="612"/>
      <c r="AI1" s="631"/>
      <c r="AJ1" s="612"/>
      <c r="AK1" s="612"/>
      <c r="AL1" s="612"/>
      <c r="AM1" s="631"/>
      <c r="AN1" s="612"/>
      <c r="AO1" s="612"/>
      <c r="AP1" s="612"/>
      <c r="AQ1" s="631"/>
      <c r="AR1" s="612"/>
      <c r="AS1" s="612"/>
      <c r="AT1" s="813"/>
      <c r="AU1" s="631"/>
      <c r="AV1" s="612"/>
      <c r="AW1" s="612"/>
      <c r="AX1" s="813"/>
    </row>
    <row r="2" spans="1:60" ht="24.75" customHeight="1" thickBot="1">
      <c r="B2" s="613" t="s">
        <v>416</v>
      </c>
      <c r="C2" s="632"/>
      <c r="D2" s="613"/>
      <c r="E2" s="626"/>
      <c r="F2" s="612"/>
      <c r="G2" s="632"/>
      <c r="H2" s="613"/>
      <c r="I2" s="626"/>
      <c r="J2" s="612"/>
      <c r="K2" s="632"/>
      <c r="L2" s="613"/>
      <c r="M2" s="626"/>
      <c r="N2" s="612"/>
      <c r="O2" s="632"/>
      <c r="P2" s="613"/>
      <c r="Q2" s="626"/>
      <c r="R2" s="612"/>
      <c r="S2" s="632"/>
      <c r="T2" s="613"/>
      <c r="U2" s="626"/>
      <c r="V2" s="612"/>
      <c r="W2" s="632"/>
      <c r="X2" s="613"/>
      <c r="Y2" s="626"/>
      <c r="Z2" s="612"/>
      <c r="AA2" s="632"/>
      <c r="AB2" s="613"/>
      <c r="AC2" s="626"/>
      <c r="AD2" s="612"/>
      <c r="AE2" s="632"/>
      <c r="AF2" s="613"/>
      <c r="AG2" s="626"/>
      <c r="AH2" s="612"/>
      <c r="AI2" s="632"/>
      <c r="AJ2" s="613"/>
      <c r="AK2" s="626">
        <v>26115</v>
      </c>
      <c r="AL2" s="612"/>
      <c r="AM2" s="632"/>
      <c r="AN2" s="613"/>
      <c r="AO2" s="626">
        <v>25695</v>
      </c>
      <c r="AP2" s="612"/>
      <c r="AQ2" s="632"/>
      <c r="AR2" s="613"/>
      <c r="AS2" s="626">
        <v>25670</v>
      </c>
      <c r="AT2" s="813"/>
      <c r="AU2" s="632"/>
      <c r="AV2" s="613"/>
      <c r="AW2" s="626">
        <v>25550</v>
      </c>
      <c r="AX2" s="813"/>
      <c r="AY2" s="632"/>
      <c r="AZ2" s="613"/>
      <c r="BA2" s="626">
        <v>25550</v>
      </c>
    </row>
    <row r="3" spans="1:60" ht="35.25" customHeight="1" thickTop="1" thickBot="1">
      <c r="B3" s="615" t="s">
        <v>417</v>
      </c>
      <c r="C3" s="1419" t="s">
        <v>758</v>
      </c>
      <c r="D3" s="1418"/>
      <c r="E3" s="1418"/>
      <c r="F3" s="1233" t="str">
        <f>LEFT(C3,3)&amp;"/"&amp;LEFT(G3,3)</f>
        <v>Dec/Nov</v>
      </c>
      <c r="G3" s="1419" t="s">
        <v>759</v>
      </c>
      <c r="H3" s="1418"/>
      <c r="I3" s="1418"/>
      <c r="J3" s="1233" t="str">
        <f>LEFT(G3,3)&amp;"/"&amp;LEFT(K3,3)</f>
        <v>Nov/Oct</v>
      </c>
      <c r="K3" s="1419" t="s">
        <v>760</v>
      </c>
      <c r="L3" s="1418"/>
      <c r="M3" s="1418"/>
      <c r="N3" s="1233" t="str">
        <f>LEFT(K3,3)&amp;"/"&amp;LEFT(O3,3)</f>
        <v>Oct/Sep</v>
      </c>
      <c r="O3" s="1419" t="s">
        <v>761</v>
      </c>
      <c r="P3" s="1418"/>
      <c r="Q3" s="1418"/>
      <c r="R3" s="1233" t="s">
        <v>128</v>
      </c>
      <c r="S3" s="1417">
        <v>45870</v>
      </c>
      <c r="T3" s="1420"/>
      <c r="U3" s="1420"/>
      <c r="V3" s="1233" t="s">
        <v>690</v>
      </c>
      <c r="W3" s="1417">
        <v>45839</v>
      </c>
      <c r="X3" s="1420"/>
      <c r="Y3" s="1420"/>
      <c r="Z3" s="1233" t="s">
        <v>555</v>
      </c>
      <c r="AA3" s="1417">
        <v>45809</v>
      </c>
      <c r="AB3" s="1420"/>
      <c r="AC3" s="1420"/>
      <c r="AD3" s="1233" t="s">
        <v>484</v>
      </c>
      <c r="AE3" s="1417">
        <v>45778</v>
      </c>
      <c r="AF3" s="1420"/>
      <c r="AG3" s="1420"/>
      <c r="AH3" s="1233" t="s">
        <v>418</v>
      </c>
      <c r="AI3" s="1417">
        <v>45748</v>
      </c>
      <c r="AJ3" s="1418"/>
      <c r="AK3" s="1418"/>
      <c r="AL3" s="1233" t="s">
        <v>482</v>
      </c>
      <c r="AM3" s="1417">
        <v>45717</v>
      </c>
      <c r="AN3" s="1418"/>
      <c r="AO3" s="1418"/>
      <c r="AP3" s="1233" t="s">
        <v>481</v>
      </c>
      <c r="AQ3" s="1417">
        <v>45689</v>
      </c>
      <c r="AR3" s="1418"/>
      <c r="AS3" s="1418"/>
      <c r="AT3" s="1233" t="s">
        <v>420</v>
      </c>
      <c r="AU3" s="1419" t="s">
        <v>742</v>
      </c>
      <c r="AV3" s="1418"/>
      <c r="AW3" s="1418"/>
      <c r="AX3" s="1233" t="s">
        <v>757</v>
      </c>
      <c r="AY3" s="1419" t="s">
        <v>737</v>
      </c>
      <c r="AZ3" s="1418"/>
      <c r="BA3" s="1418"/>
    </row>
    <row r="4" spans="1:60" ht="30" customHeight="1" thickTop="1">
      <c r="B4" s="616" t="s">
        <v>410</v>
      </c>
      <c r="C4" s="633" t="s">
        <v>408</v>
      </c>
      <c r="D4" s="617" t="s">
        <v>422</v>
      </c>
      <c r="E4" s="618" t="s">
        <v>76</v>
      </c>
      <c r="F4" s="814" t="s">
        <v>478</v>
      </c>
      <c r="G4" s="633" t="s">
        <v>408</v>
      </c>
      <c r="H4" s="617" t="s">
        <v>422</v>
      </c>
      <c r="I4" s="618" t="s">
        <v>76</v>
      </c>
      <c r="J4" s="814" t="s">
        <v>478</v>
      </c>
      <c r="K4" s="633" t="s">
        <v>408</v>
      </c>
      <c r="L4" s="617" t="s">
        <v>422</v>
      </c>
      <c r="M4" s="618" t="s">
        <v>76</v>
      </c>
      <c r="N4" s="814" t="s">
        <v>478</v>
      </c>
      <c r="O4" s="633" t="s">
        <v>408</v>
      </c>
      <c r="P4" s="617" t="s">
        <v>422</v>
      </c>
      <c r="Q4" s="618" t="s">
        <v>76</v>
      </c>
      <c r="R4" s="814" t="s">
        <v>478</v>
      </c>
      <c r="S4" s="633" t="s">
        <v>408</v>
      </c>
      <c r="T4" s="617" t="s">
        <v>422</v>
      </c>
      <c r="U4" s="618" t="s">
        <v>76</v>
      </c>
      <c r="V4" s="814" t="s">
        <v>478</v>
      </c>
      <c r="W4" s="633" t="s">
        <v>408</v>
      </c>
      <c r="X4" s="617" t="s">
        <v>422</v>
      </c>
      <c r="Y4" s="618" t="s">
        <v>76</v>
      </c>
      <c r="Z4" s="814" t="s">
        <v>478</v>
      </c>
      <c r="AA4" s="633" t="s">
        <v>408</v>
      </c>
      <c r="AB4" s="617" t="s">
        <v>422</v>
      </c>
      <c r="AC4" s="618" t="s">
        <v>76</v>
      </c>
      <c r="AD4" s="814" t="s">
        <v>478</v>
      </c>
      <c r="AE4" s="633" t="s">
        <v>408</v>
      </c>
      <c r="AF4" s="617" t="s">
        <v>422</v>
      </c>
      <c r="AG4" s="618" t="s">
        <v>76</v>
      </c>
      <c r="AH4" s="814" t="s">
        <v>478</v>
      </c>
      <c r="AI4" s="633" t="s">
        <v>408</v>
      </c>
      <c r="AJ4" s="617" t="s">
        <v>422</v>
      </c>
      <c r="AK4" s="618" t="s">
        <v>76</v>
      </c>
      <c r="AL4" s="814" t="s">
        <v>478</v>
      </c>
      <c r="AM4" s="633" t="s">
        <v>408</v>
      </c>
      <c r="AN4" s="617" t="s">
        <v>422</v>
      </c>
      <c r="AO4" s="618" t="s">
        <v>76</v>
      </c>
      <c r="AP4" s="814" t="s">
        <v>478</v>
      </c>
      <c r="AQ4" s="633" t="s">
        <v>408</v>
      </c>
      <c r="AR4" s="617" t="s">
        <v>422</v>
      </c>
      <c r="AS4" s="618" t="s">
        <v>76</v>
      </c>
      <c r="AT4" s="814" t="s">
        <v>478</v>
      </c>
      <c r="AU4" s="633" t="s">
        <v>408</v>
      </c>
      <c r="AV4" s="617" t="s">
        <v>422</v>
      </c>
      <c r="AW4" s="618" t="s">
        <v>76</v>
      </c>
      <c r="AX4" s="1289" t="s">
        <v>478</v>
      </c>
      <c r="AY4" s="633" t="s">
        <v>408</v>
      </c>
      <c r="AZ4" s="617" t="s">
        <v>422</v>
      </c>
      <c r="BA4" s="618" t="s">
        <v>76</v>
      </c>
    </row>
    <row r="5" spans="1:60" ht="26.25" customHeight="1">
      <c r="B5" s="619" t="s">
        <v>216</v>
      </c>
      <c r="C5" s="634"/>
      <c r="D5" s="1047"/>
      <c r="E5" s="627"/>
      <c r="F5" s="815"/>
      <c r="G5" s="634"/>
      <c r="H5" s="1047"/>
      <c r="I5" s="627"/>
      <c r="J5" s="815"/>
      <c r="K5" s="634"/>
      <c r="L5" s="1047"/>
      <c r="M5" s="627"/>
      <c r="N5" s="815"/>
      <c r="O5" s="634"/>
      <c r="P5" s="1047"/>
      <c r="Q5" s="627"/>
      <c r="R5" s="815"/>
      <c r="S5" s="634"/>
      <c r="T5" s="1047"/>
      <c r="U5" s="627"/>
      <c r="V5" s="815"/>
      <c r="W5" s="634"/>
      <c r="X5" s="1047"/>
      <c r="Y5" s="627"/>
      <c r="Z5" s="815"/>
      <c r="AA5" s="634"/>
      <c r="AB5" s="1047"/>
      <c r="AC5" s="627"/>
      <c r="AD5" s="815"/>
      <c r="AE5" s="634"/>
      <c r="AF5" s="620"/>
      <c r="AG5" s="627"/>
      <c r="AH5" s="815"/>
      <c r="AI5" s="634">
        <f>+COUNTIFS('Salary sheet'!$E$6:$E$1291,$B5)</f>
        <v>284</v>
      </c>
      <c r="AJ5" s="620">
        <f>SUMIFS('Salary sheet'!$AT$6:$AT$1291,'Salary sheet'!$E$6:$E$1291,$B5)</f>
        <v>2557339954</v>
      </c>
      <c r="AK5" s="627">
        <f>+AJ5/AK$2</f>
        <v>97926.094351905034</v>
      </c>
      <c r="AL5" s="815">
        <f>+AJ5/AN5</f>
        <v>0.93402164536235399</v>
      </c>
      <c r="AM5" s="634">
        <v>292</v>
      </c>
      <c r="AN5" s="620">
        <v>2737987890</v>
      </c>
      <c r="AO5" s="627">
        <v>106557.22475189726</v>
      </c>
      <c r="AP5" s="815">
        <f>+AN5/AR5</f>
        <v>1.0615978445733831</v>
      </c>
      <c r="AQ5" s="634">
        <v>294</v>
      </c>
      <c r="AR5" s="620">
        <v>2579119677</v>
      </c>
      <c r="AS5" s="627">
        <f>+AR5/AS$2</f>
        <v>100472.13389170238</v>
      </c>
      <c r="AT5" s="815">
        <f>+AR5/AV5</f>
        <v>1.2425969180935013</v>
      </c>
      <c r="AU5" s="634">
        <v>283</v>
      </c>
      <c r="AV5" s="620">
        <v>2075588342</v>
      </c>
      <c r="AW5" s="627">
        <f>+AV5/AW$2</f>
        <v>81236.334324853233</v>
      </c>
      <c r="AX5" s="1290">
        <f>+AV5/AZ5</f>
        <v>0.66709288943626965</v>
      </c>
      <c r="AY5" s="634">
        <v>299</v>
      </c>
      <c r="AZ5" s="1047">
        <v>3111393293</v>
      </c>
      <c r="BA5" s="1304">
        <f>+AZ5/BA$2</f>
        <v>121776.645518591</v>
      </c>
    </row>
    <row r="6" spans="1:60" s="610" customFormat="1" ht="26.25" customHeight="1">
      <c r="B6" s="619" t="s">
        <v>217</v>
      </c>
      <c r="C6" s="634"/>
      <c r="D6" s="1047"/>
      <c r="E6" s="627"/>
      <c r="F6" s="815"/>
      <c r="G6" s="634"/>
      <c r="H6" s="1047"/>
      <c r="I6" s="627"/>
      <c r="J6" s="815"/>
      <c r="K6" s="634"/>
      <c r="L6" s="1047"/>
      <c r="M6" s="627"/>
      <c r="N6" s="815"/>
      <c r="O6" s="634"/>
      <c r="P6" s="1047"/>
      <c r="Q6" s="627"/>
      <c r="R6" s="815"/>
      <c r="S6" s="634"/>
      <c r="T6" s="1047"/>
      <c r="U6" s="627"/>
      <c r="V6" s="815"/>
      <c r="W6" s="634"/>
      <c r="X6" s="1047"/>
      <c r="Y6" s="627"/>
      <c r="Z6" s="815"/>
      <c r="AA6" s="634"/>
      <c r="AB6" s="1047"/>
      <c r="AC6" s="627"/>
      <c r="AD6" s="815"/>
      <c r="AE6" s="634"/>
      <c r="AF6" s="620"/>
      <c r="AG6" s="627"/>
      <c r="AH6" s="815"/>
      <c r="AI6" s="634">
        <f>+COUNTIFS('Salary sheet'!$E$6:$E$1291,$B6)</f>
        <v>179</v>
      </c>
      <c r="AJ6" s="620">
        <f>SUMIFS('Salary sheet'!$AT$6:$AT$1291,'Salary sheet'!$E$6:$E$1291,$B6)</f>
        <v>1600986183</v>
      </c>
      <c r="AK6" s="627">
        <f t="shared" ref="AK6:AK9" si="0">+AJ6/AK$2</f>
        <v>61305.23388856979</v>
      </c>
      <c r="AL6" s="815">
        <f t="shared" ref="AL6:AL16" si="1">+AJ6/AN6</f>
        <v>0.99214115605183573</v>
      </c>
      <c r="AM6" s="634">
        <v>181</v>
      </c>
      <c r="AN6" s="620">
        <v>1613667746</v>
      </c>
      <c r="AO6" s="627">
        <v>62800.846312512163</v>
      </c>
      <c r="AP6" s="815">
        <f t="shared" ref="AP6:AP16" si="2">+AN6/AR6</f>
        <v>1.0191865645715092</v>
      </c>
      <c r="AQ6" s="634">
        <v>183</v>
      </c>
      <c r="AR6" s="620">
        <v>1583289853</v>
      </c>
      <c r="AS6" s="627">
        <f t="shared" ref="AS6:AS9" si="3">+AR6/AS$2</f>
        <v>61678.607440592132</v>
      </c>
      <c r="AT6" s="815">
        <f t="shared" ref="AT6:AT11" si="4">+AR6/AV6</f>
        <v>1.4817184517170592</v>
      </c>
      <c r="AU6" s="634">
        <v>172</v>
      </c>
      <c r="AV6" s="620">
        <v>1068549731</v>
      </c>
      <c r="AW6" s="627">
        <f t="shared" ref="AW6:AW9" si="5">+AV6/AW$2</f>
        <v>41821.907279843443</v>
      </c>
      <c r="AX6" s="1290">
        <f t="shared" ref="AX6:AX8" si="6">+AV6/AZ6</f>
        <v>0.58605134431919592</v>
      </c>
      <c r="AY6" s="634">
        <v>176</v>
      </c>
      <c r="AZ6" s="1047">
        <v>1823303950</v>
      </c>
      <c r="BA6" s="1304">
        <f>+AZ6/BA$2</f>
        <v>71362.189823874753</v>
      </c>
    </row>
    <row r="7" spans="1:60" s="610" customFormat="1" ht="26.25" customHeight="1">
      <c r="B7" s="619" t="s">
        <v>218</v>
      </c>
      <c r="C7" s="634"/>
      <c r="D7" s="1047"/>
      <c r="E7" s="627"/>
      <c r="F7" s="815"/>
      <c r="G7" s="634"/>
      <c r="H7" s="1047"/>
      <c r="I7" s="627"/>
      <c r="J7" s="815"/>
      <c r="K7" s="634"/>
      <c r="L7" s="1047"/>
      <c r="M7" s="627"/>
      <c r="N7" s="815"/>
      <c r="O7" s="634"/>
      <c r="P7" s="1047"/>
      <c r="Q7" s="627"/>
      <c r="R7" s="815"/>
      <c r="S7" s="634"/>
      <c r="T7" s="1047"/>
      <c r="U7" s="627"/>
      <c r="V7" s="815"/>
      <c r="W7" s="634"/>
      <c r="X7" s="1047"/>
      <c r="Y7" s="627"/>
      <c r="Z7" s="815"/>
      <c r="AA7" s="634"/>
      <c r="AB7" s="1047"/>
      <c r="AC7" s="627"/>
      <c r="AD7" s="815"/>
      <c r="AE7" s="634"/>
      <c r="AF7" s="620"/>
      <c r="AG7" s="627"/>
      <c r="AH7" s="815"/>
      <c r="AI7" s="634">
        <f>+COUNTIFS('Salary sheet'!$E$6:$E$1291,$B7)</f>
        <v>184</v>
      </c>
      <c r="AJ7" s="620">
        <f>SUMIFS('Salary sheet'!$AT$6:$AT$1291,'Salary sheet'!$E$6:$E$1291,$B7)</f>
        <v>1470715569</v>
      </c>
      <c r="AK7" s="627">
        <f t="shared" si="0"/>
        <v>56316.889488799541</v>
      </c>
      <c r="AL7" s="815">
        <f t="shared" si="1"/>
        <v>0.98769743492171158</v>
      </c>
      <c r="AM7" s="634">
        <v>178</v>
      </c>
      <c r="AN7" s="620">
        <v>1489034513</v>
      </c>
      <c r="AO7" s="627">
        <v>57950.360498151393</v>
      </c>
      <c r="AP7" s="815">
        <f t="shared" si="2"/>
        <v>1.0954997317445254</v>
      </c>
      <c r="AQ7" s="634">
        <v>182</v>
      </c>
      <c r="AR7" s="620">
        <v>1359228551</v>
      </c>
      <c r="AS7" s="627">
        <f t="shared" si="3"/>
        <v>52950.079898714452</v>
      </c>
      <c r="AT7" s="815">
        <f t="shared" si="4"/>
        <v>1.1558625048521904</v>
      </c>
      <c r="AU7" s="634">
        <v>183</v>
      </c>
      <c r="AV7" s="620">
        <v>1175943112</v>
      </c>
      <c r="AW7" s="627">
        <f t="shared" si="5"/>
        <v>46025.170724070449</v>
      </c>
      <c r="AX7" s="1290">
        <f t="shared" si="6"/>
        <v>0.59832064324847911</v>
      </c>
      <c r="AY7" s="634">
        <v>192</v>
      </c>
      <c r="AZ7" s="1047">
        <v>1965406217</v>
      </c>
      <c r="BA7" s="1304">
        <f t="shared" ref="BA7:BA8" si="7">+AZ7/BA$2</f>
        <v>76923.922387475541</v>
      </c>
    </row>
    <row r="8" spans="1:60" ht="26.25" customHeight="1">
      <c r="A8" s="611" t="s">
        <v>219</v>
      </c>
      <c r="B8" s="619" t="s">
        <v>220</v>
      </c>
      <c r="C8" s="634"/>
      <c r="D8" s="1047"/>
      <c r="E8" s="627"/>
      <c r="F8" s="815"/>
      <c r="G8" s="634"/>
      <c r="H8" s="1047"/>
      <c r="I8" s="627"/>
      <c r="J8" s="815"/>
      <c r="K8" s="634"/>
      <c r="L8" s="1047"/>
      <c r="M8" s="627"/>
      <c r="N8" s="815"/>
      <c r="O8" s="634"/>
      <c r="P8" s="1047"/>
      <c r="Q8" s="627"/>
      <c r="R8" s="815"/>
      <c r="S8" s="634"/>
      <c r="T8" s="1047"/>
      <c r="U8" s="627"/>
      <c r="V8" s="815"/>
      <c r="W8" s="634"/>
      <c r="X8" s="1047"/>
      <c r="Y8" s="627"/>
      <c r="Z8" s="815"/>
      <c r="AA8" s="634"/>
      <c r="AB8" s="1047"/>
      <c r="AC8" s="627"/>
      <c r="AD8" s="815"/>
      <c r="AE8" s="634"/>
      <c r="AF8" s="620"/>
      <c r="AG8" s="627"/>
      <c r="AH8" s="815"/>
      <c r="AI8" s="634">
        <f>+COUNTIFS('Salary sheet'!$E$6:$E$1291,$B8)</f>
        <v>155</v>
      </c>
      <c r="AJ8" s="620">
        <f>SUMIFS('Salary sheet'!$AT$6:$AT$1291,'Salary sheet'!$E$6:$E$1291,$B8)</f>
        <v>1872902206</v>
      </c>
      <c r="AK8" s="627">
        <f t="shared" si="0"/>
        <v>71717.488263450126</v>
      </c>
      <c r="AL8" s="815">
        <f t="shared" si="1"/>
        <v>0.98678289770044081</v>
      </c>
      <c r="AM8" s="634">
        <v>157</v>
      </c>
      <c r="AN8" s="620">
        <v>1897988109</v>
      </c>
      <c r="AO8" s="627">
        <v>73866.048219497956</v>
      </c>
      <c r="AP8" s="815">
        <f t="shared" si="2"/>
        <v>1.0056225732905</v>
      </c>
      <c r="AQ8" s="634">
        <v>155</v>
      </c>
      <c r="AR8" s="620">
        <v>1887376198</v>
      </c>
      <c r="AS8" s="627">
        <f t="shared" si="3"/>
        <v>73524.58893650175</v>
      </c>
      <c r="AT8" s="815">
        <f t="shared" si="4"/>
        <v>1.5306626225305144</v>
      </c>
      <c r="AU8" s="634">
        <v>154</v>
      </c>
      <c r="AV8" s="620">
        <v>1233045199</v>
      </c>
      <c r="AW8" s="627">
        <f t="shared" si="5"/>
        <v>48260.086066536205</v>
      </c>
      <c r="AX8" s="1290">
        <f t="shared" si="6"/>
        <v>0.56642304556071932</v>
      </c>
      <c r="AY8" s="634">
        <v>160</v>
      </c>
      <c r="AZ8" s="1047">
        <v>2176898007</v>
      </c>
      <c r="BA8" s="1304">
        <f t="shared" si="7"/>
        <v>85201.487553816041</v>
      </c>
    </row>
    <row r="9" spans="1:60" s="610" customFormat="1" ht="26.25" customHeight="1">
      <c r="B9" s="619" t="s">
        <v>423</v>
      </c>
      <c r="C9" s="634"/>
      <c r="D9" s="620"/>
      <c r="E9" s="627"/>
      <c r="F9" s="815"/>
      <c r="G9" s="634"/>
      <c r="H9" s="620"/>
      <c r="I9" s="627"/>
      <c r="J9" s="815"/>
      <c r="K9" s="634"/>
      <c r="L9" s="620"/>
      <c r="M9" s="627"/>
      <c r="N9" s="815"/>
      <c r="O9" s="634"/>
      <c r="P9" s="620"/>
      <c r="Q9" s="627"/>
      <c r="R9" s="815"/>
      <c r="S9" s="634"/>
      <c r="T9" s="620"/>
      <c r="U9" s="627"/>
      <c r="V9" s="815"/>
      <c r="W9" s="634"/>
      <c r="X9" s="620"/>
      <c r="Y9" s="627"/>
      <c r="Z9" s="815"/>
      <c r="AA9" s="634"/>
      <c r="AB9" s="620"/>
      <c r="AC9" s="627"/>
      <c r="AD9" s="815"/>
      <c r="AE9" s="634"/>
      <c r="AF9" s="620"/>
      <c r="AG9" s="627"/>
      <c r="AH9" s="815"/>
      <c r="AI9" s="634">
        <v>2</v>
      </c>
      <c r="AJ9" s="620">
        <f>+'Foreign Salary'!$R8+'Foreign Salary'!$R9</f>
        <v>363503937</v>
      </c>
      <c r="AK9" s="627">
        <f t="shared" si="0"/>
        <v>13919.354279149913</v>
      </c>
      <c r="AL9" s="815">
        <f t="shared" si="1"/>
        <v>1.0152882317467182</v>
      </c>
      <c r="AM9" s="634">
        <v>2</v>
      </c>
      <c r="AN9" s="620">
        <v>358030287</v>
      </c>
      <c r="AO9" s="627">
        <v>13933.850437828371</v>
      </c>
      <c r="AP9" s="815">
        <f t="shared" si="2"/>
        <v>1.0009108412747703</v>
      </c>
      <c r="AQ9" s="634">
        <v>2</v>
      </c>
      <c r="AR9" s="620">
        <v>357704475</v>
      </c>
      <c r="AS9" s="627">
        <f t="shared" si="3"/>
        <v>13934.728282041293</v>
      </c>
      <c r="AT9" s="815">
        <f t="shared" si="4"/>
        <v>0.96952673040386295</v>
      </c>
      <c r="AU9" s="634">
        <v>2</v>
      </c>
      <c r="AV9" s="620">
        <v>368947512</v>
      </c>
      <c r="AW9" s="627">
        <f t="shared" si="5"/>
        <v>14440.215733855186</v>
      </c>
      <c r="AX9" s="1290">
        <f>+AV9/AZ9</f>
        <v>1.2044588358032742</v>
      </c>
      <c r="AY9" s="634">
        <v>2</v>
      </c>
      <c r="AZ9" s="620">
        <v>306318075</v>
      </c>
      <c r="BA9" s="1304">
        <f>+AZ9/BA$2</f>
        <v>11988.965753424658</v>
      </c>
    </row>
    <row r="10" spans="1:60" s="610" customFormat="1" ht="26.25" customHeight="1">
      <c r="B10" s="621" t="s">
        <v>411</v>
      </c>
      <c r="C10" s="635"/>
      <c r="D10" s="622"/>
      <c r="E10" s="638"/>
      <c r="F10" s="790"/>
      <c r="G10" s="635"/>
      <c r="H10" s="622"/>
      <c r="I10" s="638"/>
      <c r="J10" s="790"/>
      <c r="K10" s="635"/>
      <c r="L10" s="622"/>
      <c r="M10" s="638"/>
      <c r="N10" s="790"/>
      <c r="O10" s="635"/>
      <c r="P10" s="622"/>
      <c r="Q10" s="638"/>
      <c r="R10" s="790"/>
      <c r="S10" s="635"/>
      <c r="T10" s="622"/>
      <c r="U10" s="638"/>
      <c r="V10" s="790"/>
      <c r="W10" s="635"/>
      <c r="X10" s="622"/>
      <c r="Y10" s="638"/>
      <c r="Z10" s="790"/>
      <c r="AA10" s="635"/>
      <c r="AB10" s="622"/>
      <c r="AC10" s="638"/>
      <c r="AD10" s="790"/>
      <c r="AE10" s="635"/>
      <c r="AF10" s="622"/>
      <c r="AG10" s="638"/>
      <c r="AH10" s="790"/>
      <c r="AI10" s="635">
        <f>SUM(AI5:AI9)</f>
        <v>804</v>
      </c>
      <c r="AJ10" s="622">
        <f>SUM(AJ5:AJ9)</f>
        <v>7865447849</v>
      </c>
      <c r="AK10" s="638">
        <f>SUM(AK5:AK9)</f>
        <v>301185.06027187442</v>
      </c>
      <c r="AL10" s="790">
        <f t="shared" si="1"/>
        <v>0.97143769042510353</v>
      </c>
      <c r="AM10" s="635">
        <f>SUM(AM5:AM9)</f>
        <v>810</v>
      </c>
      <c r="AN10" s="622">
        <f>SUM(AN5:AN9)</f>
        <v>8096708545</v>
      </c>
      <c r="AO10" s="638">
        <f>SUM(AO5:AO9)</f>
        <v>315108.33021988714</v>
      </c>
      <c r="AP10" s="790">
        <f t="shared" si="2"/>
        <v>1.0424876709781785</v>
      </c>
      <c r="AQ10" s="635">
        <f>SUM(AQ5:AQ9)</f>
        <v>816</v>
      </c>
      <c r="AR10" s="622">
        <f>SUM(AR5:AR9)</f>
        <v>7766718754</v>
      </c>
      <c r="AS10" s="638">
        <f>SUM(AS5:AS9)</f>
        <v>302560.138449552</v>
      </c>
      <c r="AT10" s="790">
        <f t="shared" si="4"/>
        <v>1.3114862952395689</v>
      </c>
      <c r="AU10" s="635">
        <f>SUM(AU5:AU9)</f>
        <v>794</v>
      </c>
      <c r="AV10" s="622">
        <f>SUM(AV5:AV9)</f>
        <v>5922073896</v>
      </c>
      <c r="AW10" s="638">
        <f>SUM(AW5:AW9)</f>
        <v>231783.7141291585</v>
      </c>
      <c r="AX10" s="1291">
        <f>+AV10/D42</f>
        <v>0.75292265738599018</v>
      </c>
      <c r="AY10" s="635">
        <f>SUM(AY5:AY9)</f>
        <v>829</v>
      </c>
      <c r="AZ10" s="622">
        <f>SUM(AZ5:AZ9)</f>
        <v>9383319542</v>
      </c>
      <c r="BA10" s="1305">
        <f t="shared" ref="BA10" si="8">SUM(BA5:BA9)</f>
        <v>367253.21103718202</v>
      </c>
    </row>
    <row r="11" spans="1:60" s="804" customFormat="1" ht="26.25" customHeight="1">
      <c r="B11" s="805" t="s">
        <v>424</v>
      </c>
      <c r="C11" s="806"/>
      <c r="D11" s="1294"/>
      <c r="E11" s="808"/>
      <c r="F11" s="790"/>
      <c r="G11" s="806"/>
      <c r="H11" s="851"/>
      <c r="I11" s="808"/>
      <c r="J11" s="790"/>
      <c r="K11" s="806"/>
      <c r="L11" s="851"/>
      <c r="M11" s="808"/>
      <c r="N11" s="790"/>
      <c r="O11" s="806"/>
      <c r="P11" s="851"/>
      <c r="Q11" s="808"/>
      <c r="R11" s="790"/>
      <c r="S11" s="806"/>
      <c r="T11" s="851"/>
      <c r="U11" s="808"/>
      <c r="V11" s="790"/>
      <c r="W11" s="806"/>
      <c r="X11" s="851"/>
      <c r="Y11" s="808"/>
      <c r="Z11" s="790"/>
      <c r="AA11" s="806"/>
      <c r="AB11" s="851"/>
      <c r="AC11" s="808"/>
      <c r="AD11" s="790"/>
      <c r="AE11" s="806"/>
      <c r="AF11" s="851"/>
      <c r="AG11" s="808"/>
      <c r="AH11" s="790"/>
      <c r="AI11" s="806">
        <f>+AI10/AI16</f>
        <v>0.62373933281613658</v>
      </c>
      <c r="AJ11" s="851">
        <f>+AJ10/AJ16</f>
        <v>0.60194504034817786</v>
      </c>
      <c r="AK11" s="808">
        <f t="shared" ref="AK11" si="9">+AK10/AK16</f>
        <v>0.60194504034817797</v>
      </c>
      <c r="AL11" s="790">
        <f t="shared" si="1"/>
        <v>0.94901158976289512</v>
      </c>
      <c r="AM11" s="806">
        <f>+AM10/AM16</f>
        <v>0.62596599690880994</v>
      </c>
      <c r="AN11" s="851">
        <f>+AN10/AN16</f>
        <v>0.63428628990565883</v>
      </c>
      <c r="AO11" s="808">
        <f t="shared" ref="AO11" si="10">+AO10/AO16</f>
        <v>0.63428628990565883</v>
      </c>
      <c r="AP11" s="790">
        <f t="shared" si="2"/>
        <v>0.97150395169694237</v>
      </c>
      <c r="AQ11" s="806">
        <f>+AQ10/AQ16</f>
        <v>0.63949843260188088</v>
      </c>
      <c r="AR11" s="851">
        <f>+AR10/AR16</f>
        <v>0.65289110641057124</v>
      </c>
      <c r="AS11" s="808">
        <f t="shared" ref="AS11" si="11">+AS10/AS16</f>
        <v>0.65289110641057113</v>
      </c>
      <c r="AT11" s="790">
        <f t="shared" si="4"/>
        <v>0.99989139180306752</v>
      </c>
      <c r="AU11" s="806">
        <f>+AU10/AU16</f>
        <v>0.63826366559485526</v>
      </c>
      <c r="AV11" s="851">
        <f>+AV10/AV16</f>
        <v>0.65296202343860232</v>
      </c>
      <c r="AW11" s="808">
        <f t="shared" ref="AW11" si="12">+AW10/AW16</f>
        <v>0.65296202343860232</v>
      </c>
      <c r="AX11" s="1291">
        <f>+AV11/D43</f>
        <v>1.0847535566717439</v>
      </c>
      <c r="AY11" s="1306">
        <f>+AY10/AY16</f>
        <v>0.63573619631901845</v>
      </c>
      <c r="AZ11" s="1307">
        <f>+AZ10/AZ16</f>
        <v>0.63486323571006309</v>
      </c>
      <c r="BA11" s="1308">
        <f>+BA10/BA16</f>
        <v>0.63486323571006309</v>
      </c>
    </row>
    <row r="12" spans="1:60" ht="26.25" customHeight="1">
      <c r="B12" s="623" t="s">
        <v>221</v>
      </c>
      <c r="C12" s="634"/>
      <c r="D12" s="1047"/>
      <c r="E12" s="627"/>
      <c r="F12" s="815"/>
      <c r="G12" s="634"/>
      <c r="H12" s="1047"/>
      <c r="I12" s="627"/>
      <c r="J12" s="815"/>
      <c r="K12" s="634"/>
      <c r="L12" s="1047"/>
      <c r="M12" s="627"/>
      <c r="N12" s="815"/>
      <c r="O12" s="634"/>
      <c r="P12" s="1047"/>
      <c r="Q12" s="627"/>
      <c r="R12" s="815"/>
      <c r="S12" s="634"/>
      <c r="T12" s="1047"/>
      <c r="U12" s="627"/>
      <c r="V12" s="815"/>
      <c r="W12" s="634"/>
      <c r="X12" s="1047"/>
      <c r="Y12" s="627"/>
      <c r="Z12" s="815"/>
      <c r="AA12" s="634"/>
      <c r="AB12" s="1047"/>
      <c r="AC12" s="627"/>
      <c r="AD12" s="815"/>
      <c r="AE12" s="634"/>
      <c r="AF12" s="620"/>
      <c r="AG12" s="627"/>
      <c r="AH12" s="815"/>
      <c r="AI12" s="634">
        <f>+COUNTIFS('Salary sheet'!$E$6:$E$1291,$B12)</f>
        <v>484</v>
      </c>
      <c r="AJ12" s="620">
        <f>SUMIFS('Salary sheet'!$AT$6:$AT$1291,'Salary sheet'!$E$6:$E$1291,$B12)</f>
        <v>5084279703</v>
      </c>
      <c r="AK12" s="627">
        <f>+AJ12/AK$2</f>
        <v>194688.09890867319</v>
      </c>
      <c r="AL12" s="815">
        <f t="shared" si="1"/>
        <v>1.1156453836613796</v>
      </c>
      <c r="AM12" s="634">
        <v>483</v>
      </c>
      <c r="AN12" s="620">
        <v>4557254283</v>
      </c>
      <c r="AO12" s="627">
        <v>177359.57513134851</v>
      </c>
      <c r="AP12" s="815">
        <f t="shared" si="2"/>
        <v>1.1365264719970907</v>
      </c>
      <c r="AQ12" s="634">
        <v>459</v>
      </c>
      <c r="AR12" s="620">
        <v>4009809182</v>
      </c>
      <c r="AS12" s="627">
        <f>+AR12/AS$2</f>
        <v>156206.04526684846</v>
      </c>
      <c r="AT12" s="815">
        <f t="shared" ref="AT12:AT16" si="13">+AR12/AV12</f>
        <v>1.3257879551450162</v>
      </c>
      <c r="AU12" s="634">
        <v>449</v>
      </c>
      <c r="AV12" s="620">
        <v>3024472478</v>
      </c>
      <c r="AW12" s="627">
        <f t="shared" ref="AW12:AW13" si="14">+AV12/AW$2</f>
        <v>118374.65667318982</v>
      </c>
      <c r="AX12" s="1290">
        <f t="shared" ref="AX12:AX13" si="15">+AV12/AZ12</f>
        <v>0.57160648979621909</v>
      </c>
      <c r="AY12" s="634">
        <v>474</v>
      </c>
      <c r="AZ12" s="1047">
        <v>5291179390</v>
      </c>
      <c r="BA12" s="1304">
        <f>+AZ12/BA$2</f>
        <v>207091.1698630137</v>
      </c>
      <c r="BD12" s="1334"/>
      <c r="BE12" s="1334"/>
      <c r="BF12" s="1334"/>
      <c r="BG12" s="1334"/>
      <c r="BH12" s="1334"/>
    </row>
    <row r="13" spans="1:60" ht="26.25" customHeight="1">
      <c r="B13" s="623" t="s">
        <v>425</v>
      </c>
      <c r="C13" s="634"/>
      <c r="D13" s="620"/>
      <c r="E13" s="627"/>
      <c r="F13" s="815"/>
      <c r="G13" s="634"/>
      <c r="H13" s="620"/>
      <c r="I13" s="627"/>
      <c r="J13" s="815"/>
      <c r="K13" s="634"/>
      <c r="L13" s="620"/>
      <c r="M13" s="627"/>
      <c r="N13" s="815"/>
      <c r="O13" s="634"/>
      <c r="P13" s="620"/>
      <c r="Q13" s="627"/>
      <c r="R13" s="815"/>
      <c r="S13" s="634"/>
      <c r="T13" s="620"/>
      <c r="U13" s="627"/>
      <c r="V13" s="815"/>
      <c r="W13" s="634"/>
      <c r="X13" s="620"/>
      <c r="Y13" s="627"/>
      <c r="Z13" s="815"/>
      <c r="AA13" s="634"/>
      <c r="AB13" s="620"/>
      <c r="AC13" s="627"/>
      <c r="AD13" s="815"/>
      <c r="AE13" s="634"/>
      <c r="AF13" s="620"/>
      <c r="AG13" s="627"/>
      <c r="AH13" s="815"/>
      <c r="AI13" s="634">
        <v>1</v>
      </c>
      <c r="AJ13" s="620">
        <f>+'Foreign Salary'!$R10</f>
        <v>116993364</v>
      </c>
      <c r="AK13" s="627">
        <f t="shared" ref="AK13" si="16">+AJ13/AK$2</f>
        <v>4479.9296955772543</v>
      </c>
      <c r="AL13" s="815">
        <f t="shared" si="1"/>
        <v>1.0529827712256983</v>
      </c>
      <c r="AM13" s="634">
        <v>1</v>
      </c>
      <c r="AN13" s="620">
        <v>111106627</v>
      </c>
      <c r="AO13" s="627">
        <v>4324.0563144580656</v>
      </c>
      <c r="AP13" s="815">
        <f t="shared" si="2"/>
        <v>0.93086125795923735</v>
      </c>
      <c r="AQ13" s="634">
        <v>1</v>
      </c>
      <c r="AR13" s="620">
        <v>119358955</v>
      </c>
      <c r="AS13" s="627">
        <f t="shared" ref="AS13" si="17">+AR13/AS$2</f>
        <v>4649.7450331125829</v>
      </c>
      <c r="AT13" s="815">
        <f t="shared" si="13"/>
        <v>0.97034310879923469</v>
      </c>
      <c r="AU13" s="634">
        <v>1</v>
      </c>
      <c r="AV13" s="620">
        <v>123006959</v>
      </c>
      <c r="AW13" s="627">
        <f t="shared" si="14"/>
        <v>4814.3623874755385</v>
      </c>
      <c r="AX13" s="1290">
        <f t="shared" si="15"/>
        <v>1.1652190885811959</v>
      </c>
      <c r="AY13" s="634">
        <v>1</v>
      </c>
      <c r="AZ13" s="620">
        <v>105565520</v>
      </c>
      <c r="BA13" s="1304">
        <f>+AZ13/BA$2</f>
        <v>4131.7228962818008</v>
      </c>
      <c r="BD13" s="1335"/>
      <c r="BE13" s="1335"/>
      <c r="BF13" s="1334"/>
      <c r="BG13" s="1334"/>
      <c r="BH13" s="1334"/>
    </row>
    <row r="14" spans="1:60" ht="26.25" customHeight="1">
      <c r="B14" s="621" t="s">
        <v>412</v>
      </c>
      <c r="C14" s="635"/>
      <c r="D14" s="622"/>
      <c r="E14" s="638"/>
      <c r="F14" s="790"/>
      <c r="G14" s="635"/>
      <c r="H14" s="622"/>
      <c r="I14" s="638"/>
      <c r="J14" s="790"/>
      <c r="K14" s="635"/>
      <c r="L14" s="622"/>
      <c r="M14" s="638"/>
      <c r="N14" s="790"/>
      <c r="O14" s="635"/>
      <c r="P14" s="622"/>
      <c r="Q14" s="638"/>
      <c r="R14" s="790"/>
      <c r="S14" s="635"/>
      <c r="T14" s="622"/>
      <c r="U14" s="638"/>
      <c r="V14" s="790"/>
      <c r="W14" s="635"/>
      <c r="X14" s="622"/>
      <c r="Y14" s="638"/>
      <c r="Z14" s="790"/>
      <c r="AA14" s="635"/>
      <c r="AB14" s="622"/>
      <c r="AC14" s="638"/>
      <c r="AD14" s="790"/>
      <c r="AE14" s="635"/>
      <c r="AF14" s="622"/>
      <c r="AG14" s="638"/>
      <c r="AH14" s="790"/>
      <c r="AI14" s="635">
        <f t="shared" ref="AI14:AJ14" si="18">SUM(AI12:AI13)</f>
        <v>485</v>
      </c>
      <c r="AJ14" s="622">
        <f t="shared" si="18"/>
        <v>5201273067</v>
      </c>
      <c r="AK14" s="638">
        <f>SUM(AK12:AK13)</f>
        <v>199168.02860425043</v>
      </c>
      <c r="AL14" s="790">
        <f t="shared" si="1"/>
        <v>1.1141540183533067</v>
      </c>
      <c r="AM14" s="635">
        <f t="shared" ref="AM14:AN14" si="19">SUM(AM12:AM13)</f>
        <v>484</v>
      </c>
      <c r="AN14" s="622">
        <f t="shared" si="19"/>
        <v>4668360910</v>
      </c>
      <c r="AO14" s="638">
        <f>SUM(AO12:AO13)</f>
        <v>181683.63144580656</v>
      </c>
      <c r="AP14" s="790">
        <f t="shared" si="2"/>
        <v>1.1305814525130344</v>
      </c>
      <c r="AQ14" s="635">
        <f t="shared" ref="AQ14:AR14" si="20">SUM(AQ12:AQ13)</f>
        <v>460</v>
      </c>
      <c r="AR14" s="622">
        <f t="shared" si="20"/>
        <v>4129168137</v>
      </c>
      <c r="AS14" s="638">
        <f>SUM(AS12:AS13)</f>
        <v>160855.79029996105</v>
      </c>
      <c r="AT14" s="790">
        <f t="shared" si="13"/>
        <v>1.3118967795181817</v>
      </c>
      <c r="AU14" s="635">
        <f t="shared" ref="AU14:AV14" si="21">SUM(AU12:AU13)</f>
        <v>450</v>
      </c>
      <c r="AV14" s="622">
        <f t="shared" si="21"/>
        <v>3147479437</v>
      </c>
      <c r="AW14" s="638">
        <f>SUM(AW12:AW13)</f>
        <v>123189.01906066536</v>
      </c>
      <c r="AX14" s="1291">
        <f>+AV14/D46</f>
        <v>0.60513635728327742</v>
      </c>
      <c r="AY14" s="635">
        <f t="shared" ref="AY14:BA14" si="22">SUM(AY12:AY13)</f>
        <v>475</v>
      </c>
      <c r="AZ14" s="622">
        <f t="shared" si="22"/>
        <v>5396744910</v>
      </c>
      <c r="BA14" s="1305">
        <f t="shared" si="22"/>
        <v>211222.8927592955</v>
      </c>
      <c r="BD14" s="1335"/>
      <c r="BE14" s="1335"/>
      <c r="BF14" s="1334"/>
      <c r="BG14" s="1334"/>
      <c r="BH14" s="1334"/>
    </row>
    <row r="15" spans="1:60" s="804" customFormat="1" ht="26.25" customHeight="1">
      <c r="B15" s="809" t="s">
        <v>424</v>
      </c>
      <c r="C15" s="810"/>
      <c r="D15" s="852"/>
      <c r="E15" s="812"/>
      <c r="F15" s="791"/>
      <c r="G15" s="810"/>
      <c r="H15" s="852"/>
      <c r="I15" s="812"/>
      <c r="J15" s="791"/>
      <c r="K15" s="810"/>
      <c r="L15" s="852"/>
      <c r="M15" s="812"/>
      <c r="N15" s="791"/>
      <c r="O15" s="810"/>
      <c r="P15" s="852"/>
      <c r="Q15" s="812"/>
      <c r="R15" s="791"/>
      <c r="S15" s="810"/>
      <c r="T15" s="852"/>
      <c r="U15" s="812"/>
      <c r="V15" s="791"/>
      <c r="W15" s="810"/>
      <c r="X15" s="852"/>
      <c r="Y15" s="812"/>
      <c r="Z15" s="791"/>
      <c r="AA15" s="810"/>
      <c r="AB15" s="852"/>
      <c r="AC15" s="812"/>
      <c r="AD15" s="791"/>
      <c r="AE15" s="810"/>
      <c r="AF15" s="852"/>
      <c r="AG15" s="812"/>
      <c r="AH15" s="791"/>
      <c r="AI15" s="810">
        <f>+AI14/AI16</f>
        <v>0.37626066718386347</v>
      </c>
      <c r="AJ15" s="1402">
        <f>+AJ14/AJ16</f>
        <v>0.39805495965182208</v>
      </c>
      <c r="AK15" s="812">
        <f>+AK14/AK16</f>
        <v>0.39805495965182214</v>
      </c>
      <c r="AL15" s="791">
        <f t="shared" si="1"/>
        <v>1.0884332434491941</v>
      </c>
      <c r="AM15" s="810">
        <f>+AM14/AM16</f>
        <v>0.37403400309119011</v>
      </c>
      <c r="AN15" s="852">
        <f t="shared" ref="AN15:AO15" si="23">+AN14/AN16</f>
        <v>0.36571371009434117</v>
      </c>
      <c r="AO15" s="812">
        <f t="shared" si="23"/>
        <v>0.36571371009434117</v>
      </c>
      <c r="AP15" s="791">
        <f t="shared" si="2"/>
        <v>1.0535993656414886</v>
      </c>
      <c r="AQ15" s="810">
        <f>+AQ14/AQ16</f>
        <v>0.36050156739811912</v>
      </c>
      <c r="AR15" s="852">
        <f t="shared" ref="AR15:AS15" si="24">+AR14/AR16</f>
        <v>0.34710889358942881</v>
      </c>
      <c r="AS15" s="812">
        <f t="shared" si="24"/>
        <v>0.34710889358942881</v>
      </c>
      <c r="AT15" s="791">
        <f t="shared" si="13"/>
        <v>1.000204349474181</v>
      </c>
      <c r="AU15" s="810">
        <f>+AU14/AU16</f>
        <v>0.36173633440514469</v>
      </c>
      <c r="AV15" s="852">
        <f t="shared" ref="AV15:AW15" si="25">+AV14/AV16</f>
        <v>0.34703797656139768</v>
      </c>
      <c r="AW15" s="812">
        <f t="shared" si="25"/>
        <v>0.34703797656139768</v>
      </c>
      <c r="AX15" s="1292">
        <f>+AV15/D47</f>
        <v>0.87183432374502035</v>
      </c>
      <c r="AY15" s="1309">
        <f>+AY14/AY16</f>
        <v>0.3642638036809816</v>
      </c>
      <c r="AZ15" s="1310">
        <f>+AZ14/AZ16</f>
        <v>0.36513676428993697</v>
      </c>
      <c r="BA15" s="1311">
        <f>+BA14/BA16</f>
        <v>0.36513676428993691</v>
      </c>
      <c r="BC15" s="1332"/>
      <c r="BD15" s="1333"/>
      <c r="BE15" s="1333"/>
      <c r="BF15" s="1332"/>
      <c r="BG15" s="1332"/>
      <c r="BH15" s="1332"/>
    </row>
    <row r="16" spans="1:60" ht="26.25" customHeight="1" thickBot="1">
      <c r="B16" s="624" t="s">
        <v>413</v>
      </c>
      <c r="C16" s="636"/>
      <c r="D16" s="625"/>
      <c r="E16" s="639"/>
      <c r="F16" s="816"/>
      <c r="G16" s="636"/>
      <c r="H16" s="625"/>
      <c r="I16" s="639"/>
      <c r="J16" s="816"/>
      <c r="K16" s="636"/>
      <c r="L16" s="625"/>
      <c r="M16" s="639"/>
      <c r="N16" s="816"/>
      <c r="O16" s="636"/>
      <c r="P16" s="625"/>
      <c r="Q16" s="639"/>
      <c r="R16" s="816"/>
      <c r="S16" s="636"/>
      <c r="T16" s="625"/>
      <c r="U16" s="639"/>
      <c r="V16" s="816"/>
      <c r="W16" s="636"/>
      <c r="X16" s="625"/>
      <c r="Y16" s="639"/>
      <c r="Z16" s="816"/>
      <c r="AA16" s="636"/>
      <c r="AB16" s="625"/>
      <c r="AC16" s="639"/>
      <c r="AD16" s="816"/>
      <c r="AE16" s="636"/>
      <c r="AF16" s="625"/>
      <c r="AG16" s="639"/>
      <c r="AH16" s="816"/>
      <c r="AI16" s="636">
        <f>+AI10+AI14</f>
        <v>1289</v>
      </c>
      <c r="AJ16" s="625">
        <f>+AJ14+AJ10</f>
        <v>13066720916</v>
      </c>
      <c r="AK16" s="639">
        <f>+AK14+AK10</f>
        <v>500353.08887612482</v>
      </c>
      <c r="AL16" s="816">
        <f t="shared" si="1"/>
        <v>1.0236310082027673</v>
      </c>
      <c r="AM16" s="636">
        <f>+AM10+AM14</f>
        <v>1294</v>
      </c>
      <c r="AN16" s="625">
        <f>+AN14+AN10</f>
        <v>12765069455</v>
      </c>
      <c r="AO16" s="639">
        <f>+AO14+AO10</f>
        <v>496791.96166569367</v>
      </c>
      <c r="AP16" s="816">
        <f t="shared" si="2"/>
        <v>1.0730658060188512</v>
      </c>
      <c r="AQ16" s="636">
        <f>+AQ10+AQ14</f>
        <v>1276</v>
      </c>
      <c r="AR16" s="625">
        <f>+AR14+AR10</f>
        <v>11895886891</v>
      </c>
      <c r="AS16" s="639">
        <f>+AS14+AS10</f>
        <v>463415.92874951306</v>
      </c>
      <c r="AT16" s="816">
        <f t="shared" si="13"/>
        <v>1.3116287488730289</v>
      </c>
      <c r="AU16" s="636">
        <f>+AU10+AU14</f>
        <v>1244</v>
      </c>
      <c r="AV16" s="625">
        <f>+AV14+AV10</f>
        <v>9069553333</v>
      </c>
      <c r="AW16" s="1315">
        <f>+AW14+AW10</f>
        <v>354972.73318982386</v>
      </c>
      <c r="AX16" s="1293">
        <f>+AV16/D48</f>
        <v>0.69409558766151269</v>
      </c>
      <c r="AY16" s="636">
        <f>+AY10+AY14</f>
        <v>1304</v>
      </c>
      <c r="AZ16" s="625">
        <f>+AZ10+AZ14</f>
        <v>14780064452</v>
      </c>
      <c r="BA16" s="1312">
        <f>+AZ16/BA$2</f>
        <v>578476.10379647755</v>
      </c>
      <c r="BC16" s="1334"/>
      <c r="BD16" s="1335"/>
      <c r="BE16" s="1335"/>
      <c r="BF16" s="1334"/>
      <c r="BG16" s="1334"/>
      <c r="BH16" s="1334"/>
    </row>
    <row r="17" spans="1:60" ht="26.25" hidden="1" customHeight="1" thickTop="1">
      <c r="B17" s="1319" t="s">
        <v>772</v>
      </c>
      <c r="C17" s="1320"/>
      <c r="D17" s="1321"/>
      <c r="E17" s="1322"/>
      <c r="F17" s="1323"/>
      <c r="G17" s="1320"/>
      <c r="H17" s="1321"/>
      <c r="I17" s="1322"/>
      <c r="J17" s="1323"/>
      <c r="K17" s="1320"/>
      <c r="L17" s="1321"/>
      <c r="M17" s="1322"/>
      <c r="N17" s="1323"/>
      <c r="O17" s="1320"/>
      <c r="P17" s="1321"/>
      <c r="Q17" s="1322"/>
      <c r="R17" s="1323"/>
      <c r="S17" s="1320"/>
      <c r="T17" s="1321"/>
      <c r="U17" s="1322"/>
      <c r="V17" s="1323"/>
      <c r="W17" s="1320"/>
      <c r="X17" s="1321"/>
      <c r="Y17" s="1322"/>
      <c r="Z17" s="1323"/>
      <c r="AA17" s="1320"/>
      <c r="AB17" s="1321"/>
      <c r="AC17" s="1322"/>
      <c r="AD17" s="1323"/>
      <c r="AE17" s="1320"/>
      <c r="AF17" s="1321"/>
      <c r="AG17" s="1322"/>
      <c r="AH17" s="1323"/>
      <c r="AI17" s="1320"/>
      <c r="AJ17" s="1321"/>
      <c r="AK17" s="1322"/>
      <c r="AL17" s="1323"/>
      <c r="AM17" s="1320"/>
      <c r="AN17" s="1321"/>
      <c r="AO17" s="1322"/>
      <c r="AP17" s="1323"/>
      <c r="AQ17" s="1320"/>
      <c r="AR17" s="1321"/>
      <c r="AS17" s="1322"/>
      <c r="AT17" s="1323"/>
      <c r="AU17" s="1320"/>
      <c r="AV17" s="1321">
        <v>3472403477</v>
      </c>
      <c r="AW17" s="1321">
        <f>+AV17/AW$2</f>
        <v>135906.20262230921</v>
      </c>
      <c r="AX17" s="1323"/>
      <c r="AY17" s="1320"/>
      <c r="AZ17" s="1321">
        <v>0</v>
      </c>
      <c r="BA17" s="1324"/>
      <c r="BC17" s="1334"/>
      <c r="BD17" s="1335"/>
      <c r="BE17" s="1335"/>
      <c r="BF17" s="1334"/>
      <c r="BG17" s="1334"/>
      <c r="BH17" s="1334"/>
    </row>
    <row r="18" spans="1:60" ht="26.25" hidden="1" customHeight="1" thickBot="1">
      <c r="B18" s="1331" t="s">
        <v>773</v>
      </c>
      <c r="C18" s="1325"/>
      <c r="D18" s="1326"/>
      <c r="E18" s="1327"/>
      <c r="F18" s="1328"/>
      <c r="G18" s="1325"/>
      <c r="H18" s="1326"/>
      <c r="I18" s="1327"/>
      <c r="J18" s="1328"/>
      <c r="K18" s="1325"/>
      <c r="L18" s="1326"/>
      <c r="M18" s="1327"/>
      <c r="N18" s="1328"/>
      <c r="O18" s="1325"/>
      <c r="P18" s="1326"/>
      <c r="Q18" s="1327"/>
      <c r="R18" s="1328"/>
      <c r="S18" s="1325"/>
      <c r="T18" s="1326"/>
      <c r="U18" s="1327"/>
      <c r="V18" s="1328"/>
      <c r="W18" s="1325"/>
      <c r="X18" s="1326"/>
      <c r="Y18" s="1327"/>
      <c r="Z18" s="1328"/>
      <c r="AA18" s="1325"/>
      <c r="AB18" s="1326"/>
      <c r="AC18" s="1327"/>
      <c r="AD18" s="1328"/>
      <c r="AE18" s="1325"/>
      <c r="AF18" s="1326"/>
      <c r="AG18" s="1327"/>
      <c r="AH18" s="1328"/>
      <c r="AI18" s="1325"/>
      <c r="AJ18" s="1326"/>
      <c r="AK18" s="1327"/>
      <c r="AL18" s="1328"/>
      <c r="AM18" s="1325"/>
      <c r="AN18" s="1326"/>
      <c r="AO18" s="1327"/>
      <c r="AP18" s="1328"/>
      <c r="AQ18" s="1325"/>
      <c r="AR18" s="1326"/>
      <c r="AS18" s="1327"/>
      <c r="AT18" s="1328"/>
      <c r="AU18" s="1325"/>
      <c r="AV18" s="1326">
        <f>+AV17+AV16</f>
        <v>12541956810</v>
      </c>
      <c r="AW18" s="1326">
        <f>+AV18/AW$2</f>
        <v>490878.93581213307</v>
      </c>
      <c r="AX18" s="1330">
        <f t="shared" ref="AX18" si="26">+AV18/AZ18</f>
        <v>0.84857253841696578</v>
      </c>
      <c r="AY18" s="1325"/>
      <c r="AZ18" s="1326">
        <f>+AZ16</f>
        <v>14780064452</v>
      </c>
      <c r="BA18" s="1329">
        <f>+AZ18/BA2</f>
        <v>578476.10379647755</v>
      </c>
      <c r="BC18" s="1334"/>
      <c r="BD18" s="1335"/>
      <c r="BE18" s="1335"/>
      <c r="BF18" s="1334"/>
      <c r="BG18" s="1334"/>
      <c r="BH18" s="1334"/>
    </row>
    <row r="19" spans="1:60" ht="105" customHeight="1" thickTop="1">
      <c r="C19" s="1318"/>
      <c r="D19" s="1407"/>
      <c r="E19" s="1407"/>
      <c r="F19" s="1318"/>
      <c r="G19" s="1318"/>
      <c r="H19" s="1318"/>
      <c r="I19" s="1318"/>
      <c r="J19" s="1318"/>
      <c r="K19" s="1318"/>
      <c r="L19" s="1318"/>
      <c r="M19" s="1318"/>
      <c r="N19" s="1318"/>
      <c r="O19" s="1318"/>
      <c r="P19" s="1318"/>
      <c r="Q19" s="1318"/>
      <c r="R19" s="1318"/>
      <c r="S19" s="1318"/>
      <c r="T19" s="1318"/>
      <c r="U19" s="1318"/>
      <c r="V19" s="1318"/>
      <c r="W19" s="1318"/>
      <c r="X19" s="1318"/>
      <c r="Y19" s="1318"/>
      <c r="Z19" s="1318"/>
      <c r="AA19" s="1318"/>
      <c r="AB19" s="1318"/>
      <c r="AC19" s="1318"/>
      <c r="AD19" s="1318"/>
      <c r="AE19" s="1318"/>
      <c r="AF19" s="1318"/>
      <c r="AG19" s="1318"/>
      <c r="AH19" s="1318"/>
      <c r="AI19" s="1318"/>
      <c r="AJ19" s="1318">
        <f>+AJ16-'TOTAL(payment)'!L119</f>
        <v>0</v>
      </c>
      <c r="AK19" s="1318"/>
      <c r="AL19" s="1318"/>
      <c r="AM19" s="1318"/>
      <c r="AN19" s="1318"/>
      <c r="AO19" s="1318"/>
      <c r="AP19" s="1318"/>
      <c r="AQ19" s="1318"/>
      <c r="AR19" s="1318"/>
      <c r="AS19" s="1318"/>
      <c r="AU19" s="1408" t="s">
        <v>774</v>
      </c>
      <c r="AV19" s="1409"/>
      <c r="AW19" s="1409"/>
      <c r="AY19" s="1318"/>
      <c r="AZ19" s="1407" t="s">
        <v>739</v>
      </c>
      <c r="BA19" s="1407"/>
      <c r="BC19" s="1334"/>
      <c r="BD19" s="1334"/>
      <c r="BE19" s="1334"/>
      <c r="BF19" s="1334"/>
      <c r="BG19" s="1334"/>
      <c r="BH19" s="1334"/>
    </row>
    <row r="20" spans="1:60" ht="15.75" customHeight="1">
      <c r="B20" s="643"/>
      <c r="D20" s="609"/>
      <c r="E20" s="760"/>
      <c r="F20" s="760"/>
      <c r="H20" s="609"/>
      <c r="I20" s="760"/>
      <c r="J20" s="760"/>
      <c r="L20" s="609"/>
      <c r="M20" s="760"/>
      <c r="N20" s="760"/>
      <c r="P20" s="609"/>
      <c r="Q20" s="760"/>
      <c r="R20" s="760"/>
      <c r="T20" s="609"/>
      <c r="U20" s="760"/>
      <c r="V20" s="760"/>
      <c r="X20" s="609"/>
      <c r="Y20" s="760"/>
      <c r="Z20" s="760"/>
      <c r="AB20" s="609"/>
      <c r="AC20" s="760"/>
      <c r="AD20" s="760"/>
      <c r="AF20" s="609"/>
      <c r="AG20" s="760"/>
      <c r="AH20" s="760"/>
      <c r="AJ20" s="609"/>
      <c r="AK20" s="760"/>
      <c r="AL20" s="760"/>
      <c r="AN20" s="609"/>
      <c r="AO20" s="760"/>
      <c r="AP20" s="760"/>
      <c r="AR20" s="609"/>
      <c r="AS20" s="760"/>
      <c r="AV20" s="609"/>
      <c r="AW20" s="760"/>
      <c r="AY20" s="637"/>
      <c r="AZ20" s="609"/>
      <c r="BA20" s="760"/>
      <c r="BC20" s="1334"/>
      <c r="BD20" s="1334"/>
      <c r="BE20" s="1334"/>
      <c r="BF20" s="1334"/>
      <c r="BG20" s="1334"/>
      <c r="BH20" s="1334"/>
    </row>
    <row r="21" spans="1:60" ht="22.5" customHeight="1">
      <c r="A21" s="613" t="s">
        <v>416</v>
      </c>
      <c r="B21" s="643"/>
      <c r="C21" s="792" t="str">
        <f>+C3</f>
        <v>Dec 2025</v>
      </c>
      <c r="D21" s="685">
        <f>+E2</f>
        <v>0</v>
      </c>
      <c r="E21" s="614"/>
      <c r="F21" s="760"/>
      <c r="G21" s="792" t="str">
        <f>+G3</f>
        <v>Nov 2025</v>
      </c>
      <c r="H21" s="685">
        <f>+I2</f>
        <v>0</v>
      </c>
      <c r="I21" s="760"/>
      <c r="J21" s="760"/>
      <c r="K21" s="792" t="str">
        <f>+K3</f>
        <v>Oct 2025</v>
      </c>
      <c r="L21" s="685">
        <f>+M2</f>
        <v>0</v>
      </c>
      <c r="M21" s="760"/>
      <c r="N21" s="760"/>
      <c r="O21" s="792" t="str">
        <f>+O3</f>
        <v>Sep 2025</v>
      </c>
      <c r="P21" s="685">
        <f>+Q2</f>
        <v>0</v>
      </c>
      <c r="Q21" s="760"/>
      <c r="R21" s="760"/>
      <c r="S21" s="792">
        <f>+S3</f>
        <v>45870</v>
      </c>
      <c r="T21" s="685">
        <f>+U2</f>
        <v>0</v>
      </c>
      <c r="U21" s="760"/>
      <c r="V21" s="760"/>
      <c r="W21" s="792">
        <f>+W3</f>
        <v>45839</v>
      </c>
      <c r="X21" s="685">
        <f>+Y2</f>
        <v>0</v>
      </c>
      <c r="Y21" s="760"/>
      <c r="Z21" s="760"/>
      <c r="AA21" s="792">
        <f>+AA3</f>
        <v>45809</v>
      </c>
      <c r="AB21" s="685">
        <f>+AC2</f>
        <v>0</v>
      </c>
      <c r="AC21" s="760"/>
      <c r="AD21" s="760"/>
      <c r="AE21" s="792">
        <f>+AE3</f>
        <v>45778</v>
      </c>
      <c r="AF21" s="685">
        <f>+AG2</f>
        <v>0</v>
      </c>
      <c r="AG21" s="760"/>
      <c r="AH21" s="760"/>
      <c r="AI21" s="792">
        <f>+AI3</f>
        <v>45748</v>
      </c>
      <c r="AJ21" s="685">
        <f>+AK2</f>
        <v>26115</v>
      </c>
      <c r="AK21" s="760"/>
      <c r="AL21" s="760"/>
      <c r="AM21" s="792">
        <f>+AM3</f>
        <v>45717</v>
      </c>
      <c r="AN21" s="685">
        <f>+AO2</f>
        <v>25695</v>
      </c>
      <c r="AO21" s="760"/>
      <c r="AP21" s="760"/>
      <c r="AQ21" s="792">
        <f>+AQ3</f>
        <v>45689</v>
      </c>
      <c r="AR21" s="685">
        <f>+AS2</f>
        <v>25670</v>
      </c>
      <c r="AS21" s="760"/>
      <c r="AU21" s="792" t="str">
        <f>+AU3</f>
        <v>Jan 2025</v>
      </c>
      <c r="AV21" s="685">
        <f>+AW2</f>
        <v>25550</v>
      </c>
      <c r="AW21" s="760"/>
      <c r="AY21" s="792" t="str">
        <f>+AY3</f>
        <v>Dec 2024</v>
      </c>
      <c r="AZ21" s="685">
        <f>+BA2</f>
        <v>25550</v>
      </c>
      <c r="BA21" s="614"/>
      <c r="BC21" s="1334"/>
      <c r="BD21" s="1334"/>
      <c r="BE21" s="1334"/>
      <c r="BF21" s="1334"/>
      <c r="BG21" s="1334"/>
      <c r="BH21" s="1334"/>
    </row>
    <row r="22" spans="1:60" ht="28.5" customHeight="1">
      <c r="B22" s="690" t="s">
        <v>410</v>
      </c>
      <c r="C22" s="689" t="s">
        <v>414</v>
      </c>
      <c r="D22" s="690" t="s">
        <v>415</v>
      </c>
      <c r="E22" s="685"/>
      <c r="F22" s="607"/>
      <c r="G22" s="689" t="s">
        <v>414</v>
      </c>
      <c r="H22" s="690" t="s">
        <v>415</v>
      </c>
      <c r="I22" s="607"/>
      <c r="J22" s="607"/>
      <c r="K22" s="689" t="s">
        <v>414</v>
      </c>
      <c r="L22" s="690" t="s">
        <v>415</v>
      </c>
      <c r="M22" s="607"/>
      <c r="N22" s="607"/>
      <c r="O22" s="689" t="s">
        <v>414</v>
      </c>
      <c r="P22" s="690" t="s">
        <v>415</v>
      </c>
      <c r="Q22" s="607"/>
      <c r="R22" s="607"/>
      <c r="S22" s="689" t="s">
        <v>414</v>
      </c>
      <c r="T22" s="690" t="s">
        <v>415</v>
      </c>
      <c r="U22" s="607"/>
      <c r="V22" s="607"/>
      <c r="W22" s="689" t="s">
        <v>414</v>
      </c>
      <c r="X22" s="690" t="s">
        <v>415</v>
      </c>
      <c r="Y22" s="607"/>
      <c r="Z22" s="607"/>
      <c r="AA22" s="689" t="s">
        <v>414</v>
      </c>
      <c r="AB22" s="690" t="s">
        <v>415</v>
      </c>
      <c r="AC22" s="607"/>
      <c r="AD22" s="607"/>
      <c r="AE22" s="689" t="s">
        <v>414</v>
      </c>
      <c r="AF22" s="690" t="s">
        <v>415</v>
      </c>
      <c r="AG22" s="607"/>
      <c r="AH22" s="607"/>
      <c r="AI22" s="689" t="s">
        <v>414</v>
      </c>
      <c r="AJ22" s="690" t="s">
        <v>415</v>
      </c>
      <c r="AK22" s="607"/>
      <c r="AL22" s="607"/>
      <c r="AM22" s="689" t="s">
        <v>414</v>
      </c>
      <c r="AN22" s="690" t="s">
        <v>415</v>
      </c>
      <c r="AO22" s="607"/>
      <c r="AP22" s="607"/>
      <c r="AQ22" s="689" t="s">
        <v>414</v>
      </c>
      <c r="AR22" s="690" t="s">
        <v>415</v>
      </c>
      <c r="AS22" s="607"/>
      <c r="AU22" s="689" t="s">
        <v>414</v>
      </c>
      <c r="AV22" s="690" t="s">
        <v>415</v>
      </c>
      <c r="AW22" s="607"/>
      <c r="AY22" s="689" t="s">
        <v>414</v>
      </c>
      <c r="AZ22" s="690" t="s">
        <v>415</v>
      </c>
      <c r="BA22" s="685"/>
      <c r="BC22" s="1334"/>
      <c r="BD22" s="1334"/>
      <c r="BE22" s="1334"/>
      <c r="BF22" s="1334"/>
      <c r="BG22" s="1334"/>
      <c r="BH22" s="1334"/>
    </row>
    <row r="23" spans="1:60" ht="28.5" customHeight="1">
      <c r="B23" s="678" t="s">
        <v>408</v>
      </c>
      <c r="C23" s="1403">
        <f>+C16</f>
        <v>0</v>
      </c>
      <c r="D23" s="1404"/>
      <c r="E23" s="607"/>
      <c r="F23" s="607"/>
      <c r="G23" s="1403">
        <f>+G16</f>
        <v>0</v>
      </c>
      <c r="H23" s="1404"/>
      <c r="I23" s="607"/>
      <c r="J23" s="607"/>
      <c r="K23" s="1403">
        <f>+K16</f>
        <v>0</v>
      </c>
      <c r="L23" s="1404"/>
      <c r="M23" s="607"/>
      <c r="N23" s="607"/>
      <c r="O23" s="1403">
        <f>+O16</f>
        <v>0</v>
      </c>
      <c r="P23" s="1404"/>
      <c r="Q23" s="607"/>
      <c r="R23" s="607"/>
      <c r="S23" s="1403">
        <f>+S16</f>
        <v>0</v>
      </c>
      <c r="T23" s="1404"/>
      <c r="U23" s="607"/>
      <c r="V23" s="607"/>
      <c r="W23" s="1403">
        <f>+W16</f>
        <v>0</v>
      </c>
      <c r="X23" s="1404"/>
      <c r="Y23" s="607"/>
      <c r="Z23" s="607"/>
      <c r="AA23" s="1403">
        <f>+AA16</f>
        <v>0</v>
      </c>
      <c r="AB23" s="1404"/>
      <c r="AC23" s="607"/>
      <c r="AD23" s="607"/>
      <c r="AE23" s="1403">
        <f>+AE16</f>
        <v>0</v>
      </c>
      <c r="AF23" s="1404"/>
      <c r="AG23" s="607"/>
      <c r="AH23" s="607"/>
      <c r="AI23" s="1403">
        <f>+AI16</f>
        <v>1289</v>
      </c>
      <c r="AJ23" s="1404"/>
      <c r="AK23" s="607"/>
      <c r="AL23" s="607"/>
      <c r="AM23" s="1411">
        <f>+AM16</f>
        <v>1294</v>
      </c>
      <c r="AN23" s="1406"/>
      <c r="AO23" s="607"/>
      <c r="AP23" s="607"/>
      <c r="AQ23" s="1403">
        <f>+AQ16</f>
        <v>1276</v>
      </c>
      <c r="AR23" s="1404"/>
      <c r="AS23" s="607"/>
      <c r="AU23" s="1403">
        <f>+AU16</f>
        <v>1244</v>
      </c>
      <c r="AV23" s="1404"/>
      <c r="AW23" s="607"/>
      <c r="AY23" s="1403">
        <f>+AY16</f>
        <v>1304</v>
      </c>
      <c r="AZ23" s="1404"/>
      <c r="BC23" s="1334"/>
      <c r="BD23" s="1334"/>
      <c r="BE23" s="1334"/>
      <c r="BF23" s="1334"/>
      <c r="BG23" s="1334"/>
      <c r="BH23" s="1334"/>
    </row>
    <row r="24" spans="1:60" ht="28.5" customHeight="1">
      <c r="B24" s="678" t="s">
        <v>506</v>
      </c>
      <c r="C24" s="1058"/>
      <c r="D24" s="1021" t="e">
        <f>+C24/D21</f>
        <v>#DIV/0!</v>
      </c>
      <c r="E24" s="773"/>
      <c r="F24" s="773"/>
      <c r="G24" s="1058"/>
      <c r="H24" s="1021" t="e">
        <f>+G24/H21</f>
        <v>#DIV/0!</v>
      </c>
      <c r="I24" s="773"/>
      <c r="J24" s="773"/>
      <c r="K24" s="1058"/>
      <c r="L24" s="1021" t="e">
        <f>+K24/L21</f>
        <v>#DIV/0!</v>
      </c>
      <c r="M24" s="773"/>
      <c r="N24" s="773"/>
      <c r="O24" s="1058"/>
      <c r="P24" s="1021" t="e">
        <f>+O24/P21</f>
        <v>#DIV/0!</v>
      </c>
      <c r="Q24" s="773"/>
      <c r="R24" s="773"/>
      <c r="S24" s="680"/>
      <c r="T24" s="1021" t="e">
        <f>+S24/T21</f>
        <v>#DIV/0!</v>
      </c>
      <c r="U24" s="773"/>
      <c r="V24" s="773"/>
      <c r="W24" s="680"/>
      <c r="X24" s="1021" t="e">
        <f>+W24/X21</f>
        <v>#DIV/0!</v>
      </c>
      <c r="Y24" s="773"/>
      <c r="Z24" s="773"/>
      <c r="AA24" s="680"/>
      <c r="AB24" s="1021" t="e">
        <f>+AA24/AB21</f>
        <v>#DIV/0!</v>
      </c>
      <c r="AC24" s="773"/>
      <c r="AD24" s="773"/>
      <c r="AE24" s="680"/>
      <c r="AF24" s="1021"/>
      <c r="AG24" s="773"/>
      <c r="AH24" s="773"/>
      <c r="AI24" s="680">
        <v>11404670194</v>
      </c>
      <c r="AJ24" s="1021">
        <f>+AI24/AJ21</f>
        <v>436709.56132490904</v>
      </c>
      <c r="AK24" s="773"/>
      <c r="AL24" s="773"/>
      <c r="AM24" s="680">
        <v>11233667325</v>
      </c>
      <c r="AN24" s="1021">
        <v>437192.73496789258</v>
      </c>
      <c r="AO24" s="773"/>
      <c r="AP24" s="773"/>
      <c r="AQ24" s="680">
        <v>10526744334</v>
      </c>
      <c r="AR24" s="861">
        <v>410079.63903389173</v>
      </c>
      <c r="AS24" s="773"/>
      <c r="AU24" s="680">
        <v>7248978461</v>
      </c>
      <c r="AV24" s="1316">
        <v>283717.35659491195</v>
      </c>
      <c r="AW24" s="773"/>
      <c r="AY24" s="1058">
        <f>+[1]Transfer!$E$1297</f>
        <v>12386227850</v>
      </c>
      <c r="AZ24" s="1317">
        <f>+AY24/AZ21</f>
        <v>484783.8688845401</v>
      </c>
      <c r="BA24" s="1313"/>
    </row>
    <row r="25" spans="1:60" ht="28.5" customHeight="1">
      <c r="B25" s="678" t="s">
        <v>507</v>
      </c>
      <c r="C25" s="1059"/>
      <c r="D25" s="1021" t="e">
        <f>+C25/D21</f>
        <v>#DIV/0!</v>
      </c>
      <c r="E25" s="773"/>
      <c r="F25" s="773"/>
      <c r="G25" s="1058"/>
      <c r="H25" s="1021" t="e">
        <f>+G25/H21</f>
        <v>#DIV/0!</v>
      </c>
      <c r="I25" s="773"/>
      <c r="J25" s="773"/>
      <c r="K25" s="1058"/>
      <c r="L25" s="1021" t="e">
        <f>+K25/L21</f>
        <v>#DIV/0!</v>
      </c>
      <c r="M25" s="773"/>
      <c r="N25" s="773"/>
      <c r="O25" s="1058"/>
      <c r="P25" s="1021" t="e">
        <f>+O25/P21</f>
        <v>#DIV/0!</v>
      </c>
      <c r="Q25" s="773"/>
      <c r="R25" s="773"/>
      <c r="S25" s="680"/>
      <c r="T25" s="1021" t="e">
        <f>+S25/T21</f>
        <v>#DIV/0!</v>
      </c>
      <c r="U25" s="773"/>
      <c r="V25" s="773"/>
      <c r="W25" s="680"/>
      <c r="X25" s="1021" t="e">
        <f>+W25/X21</f>
        <v>#DIV/0!</v>
      </c>
      <c r="Y25" s="773"/>
      <c r="Z25" s="773"/>
      <c r="AA25" s="680"/>
      <c r="AB25" s="1021" t="e">
        <f>+AA25/AB21</f>
        <v>#DIV/0!</v>
      </c>
      <c r="AC25" s="773"/>
      <c r="AD25" s="773"/>
      <c r="AE25" s="680"/>
      <c r="AF25" s="1021"/>
      <c r="AG25" s="773"/>
      <c r="AH25" s="773"/>
      <c r="AI25" s="680">
        <v>39396723</v>
      </c>
      <c r="AJ25" s="1021">
        <f>+AI25/AJ21</f>
        <v>1508.585985066054</v>
      </c>
      <c r="AK25" s="773"/>
      <c r="AL25" s="773"/>
      <c r="AM25" s="680">
        <v>62018199</v>
      </c>
      <c r="AN25" s="1021">
        <v>2413.6290718038531</v>
      </c>
      <c r="AO25" s="773"/>
      <c r="AP25" s="773"/>
      <c r="AQ25" s="680">
        <v>86533289</v>
      </c>
      <c r="AR25" s="861">
        <v>3370.9890533696921</v>
      </c>
      <c r="AS25" s="773"/>
      <c r="AU25" s="680">
        <v>25112048</v>
      </c>
      <c r="AV25" s="1316">
        <v>982.85902152641881</v>
      </c>
      <c r="AW25" s="773"/>
      <c r="AY25" s="1058">
        <f>+[1]Cash!$F$15</f>
        <v>101169004</v>
      </c>
      <c r="AZ25" s="1021">
        <f>+AY25/AZ21</f>
        <v>3959.6479060665361</v>
      </c>
      <c r="BA25" s="1313"/>
    </row>
    <row r="26" spans="1:60" ht="28.5" customHeight="1">
      <c r="B26" s="678" t="s">
        <v>508</v>
      </c>
      <c r="C26" s="1058"/>
      <c r="D26" s="1021" t="e">
        <f>+C26/D21</f>
        <v>#DIV/0!</v>
      </c>
      <c r="E26" s="773"/>
      <c r="F26" s="773"/>
      <c r="G26" s="1058"/>
      <c r="H26" s="1021" t="e">
        <f>+G26/H21</f>
        <v>#DIV/0!</v>
      </c>
      <c r="I26" s="773"/>
      <c r="J26" s="773"/>
      <c r="K26" s="1058"/>
      <c r="L26" s="1021" t="e">
        <f>+K26/L21</f>
        <v>#DIV/0!</v>
      </c>
      <c r="M26" s="773"/>
      <c r="N26" s="773"/>
      <c r="O26" s="1058"/>
      <c r="P26" s="1021" t="e">
        <f>+O26/P21</f>
        <v>#DIV/0!</v>
      </c>
      <c r="Q26" s="773"/>
      <c r="R26" s="773"/>
      <c r="S26" s="680"/>
      <c r="T26" s="1021" t="e">
        <f>+S26/T21</f>
        <v>#DIV/0!</v>
      </c>
      <c r="U26" s="773"/>
      <c r="V26" s="773"/>
      <c r="W26" s="680"/>
      <c r="X26" s="1021" t="e">
        <f>+W26/X21</f>
        <v>#DIV/0!</v>
      </c>
      <c r="Y26" s="773"/>
      <c r="Z26" s="773"/>
      <c r="AA26" s="680"/>
      <c r="AB26" s="1021" t="e">
        <f>+AA26/AB21</f>
        <v>#DIV/0!</v>
      </c>
      <c r="AC26" s="773"/>
      <c r="AD26" s="773"/>
      <c r="AE26" s="680"/>
      <c r="AF26" s="1021"/>
      <c r="AG26" s="773"/>
      <c r="AH26" s="773"/>
      <c r="AI26" s="680">
        <v>1139015986</v>
      </c>
      <c r="AJ26" s="1021">
        <f>+AI26/AJ21</f>
        <v>43615.392915948687</v>
      </c>
      <c r="AK26" s="773"/>
      <c r="AL26" s="773"/>
      <c r="AM26" s="680">
        <v>997637463</v>
      </c>
      <c r="AN26" s="1021">
        <v>38826.13204903678</v>
      </c>
      <c r="AO26" s="773"/>
      <c r="AP26" s="773"/>
      <c r="AQ26" s="680">
        <v>795791116</v>
      </c>
      <c r="AR26" s="861">
        <v>31000.822594468253</v>
      </c>
      <c r="AS26" s="773"/>
      <c r="AU26" s="680">
        <v>1297654296</v>
      </c>
      <c r="AV26" s="1316">
        <v>50788.817847358121</v>
      </c>
      <c r="AW26" s="773"/>
      <c r="AY26" s="1058">
        <f>+'[2]Transfer - Outside'!$E$1120</f>
        <v>1862073874</v>
      </c>
      <c r="AZ26" s="1021">
        <f>+AY26/AZ21</f>
        <v>72879.603679060659</v>
      </c>
      <c r="BA26" s="1313"/>
    </row>
    <row r="27" spans="1:60" ht="28.5" customHeight="1">
      <c r="B27" s="678" t="s">
        <v>509</v>
      </c>
      <c r="C27" s="1059"/>
      <c r="D27" s="1021" t="e">
        <f>+C27/D21</f>
        <v>#DIV/0!</v>
      </c>
      <c r="E27" s="773"/>
      <c r="F27" s="773"/>
      <c r="G27" s="1058"/>
      <c r="H27" s="1021" t="e">
        <f>+G27/H21</f>
        <v>#DIV/0!</v>
      </c>
      <c r="I27" s="773"/>
      <c r="J27" s="773"/>
      <c r="K27" s="1058"/>
      <c r="L27" s="1021" t="e">
        <f>+K27/L21</f>
        <v>#DIV/0!</v>
      </c>
      <c r="M27" s="773"/>
      <c r="N27" s="773"/>
      <c r="O27" s="1058"/>
      <c r="P27" s="1021" t="e">
        <f>+O27/P21</f>
        <v>#DIV/0!</v>
      </c>
      <c r="Q27" s="773"/>
      <c r="R27" s="773"/>
      <c r="S27" s="680"/>
      <c r="T27" s="1021" t="e">
        <f>+S27/T21</f>
        <v>#DIV/0!</v>
      </c>
      <c r="U27" s="773"/>
      <c r="V27" s="773"/>
      <c r="W27" s="680"/>
      <c r="X27" s="1021" t="e">
        <f>+W27/X21</f>
        <v>#DIV/0!</v>
      </c>
      <c r="Y27" s="773"/>
      <c r="Z27" s="773"/>
      <c r="AA27" s="680"/>
      <c r="AB27" s="1021" t="e">
        <f>+AA27/AB21</f>
        <v>#DIV/0!</v>
      </c>
      <c r="AC27" s="773"/>
      <c r="AD27" s="773"/>
      <c r="AE27" s="680"/>
      <c r="AF27" s="1021"/>
      <c r="AG27" s="773"/>
      <c r="AH27" s="773"/>
      <c r="AI27" s="680">
        <v>3140712</v>
      </c>
      <c r="AJ27" s="1021">
        <f>+AI27/AJ21</f>
        <v>120.26467547386559</v>
      </c>
      <c r="AK27" s="773"/>
      <c r="AL27" s="773"/>
      <c r="AM27" s="680">
        <v>2609554</v>
      </c>
      <c r="AN27" s="1021">
        <v>101.5588246740611</v>
      </c>
      <c r="AO27" s="773"/>
      <c r="AP27" s="773"/>
      <c r="AQ27" s="680">
        <v>9754722</v>
      </c>
      <c r="AR27" s="1336">
        <v>380.00475262952864</v>
      </c>
      <c r="AS27" s="773"/>
      <c r="AU27" s="680">
        <v>5854057</v>
      </c>
      <c r="AV27" s="1316">
        <v>229.12160469667319</v>
      </c>
      <c r="AW27" s="773"/>
      <c r="AY27" s="1058">
        <f>+'[2]Cash - Outside'!$F$14</f>
        <v>18710129</v>
      </c>
      <c r="AZ27" s="1021">
        <f>+AY27/AZ21</f>
        <v>732.29467710371819</v>
      </c>
      <c r="BA27" s="1313"/>
    </row>
    <row r="28" spans="1:60" ht="28.5" customHeight="1">
      <c r="B28" s="679" t="s">
        <v>409</v>
      </c>
      <c r="C28" s="684"/>
      <c r="D28" s="1028" t="e">
        <f>SUM(D24:D27)</f>
        <v>#DIV/0!</v>
      </c>
      <c r="E28" s="773"/>
      <c r="F28" s="773"/>
      <c r="G28" s="684">
        <f>SUM(G24:G27)</f>
        <v>0</v>
      </c>
      <c r="H28" s="1028" t="e">
        <f>SUM(H24:H27)</f>
        <v>#DIV/0!</v>
      </c>
      <c r="I28" s="773"/>
      <c r="J28" s="773"/>
      <c r="K28" s="684">
        <f>SUM(K24:K27)</f>
        <v>0</v>
      </c>
      <c r="L28" s="1028" t="e">
        <f>SUM(L24:L27)</f>
        <v>#DIV/0!</v>
      </c>
      <c r="M28" s="773"/>
      <c r="N28" s="773"/>
      <c r="O28" s="684">
        <f>SUM(O24:O27)</f>
        <v>0</v>
      </c>
      <c r="P28" s="1028" t="e">
        <f>SUM(P24:P27)</f>
        <v>#DIV/0!</v>
      </c>
      <c r="Q28" s="773"/>
      <c r="R28" s="773"/>
      <c r="S28" s="684">
        <f>SUM(S24:S27)</f>
        <v>0</v>
      </c>
      <c r="T28" s="1028" t="e">
        <f>SUM(T24:T27)</f>
        <v>#DIV/0!</v>
      </c>
      <c r="U28" s="773"/>
      <c r="V28" s="773"/>
      <c r="W28" s="684">
        <f>SUM(W24:W27)</f>
        <v>0</v>
      </c>
      <c r="X28" s="1028" t="e">
        <f>SUM(X24:X27)</f>
        <v>#DIV/0!</v>
      </c>
      <c r="Y28" s="773"/>
      <c r="Z28" s="773"/>
      <c r="AA28" s="684">
        <f>SUM(AA24:AA27)</f>
        <v>0</v>
      </c>
      <c r="AB28" s="1028" t="e">
        <f>SUM(AB24:AB27)</f>
        <v>#DIV/0!</v>
      </c>
      <c r="AC28" s="773"/>
      <c r="AD28" s="773"/>
      <c r="AE28" s="684">
        <f>SUM(AE24:AE27)</f>
        <v>0</v>
      </c>
      <c r="AF28" s="1028">
        <f>SUM(AF24:AF27)</f>
        <v>0</v>
      </c>
      <c r="AG28" s="773"/>
      <c r="AH28" s="773"/>
      <c r="AI28" s="684">
        <f>SUM(AI24:AI27)</f>
        <v>12586223615</v>
      </c>
      <c r="AJ28" s="1028">
        <f>SUM(AJ24:AJ27)</f>
        <v>481953.80490139767</v>
      </c>
      <c r="AK28" s="773"/>
      <c r="AL28" s="773"/>
      <c r="AM28" s="684">
        <f>SUM(AM24:AM27)</f>
        <v>12295932541</v>
      </c>
      <c r="AN28" s="1028">
        <f>SUM(AN24:AN27)</f>
        <v>478534.05491340731</v>
      </c>
      <c r="AO28" s="773"/>
      <c r="AP28" s="773"/>
      <c r="AQ28" s="684">
        <f>SUM(AQ24:AQ27)</f>
        <v>11418823461</v>
      </c>
      <c r="AR28" s="1028">
        <f>SUM(AR24:AR27)</f>
        <v>444831.4554343592</v>
      </c>
      <c r="AS28" s="773"/>
      <c r="AU28" s="684">
        <f>SUM(AU24:AU27)</f>
        <v>8577598862</v>
      </c>
      <c r="AV28" s="1028">
        <f>SUM(AV24:AV27)</f>
        <v>335718.15506849316</v>
      </c>
      <c r="AW28" s="773"/>
      <c r="AY28" s="684">
        <f>SUM(AY24:AY27)</f>
        <v>14368180857</v>
      </c>
      <c r="AZ28" s="1028">
        <f>SUM(AZ24:AZ27)</f>
        <v>562355.41514677112</v>
      </c>
      <c r="BA28" s="1313"/>
    </row>
    <row r="29" spans="1:60" ht="22.5" customHeight="1">
      <c r="B29" s="678" t="s">
        <v>539</v>
      </c>
      <c r="C29" s="1060"/>
      <c r="D29" s="1021" t="e">
        <f>+C29/D21</f>
        <v>#DIV/0!</v>
      </c>
      <c r="E29" s="773"/>
      <c r="F29" s="773"/>
      <c r="G29" s="1060"/>
      <c r="H29" s="1021" t="e">
        <f>+G29/H21</f>
        <v>#DIV/0!</v>
      </c>
      <c r="I29" s="773"/>
      <c r="J29" s="773"/>
      <c r="K29" s="1060"/>
      <c r="L29" s="1021" t="e">
        <f>+K29/L21</f>
        <v>#DIV/0!</v>
      </c>
      <c r="M29" s="773"/>
      <c r="N29" s="773"/>
      <c r="O29" s="1060"/>
      <c r="P29" s="1021" t="e">
        <f>+O29/P21</f>
        <v>#DIV/0!</v>
      </c>
      <c r="Q29" s="773"/>
      <c r="R29" s="773"/>
      <c r="S29" s="1022"/>
      <c r="T29" s="1021" t="e">
        <f>+S29/T21</f>
        <v>#DIV/0!</v>
      </c>
      <c r="U29" s="773"/>
      <c r="V29" s="773"/>
      <c r="W29" s="1022"/>
      <c r="X29" s="1021" t="e">
        <f>+W29/X21</f>
        <v>#DIV/0!</v>
      </c>
      <c r="Y29" s="773"/>
      <c r="Z29" s="773"/>
      <c r="AA29" s="1022"/>
      <c r="AB29" s="1021" t="e">
        <f>+AA29/AB21</f>
        <v>#DIV/0!</v>
      </c>
      <c r="AC29" s="773"/>
      <c r="AD29" s="773"/>
      <c r="AE29" s="1022"/>
      <c r="AF29" s="1021"/>
      <c r="AG29" s="773"/>
      <c r="AH29" s="773"/>
      <c r="AI29" s="1022">
        <v>480497301</v>
      </c>
      <c r="AJ29" s="1021">
        <f>+AI29/AJ21</f>
        <v>18399.283974727168</v>
      </c>
      <c r="AK29" s="773"/>
      <c r="AL29" s="773"/>
      <c r="AM29" s="1022">
        <v>469136914</v>
      </c>
      <c r="AN29" s="1021">
        <v>18257.906752286439</v>
      </c>
      <c r="AO29" s="773"/>
      <c r="AP29" s="773"/>
      <c r="AQ29" s="1022">
        <v>477063430</v>
      </c>
      <c r="AR29" s="1021">
        <v>18584.473315153875</v>
      </c>
      <c r="AS29" s="773"/>
      <c r="AU29" s="1022">
        <f>+'[3]Foreign Salary'!V11</f>
        <v>491954471</v>
      </c>
      <c r="AV29" s="1316">
        <f t="shared" ref="AV29" si="27">+AU29/AV$21</f>
        <v>19254.578121330724</v>
      </c>
      <c r="AW29" s="773"/>
      <c r="AY29" s="1060">
        <v>411883595</v>
      </c>
      <c r="AZ29" s="1021">
        <f>+AY29/AZ21</f>
        <v>16120.688649706459</v>
      </c>
      <c r="BA29" s="1313"/>
    </row>
    <row r="30" spans="1:60" ht="25.5" customHeight="1">
      <c r="B30" s="788" t="s">
        <v>540</v>
      </c>
      <c r="C30" s="684">
        <f>+C29+C28</f>
        <v>0</v>
      </c>
      <c r="D30" s="1027" t="e">
        <f>+D29+D28</f>
        <v>#DIV/0!</v>
      </c>
      <c r="E30" s="773"/>
      <c r="F30" s="773"/>
      <c r="G30" s="684">
        <f>+G29+G28</f>
        <v>0</v>
      </c>
      <c r="H30" s="1027" t="e">
        <f>+H29+H28</f>
        <v>#DIV/0!</v>
      </c>
      <c r="I30" s="773"/>
      <c r="J30" s="773"/>
      <c r="K30" s="684">
        <f>+K29+K28</f>
        <v>0</v>
      </c>
      <c r="L30" s="1027" t="e">
        <f>+L29+L28</f>
        <v>#DIV/0!</v>
      </c>
      <c r="M30" s="773"/>
      <c r="N30" s="773"/>
      <c r="O30" s="684">
        <f>+O29+O28</f>
        <v>0</v>
      </c>
      <c r="P30" s="1027" t="e">
        <f>+P29+P28</f>
        <v>#DIV/0!</v>
      </c>
      <c r="Q30" s="773"/>
      <c r="R30" s="773"/>
      <c r="S30" s="684">
        <f>+S29+S28</f>
        <v>0</v>
      </c>
      <c r="T30" s="1027" t="e">
        <f>+T29+T28</f>
        <v>#DIV/0!</v>
      </c>
      <c r="U30" s="773"/>
      <c r="V30" s="773"/>
      <c r="W30" s="684">
        <f>+W29+W28</f>
        <v>0</v>
      </c>
      <c r="X30" s="1027" t="e">
        <f>+X29+X28</f>
        <v>#DIV/0!</v>
      </c>
      <c r="Y30" s="773"/>
      <c r="Z30" s="773"/>
      <c r="AA30" s="684">
        <f>+AA29+AA28</f>
        <v>0</v>
      </c>
      <c r="AB30" s="1027" t="e">
        <f>+AB29+AB28</f>
        <v>#DIV/0!</v>
      </c>
      <c r="AC30" s="773"/>
      <c r="AD30" s="773"/>
      <c r="AE30" s="684">
        <f>+AE29+AE28</f>
        <v>0</v>
      </c>
      <c r="AF30" s="1027">
        <f>+AF29+AF28</f>
        <v>0</v>
      </c>
      <c r="AG30" s="773"/>
      <c r="AH30" s="773"/>
      <c r="AI30" s="684">
        <f>+AI29+AI28</f>
        <v>13066720916</v>
      </c>
      <c r="AJ30" s="1027">
        <f>+AJ29+AJ28</f>
        <v>500353.08887612482</v>
      </c>
      <c r="AK30" s="773"/>
      <c r="AL30" s="773"/>
      <c r="AM30" s="684">
        <f>+AM29+AM28</f>
        <v>12765069455</v>
      </c>
      <c r="AN30" s="1027">
        <f>+AN29+AN28</f>
        <v>496791.96166569373</v>
      </c>
      <c r="AO30" s="773"/>
      <c r="AP30" s="773"/>
      <c r="AQ30" s="684">
        <f>+AQ29+AQ28</f>
        <v>11895886891</v>
      </c>
      <c r="AR30" s="1027">
        <f>+AR29+AR28</f>
        <v>463415.92874951306</v>
      </c>
      <c r="AS30" s="773"/>
      <c r="AU30" s="684">
        <f>+AU29+AU28</f>
        <v>9069553333</v>
      </c>
      <c r="AV30" s="1027">
        <f>+AV29+AV28</f>
        <v>354972.73318982386</v>
      </c>
      <c r="AW30" s="773"/>
      <c r="AY30" s="684">
        <f>+AY29+AY28</f>
        <v>14780064452</v>
      </c>
      <c r="AZ30" s="1314">
        <f>+AZ29+AZ28</f>
        <v>578476.10379647755</v>
      </c>
      <c r="BA30" s="1313"/>
    </row>
    <row r="31" spans="1:60">
      <c r="C31" s="867">
        <f>+C30-D16</f>
        <v>0</v>
      </c>
      <c r="D31" s="867" t="e">
        <f>+D30-E16</f>
        <v>#DIV/0!</v>
      </c>
      <c r="G31" s="867">
        <f>+G30-H16</f>
        <v>0</v>
      </c>
      <c r="H31" s="867" t="e">
        <f>+H30-I16</f>
        <v>#DIV/0!</v>
      </c>
      <c r="K31" s="867">
        <f>+K30-L16</f>
        <v>0</v>
      </c>
      <c r="L31" s="867" t="e">
        <f>+L30-M16</f>
        <v>#DIV/0!</v>
      </c>
      <c r="O31" s="867">
        <f>+O30-P16</f>
        <v>0</v>
      </c>
      <c r="P31" s="867" t="e">
        <f>+P30-Q16</f>
        <v>#DIV/0!</v>
      </c>
      <c r="S31" s="867">
        <f>+S30-T16</f>
        <v>0</v>
      </c>
      <c r="T31" s="867" t="e">
        <f>+T30-U16</f>
        <v>#DIV/0!</v>
      </c>
      <c r="W31" s="867">
        <f>+W30-X16</f>
        <v>0</v>
      </c>
      <c r="X31" s="867" t="e">
        <f>+X30-Y16</f>
        <v>#DIV/0!</v>
      </c>
      <c r="AA31" s="867">
        <f>+AA30-AB16</f>
        <v>0</v>
      </c>
      <c r="AB31" s="867" t="e">
        <f>+AB30-AC16</f>
        <v>#DIV/0!</v>
      </c>
      <c r="AE31" s="867">
        <f>+AE30-AF16</f>
        <v>0</v>
      </c>
      <c r="AF31" s="867">
        <f>+AF30-AG16</f>
        <v>0</v>
      </c>
      <c r="AI31" s="867">
        <f>+AI30-AJ16</f>
        <v>0</v>
      </c>
      <c r="AJ31" s="867">
        <f>+AJ30-AK16</f>
        <v>0</v>
      </c>
      <c r="AM31" s="774">
        <f>+AM30-AN16</f>
        <v>0</v>
      </c>
      <c r="AN31" s="774"/>
      <c r="AQ31" s="774">
        <f>+AQ30-AR16</f>
        <v>0</v>
      </c>
      <c r="AR31" s="774"/>
      <c r="AU31" s="774"/>
      <c r="AV31" s="774"/>
    </row>
    <row r="32" spans="1:60">
      <c r="C32" s="750"/>
      <c r="D32" s="981"/>
      <c r="G32" s="750"/>
      <c r="H32" s="981"/>
      <c r="K32" s="750"/>
      <c r="L32" s="981"/>
      <c r="O32" s="750"/>
      <c r="P32" s="981"/>
      <c r="S32" s="750"/>
      <c r="T32" s="981"/>
      <c r="W32" s="750"/>
      <c r="X32" s="981"/>
      <c r="AA32" s="750"/>
      <c r="AB32" s="981"/>
      <c r="AE32" s="750"/>
      <c r="AF32" s="981"/>
      <c r="AI32" s="750"/>
      <c r="AJ32" s="981"/>
      <c r="AM32" s="750"/>
      <c r="AN32" s="981"/>
      <c r="AQ32" s="750"/>
      <c r="AR32" s="981"/>
      <c r="AU32" s="750"/>
      <c r="AV32" s="981"/>
    </row>
    <row r="33" spans="1:50" ht="24.75" hidden="1" customHeight="1" thickBot="1">
      <c r="B33" s="613" t="s">
        <v>416</v>
      </c>
      <c r="C33" s="632"/>
      <c r="D33" s="613"/>
      <c r="E33" s="626">
        <v>25550</v>
      </c>
      <c r="F33" s="612"/>
      <c r="G33" s="632"/>
      <c r="H33" s="613"/>
      <c r="I33" s="626">
        <v>25460</v>
      </c>
      <c r="J33" s="612"/>
      <c r="K33" s="632"/>
      <c r="L33" s="613"/>
      <c r="M33" s="626">
        <v>25410</v>
      </c>
      <c r="N33" s="612"/>
      <c r="O33" s="632"/>
      <c r="P33" s="613"/>
      <c r="Q33" s="626">
        <v>24695</v>
      </c>
      <c r="R33" s="612"/>
      <c r="S33" s="632"/>
      <c r="T33" s="613"/>
      <c r="U33" s="626">
        <v>25000</v>
      </c>
      <c r="V33" s="612"/>
      <c r="W33" s="632"/>
      <c r="X33" s="613"/>
      <c r="Y33" s="626">
        <v>25400</v>
      </c>
      <c r="Z33" s="612"/>
      <c r="AA33" s="632"/>
      <c r="AB33" s="613"/>
      <c r="AC33" s="626">
        <v>25473</v>
      </c>
      <c r="AD33" s="612"/>
      <c r="AE33" s="632"/>
      <c r="AF33" s="613"/>
      <c r="AG33" s="626">
        <v>25474</v>
      </c>
      <c r="AH33" s="612"/>
      <c r="AI33" s="632"/>
      <c r="AJ33" s="613"/>
      <c r="AK33" s="626">
        <v>25435</v>
      </c>
      <c r="AL33" s="612"/>
      <c r="AM33" s="632"/>
      <c r="AN33" s="613"/>
      <c r="AO33" s="626">
        <v>24915</v>
      </c>
      <c r="AP33" s="612"/>
      <c r="AQ33" s="632"/>
      <c r="AR33" s="613"/>
      <c r="AS33" s="626">
        <v>24770</v>
      </c>
      <c r="AT33" s="813"/>
      <c r="AU33" s="632"/>
      <c r="AV33" s="613"/>
      <c r="AW33" s="626">
        <v>24525</v>
      </c>
      <c r="AX33" s="813"/>
    </row>
    <row r="34" spans="1:50" ht="35.25" hidden="1" customHeight="1">
      <c r="B34" s="615" t="s">
        <v>417</v>
      </c>
      <c r="C34" s="1419" t="s">
        <v>737</v>
      </c>
      <c r="D34" s="1418"/>
      <c r="E34" s="1418"/>
      <c r="F34" s="1415" t="str">
        <f>LEFT(C34,3)&amp;"/"&amp;LEFT(G34,3)</f>
        <v>Dec/Nov</v>
      </c>
      <c r="G34" s="1419" t="s">
        <v>734</v>
      </c>
      <c r="H34" s="1418"/>
      <c r="I34" s="1418"/>
      <c r="J34" s="1415" t="str">
        <f>LEFT(G34,3)&amp;"/"&amp;LEFT(K34,3)</f>
        <v>Nov/Oct</v>
      </c>
      <c r="K34" s="1419" t="s">
        <v>725</v>
      </c>
      <c r="L34" s="1418"/>
      <c r="M34" s="1418"/>
      <c r="N34" s="1415" t="str">
        <f>LEFT(K34,3)&amp;"/"&amp;LEFT(O34,3)</f>
        <v>Oct/Sep</v>
      </c>
      <c r="O34" s="1419" t="s">
        <v>726</v>
      </c>
      <c r="P34" s="1418"/>
      <c r="Q34" s="1418"/>
      <c r="R34" s="1415" t="s">
        <v>128</v>
      </c>
      <c r="S34" s="1420" t="s">
        <v>727</v>
      </c>
      <c r="T34" s="1420"/>
      <c r="U34" s="1420"/>
      <c r="V34" s="1415" t="s">
        <v>690</v>
      </c>
      <c r="W34" s="1420" t="s">
        <v>728</v>
      </c>
      <c r="X34" s="1420"/>
      <c r="Y34" s="1420"/>
      <c r="Z34" s="1415" t="s">
        <v>555</v>
      </c>
      <c r="AA34" s="1420" t="s">
        <v>729</v>
      </c>
      <c r="AB34" s="1420"/>
      <c r="AC34" s="1420"/>
      <c r="AD34" s="1415" t="s">
        <v>484</v>
      </c>
      <c r="AE34" s="1420" t="s">
        <v>730</v>
      </c>
      <c r="AF34" s="1420"/>
      <c r="AG34" s="1420"/>
      <c r="AH34" s="1415" t="s">
        <v>418</v>
      </c>
      <c r="AI34" s="1417">
        <v>45383</v>
      </c>
      <c r="AJ34" s="1418"/>
      <c r="AK34" s="1418"/>
      <c r="AL34" s="1415" t="s">
        <v>482</v>
      </c>
      <c r="AM34" s="1417">
        <v>45352</v>
      </c>
      <c r="AN34" s="1418"/>
      <c r="AO34" s="1418"/>
      <c r="AP34" s="1415" t="s">
        <v>481</v>
      </c>
      <c r="AQ34" s="1417">
        <v>45323</v>
      </c>
      <c r="AR34" s="1418"/>
      <c r="AS34" s="1418"/>
      <c r="AT34" s="1415" t="s">
        <v>420</v>
      </c>
      <c r="AU34" s="1417">
        <v>45292</v>
      </c>
      <c r="AV34" s="1418"/>
      <c r="AW34" s="1418"/>
      <c r="AX34" s="1415" t="s">
        <v>651</v>
      </c>
    </row>
    <row r="35" spans="1:50" ht="30.75" hidden="1" customHeight="1">
      <c r="B35" s="628" t="s">
        <v>421</v>
      </c>
      <c r="C35" s="1412">
        <v>26</v>
      </c>
      <c r="D35" s="1413"/>
      <c r="E35" s="1414"/>
      <c r="F35" s="1416"/>
      <c r="G35" s="1412">
        <v>26</v>
      </c>
      <c r="H35" s="1413"/>
      <c r="I35" s="1414"/>
      <c r="J35" s="1416"/>
      <c r="K35" s="1412">
        <v>26</v>
      </c>
      <c r="L35" s="1413"/>
      <c r="M35" s="1414"/>
      <c r="N35" s="1416"/>
      <c r="O35" s="1412">
        <v>26</v>
      </c>
      <c r="P35" s="1413"/>
      <c r="Q35" s="1414"/>
      <c r="R35" s="1416"/>
      <c r="S35" s="1412">
        <v>26</v>
      </c>
      <c r="T35" s="1413"/>
      <c r="U35" s="1414"/>
      <c r="V35" s="1416"/>
      <c r="W35" s="1412">
        <v>26</v>
      </c>
      <c r="X35" s="1413"/>
      <c r="Y35" s="1414"/>
      <c r="Z35" s="1416"/>
      <c r="AA35" s="1412">
        <v>26</v>
      </c>
      <c r="AB35" s="1413"/>
      <c r="AC35" s="1414"/>
      <c r="AD35" s="1416"/>
      <c r="AE35" s="1412">
        <v>26</v>
      </c>
      <c r="AF35" s="1413"/>
      <c r="AG35" s="1414"/>
      <c r="AH35" s="1416"/>
      <c r="AI35" s="1412">
        <v>26</v>
      </c>
      <c r="AJ35" s="1413"/>
      <c r="AK35" s="1414"/>
      <c r="AL35" s="1416"/>
      <c r="AM35" s="1412">
        <v>26</v>
      </c>
      <c r="AN35" s="1413"/>
      <c r="AO35" s="1414"/>
      <c r="AP35" s="1416"/>
      <c r="AQ35" s="1412">
        <v>26</v>
      </c>
      <c r="AR35" s="1413"/>
      <c r="AS35" s="1414"/>
      <c r="AT35" s="1416"/>
      <c r="AU35" s="1412">
        <v>26</v>
      </c>
      <c r="AV35" s="1413"/>
      <c r="AW35" s="1414"/>
      <c r="AX35" s="1416"/>
    </row>
    <row r="36" spans="1:50" ht="30" hidden="1" customHeight="1" thickTop="1">
      <c r="B36" s="616" t="s">
        <v>410</v>
      </c>
      <c r="C36" s="633" t="s">
        <v>408</v>
      </c>
      <c r="D36" s="617" t="s">
        <v>422</v>
      </c>
      <c r="E36" s="618" t="s">
        <v>76</v>
      </c>
      <c r="F36" s="814" t="s">
        <v>478</v>
      </c>
      <c r="G36" s="633" t="s">
        <v>408</v>
      </c>
      <c r="H36" s="617" t="s">
        <v>422</v>
      </c>
      <c r="I36" s="618" t="s">
        <v>76</v>
      </c>
      <c r="J36" s="814" t="s">
        <v>478</v>
      </c>
      <c r="K36" s="633" t="s">
        <v>408</v>
      </c>
      <c r="L36" s="617" t="s">
        <v>422</v>
      </c>
      <c r="M36" s="618" t="s">
        <v>76</v>
      </c>
      <c r="N36" s="814" t="s">
        <v>478</v>
      </c>
      <c r="O36" s="633" t="s">
        <v>408</v>
      </c>
      <c r="P36" s="617" t="s">
        <v>422</v>
      </c>
      <c r="Q36" s="618" t="s">
        <v>76</v>
      </c>
      <c r="R36" s="814" t="s">
        <v>478</v>
      </c>
      <c r="S36" s="633" t="s">
        <v>408</v>
      </c>
      <c r="T36" s="617" t="s">
        <v>422</v>
      </c>
      <c r="U36" s="618" t="s">
        <v>76</v>
      </c>
      <c r="V36" s="814" t="s">
        <v>478</v>
      </c>
      <c r="W36" s="633" t="s">
        <v>408</v>
      </c>
      <c r="X36" s="617" t="s">
        <v>422</v>
      </c>
      <c r="Y36" s="618" t="s">
        <v>76</v>
      </c>
      <c r="Z36" s="814" t="s">
        <v>478</v>
      </c>
      <c r="AA36" s="633" t="s">
        <v>408</v>
      </c>
      <c r="AB36" s="617" t="s">
        <v>422</v>
      </c>
      <c r="AC36" s="618" t="s">
        <v>76</v>
      </c>
      <c r="AD36" s="814" t="s">
        <v>478</v>
      </c>
      <c r="AE36" s="633" t="s">
        <v>408</v>
      </c>
      <c r="AF36" s="617" t="s">
        <v>422</v>
      </c>
      <c r="AG36" s="618" t="s">
        <v>76</v>
      </c>
      <c r="AH36" s="814" t="s">
        <v>478</v>
      </c>
      <c r="AI36" s="633" t="s">
        <v>408</v>
      </c>
      <c r="AJ36" s="617" t="s">
        <v>422</v>
      </c>
      <c r="AK36" s="618" t="s">
        <v>76</v>
      </c>
      <c r="AL36" s="814" t="s">
        <v>478</v>
      </c>
      <c r="AM36" s="633" t="s">
        <v>408</v>
      </c>
      <c r="AN36" s="617" t="s">
        <v>422</v>
      </c>
      <c r="AO36" s="618" t="s">
        <v>76</v>
      </c>
      <c r="AP36" s="814" t="s">
        <v>478</v>
      </c>
      <c r="AQ36" s="633" t="s">
        <v>408</v>
      </c>
      <c r="AR36" s="617" t="s">
        <v>422</v>
      </c>
      <c r="AS36" s="618" t="s">
        <v>76</v>
      </c>
      <c r="AT36" s="814" t="s">
        <v>478</v>
      </c>
      <c r="AU36" s="633" t="s">
        <v>408</v>
      </c>
      <c r="AV36" s="617" t="s">
        <v>422</v>
      </c>
      <c r="AW36" s="618" t="s">
        <v>76</v>
      </c>
      <c r="AX36" s="1289" t="s">
        <v>478</v>
      </c>
    </row>
    <row r="37" spans="1:50" ht="26.25" hidden="1" customHeight="1">
      <c r="B37" s="619" t="s">
        <v>216</v>
      </c>
      <c r="C37" s="634">
        <f>COUNTIFS('Salary sheet'!$E$6:$E$1291,'Summary '!$B37)</f>
        <v>284</v>
      </c>
      <c r="D37" s="1047">
        <f>SUMIFS('Salary sheet'!$AT$6:$AT$1291,'Salary sheet'!$E$6:$E$1291,'Summary '!$B37)</f>
        <v>2557339954</v>
      </c>
      <c r="E37" s="627">
        <f>+D37/E$33</f>
        <v>100091.58332681017</v>
      </c>
      <c r="F37" s="815">
        <f>+D37/H37</f>
        <v>0.9992351119879368</v>
      </c>
      <c r="G37" s="634">
        <v>284</v>
      </c>
      <c r="H37" s="1047">
        <v>2559297530</v>
      </c>
      <c r="I37" s="627">
        <f>+H37/I$33</f>
        <v>100522.29104477612</v>
      </c>
      <c r="J37" s="815">
        <f>+H37/L37</f>
        <v>0.76376753769253214</v>
      </c>
      <c r="K37" s="634">
        <v>280</v>
      </c>
      <c r="L37" s="1047">
        <v>3350885451</v>
      </c>
      <c r="M37" s="627">
        <f>+L37/M$33</f>
        <v>131872.70566706022</v>
      </c>
      <c r="N37" s="815">
        <f>+L37/P37</f>
        <v>1.2102690352269188</v>
      </c>
      <c r="O37" s="634">
        <v>275</v>
      </c>
      <c r="P37" s="1047">
        <v>2768711215</v>
      </c>
      <c r="Q37" s="627">
        <f>+P37/Q$33</f>
        <v>112116.26705810893</v>
      </c>
      <c r="R37" s="815">
        <f>+P37/T37</f>
        <v>0.99547931544328427</v>
      </c>
      <c r="S37" s="634">
        <v>268</v>
      </c>
      <c r="T37" s="1047">
        <v>2781284525</v>
      </c>
      <c r="U37" s="627">
        <f>+T37/U$33</f>
        <v>111251.38099999999</v>
      </c>
      <c r="V37" s="815">
        <f>+T37/X37</f>
        <v>1.090577173831681</v>
      </c>
      <c r="W37" s="634">
        <v>276</v>
      </c>
      <c r="X37" s="1047">
        <v>2550286758</v>
      </c>
      <c r="Y37" s="627">
        <f>+X37/Y$33</f>
        <v>100404.99047244094</v>
      </c>
      <c r="Z37" s="815">
        <f>+X37/AB37</f>
        <v>1.3131806533277544</v>
      </c>
      <c r="AA37" s="634">
        <v>279</v>
      </c>
      <c r="AB37" s="1047">
        <v>1942068482</v>
      </c>
      <c r="AC37" s="627">
        <f>+AB37/AC$33</f>
        <v>76240.273308993841</v>
      </c>
      <c r="AD37" s="815">
        <f>+AB37/AF37</f>
        <v>0.83625026236372968</v>
      </c>
      <c r="AE37" s="634">
        <v>278</v>
      </c>
      <c r="AF37" s="620">
        <v>2322353211</v>
      </c>
      <c r="AG37" s="627">
        <v>91165.628130643003</v>
      </c>
      <c r="AH37" s="815">
        <f>+AF37/AJ37</f>
        <v>1.0947982001788554</v>
      </c>
      <c r="AI37" s="634">
        <v>286</v>
      </c>
      <c r="AJ37" s="620">
        <v>2121261444</v>
      </c>
      <c r="AK37" s="627">
        <f>+AJ37/AK$33</f>
        <v>83399.309770001972</v>
      </c>
      <c r="AL37" s="815">
        <f t="shared" ref="AL37:AL42" si="28">+AJ37/AN37</f>
        <v>0.90816187618952537</v>
      </c>
      <c r="AM37" s="634">
        <v>283</v>
      </c>
      <c r="AN37" s="620">
        <v>2335774601</v>
      </c>
      <c r="AO37" s="627">
        <v>93749.733132651003</v>
      </c>
      <c r="AP37" s="815">
        <f>+AN37/AR37</f>
        <v>1.3542485399222337</v>
      </c>
      <c r="AQ37" s="634">
        <v>283</v>
      </c>
      <c r="AR37" s="620">
        <v>1724775425</v>
      </c>
      <c r="AS37" s="627">
        <f>+AR37/AS$33</f>
        <v>69631.627977392011</v>
      </c>
      <c r="AT37" s="815">
        <f>+AR37/AV37</f>
        <v>0.45422458706419455</v>
      </c>
      <c r="AU37" s="634">
        <v>284</v>
      </c>
      <c r="AV37" s="620">
        <v>3797186401</v>
      </c>
      <c r="AW37" s="627">
        <f>+AV37/AW$33</f>
        <v>154829.21104994902</v>
      </c>
      <c r="AX37" s="1290">
        <f t="shared" ref="AX37:AX48" si="29">+AV37/C69</f>
        <v>1.514726905498716</v>
      </c>
    </row>
    <row r="38" spans="1:50" s="610" customFormat="1" ht="26.25" hidden="1" customHeight="1">
      <c r="B38" s="619" t="s">
        <v>217</v>
      </c>
      <c r="C38" s="634">
        <f>COUNTIFS('Salary sheet'!$E$6:$E$1291,'Summary '!$B38)</f>
        <v>179</v>
      </c>
      <c r="D38" s="1047">
        <f>SUMIFS('Salary sheet'!$AT$6:$AT$1291,'Salary sheet'!$E$6:$E$1291,'Summary '!$B38)</f>
        <v>1600986183</v>
      </c>
      <c r="E38" s="627">
        <f>+D38/E$33</f>
        <v>62660.907358121331</v>
      </c>
      <c r="F38" s="815">
        <f>+D38/H38</f>
        <v>1.0189402509371985</v>
      </c>
      <c r="G38" s="634">
        <v>176</v>
      </c>
      <c r="H38" s="1047">
        <v>1571226754</v>
      </c>
      <c r="I38" s="627">
        <f>+H38/I$33</f>
        <v>61713.541005498824</v>
      </c>
      <c r="J38" s="815">
        <f t="shared" ref="J38:J41" si="30">+H38/L38</f>
        <v>0.83445990973608808</v>
      </c>
      <c r="K38" s="634">
        <v>175</v>
      </c>
      <c r="L38" s="1047">
        <v>1882926592</v>
      </c>
      <c r="M38" s="627">
        <f>+L38/M$33</f>
        <v>74101.794254230612</v>
      </c>
      <c r="N38" s="815">
        <f t="shared" ref="N38:N41" si="31">+L38/P38</f>
        <v>0.99921756834425213</v>
      </c>
      <c r="O38" s="634">
        <v>179</v>
      </c>
      <c r="P38" s="1047">
        <v>1884401007</v>
      </c>
      <c r="Q38" s="627">
        <f>+P38/Q$33</f>
        <v>76306.98550313829</v>
      </c>
      <c r="R38" s="815">
        <f t="shared" ref="R38:R41" si="32">+P38/T38</f>
        <v>1.1920415619402824</v>
      </c>
      <c r="S38" s="634">
        <v>166</v>
      </c>
      <c r="T38" s="1047">
        <v>1580818209</v>
      </c>
      <c r="U38" s="627">
        <f>+T38/U$33</f>
        <v>63232.728360000001</v>
      </c>
      <c r="V38" s="815">
        <f t="shared" ref="V38:V41" si="33">+T38/X38</f>
        <v>1.1442225355867368</v>
      </c>
      <c r="W38" s="634">
        <v>154</v>
      </c>
      <c r="X38" s="1047">
        <v>1381565351</v>
      </c>
      <c r="Y38" s="627">
        <f>+X38/Y$33</f>
        <v>54392.336653543309</v>
      </c>
      <c r="Z38" s="815">
        <f t="shared" ref="Z38:Z41" si="34">+X38/AB38</f>
        <v>1.1405856600021251</v>
      </c>
      <c r="AA38" s="634">
        <v>151</v>
      </c>
      <c r="AB38" s="1047">
        <v>1211277153</v>
      </c>
      <c r="AC38" s="627">
        <f>+AB38/AC$33</f>
        <v>47551.413378871744</v>
      </c>
      <c r="AD38" s="815">
        <f t="shared" ref="AD38:AD46" si="35">+AB38/AF38</f>
        <v>0.92195725530844108</v>
      </c>
      <c r="AE38" s="634">
        <v>159</v>
      </c>
      <c r="AF38" s="620">
        <v>1313810533</v>
      </c>
      <c r="AG38" s="627">
        <v>51574.567519824137</v>
      </c>
      <c r="AH38" s="815">
        <f t="shared" ref="AH38:AH48" si="36">+AF38/AJ38</f>
        <v>1.1575075833781521</v>
      </c>
      <c r="AI38" s="634">
        <v>149</v>
      </c>
      <c r="AJ38" s="620">
        <v>1135034061</v>
      </c>
      <c r="AK38" s="627">
        <f>+AJ38/AK$33</f>
        <v>44624.889365048162</v>
      </c>
      <c r="AL38" s="815">
        <f t="shared" si="28"/>
        <v>0.9730264860628709</v>
      </c>
      <c r="AM38" s="634">
        <v>146</v>
      </c>
      <c r="AN38" s="620">
        <v>1166498628</v>
      </c>
      <c r="AO38" s="627">
        <v>46819.130162552676</v>
      </c>
      <c r="AP38" s="815">
        <f t="shared" ref="AP38:AP48" si="37">+AN38/AR38</f>
        <v>1.2683848721644979</v>
      </c>
      <c r="AQ38" s="634">
        <v>138</v>
      </c>
      <c r="AR38" s="620">
        <v>919672454</v>
      </c>
      <c r="AS38" s="627">
        <f>+AR38/AS$33</f>
        <v>37128.480177634236</v>
      </c>
      <c r="AT38" s="815">
        <f>+AR38/AV38</f>
        <v>0.50498659465054785</v>
      </c>
      <c r="AU38" s="634">
        <v>129</v>
      </c>
      <c r="AV38" s="620">
        <v>1821181916</v>
      </c>
      <c r="AW38" s="627">
        <f>+AV38/AW$33</f>
        <v>74258.182099898069</v>
      </c>
      <c r="AX38" s="1290">
        <f t="shared" si="29"/>
        <v>1.5029031682771858</v>
      </c>
    </row>
    <row r="39" spans="1:50" s="610" customFormat="1" ht="26.25" hidden="1" customHeight="1">
      <c r="B39" s="619" t="s">
        <v>218</v>
      </c>
      <c r="C39" s="634">
        <f>COUNTIFS('Salary sheet'!$E$6:$E$1291,'Summary '!$B39)</f>
        <v>184</v>
      </c>
      <c r="D39" s="1047">
        <f>SUMIFS('Salary sheet'!$AT$6:$AT$1291,'Salary sheet'!$E$6:$E$1291,'Summary '!$B39)</f>
        <v>1470715569</v>
      </c>
      <c r="E39" s="627">
        <f t="shared" ref="E39:E40" si="38">+D39/E$33</f>
        <v>57562.253189823874</v>
      </c>
      <c r="F39" s="815">
        <f t="shared" ref="F39:F41" si="39">+D39/H39</f>
        <v>0.88311720828184492</v>
      </c>
      <c r="G39" s="634">
        <v>189</v>
      </c>
      <c r="H39" s="1047">
        <v>1665368487</v>
      </c>
      <c r="I39" s="627">
        <f t="shared" ref="I39:I40" si="40">+H39/I$33</f>
        <v>65411.173880597016</v>
      </c>
      <c r="J39" s="815">
        <f t="shared" si="30"/>
        <v>0.85546818912653888</v>
      </c>
      <c r="K39" s="634">
        <v>190</v>
      </c>
      <c r="L39" s="1047">
        <v>1946733389</v>
      </c>
      <c r="M39" s="627">
        <f t="shared" ref="M39:M40" si="41">+L39/M$33</f>
        <v>76612.884258166072</v>
      </c>
      <c r="N39" s="815">
        <f t="shared" si="31"/>
        <v>1.0779244308055846</v>
      </c>
      <c r="O39" s="634">
        <v>183</v>
      </c>
      <c r="P39" s="1047">
        <v>1806001732</v>
      </c>
      <c r="Q39" s="627">
        <f t="shared" ref="Q39:Q40" si="42">+P39/Q$33</f>
        <v>73132.283134237703</v>
      </c>
      <c r="R39" s="815">
        <f t="shared" si="32"/>
        <v>1.0681506653765533</v>
      </c>
      <c r="S39" s="634">
        <v>172</v>
      </c>
      <c r="T39" s="1047">
        <v>1690774336</v>
      </c>
      <c r="U39" s="627">
        <f t="shared" ref="U39:U40" si="43">+T39/U$33</f>
        <v>67630.973440000002</v>
      </c>
      <c r="V39" s="815">
        <f t="shared" si="33"/>
        <v>0.98854540298221849</v>
      </c>
      <c r="W39" s="634">
        <v>175</v>
      </c>
      <c r="X39" s="1047">
        <v>1710365888</v>
      </c>
      <c r="Y39" s="627">
        <f t="shared" ref="Y39:Y40" si="44">+X39/Y$33</f>
        <v>67337.239685039371</v>
      </c>
      <c r="Z39" s="815">
        <f t="shared" si="34"/>
        <v>1.2684614797380032</v>
      </c>
      <c r="AA39" s="634">
        <v>180</v>
      </c>
      <c r="AB39" s="1047">
        <v>1348378264</v>
      </c>
      <c r="AC39" s="627">
        <f t="shared" ref="AC39:AC40" si="45">+AB39/AC$33</f>
        <v>52933.626349468061</v>
      </c>
      <c r="AD39" s="815">
        <f t="shared" si="35"/>
        <v>0.77249545785514917</v>
      </c>
      <c r="AE39" s="634">
        <v>188</v>
      </c>
      <c r="AF39" s="620">
        <v>1745483744</v>
      </c>
      <c r="AG39" s="627">
        <v>68520.20664206642</v>
      </c>
      <c r="AH39" s="815">
        <f t="shared" si="36"/>
        <v>1.1435756712883811</v>
      </c>
      <c r="AI39" s="634">
        <v>205</v>
      </c>
      <c r="AJ39" s="620">
        <v>1526338648</v>
      </c>
      <c r="AK39" s="627">
        <f t="shared" ref="AK39:AK40" si="46">+AJ39/AK$33</f>
        <v>60009.38266168665</v>
      </c>
      <c r="AL39" s="815">
        <f t="shared" si="28"/>
        <v>1.0036465660267488</v>
      </c>
      <c r="AM39" s="634">
        <v>199</v>
      </c>
      <c r="AN39" s="620">
        <v>1520792976</v>
      </c>
      <c r="AO39" s="627">
        <v>61039.252498494883</v>
      </c>
      <c r="AP39" s="815">
        <f t="shared" si="37"/>
        <v>1.2604651077557063</v>
      </c>
      <c r="AQ39" s="634">
        <v>188</v>
      </c>
      <c r="AR39" s="620">
        <v>1206533181</v>
      </c>
      <c r="AS39" s="627">
        <f t="shared" ref="AS39:AS40" si="47">+AR39/AS$33</f>
        <v>48709.45421881308</v>
      </c>
      <c r="AT39" s="815">
        <f>+AR39/AV39</f>
        <v>0.46778096469517721</v>
      </c>
      <c r="AU39" s="634">
        <v>194</v>
      </c>
      <c r="AV39" s="620">
        <v>2579269513</v>
      </c>
      <c r="AW39" s="627">
        <f t="shared" ref="AW39:AW40" si="48">+AV39/AW$33</f>
        <v>105168.99135575943</v>
      </c>
      <c r="AX39" s="1290">
        <f t="shared" si="29"/>
        <v>1.5996359473813886</v>
      </c>
    </row>
    <row r="40" spans="1:50" ht="26.25" hidden="1" customHeight="1">
      <c r="A40" s="611" t="s">
        <v>219</v>
      </c>
      <c r="B40" s="619" t="s">
        <v>220</v>
      </c>
      <c r="C40" s="634">
        <f>COUNTIFS('Salary sheet'!$E$6:$E$1291,'Summary '!$B40)</f>
        <v>155</v>
      </c>
      <c r="D40" s="1047">
        <f>SUMIFS('Salary sheet'!$AT$6:$AT$1291,'Salary sheet'!$E$6:$E$1291,'Summary '!$B40)</f>
        <v>1872902206</v>
      </c>
      <c r="E40" s="627">
        <f t="shared" si="38"/>
        <v>73303.413150684937</v>
      </c>
      <c r="F40" s="815">
        <f t="shared" si="39"/>
        <v>1.0410425520669921</v>
      </c>
      <c r="G40" s="634">
        <v>156</v>
      </c>
      <c r="H40" s="1047">
        <v>1799064027</v>
      </c>
      <c r="I40" s="627">
        <f t="shared" si="40"/>
        <v>70662.373409269436</v>
      </c>
      <c r="J40" s="815">
        <f t="shared" si="30"/>
        <v>0.89633303719175061</v>
      </c>
      <c r="K40" s="634">
        <v>160</v>
      </c>
      <c r="L40" s="1047">
        <v>2007137919</v>
      </c>
      <c r="M40" s="627">
        <f t="shared" si="41"/>
        <v>78990.079456906737</v>
      </c>
      <c r="N40" s="815">
        <f t="shared" si="31"/>
        <v>1.0470993949084413</v>
      </c>
      <c r="O40" s="634">
        <v>160</v>
      </c>
      <c r="P40" s="1047">
        <v>1916855199</v>
      </c>
      <c r="Q40" s="627">
        <f t="shared" si="42"/>
        <v>77621.186434500909</v>
      </c>
      <c r="R40" s="815">
        <f t="shared" si="32"/>
        <v>0.92674331950174271</v>
      </c>
      <c r="S40" s="634">
        <v>160</v>
      </c>
      <c r="T40" s="1047">
        <v>2068377682</v>
      </c>
      <c r="U40" s="627">
        <f t="shared" si="43"/>
        <v>82735.107279999997</v>
      </c>
      <c r="V40" s="815">
        <f t="shared" si="33"/>
        <v>1.0534305624175195</v>
      </c>
      <c r="W40" s="634">
        <v>158</v>
      </c>
      <c r="X40" s="1047">
        <v>1963468458</v>
      </c>
      <c r="Y40" s="627">
        <f t="shared" si="44"/>
        <v>77301.907795275591</v>
      </c>
      <c r="Z40" s="815">
        <f t="shared" si="34"/>
        <v>1.1285149957406739</v>
      </c>
      <c r="AA40" s="634">
        <v>154</v>
      </c>
      <c r="AB40" s="1047">
        <v>1739869178</v>
      </c>
      <c r="AC40" s="627">
        <f t="shared" si="45"/>
        <v>68302.484120441251</v>
      </c>
      <c r="AD40" s="815">
        <f t="shared" si="35"/>
        <v>0.95925352030900413</v>
      </c>
      <c r="AE40" s="634">
        <v>154</v>
      </c>
      <c r="AF40" s="620">
        <v>1813774087</v>
      </c>
      <c r="AG40" s="627">
        <v>71200.992659181909</v>
      </c>
      <c r="AH40" s="815">
        <f t="shared" si="36"/>
        <v>1.0596974486206534</v>
      </c>
      <c r="AI40" s="634">
        <v>152</v>
      </c>
      <c r="AJ40" s="620">
        <v>1711596163</v>
      </c>
      <c r="AK40" s="627">
        <f t="shared" si="46"/>
        <v>67292.949203852957</v>
      </c>
      <c r="AL40" s="815">
        <f t="shared" si="28"/>
        <v>1.0303207920066957</v>
      </c>
      <c r="AM40" s="634">
        <v>157</v>
      </c>
      <c r="AN40" s="620">
        <v>1661226461</v>
      </c>
      <c r="AO40" s="627">
        <v>66675.756010435478</v>
      </c>
      <c r="AP40" s="815">
        <f t="shared" si="37"/>
        <v>1.1443990241507012</v>
      </c>
      <c r="AQ40" s="634">
        <v>151</v>
      </c>
      <c r="AR40" s="620">
        <v>1451614713</v>
      </c>
      <c r="AS40" s="627">
        <f t="shared" si="47"/>
        <v>58603.742955187729</v>
      </c>
      <c r="AT40" s="815">
        <f>+AR40/AV40</f>
        <v>0.47044582236753069</v>
      </c>
      <c r="AU40" s="634">
        <v>150</v>
      </c>
      <c r="AV40" s="620">
        <v>3085615057</v>
      </c>
      <c r="AW40" s="627">
        <f t="shared" si="48"/>
        <v>125815.08897043833</v>
      </c>
      <c r="AX40" s="1290">
        <f t="shared" si="29"/>
        <v>1.5996505708533819</v>
      </c>
    </row>
    <row r="41" spans="1:50" s="610" customFormat="1" ht="26.25" hidden="1" customHeight="1">
      <c r="B41" s="619" t="s">
        <v>423</v>
      </c>
      <c r="C41" s="634">
        <v>2</v>
      </c>
      <c r="D41" s="620">
        <f>+'Foreign Salary'!$R8+'Foreign Salary'!$R9</f>
        <v>363503937</v>
      </c>
      <c r="E41" s="627">
        <f>+D41/E$33</f>
        <v>14227.159960861056</v>
      </c>
      <c r="F41" s="815">
        <f t="shared" si="39"/>
        <v>1.1905645327297711</v>
      </c>
      <c r="G41" s="634">
        <v>2</v>
      </c>
      <c r="H41" s="620">
        <v>305320650</v>
      </c>
      <c r="I41" s="627">
        <f>+H41/I$33</f>
        <v>11992.170070699136</v>
      </c>
      <c r="J41" s="815">
        <f t="shared" si="30"/>
        <v>0.96743673256233298</v>
      </c>
      <c r="K41" s="634">
        <v>2</v>
      </c>
      <c r="L41" s="620">
        <v>315597537</v>
      </c>
      <c r="M41" s="627">
        <f>+L41/M$33</f>
        <v>12420.210035419126</v>
      </c>
      <c r="N41" s="815">
        <f t="shared" si="31"/>
        <v>1.0687261281470128</v>
      </c>
      <c r="O41" s="634">
        <v>2</v>
      </c>
      <c r="P41" s="620">
        <v>295302537</v>
      </c>
      <c r="Q41" s="627">
        <f>+P41/Q$33</f>
        <v>11957.988945130593</v>
      </c>
      <c r="R41" s="815">
        <f t="shared" si="32"/>
        <v>0.95462448876871142</v>
      </c>
      <c r="S41" s="634">
        <v>2</v>
      </c>
      <c r="T41" s="620">
        <v>309338950</v>
      </c>
      <c r="U41" s="627">
        <f>+T41/U$33</f>
        <v>12373.558000000001</v>
      </c>
      <c r="V41" s="815">
        <f t="shared" si="33"/>
        <v>0.98533648444165478</v>
      </c>
      <c r="W41" s="634">
        <v>2</v>
      </c>
      <c r="X41" s="620">
        <v>313942450</v>
      </c>
      <c r="Y41" s="627">
        <f>+X41/Y$33</f>
        <v>12359.938976377953</v>
      </c>
      <c r="Z41" s="815">
        <f t="shared" si="34"/>
        <v>1.0284477823685461</v>
      </c>
      <c r="AA41" s="634">
        <v>2</v>
      </c>
      <c r="AB41" s="620">
        <v>305258522</v>
      </c>
      <c r="AC41" s="627">
        <f>+AB41/AC$33</f>
        <v>11983.610960624976</v>
      </c>
      <c r="AD41" s="815">
        <f t="shared" si="35"/>
        <v>0.96561715969027562</v>
      </c>
      <c r="AE41" s="634">
        <v>2</v>
      </c>
      <c r="AF41" s="620">
        <v>316127897</v>
      </c>
      <c r="AG41" s="627">
        <v>12409.82558687289</v>
      </c>
      <c r="AH41" s="815">
        <f t="shared" si="36"/>
        <v>1.037037812556765</v>
      </c>
      <c r="AI41" s="634">
        <v>2</v>
      </c>
      <c r="AJ41" s="620">
        <v>304837387</v>
      </c>
      <c r="AK41" s="627">
        <f>+AJ41/AK$33</f>
        <v>11984.957224297228</v>
      </c>
      <c r="AL41" s="815">
        <f t="shared" si="28"/>
        <v>1.0192691127143854</v>
      </c>
      <c r="AM41" s="634">
        <v>2</v>
      </c>
      <c r="AN41" s="620">
        <v>299074487</v>
      </c>
      <c r="AO41" s="627">
        <v>12235.094802327914</v>
      </c>
      <c r="AP41" s="815">
        <f t="shared" si="37"/>
        <v>1.0054021426372508</v>
      </c>
      <c r="AQ41" s="634">
        <v>2</v>
      </c>
      <c r="AR41" s="620">
        <v>297467525</v>
      </c>
      <c r="AS41" s="627">
        <f>+AR41/AS$33</f>
        <v>12009.185506661284</v>
      </c>
      <c r="AT41" s="815">
        <f>+AR41/AV41</f>
        <v>0.51553770111072605</v>
      </c>
      <c r="AU41" s="634">
        <v>2</v>
      </c>
      <c r="AV41" s="620">
        <v>577004406</v>
      </c>
      <c r="AW41" s="627">
        <f>+AV41/AW$33</f>
        <v>23527.192905198775</v>
      </c>
      <c r="AX41" s="1290">
        <f t="shared" si="29"/>
        <v>1.9705568138013057</v>
      </c>
    </row>
    <row r="42" spans="1:50" s="610" customFormat="1" ht="26.25" hidden="1" customHeight="1">
      <c r="B42" s="621" t="s">
        <v>411</v>
      </c>
      <c r="C42" s="635">
        <f>SUM(C37:C41)</f>
        <v>804</v>
      </c>
      <c r="D42" s="622">
        <f>SUM(D37:D41)</f>
        <v>7865447849</v>
      </c>
      <c r="E42" s="638">
        <f t="shared" ref="E42" si="49">SUM(E37:E41)</f>
        <v>307845.31698630145</v>
      </c>
      <c r="F42" s="790">
        <f>+D42/H42</f>
        <v>0.99559134483196954</v>
      </c>
      <c r="G42" s="635">
        <f>SUM(G37:G41)</f>
        <v>807</v>
      </c>
      <c r="H42" s="622">
        <f>SUM(H37:H41)</f>
        <v>7900277448</v>
      </c>
      <c r="I42" s="638">
        <f t="shared" ref="I42" si="50">SUM(I37:I41)</f>
        <v>310301.54941084055</v>
      </c>
      <c r="J42" s="790">
        <f>+H42/L42</f>
        <v>0.83132105018340063</v>
      </c>
      <c r="K42" s="635">
        <f>SUM(K37:K41)</f>
        <v>807</v>
      </c>
      <c r="L42" s="622">
        <f>SUM(L37:L41)</f>
        <v>9503280888</v>
      </c>
      <c r="M42" s="638">
        <f t="shared" ref="M42" si="51">SUM(M37:M41)</f>
        <v>373997.67367178277</v>
      </c>
      <c r="N42" s="790">
        <f>+L42/P42</f>
        <v>1.0959500783442757</v>
      </c>
      <c r="O42" s="635">
        <f>SUM(O37:O41)</f>
        <v>799</v>
      </c>
      <c r="P42" s="622">
        <f>SUM(P37:P41)</f>
        <v>8671271690</v>
      </c>
      <c r="Q42" s="638">
        <f t="shared" ref="Q42" si="52">SUM(Q37:Q41)</f>
        <v>351134.71107511641</v>
      </c>
      <c r="R42" s="790">
        <f>+P42/T42</f>
        <v>1.0285481659426789</v>
      </c>
      <c r="S42" s="635">
        <f>SUM(S37:S41)</f>
        <v>768</v>
      </c>
      <c r="T42" s="622">
        <f>SUM(T37:T41)</f>
        <v>8430593702</v>
      </c>
      <c r="U42" s="638">
        <f t="shared" ref="U42" si="53">SUM(U37:U41)</f>
        <v>337223.74807999999</v>
      </c>
      <c r="V42" s="790">
        <f>+T42/X42</f>
        <v>1.0645187802521159</v>
      </c>
      <c r="W42" s="635">
        <f>SUM(W37:W41)</f>
        <v>765</v>
      </c>
      <c r="X42" s="622">
        <f>SUM(X37:X41)</f>
        <v>7919628905</v>
      </c>
      <c r="Y42" s="638">
        <f t="shared" ref="Y42" si="54">SUM(Y37:Y41)</f>
        <v>311796.41358267714</v>
      </c>
      <c r="Z42" s="790">
        <f>+X42/AB42</f>
        <v>1.2096851112693139</v>
      </c>
      <c r="AA42" s="635">
        <f>SUM(AA37:AA41)</f>
        <v>766</v>
      </c>
      <c r="AB42" s="622">
        <f>SUM(AB37:AB41)</f>
        <v>6546851599</v>
      </c>
      <c r="AC42" s="638">
        <f t="shared" ref="AC42" si="55">SUM(AC37:AC41)</f>
        <v>257011.40811839988</v>
      </c>
      <c r="AD42" s="790">
        <f>+AB42/AF42</f>
        <v>0.87157138795450906</v>
      </c>
      <c r="AE42" s="635">
        <f>SUM(AE37:AE41)</f>
        <v>781</v>
      </c>
      <c r="AF42" s="622">
        <f>SUM(AF37:AF41)</f>
        <v>7511549472</v>
      </c>
      <c r="AG42" s="638">
        <f t="shared" ref="AG42" si="56">SUM(AG37:AG41)</f>
        <v>294871.22053858836</v>
      </c>
      <c r="AH42" s="790">
        <f t="shared" si="36"/>
        <v>1.1047910978567881</v>
      </c>
      <c r="AI42" s="635">
        <f>SUM(AI37:AI41)</f>
        <v>794</v>
      </c>
      <c r="AJ42" s="622">
        <f>SUM(AJ37:AJ41)</f>
        <v>6799067703</v>
      </c>
      <c r="AK42" s="638">
        <f t="shared" ref="AK42" si="57">SUM(AK37:AK41)</f>
        <v>267311.48822488694</v>
      </c>
      <c r="AL42" s="790">
        <f t="shared" si="28"/>
        <v>0.97360879845464998</v>
      </c>
      <c r="AM42" s="635">
        <f>SUM(AM37:AM41)</f>
        <v>787</v>
      </c>
      <c r="AN42" s="622">
        <f>SUM(AN37:AN41)</f>
        <v>6983367153</v>
      </c>
      <c r="AO42" s="638">
        <f t="shared" ref="AO42" si="58">SUM(AO37:AO41)</f>
        <v>280518.96660646197</v>
      </c>
      <c r="AP42" s="790">
        <f t="shared" si="37"/>
        <v>1.247015753463721</v>
      </c>
      <c r="AQ42" s="635">
        <f>SUM(AQ37:AQ41)</f>
        <v>762</v>
      </c>
      <c r="AR42" s="622">
        <f>SUM(AR37:AR41)</f>
        <v>5600063298</v>
      </c>
      <c r="AS42" s="638">
        <f t="shared" ref="AS42" si="59">SUM(AS37:AS41)</f>
        <v>226082.49083568834</v>
      </c>
      <c r="AT42" s="790">
        <f t="shared" ref="AT42:AT43" si="60">+AR42/AV42</f>
        <v>0.47217047317389932</v>
      </c>
      <c r="AU42" s="635">
        <f>SUM(AU37:AU41)</f>
        <v>759</v>
      </c>
      <c r="AV42" s="622">
        <f>SUM(AV37:AV41)</f>
        <v>11860257293</v>
      </c>
      <c r="AW42" s="638">
        <f t="shared" ref="AW42" si="61">SUM(AW37:AW41)</f>
        <v>483598.66638124367</v>
      </c>
      <c r="AX42" s="1291">
        <f t="shared" si="29"/>
        <v>1.570317758343321</v>
      </c>
    </row>
    <row r="43" spans="1:50" s="804" customFormat="1" ht="26.25" hidden="1" customHeight="1">
      <c r="B43" s="805" t="s">
        <v>424</v>
      </c>
      <c r="C43" s="806">
        <f>+C42/C48</f>
        <v>0.62373933281613658</v>
      </c>
      <c r="D43" s="851">
        <f>+D42/D48</f>
        <v>0.60194504034817786</v>
      </c>
      <c r="E43" s="808">
        <f>+E42/E48</f>
        <v>0.60194504034817797</v>
      </c>
      <c r="F43" s="790"/>
      <c r="G43" s="806">
        <f>+G42/G48</f>
        <v>0.62461300309597523</v>
      </c>
      <c r="H43" s="851">
        <f>+H42/H48</f>
        <v>0.62873489502650293</v>
      </c>
      <c r="I43" s="808">
        <f>+I42/I48</f>
        <v>0.62873489502650293</v>
      </c>
      <c r="J43" s="790"/>
      <c r="K43" s="806">
        <f>+K42/K48</f>
        <v>0.62364760432766619</v>
      </c>
      <c r="L43" s="851">
        <f>+L42/L48</f>
        <v>0.65573113607945033</v>
      </c>
      <c r="M43" s="808">
        <f>+M42/M48</f>
        <v>0.65573113607945033</v>
      </c>
      <c r="N43" s="790"/>
      <c r="O43" s="806">
        <f>+O42/O48</f>
        <v>0.62913385826771651</v>
      </c>
      <c r="P43" s="851">
        <f>+P42/P48</f>
        <v>0.63335215299534697</v>
      </c>
      <c r="Q43" s="808">
        <f t="shared" ref="Q43" si="62">+Q42/Q48</f>
        <v>0.63335215299534686</v>
      </c>
      <c r="R43" s="790"/>
      <c r="S43" s="806">
        <f>+S42/S48</f>
        <v>0.62693877551020405</v>
      </c>
      <c r="T43" s="851">
        <f>+T42/T48</f>
        <v>0.6124450465644018</v>
      </c>
      <c r="U43" s="808">
        <f t="shared" ref="U43" si="63">+U42/U48</f>
        <v>0.6124450465644018</v>
      </c>
      <c r="V43" s="790"/>
      <c r="W43" s="806">
        <f>+W42/W48</f>
        <v>0.62859490550534103</v>
      </c>
      <c r="X43" s="851">
        <f>+X42/X48</f>
        <v>0.60180683462509188</v>
      </c>
      <c r="Y43" s="808">
        <f t="shared" ref="Y43" si="64">+Y42/Y48</f>
        <v>0.60180683462509177</v>
      </c>
      <c r="Z43" s="790"/>
      <c r="AA43" s="806">
        <f>+AA42/AA48</f>
        <v>0.63253509496284066</v>
      </c>
      <c r="AB43" s="851">
        <f>+AB42/AB48</f>
        <v>0.60725431065783708</v>
      </c>
      <c r="AC43" s="808">
        <f t="shared" ref="AC43" si="65">+AC42/AC48</f>
        <v>0.60725431065783708</v>
      </c>
      <c r="AD43" s="790"/>
      <c r="AE43" s="806">
        <f>+AE42/AE48</f>
        <v>0.63444354183590579</v>
      </c>
      <c r="AF43" s="851">
        <f>+AF42/AF48</f>
        <v>0.60886067970914404</v>
      </c>
      <c r="AG43" s="808">
        <f t="shared" ref="AG43" si="66">+AG42/AG48</f>
        <v>0.60886067970914404</v>
      </c>
      <c r="AH43" s="790"/>
      <c r="AI43" s="806">
        <f>+AI42/AI48</f>
        <v>0.63367916999201912</v>
      </c>
      <c r="AJ43" s="851">
        <f>+AJ42/AJ48</f>
        <v>0.60390815077148485</v>
      </c>
      <c r="AK43" s="808">
        <f t="shared" ref="AK43" si="67">+AK42/AK48</f>
        <v>0.60390815077148474</v>
      </c>
      <c r="AL43" s="790"/>
      <c r="AM43" s="806">
        <f>+AM42/AM48</f>
        <v>0.63010408326661327</v>
      </c>
      <c r="AN43" s="851">
        <f>+AN42/AN48</f>
        <v>0.63871047858470997</v>
      </c>
      <c r="AO43" s="808">
        <f t="shared" ref="AO43" si="68">+AO42/AO48</f>
        <v>0.63923756308941837</v>
      </c>
      <c r="AP43" s="790">
        <f t="shared" si="37"/>
        <v>1.0061163884999516</v>
      </c>
      <c r="AQ43" s="806">
        <f>+AQ42/AQ48</f>
        <v>0.63872590108968985</v>
      </c>
      <c r="AR43" s="851">
        <f>+AR42/AR48</f>
        <v>0.63482762619241517</v>
      </c>
      <c r="AS43" s="808">
        <f t="shared" ref="AS43" si="69">+AS42/AS48</f>
        <v>0.63482762619241517</v>
      </c>
      <c r="AT43" s="790">
        <f t="shared" si="60"/>
        <v>0.9883003443567272</v>
      </c>
      <c r="AU43" s="806">
        <f>+AU42/AU48</f>
        <v>0.64816396242527752</v>
      </c>
      <c r="AV43" s="851">
        <f>+AV42/AV48</f>
        <v>0.64234281594388887</v>
      </c>
      <c r="AW43" s="808">
        <f t="shared" ref="AW43" si="70">+AW42/AW48</f>
        <v>0.64234281594388898</v>
      </c>
      <c r="AX43" s="1291">
        <f t="shared" si="29"/>
        <v>1.0221615812270819</v>
      </c>
    </row>
    <row r="44" spans="1:50" ht="26.25" hidden="1" customHeight="1">
      <c r="B44" s="623" t="s">
        <v>221</v>
      </c>
      <c r="C44" s="634">
        <f>COUNTIFS('Salary sheet'!$E$6:$E$1291,'Summary '!$B44)</f>
        <v>484</v>
      </c>
      <c r="D44" s="1047">
        <f>SUMIFS('Salary sheet'!$AT$6:$AT$1291,'Salary sheet'!$E$6:$E$1291,'Summary '!$B44)</f>
        <v>5084279703</v>
      </c>
      <c r="E44" s="627">
        <f>+D44/E$33</f>
        <v>198993.3347553816</v>
      </c>
      <c r="F44" s="815">
        <f t="shared" ref="F44:F46" si="71">+D44/H44</f>
        <v>1.1150112088943271</v>
      </c>
      <c r="G44" s="634">
        <v>484</v>
      </c>
      <c r="H44" s="1047">
        <v>4559846271</v>
      </c>
      <c r="I44" s="627">
        <f>+H44/I$33</f>
        <v>179098.43955223879</v>
      </c>
      <c r="J44" s="815">
        <f t="shared" ref="J44:J46" si="72">+H44/L44</f>
        <v>0.93426131514813127</v>
      </c>
      <c r="K44" s="634">
        <v>486</v>
      </c>
      <c r="L44" s="1047">
        <v>4880696864</v>
      </c>
      <c r="M44" s="627">
        <f>+L44/M$33</f>
        <v>192077.79866194411</v>
      </c>
      <c r="N44" s="815">
        <f t="shared" ref="N44:N46" si="73">+L44/P44</f>
        <v>0.99253436349894197</v>
      </c>
      <c r="O44" s="634">
        <v>470</v>
      </c>
      <c r="P44" s="1047">
        <v>4917408448</v>
      </c>
      <c r="Q44" s="627">
        <f>+P44/Q$33</f>
        <v>199125.67110751165</v>
      </c>
      <c r="R44" s="815">
        <f t="shared" ref="R44:R46" si="74">+P44/T44</f>
        <v>0.94062958073674585</v>
      </c>
      <c r="S44" s="634">
        <v>456</v>
      </c>
      <c r="T44" s="1047">
        <v>5227784187</v>
      </c>
      <c r="U44" s="627">
        <f>+T44/U$33</f>
        <v>209111.36747999999</v>
      </c>
      <c r="V44" s="815">
        <f t="shared" ref="V44:V46" si="75">+T44/X44</f>
        <v>1.0187651132458131</v>
      </c>
      <c r="W44" s="634">
        <v>451</v>
      </c>
      <c r="X44" s="1047">
        <v>5131491174</v>
      </c>
      <c r="Y44" s="627">
        <f>+X44/Y$33</f>
        <v>202027.21157480314</v>
      </c>
      <c r="Z44" s="815">
        <f t="shared" ref="Z44:Z46" si="76">+X44/AB44</f>
        <v>1.2430118425002519</v>
      </c>
      <c r="AA44" s="634">
        <v>444</v>
      </c>
      <c r="AB44" s="1047">
        <v>4128272152</v>
      </c>
      <c r="AC44" s="627">
        <f>+AB44/AC$33</f>
        <v>162064.62340517412</v>
      </c>
      <c r="AD44" s="815">
        <f t="shared" si="35"/>
        <v>0.87538982832698731</v>
      </c>
      <c r="AE44" s="634">
        <v>449</v>
      </c>
      <c r="AF44" s="620">
        <v>4715924287</v>
      </c>
      <c r="AG44" s="627">
        <v>185126.96423804664</v>
      </c>
      <c r="AH44" s="815">
        <f t="shared" si="36"/>
        <v>1.0832307751785275</v>
      </c>
      <c r="AI44" s="634">
        <v>458</v>
      </c>
      <c r="AJ44" s="620">
        <v>4353573029</v>
      </c>
      <c r="AK44" s="627">
        <f>+AJ44/AK$33</f>
        <v>171164.6561431099</v>
      </c>
      <c r="AL44" s="815">
        <f>+AJ44/AN44</f>
        <v>1.1318870576441837</v>
      </c>
      <c r="AM44" s="634">
        <v>461</v>
      </c>
      <c r="AN44" s="620">
        <v>3846296324</v>
      </c>
      <c r="AO44" s="627">
        <v>154376.73385510736</v>
      </c>
      <c r="AP44" s="815">
        <f t="shared" si="37"/>
        <v>1.2335824141826495</v>
      </c>
      <c r="AQ44" s="634">
        <v>430</v>
      </c>
      <c r="AR44" s="620">
        <v>3117988940</v>
      </c>
      <c r="AS44" s="627">
        <f t="shared" ref="AS44:AS45" si="77">+AR44/AS$33</f>
        <v>125877.63181267663</v>
      </c>
      <c r="AT44" s="815">
        <f>+AR44/AV44</f>
        <v>0.48689430416355223</v>
      </c>
      <c r="AU44" s="634">
        <v>411</v>
      </c>
      <c r="AV44" s="620">
        <v>6403831208</v>
      </c>
      <c r="AW44" s="627">
        <f t="shared" ref="AW44:AW45" si="78">+AV44/AW$33</f>
        <v>261114.42234454639</v>
      </c>
      <c r="AX44" s="1290">
        <f t="shared" si="29"/>
        <v>1.4658861703306709</v>
      </c>
    </row>
    <row r="45" spans="1:50" ht="26.25" hidden="1" customHeight="1">
      <c r="B45" s="623" t="s">
        <v>425</v>
      </c>
      <c r="C45" s="634">
        <v>1</v>
      </c>
      <c r="D45" s="620">
        <f>+'Foreign Salary'!$R10</f>
        <v>116993364</v>
      </c>
      <c r="E45" s="627">
        <f>+D45/E$33</f>
        <v>4578.9966340508809</v>
      </c>
      <c r="F45" s="815">
        <f t="shared" si="71"/>
        <v>1.1117687453702183</v>
      </c>
      <c r="G45" s="634">
        <v>1</v>
      </c>
      <c r="H45" s="620">
        <v>105231744</v>
      </c>
      <c r="I45" s="627">
        <f>+H45/I$33</f>
        <v>4133.2185388845246</v>
      </c>
      <c r="J45" s="815">
        <f t="shared" si="72"/>
        <v>0.96835360952864036</v>
      </c>
      <c r="K45" s="634">
        <v>1</v>
      </c>
      <c r="L45" s="620">
        <v>108670782</v>
      </c>
      <c r="M45" s="627">
        <f>+L45/M$33</f>
        <v>4276.6935064935069</v>
      </c>
      <c r="N45" s="815">
        <f t="shared" si="73"/>
        <v>1.0612936160996858</v>
      </c>
      <c r="O45" s="634">
        <v>1</v>
      </c>
      <c r="P45" s="620">
        <v>102394644</v>
      </c>
      <c r="Q45" s="627">
        <f>+P45/Q$33</f>
        <v>4146.3714922048994</v>
      </c>
      <c r="R45" s="815">
        <f t="shared" si="74"/>
        <v>0.95613930643760159</v>
      </c>
      <c r="S45" s="634">
        <v>1</v>
      </c>
      <c r="T45" s="620">
        <v>107091763</v>
      </c>
      <c r="U45" s="627">
        <f>+T45/U$33</f>
        <v>4283.6705199999997</v>
      </c>
      <c r="V45" s="815">
        <f t="shared" si="75"/>
        <v>0.98581907554559134</v>
      </c>
      <c r="W45" s="634">
        <v>1</v>
      </c>
      <c r="X45" s="620">
        <v>108632269</v>
      </c>
      <c r="Y45" s="627">
        <f>+X45/Y$33</f>
        <v>4276.8609842519681</v>
      </c>
      <c r="Z45" s="815">
        <f t="shared" si="76"/>
        <v>1.0253468024133421</v>
      </c>
      <c r="AA45" s="634">
        <v>1</v>
      </c>
      <c r="AB45" s="620">
        <v>105946855</v>
      </c>
      <c r="AC45" s="627">
        <f>+AB45/AC$33</f>
        <v>4159.1824677109098</v>
      </c>
      <c r="AD45" s="815">
        <f t="shared" si="35"/>
        <v>0.96680808704082544</v>
      </c>
      <c r="AE45" s="634">
        <v>1</v>
      </c>
      <c r="AF45" s="620">
        <v>109584163</v>
      </c>
      <c r="AG45" s="627">
        <v>4301.8043102771453</v>
      </c>
      <c r="AH45" s="815">
        <f t="shared" si="36"/>
        <v>1.035709105070181</v>
      </c>
      <c r="AI45" s="634">
        <v>1</v>
      </c>
      <c r="AJ45" s="620">
        <v>105805928</v>
      </c>
      <c r="AK45" s="627">
        <f>+AJ45/AK$33</f>
        <v>4159.8556320031448</v>
      </c>
      <c r="AL45" s="815">
        <f>+AJ45/AN45</f>
        <v>1.0185650124114531</v>
      </c>
      <c r="AM45" s="634">
        <v>1</v>
      </c>
      <c r="AN45" s="620">
        <v>103877442</v>
      </c>
      <c r="AO45" s="627">
        <v>4246.6758177804531</v>
      </c>
      <c r="AP45" s="815">
        <f t="shared" si="37"/>
        <v>1.0052037217723053</v>
      </c>
      <c r="AQ45" s="634">
        <v>1</v>
      </c>
      <c r="AR45" s="620">
        <v>103339691</v>
      </c>
      <c r="AS45" s="627">
        <f t="shared" si="77"/>
        <v>4171.9697618086393</v>
      </c>
      <c r="AT45" s="815">
        <f>+AR45/AV45</f>
        <v>0.51676807916330569</v>
      </c>
      <c r="AU45" s="634">
        <v>1</v>
      </c>
      <c r="AV45" s="620">
        <v>199973054</v>
      </c>
      <c r="AW45" s="627">
        <f t="shared" si="78"/>
        <v>8153.8452191641181</v>
      </c>
      <c r="AX45" s="1290">
        <f t="shared" si="29"/>
        <v>2.0531133766573988</v>
      </c>
    </row>
    <row r="46" spans="1:50" ht="26.25" hidden="1" customHeight="1">
      <c r="B46" s="621" t="s">
        <v>412</v>
      </c>
      <c r="C46" s="635">
        <f t="shared" ref="C46:E46" si="79">SUM(C44:C45)</f>
        <v>485</v>
      </c>
      <c r="D46" s="622">
        <f t="shared" si="79"/>
        <v>5201273067</v>
      </c>
      <c r="E46" s="638">
        <f t="shared" si="79"/>
        <v>203572.33138943248</v>
      </c>
      <c r="F46" s="790">
        <f t="shared" si="71"/>
        <v>1.1149380675469798</v>
      </c>
      <c r="G46" s="635">
        <f t="shared" ref="G46:I46" si="80">SUM(G44:G45)</f>
        <v>485</v>
      </c>
      <c r="H46" s="622">
        <f t="shared" si="80"/>
        <v>4665078015</v>
      </c>
      <c r="I46" s="638">
        <f t="shared" si="80"/>
        <v>183231.65809112333</v>
      </c>
      <c r="J46" s="790">
        <f t="shared" si="72"/>
        <v>0.93500386140917391</v>
      </c>
      <c r="K46" s="635">
        <f t="shared" ref="K46:M46" si="81">SUM(K44:K45)</f>
        <v>487</v>
      </c>
      <c r="L46" s="622">
        <f t="shared" si="81"/>
        <v>4989367646</v>
      </c>
      <c r="M46" s="638">
        <f t="shared" si="81"/>
        <v>196354.4921684376</v>
      </c>
      <c r="N46" s="790">
        <f t="shared" si="73"/>
        <v>0.99393692432906289</v>
      </c>
      <c r="O46" s="635">
        <f t="shared" ref="O46:Q46" si="82">SUM(O44:O45)</f>
        <v>471</v>
      </c>
      <c r="P46" s="622">
        <f t="shared" si="82"/>
        <v>5019803092</v>
      </c>
      <c r="Q46" s="638">
        <f t="shared" si="82"/>
        <v>203272.04259971654</v>
      </c>
      <c r="R46" s="790">
        <f t="shared" si="74"/>
        <v>0.94094092140980334</v>
      </c>
      <c r="S46" s="635">
        <f t="shared" ref="S46:U46" si="83">SUM(S44:S45)</f>
        <v>457</v>
      </c>
      <c r="T46" s="622">
        <f t="shared" si="83"/>
        <v>5334875950</v>
      </c>
      <c r="U46" s="638">
        <f t="shared" si="83"/>
        <v>213395.038</v>
      </c>
      <c r="V46" s="790">
        <f t="shared" si="75"/>
        <v>1.0180821135285609</v>
      </c>
      <c r="W46" s="635">
        <f t="shared" ref="W46:Y46" si="84">SUM(W44:W45)</f>
        <v>452</v>
      </c>
      <c r="X46" s="622">
        <f t="shared" si="84"/>
        <v>5240123443</v>
      </c>
      <c r="Y46" s="638">
        <f t="shared" si="84"/>
        <v>206304.07255905512</v>
      </c>
      <c r="Z46" s="790">
        <f t="shared" si="76"/>
        <v>1.237565519010009</v>
      </c>
      <c r="AA46" s="635">
        <f t="shared" ref="AA46:AC46" si="85">SUM(AA44:AA45)</f>
        <v>445</v>
      </c>
      <c r="AB46" s="622">
        <f t="shared" si="85"/>
        <v>4234219007</v>
      </c>
      <c r="AC46" s="638">
        <f t="shared" si="85"/>
        <v>166223.80587288502</v>
      </c>
      <c r="AD46" s="790">
        <f t="shared" si="35"/>
        <v>0.87746587761130124</v>
      </c>
      <c r="AE46" s="635">
        <f t="shared" ref="AE46:AG46" si="86">SUM(AE44:AE45)</f>
        <v>450</v>
      </c>
      <c r="AF46" s="622">
        <f t="shared" si="86"/>
        <v>4825508450</v>
      </c>
      <c r="AG46" s="638">
        <f t="shared" si="86"/>
        <v>189428.76854832377</v>
      </c>
      <c r="AH46" s="790">
        <f t="shared" si="36"/>
        <v>1.0821032472302623</v>
      </c>
      <c r="AI46" s="635">
        <f t="shared" ref="AI46:AK46" si="87">SUM(AI44:AI45)</f>
        <v>459</v>
      </c>
      <c r="AJ46" s="622">
        <f t="shared" si="87"/>
        <v>4459378957</v>
      </c>
      <c r="AK46" s="638">
        <f t="shared" si="87"/>
        <v>175324.51177511303</v>
      </c>
      <c r="AL46" s="790">
        <f>+AJ46/AN46</f>
        <v>1.1289070357822837</v>
      </c>
      <c r="AM46" s="635">
        <f t="shared" ref="AM46:AO46" si="88">SUM(AM44:AM45)</f>
        <v>462</v>
      </c>
      <c r="AN46" s="622">
        <f t="shared" si="88"/>
        <v>3950173766</v>
      </c>
      <c r="AO46" s="638">
        <f t="shared" si="88"/>
        <v>158623.40967288782</v>
      </c>
      <c r="AP46" s="790">
        <f t="shared" si="37"/>
        <v>1.2262560634100048</v>
      </c>
      <c r="AQ46" s="635">
        <f t="shared" ref="AQ46:AS46" si="89">SUM(AQ44:AQ45)</f>
        <v>431</v>
      </c>
      <c r="AR46" s="622">
        <f t="shared" si="89"/>
        <v>3221328631</v>
      </c>
      <c r="AS46" s="638">
        <f t="shared" si="89"/>
        <v>130049.60157448526</v>
      </c>
      <c r="AT46" s="790">
        <f t="shared" ref="AT46:AT47" si="90">+AR46/AV46</f>
        <v>0.48779892667872654</v>
      </c>
      <c r="AU46" s="635">
        <f t="shared" ref="AU46:AW46" si="91">SUM(AU44:AU45)</f>
        <v>412</v>
      </c>
      <c r="AV46" s="622">
        <f t="shared" si="91"/>
        <v>6603804262</v>
      </c>
      <c r="AW46" s="638">
        <f t="shared" si="91"/>
        <v>269268.26756371051</v>
      </c>
      <c r="AX46" s="1291">
        <f t="shared" si="29"/>
        <v>1.4786932054387079</v>
      </c>
    </row>
    <row r="47" spans="1:50" s="804" customFormat="1" ht="26.25" hidden="1" customHeight="1">
      <c r="B47" s="809" t="s">
        <v>424</v>
      </c>
      <c r="C47" s="810">
        <f>+C46/C48</f>
        <v>0.37626066718386347</v>
      </c>
      <c r="D47" s="852">
        <f>+D46/D48</f>
        <v>0.39805495965182208</v>
      </c>
      <c r="E47" s="812">
        <f>+E46/E48</f>
        <v>0.39805495965182208</v>
      </c>
      <c r="F47" s="791"/>
      <c r="G47" s="810">
        <f>+G46/G48</f>
        <v>0.37538699690402477</v>
      </c>
      <c r="H47" s="852">
        <f>+H46/H48</f>
        <v>0.37126510497349707</v>
      </c>
      <c r="I47" s="812">
        <f>+I46/I48</f>
        <v>0.37126510497349707</v>
      </c>
      <c r="J47" s="791"/>
      <c r="K47" s="810">
        <f>+K46/K48</f>
        <v>0.37635239567233386</v>
      </c>
      <c r="L47" s="852">
        <f>+L46/L48</f>
        <v>0.34426886392054967</v>
      </c>
      <c r="M47" s="812">
        <f>+M46/M48</f>
        <v>0.34426886392054967</v>
      </c>
      <c r="N47" s="791"/>
      <c r="O47" s="810">
        <f>+O46/O48</f>
        <v>0.37086614173228344</v>
      </c>
      <c r="P47" s="852">
        <f>+P46/P48</f>
        <v>0.36664784700465308</v>
      </c>
      <c r="Q47" s="812">
        <f>+Q46/Q48</f>
        <v>0.36664784700465308</v>
      </c>
      <c r="R47" s="791"/>
      <c r="S47" s="810">
        <f>+S46/S48</f>
        <v>0.3730612244897959</v>
      </c>
      <c r="T47" s="852">
        <f>+T46/T48</f>
        <v>0.3875549534355982</v>
      </c>
      <c r="U47" s="812">
        <f>+U46/U48</f>
        <v>0.3875549534355982</v>
      </c>
      <c r="V47" s="791"/>
      <c r="W47" s="810">
        <f>+W46/W48</f>
        <v>0.37140509449465897</v>
      </c>
      <c r="X47" s="852">
        <f>+X46/X48</f>
        <v>0.39819316537490818</v>
      </c>
      <c r="Y47" s="812">
        <f>+Y46/Y48</f>
        <v>0.39819316537490812</v>
      </c>
      <c r="Z47" s="791"/>
      <c r="AA47" s="810">
        <f>+AA46/AA48</f>
        <v>0.3674649050371594</v>
      </c>
      <c r="AB47" s="852">
        <f>+AB46/AB48</f>
        <v>0.39274568934216292</v>
      </c>
      <c r="AC47" s="812">
        <f>+AC46/AC48</f>
        <v>0.39274568934216292</v>
      </c>
      <c r="AD47" s="791"/>
      <c r="AE47" s="810">
        <f>+AE46/AE48</f>
        <v>0.36555645816409421</v>
      </c>
      <c r="AF47" s="852">
        <f t="shared" ref="AF47:AG47" si="92">+AF46/AF48</f>
        <v>0.39113932029085596</v>
      </c>
      <c r="AG47" s="812">
        <f t="shared" si="92"/>
        <v>0.39113932029085596</v>
      </c>
      <c r="AH47" s="791"/>
      <c r="AI47" s="810">
        <f>+AI46/AI48</f>
        <v>0.36632083000798082</v>
      </c>
      <c r="AJ47" s="852">
        <f t="shared" ref="AJ47:AK47" si="93">+AJ46/AJ48</f>
        <v>0.39609184922851515</v>
      </c>
      <c r="AK47" s="812">
        <f t="shared" si="93"/>
        <v>0.39609184922851515</v>
      </c>
      <c r="AL47" s="791"/>
      <c r="AM47" s="810">
        <f>+AM46/AM48</f>
        <v>0.36989591673338673</v>
      </c>
      <c r="AN47" s="852">
        <f t="shared" ref="AN47:AO47" si="94">+AN46/AN48</f>
        <v>0.36128952141529003</v>
      </c>
      <c r="AO47" s="812">
        <f t="shared" si="94"/>
        <v>0.36146590398103762</v>
      </c>
      <c r="AP47" s="791">
        <f t="shared" si="37"/>
        <v>0.98936706971612054</v>
      </c>
      <c r="AQ47" s="810">
        <f>+AQ46/AQ48</f>
        <v>0.36127409891031015</v>
      </c>
      <c r="AR47" s="852">
        <f t="shared" ref="AR47:AS47" si="95">+AR46/AR48</f>
        <v>0.36517237380758483</v>
      </c>
      <c r="AS47" s="812">
        <f t="shared" si="95"/>
        <v>0.36517237380758483</v>
      </c>
      <c r="AT47" s="791">
        <f t="shared" si="90"/>
        <v>1.0210122712096696</v>
      </c>
      <c r="AU47" s="810">
        <f>+AU46/AU48</f>
        <v>0.35183603757472248</v>
      </c>
      <c r="AV47" s="852">
        <f t="shared" ref="AV47:AW47" si="96">+AV46/AV48</f>
        <v>0.35765718405611108</v>
      </c>
      <c r="AW47" s="812">
        <f t="shared" si="96"/>
        <v>0.35765718405611113</v>
      </c>
      <c r="AX47" s="1292">
        <f t="shared" si="29"/>
        <v>0.96252072358626295</v>
      </c>
    </row>
    <row r="48" spans="1:50" ht="26.25" hidden="1" customHeight="1" thickBot="1">
      <c r="B48" s="624" t="s">
        <v>413</v>
      </c>
      <c r="C48" s="636">
        <f>+C42+C46</f>
        <v>1289</v>
      </c>
      <c r="D48" s="625">
        <f>+D42+D46</f>
        <v>13066720916</v>
      </c>
      <c r="E48" s="639">
        <f>+D48/E$33</f>
        <v>511417.64837573387</v>
      </c>
      <c r="F48" s="816">
        <f>+D48/H48</f>
        <v>1.0399006183690007</v>
      </c>
      <c r="G48" s="636">
        <f>+G42+G46</f>
        <v>1292</v>
      </c>
      <c r="H48" s="625">
        <f>+H42+H46</f>
        <v>12565355463</v>
      </c>
      <c r="I48" s="639">
        <f>+H48/I$33</f>
        <v>493533.20750196389</v>
      </c>
      <c r="J48" s="816">
        <f>+H48/L48</f>
        <v>0.8670158138121864</v>
      </c>
      <c r="K48" s="636">
        <f>+K42+K46</f>
        <v>1294</v>
      </c>
      <c r="L48" s="625">
        <f>+L42+L46</f>
        <v>14492648534</v>
      </c>
      <c r="M48" s="639">
        <f>+L48/M$33</f>
        <v>570352.1658402204</v>
      </c>
      <c r="N48" s="816">
        <f>+L48/P48</f>
        <v>1.0585471750584439</v>
      </c>
      <c r="O48" s="636">
        <f>+O42+O46</f>
        <v>1270</v>
      </c>
      <c r="P48" s="625">
        <f>+P42+P46</f>
        <v>13691074782</v>
      </c>
      <c r="Q48" s="639">
        <f>+P48/Q$33</f>
        <v>554406.75367483299</v>
      </c>
      <c r="R48" s="816">
        <f>+P48/T48</f>
        <v>0.99459554436711928</v>
      </c>
      <c r="S48" s="636">
        <f>+S42+S46</f>
        <v>1225</v>
      </c>
      <c r="T48" s="625">
        <f>+T42+T46</f>
        <v>13765469652</v>
      </c>
      <c r="U48" s="639">
        <f>+T48/U$33</f>
        <v>550618.78607999999</v>
      </c>
      <c r="V48" s="816">
        <f>+T48/X48</f>
        <v>1.0460280169400038</v>
      </c>
      <c r="W48" s="636">
        <f>+W42+W46</f>
        <v>1217</v>
      </c>
      <c r="X48" s="625">
        <f>+X42+X46</f>
        <v>13159752348</v>
      </c>
      <c r="Y48" s="639">
        <f>+X48/Y$33</f>
        <v>518100.48614173231</v>
      </c>
      <c r="Z48" s="816">
        <f>+X48/AB48</f>
        <v>1.2206350212265737</v>
      </c>
      <c r="AA48" s="636">
        <f>+AA42+AA46</f>
        <v>1211</v>
      </c>
      <c r="AB48" s="625">
        <f>+AB42+AB46</f>
        <v>10781070606</v>
      </c>
      <c r="AC48" s="639">
        <f>+AB48/AC$33</f>
        <v>423235.21399128489</v>
      </c>
      <c r="AD48" s="816">
        <f>+AB48/AF48</f>
        <v>0.87387695463232828</v>
      </c>
      <c r="AE48" s="636">
        <f>+AE42+AE46</f>
        <v>1231</v>
      </c>
      <c r="AF48" s="625">
        <f>+AF42+AF46</f>
        <v>12337057922</v>
      </c>
      <c r="AG48" s="639">
        <f>+AF48/AG$33</f>
        <v>484299.98908691213</v>
      </c>
      <c r="AH48" s="816">
        <f t="shared" si="36"/>
        <v>1.0958046251471072</v>
      </c>
      <c r="AI48" s="636">
        <f>+AI42+AI46</f>
        <v>1253</v>
      </c>
      <c r="AJ48" s="625">
        <f>+AJ42+AJ46</f>
        <v>11258446660</v>
      </c>
      <c r="AK48" s="639">
        <f>+AJ48/AK$33</f>
        <v>442636</v>
      </c>
      <c r="AL48" s="816">
        <f>+AJ48/AN48</f>
        <v>1.0297164242953889</v>
      </c>
      <c r="AM48" s="636">
        <f>+AM42+AM46</f>
        <v>1249</v>
      </c>
      <c r="AN48" s="625">
        <f>+AN42+AN46</f>
        <v>10933540919</v>
      </c>
      <c r="AO48" s="639">
        <f>+AN48/AO$33</f>
        <v>438833.67124222359</v>
      </c>
      <c r="AP48" s="816">
        <f t="shared" si="37"/>
        <v>1.2394348881672956</v>
      </c>
      <c r="AQ48" s="636">
        <f>+AQ42+AQ46</f>
        <v>1193</v>
      </c>
      <c r="AR48" s="625">
        <f>+AR42+AR46</f>
        <v>8821391929</v>
      </c>
      <c r="AS48" s="639">
        <f>+AR48/AS$33</f>
        <v>356132.09241017362</v>
      </c>
      <c r="AT48" s="816">
        <f>+AR48/AV48</f>
        <v>0.4777601018455877</v>
      </c>
      <c r="AU48" s="636">
        <f>+AU42+AU46</f>
        <v>1171</v>
      </c>
      <c r="AV48" s="625">
        <f>+AV42+AV46</f>
        <v>18464061555</v>
      </c>
      <c r="AW48" s="639">
        <f>+AV48/AW$33</f>
        <v>752866.93394495407</v>
      </c>
      <c r="AX48" s="1293">
        <f t="shared" si="29"/>
        <v>1.5362715515664263</v>
      </c>
    </row>
    <row r="49" spans="1:49" ht="76.5" hidden="1" customHeight="1" thickTop="1">
      <c r="C49" s="995"/>
      <c r="D49" s="1421" t="s">
        <v>739</v>
      </c>
      <c r="E49" s="1421"/>
      <c r="F49" s="995"/>
      <c r="G49" s="995"/>
      <c r="H49" s="995"/>
      <c r="I49" s="995"/>
      <c r="J49" s="995"/>
      <c r="K49" s="995"/>
      <c r="L49" s="995"/>
      <c r="M49" s="995"/>
      <c r="N49" s="995"/>
      <c r="O49" s="995"/>
      <c r="P49" s="995"/>
      <c r="Q49" s="995"/>
      <c r="R49" s="995"/>
      <c r="S49" s="995"/>
      <c r="T49" s="995"/>
      <c r="U49" s="995"/>
      <c r="V49" s="995"/>
      <c r="W49" s="995"/>
      <c r="X49" s="995"/>
      <c r="Y49" s="995"/>
      <c r="Z49" s="995"/>
      <c r="AA49" s="995"/>
      <c r="AB49" s="995"/>
      <c r="AC49" s="995"/>
      <c r="AD49" s="995"/>
      <c r="AE49" s="995"/>
      <c r="AF49" s="995"/>
      <c r="AG49" s="995"/>
      <c r="AH49" s="995"/>
      <c r="AI49" s="995"/>
      <c r="AJ49" s="995"/>
      <c r="AK49" s="995"/>
      <c r="AL49" s="995"/>
      <c r="AM49" s="995"/>
      <c r="AN49" s="995"/>
      <c r="AO49" s="995"/>
      <c r="AP49" s="995"/>
      <c r="AQ49" s="995"/>
      <c r="AR49" s="995"/>
      <c r="AS49" s="995"/>
      <c r="AU49" s="1421" t="s">
        <v>655</v>
      </c>
      <c r="AV49" s="1421"/>
      <c r="AW49" s="1421"/>
    </row>
    <row r="50" spans="1:49" ht="29.25" hidden="1" customHeight="1">
      <c r="B50" s="643"/>
      <c r="D50" s="609"/>
      <c r="E50" s="760"/>
      <c r="F50" s="760"/>
      <c r="H50" s="609"/>
      <c r="I50" s="760"/>
      <c r="J50" s="760"/>
      <c r="L50" s="609"/>
      <c r="M50" s="760"/>
      <c r="N50" s="760"/>
      <c r="P50" s="609"/>
      <c r="Q50" s="760"/>
      <c r="R50" s="760"/>
      <c r="T50" s="609"/>
      <c r="U50" s="760"/>
      <c r="V50" s="760"/>
      <c r="X50" s="609"/>
      <c r="Y50" s="760"/>
      <c r="Z50" s="760"/>
      <c r="AB50" s="609"/>
      <c r="AC50" s="760"/>
      <c r="AD50" s="760"/>
      <c r="AF50" s="609"/>
      <c r="AG50" s="760"/>
      <c r="AH50" s="760"/>
      <c r="AJ50" s="609"/>
      <c r="AK50" s="760"/>
      <c r="AL50" s="760">
        <f>0.35*170</f>
        <v>59.499999999999993</v>
      </c>
      <c r="AN50" s="609"/>
      <c r="AO50" s="760"/>
      <c r="AP50" s="760"/>
      <c r="AR50" s="609"/>
      <c r="AS50" s="760"/>
      <c r="AV50" s="609"/>
      <c r="AW50" s="760"/>
    </row>
    <row r="51" spans="1:49" ht="22.5" hidden="1" customHeight="1">
      <c r="A51" s="613" t="s">
        <v>416</v>
      </c>
      <c r="B51" s="643"/>
      <c r="C51" s="792" t="str">
        <f>+C34</f>
        <v>Dec 2024</v>
      </c>
      <c r="D51" s="685">
        <f>+E33</f>
        <v>25550</v>
      </c>
      <c r="E51" s="614"/>
      <c r="F51" s="760"/>
      <c r="G51" s="792" t="str">
        <f>+G34</f>
        <v>Nov 2024</v>
      </c>
      <c r="H51" s="685">
        <f>+I33</f>
        <v>25460</v>
      </c>
      <c r="I51" s="760"/>
      <c r="J51" s="760"/>
      <c r="K51" s="792" t="str">
        <f>+K34</f>
        <v>Oct 2024</v>
      </c>
      <c r="L51" s="685">
        <f>+M33</f>
        <v>25410</v>
      </c>
      <c r="M51" s="760"/>
      <c r="N51" s="760"/>
      <c r="O51" s="792" t="str">
        <f>+O34</f>
        <v>Sep 2024</v>
      </c>
      <c r="P51" s="685">
        <f>+Q33</f>
        <v>24695</v>
      </c>
      <c r="Q51" s="760"/>
      <c r="R51" s="760"/>
      <c r="S51" s="792" t="str">
        <f>+S34</f>
        <v>Aug 2024</v>
      </c>
      <c r="T51" s="685">
        <f>+U33</f>
        <v>25000</v>
      </c>
      <c r="U51" s="760"/>
      <c r="V51" s="760"/>
      <c r="W51" s="792" t="str">
        <f>+W34</f>
        <v>Jul 2024</v>
      </c>
      <c r="X51" s="685">
        <f>+Y33</f>
        <v>25400</v>
      </c>
      <c r="Y51" s="760"/>
      <c r="Z51" s="760"/>
      <c r="AA51" s="792" t="str">
        <f>+AA34</f>
        <v>Jun 2024</v>
      </c>
      <c r="AB51" s="685">
        <f>+AC33</f>
        <v>25473</v>
      </c>
      <c r="AC51" s="760"/>
      <c r="AD51" s="760"/>
      <c r="AE51" s="792" t="str">
        <f>+AE34</f>
        <v>May 2024</v>
      </c>
      <c r="AF51" s="685">
        <f>+AG33</f>
        <v>25474</v>
      </c>
      <c r="AG51" s="760"/>
      <c r="AH51" s="760"/>
      <c r="AI51" s="792">
        <f>+AI34</f>
        <v>45383</v>
      </c>
      <c r="AJ51" s="685">
        <f>+AK33</f>
        <v>25435</v>
      </c>
      <c r="AK51" s="760"/>
      <c r="AL51" s="760"/>
      <c r="AM51" s="792">
        <f>+AM34</f>
        <v>45352</v>
      </c>
      <c r="AN51" s="685">
        <f>+AO33</f>
        <v>24915</v>
      </c>
      <c r="AO51" s="760"/>
      <c r="AP51" s="760"/>
      <c r="AQ51" s="792">
        <f>+AQ34</f>
        <v>45323</v>
      </c>
      <c r="AR51" s="685">
        <f>+AS33</f>
        <v>24770</v>
      </c>
      <c r="AS51" s="760"/>
      <c r="AU51" s="792">
        <f>+AU34</f>
        <v>45292</v>
      </c>
      <c r="AV51" s="685">
        <f>+AW33</f>
        <v>24525</v>
      </c>
      <c r="AW51" s="760"/>
    </row>
    <row r="52" spans="1:49" ht="28.5" hidden="1" customHeight="1">
      <c r="B52" s="690" t="s">
        <v>410</v>
      </c>
      <c r="C52" s="689" t="s">
        <v>414</v>
      </c>
      <c r="D52" s="690" t="s">
        <v>415</v>
      </c>
      <c r="E52" s="685"/>
      <c r="F52" s="607"/>
      <c r="G52" s="689" t="s">
        <v>414</v>
      </c>
      <c r="H52" s="690" t="s">
        <v>415</v>
      </c>
      <c r="I52" s="607"/>
      <c r="J52" s="607"/>
      <c r="K52" s="689" t="s">
        <v>414</v>
      </c>
      <c r="L52" s="690" t="s">
        <v>415</v>
      </c>
      <c r="M52" s="607"/>
      <c r="N52" s="607"/>
      <c r="O52" s="689" t="s">
        <v>414</v>
      </c>
      <c r="P52" s="690" t="s">
        <v>415</v>
      </c>
      <c r="Q52" s="607"/>
      <c r="R52" s="607"/>
      <c r="S52" s="689" t="s">
        <v>414</v>
      </c>
      <c r="T52" s="690" t="s">
        <v>415</v>
      </c>
      <c r="U52" s="607"/>
      <c r="V52" s="607"/>
      <c r="W52" s="689" t="s">
        <v>414</v>
      </c>
      <c r="X52" s="690" t="s">
        <v>415</v>
      </c>
      <c r="Y52" s="607"/>
      <c r="Z52" s="607"/>
      <c r="AA52" s="689" t="s">
        <v>414</v>
      </c>
      <c r="AB52" s="690" t="s">
        <v>415</v>
      </c>
      <c r="AC52" s="607"/>
      <c r="AD52" s="607"/>
      <c r="AE52" s="689" t="s">
        <v>414</v>
      </c>
      <c r="AF52" s="690" t="s">
        <v>415</v>
      </c>
      <c r="AG52" s="607"/>
      <c r="AH52" s="607"/>
      <c r="AI52" s="689" t="s">
        <v>414</v>
      </c>
      <c r="AJ52" s="690" t="s">
        <v>415</v>
      </c>
      <c r="AK52" s="607"/>
      <c r="AL52" s="607"/>
      <c r="AM52" s="689" t="s">
        <v>414</v>
      </c>
      <c r="AN52" s="690" t="s">
        <v>415</v>
      </c>
      <c r="AO52" s="607"/>
      <c r="AP52" s="607"/>
      <c r="AQ52" s="689" t="s">
        <v>414</v>
      </c>
      <c r="AR52" s="690" t="s">
        <v>415</v>
      </c>
      <c r="AS52" s="607"/>
      <c r="AU52" s="689" t="s">
        <v>414</v>
      </c>
      <c r="AV52" s="690" t="s">
        <v>415</v>
      </c>
      <c r="AW52" s="607"/>
    </row>
    <row r="53" spans="1:49" ht="28.5" hidden="1" customHeight="1">
      <c r="B53" s="678" t="s">
        <v>408</v>
      </c>
      <c r="C53" s="1403">
        <f>+C48</f>
        <v>1289</v>
      </c>
      <c r="D53" s="1404"/>
      <c r="E53" s="607"/>
      <c r="F53" s="607"/>
      <c r="G53" s="1403">
        <f>+G48</f>
        <v>1292</v>
      </c>
      <c r="H53" s="1404"/>
      <c r="I53" s="607"/>
      <c r="J53" s="607"/>
      <c r="K53" s="1403">
        <f>+K48</f>
        <v>1294</v>
      </c>
      <c r="L53" s="1404"/>
      <c r="M53" s="607"/>
      <c r="N53" s="607"/>
      <c r="O53" s="1403">
        <f>+O48</f>
        <v>1270</v>
      </c>
      <c r="P53" s="1404"/>
      <c r="Q53" s="607"/>
      <c r="R53" s="607"/>
      <c r="S53" s="1403">
        <f>+S48</f>
        <v>1225</v>
      </c>
      <c r="T53" s="1404"/>
      <c r="U53" s="607"/>
      <c r="V53" s="607"/>
      <c r="W53" s="1403">
        <f>+W48</f>
        <v>1217</v>
      </c>
      <c r="X53" s="1404"/>
      <c r="Y53" s="607"/>
      <c r="Z53" s="607"/>
      <c r="AA53" s="1403">
        <f>+AA48</f>
        <v>1211</v>
      </c>
      <c r="AB53" s="1404"/>
      <c r="AC53" s="607"/>
      <c r="AD53" s="607"/>
      <c r="AE53" s="1403">
        <f>+AE48</f>
        <v>1231</v>
      </c>
      <c r="AF53" s="1404"/>
      <c r="AG53" s="607"/>
      <c r="AH53" s="607"/>
      <c r="AI53" s="1403">
        <f>+AI48</f>
        <v>1253</v>
      </c>
      <c r="AJ53" s="1404"/>
      <c r="AK53" s="607"/>
      <c r="AL53" s="607"/>
      <c r="AM53" s="1411">
        <f>+AM48</f>
        <v>1249</v>
      </c>
      <c r="AN53" s="1406"/>
      <c r="AO53" s="607"/>
      <c r="AP53" s="607"/>
      <c r="AQ53" s="1403">
        <f>+AQ48</f>
        <v>1193</v>
      </c>
      <c r="AR53" s="1404"/>
      <c r="AS53" s="607"/>
      <c r="AU53" s="1403">
        <f>+AU48</f>
        <v>1171</v>
      </c>
      <c r="AV53" s="1404"/>
      <c r="AW53" s="607"/>
    </row>
    <row r="54" spans="1:49" ht="28.5" hidden="1" customHeight="1">
      <c r="B54" s="678" t="s">
        <v>506</v>
      </c>
      <c r="C54" s="1058">
        <v>12386227850</v>
      </c>
      <c r="D54" s="1021">
        <v>484783.8688845401</v>
      </c>
      <c r="E54" s="773"/>
      <c r="F54" s="773"/>
      <c r="G54" s="1058">
        <v>10763005074</v>
      </c>
      <c r="H54" s="1021">
        <v>422741.75467399845</v>
      </c>
      <c r="I54" s="773"/>
      <c r="J54" s="773"/>
      <c r="K54" s="1058">
        <v>11492843309</v>
      </c>
      <c r="L54" s="1021">
        <v>452296.07670208579</v>
      </c>
      <c r="M54" s="773"/>
      <c r="N54" s="773"/>
      <c r="O54" s="1058">
        <v>10953347536</v>
      </c>
      <c r="P54" s="1021">
        <v>443545.15229803603</v>
      </c>
      <c r="Q54" s="773"/>
      <c r="R54" s="773"/>
      <c r="S54" s="680">
        <v>11330394226</v>
      </c>
      <c r="T54" s="1021">
        <v>453215.76903999998</v>
      </c>
      <c r="U54" s="773"/>
      <c r="V54" s="773"/>
      <c r="W54" s="680">
        <v>11190379007</v>
      </c>
      <c r="X54" s="1021">
        <v>440566.10263779527</v>
      </c>
      <c r="Y54" s="773"/>
      <c r="Z54" s="773"/>
      <c r="AA54" s="680">
        <v>10015722102</v>
      </c>
      <c r="AB54" s="1021">
        <v>393189.73430691322</v>
      </c>
      <c r="AC54" s="773"/>
      <c r="AD54" s="773"/>
      <c r="AE54" s="680">
        <v>10547466313</v>
      </c>
      <c r="AF54" s="1021">
        <v>414048.29681243619</v>
      </c>
      <c r="AG54" s="773"/>
      <c r="AH54" s="773"/>
      <c r="AI54" s="680">
        <v>10453244284</v>
      </c>
      <c r="AJ54" s="1021">
        <v>410978.74126204051</v>
      </c>
      <c r="AK54" s="773"/>
      <c r="AL54" s="773"/>
      <c r="AM54" s="680">
        <v>10076082070</v>
      </c>
      <c r="AN54" s="1021">
        <v>404418.30503712624</v>
      </c>
      <c r="AO54" s="773"/>
      <c r="AP54" s="773"/>
      <c r="AQ54" s="680">
        <v>8316053573</v>
      </c>
      <c r="AR54" s="682">
        <v>335730.86689543806</v>
      </c>
      <c r="AS54" s="773"/>
      <c r="AU54" s="680">
        <v>2372779894</v>
      </c>
      <c r="AV54" s="682">
        <v>96749.435025484199</v>
      </c>
      <c r="AW54" s="773"/>
    </row>
    <row r="55" spans="1:49" ht="28.5" hidden="1" customHeight="1">
      <c r="B55" s="678" t="s">
        <v>507</v>
      </c>
      <c r="C55" s="1059">
        <v>101169004</v>
      </c>
      <c r="D55" s="1021">
        <v>3959.6479060665361</v>
      </c>
      <c r="E55" s="773"/>
      <c r="F55" s="773"/>
      <c r="G55" s="1058">
        <v>60868160</v>
      </c>
      <c r="H55" s="1021">
        <v>2390.7368421052633</v>
      </c>
      <c r="I55" s="773"/>
      <c r="J55" s="773"/>
      <c r="K55" s="1058">
        <v>130940566</v>
      </c>
      <c r="L55" s="1021">
        <v>5153.1116096025189</v>
      </c>
      <c r="M55" s="773"/>
      <c r="N55" s="773"/>
      <c r="O55" s="1058">
        <v>67869866</v>
      </c>
      <c r="P55" s="1021">
        <v>2748.3241951812106</v>
      </c>
      <c r="Q55" s="773"/>
      <c r="R55" s="773"/>
      <c r="S55" s="680">
        <v>41959971</v>
      </c>
      <c r="T55" s="1021">
        <v>1678.3988400000001</v>
      </c>
      <c r="U55" s="773"/>
      <c r="V55" s="773"/>
      <c r="W55" s="680">
        <v>44404583</v>
      </c>
      <c r="X55" s="1021">
        <v>1748.2119291338583</v>
      </c>
      <c r="Y55" s="773"/>
      <c r="Z55" s="773"/>
      <c r="AA55" s="680">
        <v>39783045</v>
      </c>
      <c r="AB55" s="1021">
        <v>1561.7730538216936</v>
      </c>
      <c r="AC55" s="773"/>
      <c r="AD55" s="773"/>
      <c r="AE55" s="680">
        <v>215764202</v>
      </c>
      <c r="AF55" s="1021">
        <v>8469.9773101986339</v>
      </c>
      <c r="AG55" s="773"/>
      <c r="AH55" s="773"/>
      <c r="AI55" s="680">
        <v>64339995</v>
      </c>
      <c r="AJ55" s="1021">
        <v>2529.5850206408491</v>
      </c>
      <c r="AK55" s="773"/>
      <c r="AL55" s="773"/>
      <c r="AM55" s="680">
        <v>102988228</v>
      </c>
      <c r="AN55" s="1021">
        <v>4133.5833032309856</v>
      </c>
      <c r="AO55" s="773"/>
      <c r="AP55" s="773"/>
      <c r="AQ55" s="680">
        <v>80202175</v>
      </c>
      <c r="AR55" s="682">
        <v>3237.8754541784415</v>
      </c>
      <c r="AS55" s="773"/>
      <c r="AU55" s="680">
        <v>1127788</v>
      </c>
      <c r="AV55" s="682">
        <v>45.985239551478081</v>
      </c>
      <c r="AW55" s="773"/>
    </row>
    <row r="56" spans="1:49" ht="28.5" hidden="1" customHeight="1">
      <c r="B56" s="678" t="s">
        <v>508</v>
      </c>
      <c r="C56" s="1058">
        <v>1862073874</v>
      </c>
      <c r="D56" s="1021">
        <v>72879.603679060659</v>
      </c>
      <c r="E56" s="773"/>
      <c r="F56" s="773"/>
      <c r="G56" s="1058">
        <v>1324894873</v>
      </c>
      <c r="H56" s="1021">
        <v>52038.290377062061</v>
      </c>
      <c r="I56" s="773"/>
      <c r="J56" s="773"/>
      <c r="K56" s="1058">
        <v>2423772440</v>
      </c>
      <c r="L56" s="1021">
        <v>95386.558048012594</v>
      </c>
      <c r="M56" s="773"/>
      <c r="N56" s="773"/>
      <c r="O56" s="1058">
        <v>2257274444</v>
      </c>
      <c r="P56" s="1021">
        <v>91406.13257744482</v>
      </c>
      <c r="Q56" s="773"/>
      <c r="R56" s="773"/>
      <c r="S56" s="680">
        <v>1969344799</v>
      </c>
      <c r="T56" s="1021">
        <v>78773.791960000002</v>
      </c>
      <c r="U56" s="773"/>
      <c r="V56" s="773"/>
      <c r="W56" s="680">
        <v>1496192404</v>
      </c>
      <c r="X56" s="1021">
        <v>58905.212755905515</v>
      </c>
      <c r="Y56" s="773"/>
      <c r="Z56" s="773"/>
      <c r="AA56" s="680">
        <v>313957782</v>
      </c>
      <c r="AB56" s="1021">
        <v>12325.12000942174</v>
      </c>
      <c r="AC56" s="773"/>
      <c r="AD56" s="773"/>
      <c r="AE56" s="680">
        <v>1126799307</v>
      </c>
      <c r="AF56" s="1021">
        <v>44233.308746172566</v>
      </c>
      <c r="AG56" s="773"/>
      <c r="AH56" s="773"/>
      <c r="AI56" s="680">
        <v>324977734</v>
      </c>
      <c r="AJ56" s="1021">
        <v>12776.793159032828</v>
      </c>
      <c r="AK56" s="773"/>
      <c r="AL56" s="773"/>
      <c r="AM56" s="680">
        <v>348545986</v>
      </c>
      <c r="AN56" s="1021">
        <v>13989.403411599438</v>
      </c>
      <c r="AO56" s="773"/>
      <c r="AP56" s="773"/>
      <c r="AQ56" s="680">
        <v>24328965</v>
      </c>
      <c r="AR56" s="682">
        <v>982.19479208720225</v>
      </c>
      <c r="AS56" s="773"/>
      <c r="AU56" s="680">
        <v>365240980</v>
      </c>
      <c r="AV56" s="682">
        <v>14892.598572884812</v>
      </c>
      <c r="AW56" s="773"/>
    </row>
    <row r="57" spans="1:49" ht="28.5" hidden="1" customHeight="1">
      <c r="B57" s="678" t="s">
        <v>509</v>
      </c>
      <c r="C57" s="1059">
        <v>18710129</v>
      </c>
      <c r="D57" s="1021">
        <v>732.29467710371819</v>
      </c>
      <c r="E57" s="773"/>
      <c r="F57" s="773"/>
      <c r="G57" s="1058">
        <v>6034962</v>
      </c>
      <c r="H57" s="1021">
        <v>237.03699921445406</v>
      </c>
      <c r="I57" s="773"/>
      <c r="J57" s="773"/>
      <c r="K57" s="1058">
        <v>20823900</v>
      </c>
      <c r="L57" s="1021">
        <v>819.51593860684773</v>
      </c>
      <c r="M57" s="773"/>
      <c r="N57" s="773"/>
      <c r="O57" s="1058">
        <v>14885755</v>
      </c>
      <c r="P57" s="1021">
        <v>602.78416683539183</v>
      </c>
      <c r="Q57" s="773"/>
      <c r="R57" s="773"/>
      <c r="S57" s="680">
        <v>7339943</v>
      </c>
      <c r="T57" s="1021">
        <v>293.59771999999998</v>
      </c>
      <c r="U57" s="773"/>
      <c r="V57" s="773"/>
      <c r="W57" s="680">
        <v>6201635</v>
      </c>
      <c r="X57" s="1021">
        <v>244.15885826771654</v>
      </c>
      <c r="Y57" s="773"/>
      <c r="Z57" s="773"/>
      <c r="AA57" s="680">
        <v>402300</v>
      </c>
      <c r="AB57" s="1021">
        <v>15.793192792368391</v>
      </c>
      <c r="AC57" s="773"/>
      <c r="AD57" s="773"/>
      <c r="AE57" s="680">
        <v>21316040</v>
      </c>
      <c r="AF57" s="1021">
        <v>836.77632095469892</v>
      </c>
      <c r="AG57" s="773"/>
      <c r="AH57" s="773"/>
      <c r="AI57" s="680">
        <v>5241332</v>
      </c>
      <c r="AJ57" s="1021">
        <v>206.06770198545311</v>
      </c>
      <c r="AK57" s="773"/>
      <c r="AL57" s="773"/>
      <c r="AM57" s="680">
        <v>2972706</v>
      </c>
      <c r="AN57" s="1021">
        <v>119.31390728476821</v>
      </c>
      <c r="AO57" s="773"/>
      <c r="AP57" s="773"/>
      <c r="AQ57" s="680">
        <v>0</v>
      </c>
      <c r="AR57" s="1021">
        <v>0</v>
      </c>
      <c r="AS57" s="773"/>
      <c r="AU57" s="680">
        <v>0</v>
      </c>
      <c r="AV57" s="861">
        <v>0</v>
      </c>
      <c r="AW57" s="773"/>
    </row>
    <row r="58" spans="1:49" ht="28.5" hidden="1" customHeight="1">
      <c r="B58" s="679" t="s">
        <v>409</v>
      </c>
      <c r="C58" s="684">
        <v>14368180857</v>
      </c>
      <c r="D58" s="1028">
        <v>562355.41514677112</v>
      </c>
      <c r="E58" s="773"/>
      <c r="F58" s="773"/>
      <c r="G58" s="684">
        <v>12154803069</v>
      </c>
      <c r="H58" s="1028">
        <v>477407.81889238022</v>
      </c>
      <c r="I58" s="773"/>
      <c r="J58" s="773"/>
      <c r="K58" s="684">
        <v>14068380215</v>
      </c>
      <c r="L58" s="1028">
        <v>553655.26229830773</v>
      </c>
      <c r="M58" s="773"/>
      <c r="N58" s="773"/>
      <c r="O58" s="684">
        <v>13293377601</v>
      </c>
      <c r="P58" s="1028">
        <v>538302.39323749742</v>
      </c>
      <c r="Q58" s="773"/>
      <c r="R58" s="773"/>
      <c r="S58" s="684">
        <v>13349038939</v>
      </c>
      <c r="T58" s="1028">
        <v>533961.55755999987</v>
      </c>
      <c r="U58" s="773"/>
      <c r="V58" s="773"/>
      <c r="W58" s="684">
        <v>12737177629</v>
      </c>
      <c r="X58" s="1028">
        <v>501463.68618110236</v>
      </c>
      <c r="Y58" s="773"/>
      <c r="Z58" s="773"/>
      <c r="AA58" s="684">
        <v>10369865229</v>
      </c>
      <c r="AB58" s="1028">
        <v>407092.42056294903</v>
      </c>
      <c r="AC58" s="773"/>
      <c r="AD58" s="773"/>
      <c r="AE58" s="684">
        <v>11911345862</v>
      </c>
      <c r="AF58" s="1028">
        <v>467588.35918976215</v>
      </c>
      <c r="AG58" s="773"/>
      <c r="AH58" s="773"/>
      <c r="AI58" s="684">
        <v>10847803345</v>
      </c>
      <c r="AJ58" s="1028">
        <v>426491.18714369967</v>
      </c>
      <c r="AK58" s="773"/>
      <c r="AL58" s="773"/>
      <c r="AM58" s="684">
        <v>10530588990</v>
      </c>
      <c r="AN58" s="1028">
        <v>422660.60565924144</v>
      </c>
      <c r="AO58" s="773"/>
      <c r="AP58" s="773"/>
      <c r="AQ58" s="684">
        <v>8420584713</v>
      </c>
      <c r="AR58" s="1028">
        <v>339950.93714170367</v>
      </c>
      <c r="AS58" s="773"/>
      <c r="AU58" s="684">
        <v>2739148662</v>
      </c>
      <c r="AV58" s="980">
        <v>111688.01883792049</v>
      </c>
      <c r="AW58" s="773"/>
    </row>
    <row r="59" spans="1:49" ht="22.5" hidden="1" customHeight="1">
      <c r="B59" s="678" t="s">
        <v>539</v>
      </c>
      <c r="C59" s="1060">
        <v>411883595</v>
      </c>
      <c r="D59" s="1021">
        <v>16120.688649706459</v>
      </c>
      <c r="E59" s="773"/>
      <c r="F59" s="773"/>
      <c r="G59" s="1060">
        <v>410552394</v>
      </c>
      <c r="H59" s="1021">
        <v>16125.388609583661</v>
      </c>
      <c r="I59" s="773"/>
      <c r="J59" s="773"/>
      <c r="K59" s="1060">
        <v>424268319</v>
      </c>
      <c r="L59" s="1021">
        <v>16696.903541912634</v>
      </c>
      <c r="M59" s="773"/>
      <c r="N59" s="773"/>
      <c r="O59" s="1060">
        <v>397697181</v>
      </c>
      <c r="P59" s="1021">
        <v>16104.360437335494</v>
      </c>
      <c r="Q59" s="773"/>
      <c r="R59" s="773"/>
      <c r="S59" s="1022">
        <v>416430713</v>
      </c>
      <c r="T59" s="1021">
        <v>16657.228520000001</v>
      </c>
      <c r="U59" s="773"/>
      <c r="V59" s="773"/>
      <c r="W59" s="1022">
        <v>422574719</v>
      </c>
      <c r="X59" s="1021">
        <v>16636.79996062992</v>
      </c>
      <c r="Y59" s="773"/>
      <c r="Z59" s="773"/>
      <c r="AA59" s="1022">
        <v>411205377</v>
      </c>
      <c r="AB59" s="1021">
        <v>16142.793428335885</v>
      </c>
      <c r="AC59" s="773"/>
      <c r="AD59" s="773"/>
      <c r="AE59" s="1022">
        <v>425712060</v>
      </c>
      <c r="AF59" s="1021">
        <v>16711.629897150036</v>
      </c>
      <c r="AG59" s="773"/>
      <c r="AH59" s="773"/>
      <c r="AI59" s="1022">
        <v>410643315</v>
      </c>
      <c r="AJ59" s="1021">
        <v>16144.812856300374</v>
      </c>
      <c r="AK59" s="773"/>
      <c r="AL59" s="773"/>
      <c r="AM59" s="1022">
        <v>402951929</v>
      </c>
      <c r="AN59" s="1021">
        <v>16173.065582982139</v>
      </c>
      <c r="AO59" s="773"/>
      <c r="AP59" s="773"/>
      <c r="AQ59" s="978">
        <v>400807216</v>
      </c>
      <c r="AR59" s="1021">
        <v>16181.155268469924</v>
      </c>
      <c r="AS59" s="773"/>
      <c r="AU59" s="978">
        <v>0</v>
      </c>
      <c r="AV59" s="985">
        <v>0</v>
      </c>
      <c r="AW59" s="773"/>
    </row>
    <row r="60" spans="1:49" ht="25.5" hidden="1" customHeight="1">
      <c r="B60" s="788" t="s">
        <v>540</v>
      </c>
      <c r="C60" s="684">
        <v>14780064452</v>
      </c>
      <c r="D60" s="1027">
        <v>578476.10379647755</v>
      </c>
      <c r="E60" s="773"/>
      <c r="F60" s="773"/>
      <c r="G60" s="684">
        <v>12565355463</v>
      </c>
      <c r="H60" s="1027">
        <v>493533.20750196389</v>
      </c>
      <c r="I60" s="773"/>
      <c r="J60" s="773"/>
      <c r="K60" s="684">
        <v>14492648534</v>
      </c>
      <c r="L60" s="1027">
        <v>570352.1658402204</v>
      </c>
      <c r="M60" s="773"/>
      <c r="N60" s="773"/>
      <c r="O60" s="684">
        <v>13691074782</v>
      </c>
      <c r="P60" s="1027">
        <v>554406.75367483287</v>
      </c>
      <c r="Q60" s="773"/>
      <c r="R60" s="773"/>
      <c r="S60" s="684">
        <v>13765469652</v>
      </c>
      <c r="T60" s="1027">
        <v>550618.78607999987</v>
      </c>
      <c r="U60" s="773"/>
      <c r="V60" s="773"/>
      <c r="W60" s="684">
        <v>13159752348</v>
      </c>
      <c r="X60" s="1027">
        <v>518100.48614173225</v>
      </c>
      <c r="Y60" s="773"/>
      <c r="Z60" s="773"/>
      <c r="AA60" s="684">
        <v>10781070606</v>
      </c>
      <c r="AB60" s="1027">
        <v>423235.21399128489</v>
      </c>
      <c r="AC60" s="773"/>
      <c r="AD60" s="773"/>
      <c r="AE60" s="684">
        <v>12337057922</v>
      </c>
      <c r="AF60" s="1027">
        <v>484299.98908691219</v>
      </c>
      <c r="AG60" s="773"/>
      <c r="AH60" s="773"/>
      <c r="AI60" s="684">
        <v>11258446660</v>
      </c>
      <c r="AJ60" s="1027">
        <v>442636.00000000006</v>
      </c>
      <c r="AK60" s="773"/>
      <c r="AL60" s="773"/>
      <c r="AM60" s="684">
        <v>10933540919</v>
      </c>
      <c r="AN60" s="1027">
        <v>438833.67124222359</v>
      </c>
      <c r="AO60" s="773"/>
      <c r="AP60" s="773"/>
      <c r="AQ60" s="684">
        <v>8821391929</v>
      </c>
      <c r="AR60" s="1027">
        <v>356132.09241017362</v>
      </c>
      <c r="AS60" s="773"/>
      <c r="AU60" s="684">
        <v>2739148662</v>
      </c>
      <c r="AV60" s="986">
        <v>111688.01883792049</v>
      </c>
      <c r="AW60" s="773"/>
    </row>
    <row r="61" spans="1:49">
      <c r="C61" s="867">
        <f>+C60-D48</f>
        <v>1713343536</v>
      </c>
      <c r="D61" s="867">
        <f>+D60-E48</f>
        <v>67058.455420743674</v>
      </c>
      <c r="G61" s="867">
        <f>+G60-H48</f>
        <v>0</v>
      </c>
      <c r="H61" s="867">
        <f>+H60-I48</f>
        <v>0</v>
      </c>
      <c r="K61" s="867">
        <f>+K60-L48</f>
        <v>0</v>
      </c>
      <c r="L61" s="867">
        <f>+L60-M48</f>
        <v>0</v>
      </c>
      <c r="O61" s="867">
        <f>+O60-P48</f>
        <v>0</v>
      </c>
      <c r="P61" s="867">
        <f>+P60-Q48</f>
        <v>0</v>
      </c>
      <c r="S61" s="867">
        <f>+S60-T48</f>
        <v>0</v>
      </c>
      <c r="T61" s="867">
        <f>+T60-U48</f>
        <v>0</v>
      </c>
      <c r="W61" s="867">
        <f>+W60-X48</f>
        <v>0</v>
      </c>
      <c r="X61" s="867">
        <f>+X60-Y48</f>
        <v>0</v>
      </c>
      <c r="AA61" s="867">
        <f>+AA60-AB48</f>
        <v>0</v>
      </c>
      <c r="AB61" s="867">
        <f>+AB60-AC48</f>
        <v>0</v>
      </c>
      <c r="AE61" s="867">
        <f>+AE60-AF48</f>
        <v>0</v>
      </c>
      <c r="AF61" s="867">
        <f>+AF60-AG48</f>
        <v>0</v>
      </c>
      <c r="AI61" s="867"/>
      <c r="AJ61" s="867"/>
      <c r="AM61" s="774"/>
      <c r="AN61" s="774"/>
      <c r="AQ61" s="774"/>
      <c r="AR61" s="774"/>
      <c r="AU61" s="774"/>
      <c r="AV61" s="774"/>
    </row>
    <row r="62" spans="1:49" hidden="1">
      <c r="C62" s="750"/>
      <c r="D62" s="981"/>
      <c r="G62" s="750"/>
      <c r="H62" s="981"/>
      <c r="K62" s="750"/>
      <c r="L62" s="981"/>
      <c r="O62" s="750"/>
      <c r="P62" s="981"/>
      <c r="S62" s="750"/>
      <c r="T62" s="981"/>
      <c r="W62" s="750"/>
      <c r="X62" s="981"/>
      <c r="AA62" s="750"/>
      <c r="AB62" s="981"/>
      <c r="AE62" s="750"/>
      <c r="AF62" s="981"/>
      <c r="AI62" s="750"/>
      <c r="AJ62" s="981"/>
      <c r="AM62" s="750"/>
      <c r="AN62" s="981"/>
      <c r="AQ62" s="750"/>
      <c r="AR62" s="981"/>
      <c r="AU62" s="750"/>
      <c r="AV62" s="981"/>
    </row>
    <row r="63" spans="1:49" hidden="1">
      <c r="C63" s="688"/>
      <c r="G63" s="688"/>
      <c r="K63" s="688"/>
      <c r="O63" s="688"/>
      <c r="S63" s="688"/>
      <c r="W63" s="688"/>
      <c r="AA63" s="688"/>
      <c r="AE63" s="688"/>
      <c r="AI63" s="688"/>
      <c r="AM63" s="688"/>
      <c r="AQ63" s="688"/>
      <c r="AU63" s="688"/>
    </row>
    <row r="64" spans="1:49" hidden="1">
      <c r="C64" s="750"/>
      <c r="G64" s="750"/>
      <c r="K64" s="750"/>
      <c r="O64" s="750"/>
      <c r="S64" s="750"/>
      <c r="W64" s="750"/>
      <c r="AA64" s="750"/>
      <c r="AE64" s="750"/>
      <c r="AI64" s="750"/>
      <c r="AM64" s="750"/>
      <c r="AQ64" s="750"/>
      <c r="AU64" s="750"/>
    </row>
    <row r="65" spans="2:50" hidden="1">
      <c r="B65" s="632"/>
      <c r="C65" s="613"/>
      <c r="D65" s="626">
        <v>24350</v>
      </c>
      <c r="E65" s="813"/>
      <c r="F65" s="632"/>
      <c r="G65" s="613"/>
      <c r="H65" s="626">
        <v>24380</v>
      </c>
      <c r="I65" s="813"/>
      <c r="J65" s="632"/>
      <c r="K65" s="613"/>
      <c r="L65" s="626">
        <v>24680</v>
      </c>
      <c r="M65" s="813"/>
      <c r="N65" s="632"/>
      <c r="O65" s="613"/>
      <c r="P65" s="626">
        <v>24450</v>
      </c>
      <c r="Q65" s="813"/>
      <c r="R65" s="632"/>
      <c r="S65" s="613"/>
      <c r="T65" s="626">
        <v>24180</v>
      </c>
      <c r="U65" s="813"/>
      <c r="V65" s="632"/>
      <c r="W65" s="613"/>
      <c r="X65" s="626">
        <v>23805</v>
      </c>
      <c r="Y65" s="813"/>
      <c r="Z65" s="632"/>
      <c r="AA65" s="613"/>
      <c r="AB65" s="626">
        <v>23700</v>
      </c>
      <c r="AC65" s="813"/>
      <c r="AD65" s="632"/>
      <c r="AE65" s="613"/>
      <c r="AF65" s="626">
        <v>23610</v>
      </c>
      <c r="AG65" s="813"/>
      <c r="AH65" s="632"/>
      <c r="AI65" s="613"/>
      <c r="AJ65" s="626">
        <v>23580</v>
      </c>
      <c r="AK65" s="813"/>
      <c r="AL65" s="632"/>
      <c r="AM65" s="613"/>
      <c r="AN65" s="626">
        <v>23585</v>
      </c>
      <c r="AO65" s="813"/>
      <c r="AP65" s="632"/>
      <c r="AQ65" s="613"/>
      <c r="AR65" s="626">
        <v>23895</v>
      </c>
      <c r="AS65" s="813"/>
      <c r="AT65" s="632"/>
      <c r="AU65" s="613"/>
      <c r="AV65" s="626">
        <v>23570</v>
      </c>
    </row>
    <row r="66" spans="2:50" ht="14.25" hidden="1" thickTop="1" thickBot="1">
      <c r="B66" s="1417">
        <v>45261</v>
      </c>
      <c r="C66" s="1418"/>
      <c r="D66" s="1418"/>
      <c r="E66" s="1415" t="s">
        <v>489</v>
      </c>
      <c r="F66" s="1417">
        <v>45231</v>
      </c>
      <c r="G66" s="1418"/>
      <c r="H66" s="1418"/>
      <c r="I66" s="1415" t="s">
        <v>563</v>
      </c>
      <c r="J66" s="1417">
        <v>45200</v>
      </c>
      <c r="K66" s="1418"/>
      <c r="L66" s="1418"/>
      <c r="M66" s="1415" t="s">
        <v>561</v>
      </c>
      <c r="N66" s="1417">
        <v>45170</v>
      </c>
      <c r="O66" s="1418"/>
      <c r="P66" s="1418"/>
      <c r="Q66" s="1415" t="s">
        <v>558</v>
      </c>
      <c r="R66" s="1417">
        <v>45139</v>
      </c>
      <c r="S66" s="1418"/>
      <c r="T66" s="1418"/>
      <c r="U66" s="1415" t="s">
        <v>431</v>
      </c>
      <c r="V66" s="1417">
        <v>45108</v>
      </c>
      <c r="W66" s="1418"/>
      <c r="X66" s="1418"/>
      <c r="Y66" s="1415" t="s">
        <v>555</v>
      </c>
      <c r="Z66" s="1417">
        <v>45078</v>
      </c>
      <c r="AA66" s="1418"/>
      <c r="AB66" s="1418"/>
      <c r="AC66" s="1415" t="s">
        <v>484</v>
      </c>
      <c r="AD66" s="1417">
        <v>45047</v>
      </c>
      <c r="AE66" s="1418"/>
      <c r="AF66" s="1418"/>
      <c r="AG66" s="1415" t="s">
        <v>483</v>
      </c>
      <c r="AH66" s="1417">
        <v>45017</v>
      </c>
      <c r="AI66" s="1418"/>
      <c r="AJ66" s="1418"/>
      <c r="AK66" s="1415" t="s">
        <v>482</v>
      </c>
      <c r="AL66" s="1417">
        <v>44986</v>
      </c>
      <c r="AM66" s="1418"/>
      <c r="AN66" s="1418"/>
      <c r="AO66" s="1415" t="s">
        <v>419</v>
      </c>
      <c r="AP66" s="1417">
        <v>44958</v>
      </c>
      <c r="AQ66" s="1418"/>
      <c r="AR66" s="1418"/>
      <c r="AS66" s="1415" t="s">
        <v>420</v>
      </c>
      <c r="AT66" s="1417">
        <v>44927</v>
      </c>
      <c r="AU66" s="1418"/>
      <c r="AV66" s="1418"/>
    </row>
    <row r="67" spans="2:50" ht="14.25" hidden="1" thickTop="1" thickBot="1">
      <c r="B67" s="1412">
        <v>26</v>
      </c>
      <c r="C67" s="1413"/>
      <c r="D67" s="1414"/>
      <c r="E67" s="1416"/>
      <c r="F67" s="1412">
        <v>26</v>
      </c>
      <c r="G67" s="1413"/>
      <c r="H67" s="1414"/>
      <c r="I67" s="1416"/>
      <c r="J67" s="1412">
        <v>26</v>
      </c>
      <c r="K67" s="1413"/>
      <c r="L67" s="1414"/>
      <c r="M67" s="1416"/>
      <c r="N67" s="1412">
        <v>26</v>
      </c>
      <c r="O67" s="1413"/>
      <c r="P67" s="1414"/>
      <c r="Q67" s="1416"/>
      <c r="R67" s="1412">
        <v>26</v>
      </c>
      <c r="S67" s="1413"/>
      <c r="T67" s="1414"/>
      <c r="U67" s="1416"/>
      <c r="V67" s="1412">
        <v>26</v>
      </c>
      <c r="W67" s="1413"/>
      <c r="X67" s="1414"/>
      <c r="Y67" s="1416"/>
      <c r="Z67" s="1412">
        <v>26</v>
      </c>
      <c r="AA67" s="1413"/>
      <c r="AB67" s="1414"/>
      <c r="AC67" s="1416"/>
      <c r="AD67" s="1412">
        <v>26</v>
      </c>
      <c r="AE67" s="1413"/>
      <c r="AF67" s="1414"/>
      <c r="AG67" s="1416"/>
      <c r="AH67" s="1412">
        <v>26</v>
      </c>
      <c r="AI67" s="1413"/>
      <c r="AJ67" s="1414"/>
      <c r="AK67" s="1416"/>
      <c r="AL67" s="1412">
        <v>26</v>
      </c>
      <c r="AM67" s="1413"/>
      <c r="AN67" s="1414"/>
      <c r="AO67" s="1416"/>
      <c r="AP67" s="1412">
        <v>26</v>
      </c>
      <c r="AQ67" s="1413"/>
      <c r="AR67" s="1414"/>
      <c r="AS67" s="1416"/>
      <c r="AT67" s="1412">
        <v>26</v>
      </c>
      <c r="AU67" s="1413"/>
      <c r="AV67" s="1414"/>
    </row>
    <row r="68" spans="2:50" ht="13.5" hidden="1" thickTop="1">
      <c r="B68" s="633" t="s">
        <v>408</v>
      </c>
      <c r="C68" s="617" t="s">
        <v>422</v>
      </c>
      <c r="D68" s="618" t="s">
        <v>76</v>
      </c>
      <c r="E68" s="814" t="s">
        <v>478</v>
      </c>
      <c r="F68" s="633" t="s">
        <v>408</v>
      </c>
      <c r="G68" s="617" t="s">
        <v>422</v>
      </c>
      <c r="H68" s="618" t="s">
        <v>76</v>
      </c>
      <c r="I68" s="814" t="s">
        <v>478</v>
      </c>
      <c r="J68" s="633" t="s">
        <v>408</v>
      </c>
      <c r="K68" s="617" t="s">
        <v>422</v>
      </c>
      <c r="L68" s="618" t="s">
        <v>76</v>
      </c>
      <c r="M68" s="814" t="s">
        <v>478</v>
      </c>
      <c r="N68" s="633" t="s">
        <v>408</v>
      </c>
      <c r="O68" s="617" t="s">
        <v>422</v>
      </c>
      <c r="P68" s="618" t="s">
        <v>76</v>
      </c>
      <c r="Q68" s="814" t="s">
        <v>478</v>
      </c>
      <c r="R68" s="633" t="s">
        <v>408</v>
      </c>
      <c r="S68" s="617" t="s">
        <v>422</v>
      </c>
      <c r="T68" s="618" t="s">
        <v>76</v>
      </c>
      <c r="U68" s="814" t="s">
        <v>478</v>
      </c>
      <c r="V68" s="633" t="s">
        <v>408</v>
      </c>
      <c r="W68" s="617" t="s">
        <v>422</v>
      </c>
      <c r="X68" s="618" t="s">
        <v>76</v>
      </c>
      <c r="Y68" s="814" t="s">
        <v>478</v>
      </c>
      <c r="Z68" s="633" t="s">
        <v>408</v>
      </c>
      <c r="AA68" s="617" t="s">
        <v>422</v>
      </c>
      <c r="AB68" s="618" t="s">
        <v>76</v>
      </c>
      <c r="AC68" s="814" t="s">
        <v>478</v>
      </c>
      <c r="AD68" s="633" t="s">
        <v>408</v>
      </c>
      <c r="AE68" s="617" t="s">
        <v>422</v>
      </c>
      <c r="AF68" s="618" t="s">
        <v>76</v>
      </c>
      <c r="AG68" s="814" t="s">
        <v>478</v>
      </c>
      <c r="AH68" s="633" t="s">
        <v>408</v>
      </c>
      <c r="AI68" s="617" t="s">
        <v>422</v>
      </c>
      <c r="AJ68" s="618" t="s">
        <v>76</v>
      </c>
      <c r="AK68" s="814" t="s">
        <v>478</v>
      </c>
      <c r="AL68" s="633" t="s">
        <v>408</v>
      </c>
      <c r="AM68" s="617" t="s">
        <v>422</v>
      </c>
      <c r="AN68" s="618" t="s">
        <v>76</v>
      </c>
      <c r="AO68" s="814" t="s">
        <v>478</v>
      </c>
      <c r="AP68" s="633" t="s">
        <v>408</v>
      </c>
      <c r="AQ68" s="617" t="s">
        <v>422</v>
      </c>
      <c r="AR68" s="618" t="s">
        <v>76</v>
      </c>
      <c r="AS68" s="814" t="s">
        <v>478</v>
      </c>
      <c r="AT68" s="633" t="s">
        <v>408</v>
      </c>
      <c r="AU68" s="617" t="s">
        <v>422</v>
      </c>
      <c r="AV68" s="618" t="s">
        <v>76</v>
      </c>
    </row>
    <row r="69" spans="2:50" hidden="1">
      <c r="B69" s="634">
        <v>312</v>
      </c>
      <c r="C69" s="620">
        <v>2506845549</v>
      </c>
      <c r="D69" s="627">
        <v>102950.53589322382</v>
      </c>
      <c r="E69" s="815">
        <f>+C69/G69</f>
        <v>1.1930122144027804</v>
      </c>
      <c r="F69" s="634">
        <v>292</v>
      </c>
      <c r="G69" s="620">
        <v>2101274001</v>
      </c>
      <c r="H69" s="627" t="e">
        <f>+G69/#REF!</f>
        <v>#REF!</v>
      </c>
      <c r="I69" s="815">
        <f>+G69/K69</f>
        <v>0.76684472445116936</v>
      </c>
      <c r="J69" s="634">
        <v>300</v>
      </c>
      <c r="K69" s="620">
        <v>2740155776</v>
      </c>
      <c r="L69" s="627" t="e">
        <f>+K69/#REF!</f>
        <v>#REF!</v>
      </c>
      <c r="M69" s="815">
        <f>+K69/O69</f>
        <v>1.1368673480657732</v>
      </c>
      <c r="N69" s="634">
        <v>286</v>
      </c>
      <c r="O69" s="620">
        <v>2410268692</v>
      </c>
      <c r="P69" s="627" t="e">
        <f>+O69/#REF!</f>
        <v>#REF!</v>
      </c>
      <c r="Q69" s="815">
        <f>+O69/S69</f>
        <v>0.86808504755564231</v>
      </c>
      <c r="R69" s="634">
        <v>297</v>
      </c>
      <c r="S69" s="620">
        <v>2776535201</v>
      </c>
      <c r="T69" s="627" t="e">
        <f>+S69/#REF!</f>
        <v>#REF!</v>
      </c>
      <c r="U69" s="815">
        <f>+S69/W69</f>
        <v>1.0624417183584469</v>
      </c>
      <c r="V69" s="634">
        <v>281</v>
      </c>
      <c r="W69" s="761">
        <v>2613352952</v>
      </c>
      <c r="X69" s="627" t="e">
        <f>+W69/#REF!</f>
        <v>#REF!</v>
      </c>
      <c r="Y69" s="815">
        <f>+W69/AA69</f>
        <v>0.99743200907250318</v>
      </c>
      <c r="Z69" s="634">
        <v>282</v>
      </c>
      <c r="AA69" s="761">
        <v>2620081297</v>
      </c>
      <c r="AB69" s="627" t="e">
        <f>+AA69/#REF!</f>
        <v>#REF!</v>
      </c>
      <c r="AC69" s="815">
        <f>+AA69/AE69</f>
        <v>1.1748339367931708</v>
      </c>
      <c r="AD69" s="634">
        <v>296</v>
      </c>
      <c r="AE69" s="761">
        <v>2230171614</v>
      </c>
      <c r="AF69" s="627" t="e">
        <f>+AE69/#REF!</f>
        <v>#REF!</v>
      </c>
      <c r="AG69" s="815">
        <f>+AE69/AI69</f>
        <v>0.85342626228620166</v>
      </c>
      <c r="AH69" s="634">
        <v>323</v>
      </c>
      <c r="AI69" s="761">
        <v>2613197780</v>
      </c>
      <c r="AJ69" s="627" t="e">
        <f>+AI69/#REF!</f>
        <v>#REF!</v>
      </c>
      <c r="AK69" s="815">
        <f t="shared" ref="AK69:AK80" si="97">+AI69/AM69</f>
        <v>0.96083701691332624</v>
      </c>
      <c r="AL69" s="634">
        <v>327</v>
      </c>
      <c r="AM69" s="761">
        <v>2719709726</v>
      </c>
      <c r="AN69" s="627" t="e">
        <f>+AM69/#REF!</f>
        <v>#REF!</v>
      </c>
      <c r="AO69" s="815">
        <f>+AM69/AQ69</f>
        <v>1.1945145211663801</v>
      </c>
      <c r="AP69" s="634">
        <v>340</v>
      </c>
      <c r="AQ69" s="761">
        <v>2276832703</v>
      </c>
      <c r="AR69" s="627" t="e">
        <f>+AQ69/#REF!</f>
        <v>#REF!</v>
      </c>
      <c r="AS69" s="815">
        <f>+AQ69/AU69</f>
        <v>1.4461221723880966</v>
      </c>
      <c r="AT69" s="634">
        <v>340</v>
      </c>
      <c r="AU69" s="620">
        <v>1574440076</v>
      </c>
      <c r="AV69" s="627">
        <v>66798.475859142985</v>
      </c>
    </row>
    <row r="70" spans="2:50" hidden="1">
      <c r="B70" s="634">
        <v>140</v>
      </c>
      <c r="C70" s="620">
        <v>1211775951</v>
      </c>
      <c r="D70" s="627">
        <v>49764.926119096512</v>
      </c>
      <c r="E70" s="815">
        <f>+C70/G70</f>
        <v>1.1280041403395433</v>
      </c>
      <c r="F70" s="634">
        <v>137</v>
      </c>
      <c r="G70" s="620">
        <v>1074265517</v>
      </c>
      <c r="H70" s="627" t="e">
        <f>+G70/#REF!</f>
        <v>#REF!</v>
      </c>
      <c r="I70" s="815">
        <f>+G70/K70</f>
        <v>0.89633680087914813</v>
      </c>
      <c r="J70" s="634">
        <v>135</v>
      </c>
      <c r="K70" s="620">
        <v>1198506539</v>
      </c>
      <c r="L70" s="627" t="e">
        <f>+K70/#REF!</f>
        <v>#REF!</v>
      </c>
      <c r="M70" s="815">
        <f>+K70/O70</f>
        <v>1.0304379433487723</v>
      </c>
      <c r="N70" s="634">
        <v>138</v>
      </c>
      <c r="O70" s="620">
        <v>1163104044</v>
      </c>
      <c r="P70" s="627" t="e">
        <f>+O70/#REF!</f>
        <v>#REF!</v>
      </c>
      <c r="Q70" s="815">
        <f>+O70/S70</f>
        <v>0.90064644678673134</v>
      </c>
      <c r="R70" s="634">
        <v>140</v>
      </c>
      <c r="S70" s="620">
        <v>1291410240</v>
      </c>
      <c r="T70" s="627" t="e">
        <f>+S70/#REF!</f>
        <v>#REF!</v>
      </c>
      <c r="U70" s="815">
        <f>+S70/W70</f>
        <v>1.080427328895244</v>
      </c>
      <c r="V70" s="634">
        <v>144</v>
      </c>
      <c r="W70" s="761">
        <v>1195277281</v>
      </c>
      <c r="X70" s="627" t="e">
        <f>+W70/#REF!</f>
        <v>#REF!</v>
      </c>
      <c r="Y70" s="815">
        <f>+W70/AA70</f>
        <v>0.90024225781536982</v>
      </c>
      <c r="Z70" s="634">
        <v>149</v>
      </c>
      <c r="AA70" s="761">
        <v>1327728476</v>
      </c>
      <c r="AB70" s="627" t="e">
        <f>+AA70/#REF!</f>
        <v>#REF!</v>
      </c>
      <c r="AC70" s="815">
        <f>+AA70/AE70</f>
        <v>1.1120666960900847</v>
      </c>
      <c r="AD70" s="634">
        <v>142</v>
      </c>
      <c r="AE70" s="761">
        <v>1193928818</v>
      </c>
      <c r="AF70" s="627" t="e">
        <f>+AE70/#REF!</f>
        <v>#REF!</v>
      </c>
      <c r="AG70" s="815">
        <f>+AE70/AI70</f>
        <v>1.0472536722181143</v>
      </c>
      <c r="AH70" s="634">
        <v>141</v>
      </c>
      <c r="AI70" s="761">
        <v>1140056941</v>
      </c>
      <c r="AJ70" s="627" t="e">
        <f>+AI70/#REF!</f>
        <v>#REF!</v>
      </c>
      <c r="AK70" s="815">
        <f t="shared" si="97"/>
        <v>0.97872863931525689</v>
      </c>
      <c r="AL70" s="634">
        <v>151</v>
      </c>
      <c r="AM70" s="761">
        <v>1164834557</v>
      </c>
      <c r="AN70" s="627" t="e">
        <f>+AM70/#REF!</f>
        <v>#REF!</v>
      </c>
      <c r="AO70" s="815">
        <f>+AM70/AQ70</f>
        <v>0.99227599518590048</v>
      </c>
      <c r="AP70" s="634">
        <v>145</v>
      </c>
      <c r="AQ70" s="761">
        <v>1173901780</v>
      </c>
      <c r="AR70" s="627" t="e">
        <f>+AQ70/#REF!</f>
        <v>#REF!</v>
      </c>
      <c r="AS70" s="815">
        <f t="shared" ref="AS70:AS79" si="98">+AQ70/AU70</f>
        <v>1.7006725397077787</v>
      </c>
      <c r="AT70" s="634">
        <v>149</v>
      </c>
      <c r="AU70" s="620">
        <v>690257385</v>
      </c>
      <c r="AV70" s="627">
        <v>29285.421510394568</v>
      </c>
    </row>
    <row r="71" spans="2:50" hidden="1">
      <c r="B71" s="634">
        <v>198</v>
      </c>
      <c r="C71" s="620">
        <v>1612410322</v>
      </c>
      <c r="D71" s="627">
        <v>66218.083039014367</v>
      </c>
      <c r="E71" s="815">
        <f>+C71/G71</f>
        <v>1.2319476271029435</v>
      </c>
      <c r="F71" s="634">
        <v>194</v>
      </c>
      <c r="G71" s="620">
        <v>1308830251</v>
      </c>
      <c r="H71" s="627" t="e">
        <f>+G71/#REF!</f>
        <v>#REF!</v>
      </c>
      <c r="I71" s="815">
        <f>+G71/K71</f>
        <v>0.81043213157067495</v>
      </c>
      <c r="J71" s="634">
        <v>198</v>
      </c>
      <c r="K71" s="620">
        <v>1614978232</v>
      </c>
      <c r="L71" s="627" t="e">
        <f>+K71/#REF!</f>
        <v>#REF!</v>
      </c>
      <c r="M71" s="815">
        <f>+K71/O71</f>
        <v>1.0454802805059717</v>
      </c>
      <c r="N71" s="634">
        <v>204</v>
      </c>
      <c r="O71" s="620">
        <v>1544723762</v>
      </c>
      <c r="P71" s="627" t="e">
        <f>+O71/#REF!</f>
        <v>#REF!</v>
      </c>
      <c r="Q71" s="815">
        <f>+O71/S71</f>
        <v>0.78800493054043363</v>
      </c>
      <c r="R71" s="634">
        <v>215</v>
      </c>
      <c r="S71" s="620">
        <v>1960297077</v>
      </c>
      <c r="T71" s="627" t="e">
        <f>+S71/#REF!</f>
        <v>#REF!</v>
      </c>
      <c r="U71" s="815">
        <f>+S71/W71</f>
        <v>1.0194675834437905</v>
      </c>
      <c r="V71" s="634">
        <v>210</v>
      </c>
      <c r="W71" s="761">
        <v>1922863570</v>
      </c>
      <c r="X71" s="627" t="e">
        <f>+W71/#REF!</f>
        <v>#REF!</v>
      </c>
      <c r="Y71" s="815">
        <f>+W71/AA71</f>
        <v>1.0136172818441029</v>
      </c>
      <c r="Z71" s="634">
        <v>213</v>
      </c>
      <c r="AA71" s="761">
        <v>1897031162</v>
      </c>
      <c r="AB71" s="627" t="e">
        <f>+AA71/#REF!</f>
        <v>#REF!</v>
      </c>
      <c r="AC71" s="815">
        <f>+AA71/AE71</f>
        <v>0.97448909941274742</v>
      </c>
      <c r="AD71" s="634">
        <v>232</v>
      </c>
      <c r="AE71" s="761">
        <v>1946693055</v>
      </c>
      <c r="AF71" s="627" t="e">
        <f>+AE71/#REF!</f>
        <v>#REF!</v>
      </c>
      <c r="AG71" s="815">
        <f>+AE71/AI71</f>
        <v>1.0224703426355828</v>
      </c>
      <c r="AH71" s="634">
        <v>238</v>
      </c>
      <c r="AI71" s="761">
        <v>1903911511</v>
      </c>
      <c r="AJ71" s="627" t="e">
        <f>+AI71/#REF!</f>
        <v>#REF!</v>
      </c>
      <c r="AK71" s="815">
        <f t="shared" si="97"/>
        <v>1.0072126655942848</v>
      </c>
      <c r="AL71" s="634">
        <v>238</v>
      </c>
      <c r="AM71" s="761">
        <v>1890277571</v>
      </c>
      <c r="AN71" s="627" t="e">
        <f>+AM71/#REF!</f>
        <v>#REF!</v>
      </c>
      <c r="AO71" s="815">
        <f>+AM71/AQ71</f>
        <v>0.99847185774363956</v>
      </c>
      <c r="AP71" s="634">
        <v>250</v>
      </c>
      <c r="AQ71" s="761">
        <v>1893170605</v>
      </c>
      <c r="AR71" s="627" t="e">
        <f>+AQ71/#REF!</f>
        <v>#REF!</v>
      </c>
      <c r="AS71" s="815">
        <f t="shared" si="98"/>
        <v>1.5724332824791554</v>
      </c>
      <c r="AT71" s="634">
        <v>258</v>
      </c>
      <c r="AU71" s="620">
        <v>1203975155</v>
      </c>
      <c r="AV71" s="627">
        <v>51080.829656342808</v>
      </c>
    </row>
    <row r="72" spans="2:50" hidden="1">
      <c r="B72" s="634">
        <v>152</v>
      </c>
      <c r="C72" s="620">
        <v>1928930676</v>
      </c>
      <c r="D72" s="627">
        <v>79216.865544147848</v>
      </c>
      <c r="E72" s="815">
        <f>+C72/G72</f>
        <v>1.1994735401647805</v>
      </c>
      <c r="F72" s="634">
        <v>152</v>
      </c>
      <c r="G72" s="620">
        <v>1608147751</v>
      </c>
      <c r="H72" s="627" t="e">
        <f>+G72/#REF!</f>
        <v>#REF!</v>
      </c>
      <c r="I72" s="815">
        <f>+G72/K72</f>
        <v>0.93158931563721881</v>
      </c>
      <c r="J72" s="634">
        <v>154</v>
      </c>
      <c r="K72" s="620">
        <v>1726241085</v>
      </c>
      <c r="L72" s="627" t="e">
        <f>+K72/#REF!</f>
        <v>#REF!</v>
      </c>
      <c r="M72" s="815">
        <f>+K72/O72</f>
        <v>1.0286727958636481</v>
      </c>
      <c r="N72" s="634">
        <v>151</v>
      </c>
      <c r="O72" s="620">
        <v>1678124562</v>
      </c>
      <c r="P72" s="627" t="e">
        <f>+O72/#REF!</f>
        <v>#REF!</v>
      </c>
      <c r="Q72" s="815">
        <f>+O72/S72</f>
        <v>0.96968905870442201</v>
      </c>
      <c r="R72" s="634">
        <v>141</v>
      </c>
      <c r="S72" s="620">
        <v>1730580073</v>
      </c>
      <c r="T72" s="627" t="e">
        <f>+S72/#REF!</f>
        <v>#REF!</v>
      </c>
      <c r="U72" s="815">
        <f>+S72/W72</f>
        <v>1.0397587868583955</v>
      </c>
      <c r="V72" s="634">
        <v>135</v>
      </c>
      <c r="W72" s="761">
        <v>1664405336</v>
      </c>
      <c r="X72" s="627" t="e">
        <f>+W72/#REF!</f>
        <v>#REF!</v>
      </c>
      <c r="Y72" s="815">
        <f>+W72/AA72</f>
        <v>1.0214528354496542</v>
      </c>
      <c r="Z72" s="634">
        <v>136</v>
      </c>
      <c r="AA72" s="761">
        <v>1629449034</v>
      </c>
      <c r="AB72" s="627" t="e">
        <f>+AA72/#REF!</f>
        <v>#REF!</v>
      </c>
      <c r="AC72" s="815">
        <f>+AA72/AE72</f>
        <v>1.0308685773919601</v>
      </c>
      <c r="AD72" s="634">
        <v>140</v>
      </c>
      <c r="AE72" s="761">
        <v>1580656419</v>
      </c>
      <c r="AF72" s="627" t="e">
        <f>+AE72/#REF!</f>
        <v>#REF!</v>
      </c>
      <c r="AG72" s="815">
        <f>+AE72/AI72</f>
        <v>1.0314273330309796</v>
      </c>
      <c r="AH72" s="634">
        <v>143</v>
      </c>
      <c r="AI72" s="761">
        <v>1532494213</v>
      </c>
      <c r="AJ72" s="627" t="e">
        <f>+AI72/#REF!</f>
        <v>#REF!</v>
      </c>
      <c r="AK72" s="815">
        <f t="shared" si="97"/>
        <v>0.94382149691162154</v>
      </c>
      <c r="AL72" s="634">
        <v>145</v>
      </c>
      <c r="AM72" s="761">
        <v>1623711918</v>
      </c>
      <c r="AN72" s="627" t="e">
        <f>+AM72/#REF!</f>
        <v>#REF!</v>
      </c>
      <c r="AO72" s="815">
        <f>+AM72/AQ72</f>
        <v>1.1360552403726041</v>
      </c>
      <c r="AP72" s="634">
        <v>146</v>
      </c>
      <c r="AQ72" s="761">
        <v>1429254371</v>
      </c>
      <c r="AR72" s="627" t="e">
        <f>+AQ72/#REF!</f>
        <v>#REF!</v>
      </c>
      <c r="AS72" s="815">
        <f t="shared" si="98"/>
        <v>1.4458526992617111</v>
      </c>
      <c r="AT72" s="634">
        <v>143</v>
      </c>
      <c r="AU72" s="620">
        <v>988520042</v>
      </c>
      <c r="AV72" s="627">
        <v>41939.755706406446</v>
      </c>
    </row>
    <row r="73" spans="2:50" hidden="1">
      <c r="B73" s="634">
        <v>2</v>
      </c>
      <c r="C73" s="620">
        <v>292812875</v>
      </c>
      <c r="D73" s="627">
        <v>12025.169404517454</v>
      </c>
      <c r="E73" s="815">
        <f>+C73/G73</f>
        <v>0.9988658356682103</v>
      </c>
      <c r="F73" s="634">
        <v>2</v>
      </c>
      <c r="G73" s="620">
        <v>293145350</v>
      </c>
      <c r="H73" s="627" t="e">
        <f>+G73/#REF!</f>
        <v>#REF!</v>
      </c>
      <c r="I73" s="815">
        <f>+G73/K73</f>
        <v>0.98878554700794452</v>
      </c>
      <c r="J73" s="634">
        <v>2</v>
      </c>
      <c r="K73" s="620">
        <v>296470100</v>
      </c>
      <c r="L73" s="627" t="e">
        <f>+K73/#REF!</f>
        <v>#REF!</v>
      </c>
      <c r="M73" s="815">
        <f>+K73/O73</f>
        <v>1.0086723096204806</v>
      </c>
      <c r="N73" s="634">
        <v>2</v>
      </c>
      <c r="O73" s="620">
        <v>293921125</v>
      </c>
      <c r="P73" s="627" t="e">
        <f>+O73/#REF!</f>
        <v>#REF!</v>
      </c>
      <c r="Q73" s="815">
        <f>+O73/S73</f>
        <v>0.97571850535913629</v>
      </c>
      <c r="R73" s="634">
        <v>2</v>
      </c>
      <c r="S73" s="620">
        <v>301235575</v>
      </c>
      <c r="T73" s="627" t="e">
        <f>+S73/#REF!</f>
        <v>#REF!</v>
      </c>
      <c r="U73" s="815">
        <f>+S73/W73</f>
        <v>1.0504324585580105</v>
      </c>
      <c r="V73" s="634">
        <v>2</v>
      </c>
      <c r="W73" s="761">
        <v>286772912</v>
      </c>
      <c r="X73" s="627" t="e">
        <f>+W73/#REF!</f>
        <v>#REF!</v>
      </c>
      <c r="Y73" s="815">
        <f>+W73/AA73</f>
        <v>1.0013896536690796</v>
      </c>
      <c r="Z73" s="634">
        <v>2</v>
      </c>
      <c r="AA73" s="761">
        <v>286374950</v>
      </c>
      <c r="AB73" s="627" t="e">
        <f>+AA73/#REF!</f>
        <v>#REF!</v>
      </c>
      <c r="AC73" s="815">
        <f>+AA73/AE73</f>
        <v>0.93491824892215214</v>
      </c>
      <c r="AD73" s="634">
        <v>2</v>
      </c>
      <c r="AE73" s="761">
        <v>306310151</v>
      </c>
      <c r="AF73" s="627" t="e">
        <f>+AE73/#REF!</f>
        <v>#REF!</v>
      </c>
      <c r="AG73" s="815">
        <f>+AE73/AI73</f>
        <v>1.0746025970280839</v>
      </c>
      <c r="AH73" s="634">
        <v>2</v>
      </c>
      <c r="AI73" s="761">
        <v>285045050</v>
      </c>
      <c r="AJ73" s="627" t="e">
        <f>+AI73/#REF!</f>
        <v>#REF!</v>
      </c>
      <c r="AK73" s="815">
        <f t="shared" si="97"/>
        <v>1.6274007525361929</v>
      </c>
      <c r="AL73" s="634">
        <v>2</v>
      </c>
      <c r="AM73" s="761">
        <v>175153569</v>
      </c>
      <c r="AN73" s="627" t="e">
        <f>+AM73/#REF!</f>
        <v>#REF!</v>
      </c>
      <c r="AO73" s="815">
        <f>+AM73/AQ73</f>
        <v>0.60704226349376245</v>
      </c>
      <c r="AP73" s="634">
        <v>2</v>
      </c>
      <c r="AQ73" s="761">
        <v>288536037</v>
      </c>
      <c r="AR73" s="627" t="e">
        <f>+AQ73/#REF!</f>
        <v>#REF!</v>
      </c>
      <c r="AS73" s="815">
        <f t="shared" si="98"/>
        <v>1.7546263200287282</v>
      </c>
      <c r="AT73" s="634">
        <v>2</v>
      </c>
      <c r="AU73" s="620">
        <v>164443012</v>
      </c>
      <c r="AV73" s="627">
        <v>6976.7930420025459</v>
      </c>
    </row>
    <row r="74" spans="2:50" hidden="1">
      <c r="B74" s="635">
        <v>804</v>
      </c>
      <c r="C74" s="622">
        <v>7552775373</v>
      </c>
      <c r="D74" s="638">
        <v>310175.58</v>
      </c>
      <c r="E74" s="790">
        <f t="shared" ref="E74:E75" si="99">+C74/G74</f>
        <v>1.1827707673831518</v>
      </c>
      <c r="F74" s="635">
        <f>SUM(F69:F73)</f>
        <v>777</v>
      </c>
      <c r="G74" s="622">
        <f>SUM(G69:G73)</f>
        <v>6385662870</v>
      </c>
      <c r="H74" s="638" t="e">
        <f t="shared" ref="H74" si="100">SUM(H69:H73)</f>
        <v>#REF!</v>
      </c>
      <c r="I74" s="790">
        <f t="shared" ref="I74:I75" si="101">+G74/K74</f>
        <v>0.84284139594906549</v>
      </c>
      <c r="J74" s="635">
        <f>SUM(J69:J73)</f>
        <v>789</v>
      </c>
      <c r="K74" s="622">
        <f>SUM(K69:K73)</f>
        <v>7576351732</v>
      </c>
      <c r="L74" s="638" t="e">
        <f t="shared" ref="L74" si="102">SUM(L69:L73)</f>
        <v>#REF!</v>
      </c>
      <c r="M74" s="790">
        <f t="shared" ref="M74:M75" si="103">+K74/O74</f>
        <v>1.0685754297041647</v>
      </c>
      <c r="N74" s="635">
        <f>SUM(N69:N73)</f>
        <v>781</v>
      </c>
      <c r="O74" s="622">
        <f>SUM(O69:O73)</f>
        <v>7090142185</v>
      </c>
      <c r="P74" s="638" t="e">
        <f t="shared" ref="P74" si="104">SUM(P69:P73)</f>
        <v>#REF!</v>
      </c>
      <c r="Q74" s="790">
        <f t="shared" ref="Q74:Q75" si="105">+O74/S74</f>
        <v>0.87966389807316436</v>
      </c>
      <c r="R74" s="635">
        <f>SUM(R69:R73)</f>
        <v>795</v>
      </c>
      <c r="S74" s="622">
        <f>SUM(S69:S73)</f>
        <v>8060058166</v>
      </c>
      <c r="T74" s="638" t="e">
        <f t="shared" ref="T74" si="106">SUM(T69:T73)</f>
        <v>#REF!</v>
      </c>
      <c r="U74" s="790">
        <f t="shared" ref="U74:U75" si="107">+S74/W74</f>
        <v>1.0491217264637605</v>
      </c>
      <c r="V74" s="635">
        <f>SUM(V69:V73)</f>
        <v>772</v>
      </c>
      <c r="W74" s="762">
        <f>SUM(W69:W73)</f>
        <v>7682672051</v>
      </c>
      <c r="X74" s="638" t="e">
        <f t="shared" ref="X74" si="108">SUM(X69:X73)</f>
        <v>#REF!</v>
      </c>
      <c r="Y74" s="790">
        <f t="shared" ref="Y74:Y75" si="109">+W74/AA74</f>
        <v>0.98995023379903258</v>
      </c>
      <c r="Z74" s="635">
        <f>SUM(Z69:Z73)</f>
        <v>782</v>
      </c>
      <c r="AA74" s="762">
        <f>SUM(AA69:AA73)</f>
        <v>7760664919</v>
      </c>
      <c r="AB74" s="638" t="e">
        <f t="shared" ref="AB74" si="110">SUM(AB69:AB73)</f>
        <v>#REF!</v>
      </c>
      <c r="AC74" s="790">
        <f t="shared" ref="AC74:AC75" si="111">+AA74/AE74</f>
        <v>1.0692920209610617</v>
      </c>
      <c r="AD74" s="635">
        <f>SUM(AD69:AD73)</f>
        <v>812</v>
      </c>
      <c r="AE74" s="762">
        <f>SUM(AE69:AE73)</f>
        <v>7257760057</v>
      </c>
      <c r="AF74" s="638" t="e">
        <f t="shared" ref="AF74" si="112">SUM(AF69:AF73)</f>
        <v>#REF!</v>
      </c>
      <c r="AG74" s="790">
        <f t="shared" ref="AG74:AG75" si="113">+AE74/AI74</f>
        <v>0.97097605542517762</v>
      </c>
      <c r="AH74" s="635">
        <f>SUM(AH69:AH73)</f>
        <v>847</v>
      </c>
      <c r="AI74" s="762">
        <f>SUM(AI69:AI73)</f>
        <v>7474705495</v>
      </c>
      <c r="AJ74" s="638" t="e">
        <f t="shared" ref="AJ74" si="114">SUM(AJ69:AJ73)</f>
        <v>#REF!</v>
      </c>
      <c r="AK74" s="790">
        <f t="shared" si="97"/>
        <v>0.98693082490160855</v>
      </c>
      <c r="AL74" s="635">
        <f>SUM(AL69:AL73)</f>
        <v>863</v>
      </c>
      <c r="AM74" s="762">
        <f>SUM(AM69:AM73)</f>
        <v>7573687341</v>
      </c>
      <c r="AN74" s="638" t="e">
        <f t="shared" ref="AN74" si="115">SUM(AN69:AN73)</f>
        <v>#REF!</v>
      </c>
      <c r="AO74" s="790">
        <f t="shared" ref="AO74:AO75" si="116">+AM74/AQ74</f>
        <v>1.0725026794613293</v>
      </c>
      <c r="AP74" s="635">
        <f>SUM(AP69:AP73)</f>
        <v>883</v>
      </c>
      <c r="AQ74" s="762">
        <f>SUM(AQ69:AQ73)</f>
        <v>7061695496</v>
      </c>
      <c r="AR74" s="638" t="e">
        <f t="shared" ref="AR74" si="117">SUM(AR69:AR73)</f>
        <v>#REF!</v>
      </c>
      <c r="AS74" s="790">
        <f t="shared" si="98"/>
        <v>1.527964556323411</v>
      </c>
      <c r="AT74" s="635">
        <v>892</v>
      </c>
      <c r="AU74" s="622">
        <v>4621635670</v>
      </c>
      <c r="AV74" s="638">
        <v>196081.27577428933</v>
      </c>
      <c r="AW74" s="865"/>
      <c r="AX74" s="866"/>
    </row>
    <row r="75" spans="2:50" hidden="1">
      <c r="B75" s="806">
        <v>0.64682220434432824</v>
      </c>
      <c r="C75" s="851">
        <v>0.62841612103320377</v>
      </c>
      <c r="D75" s="808">
        <v>0.62841612103320377</v>
      </c>
      <c r="E75" s="790">
        <f t="shared" si="99"/>
        <v>0.988093281361481</v>
      </c>
      <c r="F75" s="806">
        <f>+F74/F80</f>
        <v>0.64966555183946484</v>
      </c>
      <c r="G75" s="851">
        <f>+G74/G80</f>
        <v>0.63598865905384694</v>
      </c>
      <c r="H75" s="808" t="e">
        <f t="shared" ref="H75" si="118">+H74/H80</f>
        <v>#REF!</v>
      </c>
      <c r="I75" s="790">
        <f t="shared" si="101"/>
        <v>0.95506441089642913</v>
      </c>
      <c r="J75" s="806">
        <f>+J74/J80</f>
        <v>0.65260545905707201</v>
      </c>
      <c r="K75" s="851">
        <f>+K74/K80</f>
        <v>0.66591179798743017</v>
      </c>
      <c r="L75" s="808" t="e">
        <f t="shared" ref="L75" si="119">+L74/L80</f>
        <v>#REF!</v>
      </c>
      <c r="M75" s="790">
        <f t="shared" si="103"/>
        <v>1.0462585161128908</v>
      </c>
      <c r="N75" s="806">
        <f>+N74/N80</f>
        <v>0.64385820280296779</v>
      </c>
      <c r="O75" s="851">
        <f>+O74/O80</f>
        <v>0.63646965614335671</v>
      </c>
      <c r="P75" s="808" t="e">
        <f t="shared" ref="P75" si="120">+P74/P80</f>
        <v>#REF!</v>
      </c>
      <c r="Q75" s="790">
        <f t="shared" si="105"/>
        <v>1.0023777081647987</v>
      </c>
      <c r="R75" s="806">
        <f>+R74/R80</f>
        <v>0.64424635332252833</v>
      </c>
      <c r="S75" s="851">
        <f>+S74/S80</f>
        <v>0.63495990678866554</v>
      </c>
      <c r="T75" s="808" t="e">
        <f t="shared" ref="T75" si="121">+T74/T80</f>
        <v>#REF!</v>
      </c>
      <c r="U75" s="790">
        <f t="shared" si="107"/>
        <v>1.0121361052320879</v>
      </c>
      <c r="V75" s="806">
        <f>+V74/V80</f>
        <v>0.63539094650205763</v>
      </c>
      <c r="W75" s="807">
        <f>+W74/W80</f>
        <v>0.62734636528262777</v>
      </c>
      <c r="X75" s="808" t="e">
        <f t="shared" ref="X75" si="122">+X74/X80</f>
        <v>#REF!</v>
      </c>
      <c r="Y75" s="790">
        <f t="shared" si="109"/>
        <v>1.0507061180575556</v>
      </c>
      <c r="Z75" s="806">
        <f>+Z74/Z80</f>
        <v>0.6368078175895765</v>
      </c>
      <c r="AA75" s="807">
        <f>+AA74/AA80</f>
        <v>0.597071202404727</v>
      </c>
      <c r="AB75" s="808" t="e">
        <f t="shared" ref="AB75" si="123">+AB74/AB80</f>
        <v>#REF!</v>
      </c>
      <c r="AC75" s="790">
        <f t="shared" si="111"/>
        <v>1.004253632066282</v>
      </c>
      <c r="AD75" s="806">
        <f>+AD74/AD80</f>
        <v>0.63786331500392768</v>
      </c>
      <c r="AE75" s="807">
        <f>+AE74/AE80</f>
        <v>0.59454223847439325</v>
      </c>
      <c r="AF75" s="808" t="e">
        <f t="shared" ref="AF75" si="124">+AF74/AF80</f>
        <v>#REF!</v>
      </c>
      <c r="AG75" s="790">
        <f t="shared" si="113"/>
        <v>0.94829470138075544</v>
      </c>
      <c r="AH75" s="806">
        <f>+AH74/AH80</f>
        <v>0.63972809667673713</v>
      </c>
      <c r="AI75" s="807">
        <f>+AI74/AI80</f>
        <v>0.62695935937289926</v>
      </c>
      <c r="AJ75" s="808" t="e">
        <f t="shared" ref="AJ75" si="125">+AJ74/AJ80</f>
        <v>#REF!</v>
      </c>
      <c r="AK75" s="790">
        <f t="shared" si="97"/>
        <v>1.0297945369260681</v>
      </c>
      <c r="AL75" s="806">
        <f>+AL74/AL80</f>
        <v>0.63831360946745563</v>
      </c>
      <c r="AM75" s="807">
        <f>+AM74/AM80</f>
        <v>0.60881985375876047</v>
      </c>
      <c r="AN75" s="808" t="e">
        <f t="shared" ref="AN75" si="126">+AN74/AN80</f>
        <v>#REF!</v>
      </c>
      <c r="AO75" s="790">
        <f t="shared" si="116"/>
        <v>0.98084538060364956</v>
      </c>
      <c r="AP75" s="806">
        <f>+AP74/AP80</f>
        <v>0.63754512635379057</v>
      </c>
      <c r="AQ75" s="807">
        <f>+AQ74/AQ80</f>
        <v>0.6207093042371975</v>
      </c>
      <c r="AR75" s="808" t="e">
        <f t="shared" ref="AR75" si="127">+AR74/AR80</f>
        <v>#REF!</v>
      </c>
      <c r="AS75" s="790">
        <f t="shared" si="98"/>
        <v>1.0032891820393888</v>
      </c>
      <c r="AT75" s="806">
        <v>0.63805436337625177</v>
      </c>
      <c r="AU75" s="807">
        <v>0.61867437160588135</v>
      </c>
      <c r="AV75" s="808">
        <v>0.61867437160588123</v>
      </c>
      <c r="AW75" s="865"/>
      <c r="AX75" s="866"/>
    </row>
    <row r="76" spans="2:50" hidden="1">
      <c r="B76" s="634">
        <v>438</v>
      </c>
      <c r="C76" s="620">
        <v>4368573316</v>
      </c>
      <c r="D76" s="627">
        <v>179407.52837782342</v>
      </c>
      <c r="E76" s="815">
        <f>+C76/G76</f>
        <v>1.2280426540977298</v>
      </c>
      <c r="F76" s="634">
        <v>418</v>
      </c>
      <c r="G76" s="620">
        <v>3557346564</v>
      </c>
      <c r="H76" s="627" t="e">
        <f>+G76/#REF!</f>
        <v>#REF!</v>
      </c>
      <c r="I76" s="815">
        <f>+G76/K76</f>
        <v>0.96083772396883671</v>
      </c>
      <c r="J76" s="634">
        <v>419</v>
      </c>
      <c r="K76" s="620">
        <v>3702338569</v>
      </c>
      <c r="L76" s="627" t="e">
        <f>+K76/#REF!</f>
        <v>#REF!</v>
      </c>
      <c r="M76" s="815">
        <f>+K76/O76</f>
        <v>0.9368611888126448</v>
      </c>
      <c r="N76" s="634">
        <v>431</v>
      </c>
      <c r="O76" s="620">
        <v>3951853928</v>
      </c>
      <c r="P76" s="627" t="e">
        <f>+O76/#REF!</f>
        <v>#REF!</v>
      </c>
      <c r="Q76" s="815">
        <f>+O76/S76</f>
        <v>0.87173732059321973</v>
      </c>
      <c r="R76" s="634">
        <v>438</v>
      </c>
      <c r="S76" s="620">
        <v>4533308182</v>
      </c>
      <c r="T76" s="627" t="e">
        <f>+S76/#REF!</f>
        <v>#REF!</v>
      </c>
      <c r="U76" s="815">
        <f>+S76/W76</f>
        <v>1.0145241318091696</v>
      </c>
      <c r="V76" s="634">
        <v>442</v>
      </c>
      <c r="W76" s="761">
        <v>4468408429</v>
      </c>
      <c r="X76" s="627" t="e">
        <f>+W76/#REF!</f>
        <v>#REF!</v>
      </c>
      <c r="Y76" s="815">
        <f>+W76/AA76</f>
        <v>0.86893045803729285</v>
      </c>
      <c r="Z76" s="634">
        <v>445</v>
      </c>
      <c r="AA76" s="761">
        <v>5142423525</v>
      </c>
      <c r="AB76" s="627" t="e">
        <f>+AA76/#REF!</f>
        <v>#REF!</v>
      </c>
      <c r="AC76" s="815">
        <f>+AA76/AE76</f>
        <v>1.0599710716988331</v>
      </c>
      <c r="AD76" s="634">
        <v>460</v>
      </c>
      <c r="AE76" s="761">
        <v>4851475349</v>
      </c>
      <c r="AF76" s="627" t="e">
        <f>+AE76/#REF!</f>
        <v>#REF!</v>
      </c>
      <c r="AG76" s="815">
        <f>+AE76/AI76</f>
        <v>1.1144803869941222</v>
      </c>
      <c r="AH76" s="634">
        <v>476</v>
      </c>
      <c r="AI76" s="761">
        <v>4353127615</v>
      </c>
      <c r="AJ76" s="627" t="e">
        <f>+AI76/#REF!</f>
        <v>#REF!</v>
      </c>
      <c r="AK76" s="815">
        <f t="shared" si="97"/>
        <v>0.9129322367000513</v>
      </c>
      <c r="AL76" s="634">
        <v>488</v>
      </c>
      <c r="AM76" s="761">
        <v>4768292147</v>
      </c>
      <c r="AN76" s="627" t="e">
        <f>+AM76/#REF!</f>
        <v>#REF!</v>
      </c>
      <c r="AO76" s="815">
        <f>+AM76/AQ76</f>
        <v>1.130050121150564</v>
      </c>
      <c r="AP76" s="634">
        <v>501</v>
      </c>
      <c r="AQ76" s="761">
        <v>4219540406</v>
      </c>
      <c r="AR76" s="627" t="e">
        <f>+AQ76/#REF!</f>
        <v>#REF!</v>
      </c>
      <c r="AS76" s="815">
        <f t="shared" si="98"/>
        <v>1.5179891640383998</v>
      </c>
      <c r="AT76" s="634">
        <v>505</v>
      </c>
      <c r="AU76" s="620">
        <v>2779690729</v>
      </c>
      <c r="AV76" s="627">
        <v>117933.42083156556</v>
      </c>
      <c r="AW76" s="865"/>
      <c r="AX76" s="866"/>
    </row>
    <row r="77" spans="2:50" hidden="1">
      <c r="B77" s="634">
        <v>1</v>
      </c>
      <c r="C77" s="620">
        <v>97399908</v>
      </c>
      <c r="D77" s="627">
        <v>3999.9962217659136</v>
      </c>
      <c r="E77" s="815">
        <f>+C77/G77</f>
        <v>0.99876823253643376</v>
      </c>
      <c r="F77" s="634">
        <v>1</v>
      </c>
      <c r="G77" s="620">
        <v>97520030</v>
      </c>
      <c r="H77" s="627" t="e">
        <f>+G77/#REF!</f>
        <v>#REF!</v>
      </c>
      <c r="I77" s="815">
        <f>+G77/K77</f>
        <v>0.98784498249406938</v>
      </c>
      <c r="J77" s="634">
        <v>1</v>
      </c>
      <c r="K77" s="620">
        <v>98719973</v>
      </c>
      <c r="L77" s="627" t="e">
        <f>+K77/#REF!</f>
        <v>#REF!</v>
      </c>
      <c r="M77" s="815">
        <f>+K77/O77</f>
        <v>1.0094069452411101</v>
      </c>
      <c r="N77" s="634">
        <v>1</v>
      </c>
      <c r="O77" s="620">
        <v>97799974</v>
      </c>
      <c r="P77" s="627" t="e">
        <f>+O77/#REF!</f>
        <v>#REF!</v>
      </c>
      <c r="Q77" s="815">
        <f>+O77/S77</f>
        <v>0.9737143161858911</v>
      </c>
      <c r="R77" s="634">
        <v>1</v>
      </c>
      <c r="S77" s="620">
        <v>100440111</v>
      </c>
      <c r="T77" s="627" t="e">
        <f>+S77/#REF!</f>
        <v>#REF!</v>
      </c>
      <c r="U77" s="815">
        <f>+S77/W77</f>
        <v>1.054822345964523</v>
      </c>
      <c r="V77" s="634">
        <v>1</v>
      </c>
      <c r="W77" s="761">
        <v>95219931</v>
      </c>
      <c r="X77" s="627" t="e">
        <f>+W77/#REF!</f>
        <v>#REF!</v>
      </c>
      <c r="Y77" s="815">
        <f>+W77/AA77</f>
        <v>1.0044289949936953</v>
      </c>
      <c r="Z77" s="634">
        <v>1</v>
      </c>
      <c r="AA77" s="761">
        <v>94800062</v>
      </c>
      <c r="AB77" s="627" t="e">
        <f>+AA77/#REF!</f>
        <v>#REF!</v>
      </c>
      <c r="AC77" s="815">
        <f>+AA77/AE77</f>
        <v>0.96663430381212689</v>
      </c>
      <c r="AD77" s="634">
        <v>1</v>
      </c>
      <c r="AE77" s="761">
        <v>98072313</v>
      </c>
      <c r="AF77" s="627" t="e">
        <f>+AE77/#REF!</f>
        <v>#REF!</v>
      </c>
      <c r="AG77" s="815">
        <f>+AE77/AI77</f>
        <v>1.0397824619012526</v>
      </c>
      <c r="AH77" s="634">
        <v>1</v>
      </c>
      <c r="AI77" s="761">
        <v>94320030</v>
      </c>
      <c r="AJ77" s="627" t="e">
        <f>+AI77/#REF!</f>
        <v>#REF!</v>
      </c>
      <c r="AK77" s="815">
        <f t="shared" si="97"/>
        <v>0.96275832131136219</v>
      </c>
      <c r="AL77" s="634">
        <v>1</v>
      </c>
      <c r="AM77" s="761">
        <v>97968543</v>
      </c>
      <c r="AN77" s="627" t="e">
        <f>+AM77/#REF!</f>
        <v>#REF!</v>
      </c>
      <c r="AO77" s="815">
        <f>+AM77/AQ77</f>
        <v>1.024989762243304</v>
      </c>
      <c r="AP77" s="634">
        <v>1</v>
      </c>
      <c r="AQ77" s="761">
        <v>95580021</v>
      </c>
      <c r="AR77" s="627" t="e">
        <f>+AQ77/#REF!</f>
        <v>#REF!</v>
      </c>
      <c r="AS77" s="815">
        <f t="shared" si="98"/>
        <v>1.387291737010359</v>
      </c>
      <c r="AT77" s="634">
        <v>1</v>
      </c>
      <c r="AU77" s="620">
        <v>68896843</v>
      </c>
      <c r="AV77" s="627">
        <v>2923.0735256682224</v>
      </c>
      <c r="AW77" s="865"/>
      <c r="AX77" s="866"/>
    </row>
    <row r="78" spans="2:50" hidden="1">
      <c r="B78" s="635">
        <v>439</v>
      </c>
      <c r="C78" s="622">
        <v>4465973224</v>
      </c>
      <c r="D78" s="638">
        <v>183407.52459958932</v>
      </c>
      <c r="E78" s="790">
        <f t="shared" ref="E78:E79" si="128">+C78/G78</f>
        <v>1.22192509880704</v>
      </c>
      <c r="F78" s="635">
        <f t="shared" ref="F78:H78" si="129">SUM(F76:F77)</f>
        <v>419</v>
      </c>
      <c r="G78" s="622">
        <f t="shared" si="129"/>
        <v>3654866594</v>
      </c>
      <c r="H78" s="638" t="e">
        <f t="shared" si="129"/>
        <v>#REF!</v>
      </c>
      <c r="I78" s="790">
        <f t="shared" ref="I78:I79" si="130">+G78/K78</f>
        <v>0.96153914853332456</v>
      </c>
      <c r="J78" s="635">
        <f t="shared" ref="J78:L78" si="131">SUM(J76:J77)</f>
        <v>420</v>
      </c>
      <c r="K78" s="622">
        <f t="shared" si="131"/>
        <v>3801058542</v>
      </c>
      <c r="L78" s="638" t="e">
        <f t="shared" si="131"/>
        <v>#REF!</v>
      </c>
      <c r="M78" s="790">
        <f t="shared" ref="M78:M79" si="132">+K78/O78</f>
        <v>0.93861318373967062</v>
      </c>
      <c r="N78" s="635">
        <f t="shared" ref="N78:P78" si="133">SUM(N76:N77)</f>
        <v>432</v>
      </c>
      <c r="O78" s="622">
        <f t="shared" si="133"/>
        <v>4049653902</v>
      </c>
      <c r="P78" s="638" t="e">
        <f t="shared" si="133"/>
        <v>#REF!</v>
      </c>
      <c r="Q78" s="790">
        <f t="shared" ref="Q78:Q79" si="134">+O78/S78</f>
        <v>0.87394775156812776</v>
      </c>
      <c r="R78" s="635">
        <f t="shared" ref="R78:T78" si="135">SUM(R76:R77)</f>
        <v>439</v>
      </c>
      <c r="S78" s="622">
        <f t="shared" si="135"/>
        <v>4633748293</v>
      </c>
      <c r="T78" s="638" t="e">
        <f t="shared" si="135"/>
        <v>#REF!</v>
      </c>
      <c r="U78" s="790">
        <f t="shared" ref="U78:U79" si="136">+S78/W78</f>
        <v>1.01536495250459</v>
      </c>
      <c r="V78" s="635">
        <f t="shared" ref="V78:X78" si="137">SUM(V76:V77)</f>
        <v>443</v>
      </c>
      <c r="W78" s="762">
        <f t="shared" si="137"/>
        <v>4563628360</v>
      </c>
      <c r="X78" s="638" t="e">
        <f t="shared" si="137"/>
        <v>#REF!</v>
      </c>
      <c r="Y78" s="790">
        <f t="shared" ref="Y78:Y79" si="138">+W78/AA78</f>
        <v>0.87138314494114422</v>
      </c>
      <c r="Z78" s="635">
        <f t="shared" ref="Z78:AB78" si="139">SUM(Z76:Z77)</f>
        <v>446</v>
      </c>
      <c r="AA78" s="762">
        <f t="shared" si="139"/>
        <v>5237223587</v>
      </c>
      <c r="AB78" s="638" t="e">
        <f t="shared" si="139"/>
        <v>#REF!</v>
      </c>
      <c r="AC78" s="790">
        <f t="shared" ref="AC78:AC79" si="140">+AA78/AE78</f>
        <v>1.0581216597243064</v>
      </c>
      <c r="AD78" s="635">
        <f t="shared" ref="AD78:AF78" si="141">SUM(AD76:AD77)</f>
        <v>461</v>
      </c>
      <c r="AE78" s="762">
        <f t="shared" si="141"/>
        <v>4949547662</v>
      </c>
      <c r="AF78" s="638" t="e">
        <f t="shared" si="141"/>
        <v>#REF!</v>
      </c>
      <c r="AG78" s="790">
        <f t="shared" ref="AG78:AG79" si="142">+AE78/AI78</f>
        <v>1.1128962175787456</v>
      </c>
      <c r="AH78" s="635">
        <f t="shared" ref="AH78:AJ78" si="143">SUM(AH76:AH77)</f>
        <v>477</v>
      </c>
      <c r="AI78" s="762">
        <f t="shared" si="143"/>
        <v>4447447645</v>
      </c>
      <c r="AJ78" s="638" t="e">
        <f t="shared" si="143"/>
        <v>#REF!</v>
      </c>
      <c r="AK78" s="790">
        <f t="shared" si="97"/>
        <v>0.91393534549831112</v>
      </c>
      <c r="AL78" s="635">
        <f t="shared" ref="AL78:AN78" si="144">SUM(AL76:AL77)</f>
        <v>489</v>
      </c>
      <c r="AM78" s="762">
        <f t="shared" si="144"/>
        <v>4866260690</v>
      </c>
      <c r="AN78" s="638" t="e">
        <f t="shared" si="144"/>
        <v>#REF!</v>
      </c>
      <c r="AO78" s="790">
        <f t="shared" ref="AO78:AO79" si="145">+AM78/AQ78</f>
        <v>1.1277230316798295</v>
      </c>
      <c r="AP78" s="635">
        <f t="shared" ref="AP78:AR78" si="146">SUM(AP76:AP77)</f>
        <v>502</v>
      </c>
      <c r="AQ78" s="762">
        <f t="shared" si="146"/>
        <v>4315120427</v>
      </c>
      <c r="AR78" s="638" t="e">
        <f t="shared" si="146"/>
        <v>#REF!</v>
      </c>
      <c r="AS78" s="790">
        <f t="shared" si="98"/>
        <v>1.5148280745921896</v>
      </c>
      <c r="AT78" s="635">
        <v>506</v>
      </c>
      <c r="AU78" s="622">
        <v>2848587572</v>
      </c>
      <c r="AV78" s="638">
        <v>120856.49435723378</v>
      </c>
      <c r="AW78" s="867"/>
      <c r="AX78" s="866"/>
    </row>
    <row r="79" spans="2:50" hidden="1">
      <c r="B79" s="810">
        <v>0.35317779565567176</v>
      </c>
      <c r="C79" s="852">
        <v>0.37158387896679623</v>
      </c>
      <c r="D79" s="812">
        <v>0.37158387896679623</v>
      </c>
      <c r="E79" s="791">
        <f t="shared" si="128"/>
        <v>1.0208030277324884</v>
      </c>
      <c r="F79" s="810">
        <f>+F78/F80</f>
        <v>0.35033444816053511</v>
      </c>
      <c r="G79" s="852">
        <f t="shared" ref="G79:H79" si="147">+G78/G80</f>
        <v>0.36401134094615312</v>
      </c>
      <c r="H79" s="812" t="e">
        <f t="shared" si="147"/>
        <v>#REF!</v>
      </c>
      <c r="I79" s="791">
        <f t="shared" si="130"/>
        <v>1.0895665837743573</v>
      </c>
      <c r="J79" s="810">
        <f>+J78/J80</f>
        <v>0.34739454094292804</v>
      </c>
      <c r="K79" s="852">
        <f t="shared" ref="K79:L79" si="148">+K78/K80</f>
        <v>0.33408820201256989</v>
      </c>
      <c r="L79" s="812" t="e">
        <f t="shared" si="148"/>
        <v>#REF!</v>
      </c>
      <c r="M79" s="791">
        <f t="shared" si="132"/>
        <v>0.91901049708333604</v>
      </c>
      <c r="N79" s="810">
        <f>+N78/N80</f>
        <v>0.35614179719703215</v>
      </c>
      <c r="O79" s="852">
        <f t="shared" ref="O79:P79" si="149">+O78/O80</f>
        <v>0.36353034385664335</v>
      </c>
      <c r="P79" s="812" t="e">
        <f t="shared" si="149"/>
        <v>#REF!</v>
      </c>
      <c r="Q79" s="791">
        <f t="shared" si="134"/>
        <v>0.99586415469761258</v>
      </c>
      <c r="R79" s="810">
        <f>+R78/R80</f>
        <v>0.35575364667747161</v>
      </c>
      <c r="S79" s="852">
        <f t="shared" ref="S79:T79" si="150">+S78/S80</f>
        <v>0.36504009321133452</v>
      </c>
      <c r="T79" s="812" t="e">
        <f t="shared" si="150"/>
        <v>#REF!</v>
      </c>
      <c r="U79" s="791">
        <f t="shared" si="136"/>
        <v>0.97956938884599365</v>
      </c>
      <c r="V79" s="810">
        <f>+V78/V80</f>
        <v>0.36460905349794237</v>
      </c>
      <c r="W79" s="811">
        <f t="shared" ref="W79:X79" si="151">+W78/W80</f>
        <v>0.37265363471737228</v>
      </c>
      <c r="X79" s="812" t="e">
        <f t="shared" si="151"/>
        <v>#REF!</v>
      </c>
      <c r="Y79" s="791">
        <f t="shared" si="138"/>
        <v>0.92486225095206265</v>
      </c>
      <c r="Z79" s="810">
        <f>+Z78/Z80</f>
        <v>0.36319218241042345</v>
      </c>
      <c r="AA79" s="811">
        <f t="shared" ref="AA79:AB79" si="152">+AA78/AA80</f>
        <v>0.40292879759527306</v>
      </c>
      <c r="AB79" s="812" t="e">
        <f t="shared" si="152"/>
        <v>#REF!</v>
      </c>
      <c r="AC79" s="791">
        <f t="shared" si="140"/>
        <v>0.9937626944892658</v>
      </c>
      <c r="AD79" s="810">
        <f>+AD78/AD80</f>
        <v>0.36213668499607227</v>
      </c>
      <c r="AE79" s="811">
        <f t="shared" ref="AE79:AF79" si="153">+AE78/AE80</f>
        <v>0.4054577615256067</v>
      </c>
      <c r="AF79" s="812" t="e">
        <f t="shared" si="153"/>
        <v>#REF!</v>
      </c>
      <c r="AG79" s="791">
        <f t="shared" si="142"/>
        <v>1.086899703056512</v>
      </c>
      <c r="AH79" s="810">
        <f>+AH78/AH80</f>
        <v>0.36027190332326287</v>
      </c>
      <c r="AI79" s="811">
        <f t="shared" ref="AI79:AJ79" si="154">+AI78/AI80</f>
        <v>0.37304064062710068</v>
      </c>
      <c r="AJ79" s="812" t="e">
        <f t="shared" si="154"/>
        <v>#REF!</v>
      </c>
      <c r="AK79" s="791">
        <f t="shared" si="97"/>
        <v>0.9536287672356657</v>
      </c>
      <c r="AL79" s="810">
        <f>+AL78/AL80</f>
        <v>0.36168639053254437</v>
      </c>
      <c r="AM79" s="811">
        <f t="shared" ref="AM79:AN79" si="155">+AM78/AM80</f>
        <v>0.39118014624123953</v>
      </c>
      <c r="AN79" s="812" t="e">
        <f t="shared" si="155"/>
        <v>#REF!</v>
      </c>
      <c r="AO79" s="791">
        <f t="shared" si="145"/>
        <v>1.0313465387136003</v>
      </c>
      <c r="AP79" s="810">
        <f>+AP78/AP80</f>
        <v>0.36245487364620937</v>
      </c>
      <c r="AQ79" s="811">
        <f t="shared" ref="AQ79:AR79" si="156">+AQ78/AQ80</f>
        <v>0.3792906957628025</v>
      </c>
      <c r="AR79" s="812" t="e">
        <f t="shared" si="156"/>
        <v>#REF!</v>
      </c>
      <c r="AS79" s="791">
        <f t="shared" si="98"/>
        <v>0.99466353037983357</v>
      </c>
      <c r="AT79" s="810">
        <v>0.36194563662374823</v>
      </c>
      <c r="AU79" s="811">
        <v>0.3813256283941186</v>
      </c>
      <c r="AV79" s="812">
        <v>0.3813256283941186</v>
      </c>
      <c r="AW79" s="865"/>
      <c r="AX79" s="866"/>
    </row>
    <row r="80" spans="2:50" ht="13.5" hidden="1" thickBot="1">
      <c r="B80" s="636">
        <v>1243</v>
      </c>
      <c r="C80" s="625">
        <v>12018748597</v>
      </c>
      <c r="D80" s="639">
        <v>493583.10459958931</v>
      </c>
      <c r="E80" s="816">
        <f>+C80/G80</f>
        <v>1.1970233880686114</v>
      </c>
      <c r="F80" s="636">
        <f>+F74+F78</f>
        <v>1196</v>
      </c>
      <c r="G80" s="625">
        <f>+G74+G78</f>
        <v>10040529464</v>
      </c>
      <c r="H80" s="639" t="e">
        <f>+G80/#REF!</f>
        <v>#REF!</v>
      </c>
      <c r="I80" s="816">
        <f>+G80/K80</f>
        <v>0.8824969146928735</v>
      </c>
      <c r="J80" s="636">
        <f>+J74+J78</f>
        <v>1209</v>
      </c>
      <c r="K80" s="625">
        <f>+K74+K78</f>
        <v>11377410274</v>
      </c>
      <c r="L80" s="639" t="e">
        <f>+K80/#REF!</f>
        <v>#REF!</v>
      </c>
      <c r="M80" s="816">
        <f>+K80/O80</f>
        <v>1.0213302097403105</v>
      </c>
      <c r="N80" s="636">
        <f>+N74+N78</f>
        <v>1213</v>
      </c>
      <c r="O80" s="625">
        <f>+O74+O78</f>
        <v>11139796087</v>
      </c>
      <c r="P80" s="639" t="e">
        <f>+O80/#REF!</f>
        <v>#REF!</v>
      </c>
      <c r="Q80" s="816">
        <f>+O80/S80</f>
        <v>0.87757727542015618</v>
      </c>
      <c r="R80" s="636">
        <f>+R74+R78</f>
        <v>1234</v>
      </c>
      <c r="S80" s="625">
        <f>+S74+S78</f>
        <v>12693806459</v>
      </c>
      <c r="T80" s="639" t="e">
        <f>+S80/#REF!</f>
        <v>#REF!</v>
      </c>
      <c r="U80" s="816">
        <f>+S80/W80</f>
        <v>1.0365421419515428</v>
      </c>
      <c r="V80" s="636">
        <f>+V74+V78</f>
        <v>1215</v>
      </c>
      <c r="W80" s="625">
        <f>+W74+W78</f>
        <v>12246300411</v>
      </c>
      <c r="X80" s="639" t="e">
        <f>+W80/#REF!</f>
        <v>#REF!</v>
      </c>
      <c r="Y80" s="816">
        <f>+W80/AA80</f>
        <v>0.94217613925115173</v>
      </c>
      <c r="Z80" s="636">
        <f>+Z74+Z78</f>
        <v>1228</v>
      </c>
      <c r="AA80" s="625">
        <f>+AA74+AA78</f>
        <v>12997888506</v>
      </c>
      <c r="AB80" s="639" t="e">
        <f>+AA80/#REF!</f>
        <v>#REF!</v>
      </c>
      <c r="AC80" s="816">
        <f>+AA80/AE80</f>
        <v>1.0647629112985744</v>
      </c>
      <c r="AD80" s="636">
        <f>+AD74+AD78</f>
        <v>1273</v>
      </c>
      <c r="AE80" s="625">
        <f>+AE74+AE78</f>
        <v>12207307719</v>
      </c>
      <c r="AF80" s="639" t="e">
        <f>+AE80/#REF!</f>
        <v>#REF!</v>
      </c>
      <c r="AG80" s="816">
        <f>+AE80/AI80</f>
        <v>1.0239180436328468</v>
      </c>
      <c r="AH80" s="636">
        <f>+AH74+AH78</f>
        <v>1324</v>
      </c>
      <c r="AI80" s="625">
        <f>+AI74+AI78</f>
        <v>11922153140</v>
      </c>
      <c r="AJ80" s="639" t="e">
        <f>+AI80/#REF!</f>
        <v>#REF!</v>
      </c>
      <c r="AK80" s="816">
        <f t="shared" si="97"/>
        <v>0.95837644259367727</v>
      </c>
      <c r="AL80" s="636">
        <f>+AL74+AL78</f>
        <v>1352</v>
      </c>
      <c r="AM80" s="625">
        <f>+AM74+AM78</f>
        <v>12439948031</v>
      </c>
      <c r="AN80" s="639" t="e">
        <f>+AM80/#REF!</f>
        <v>#REF!</v>
      </c>
      <c r="AO80" s="816">
        <f>+AM80/AQ80</f>
        <v>1.0934472452745512</v>
      </c>
      <c r="AP80" s="636">
        <f>+AP74+AP78</f>
        <v>1385</v>
      </c>
      <c r="AQ80" s="625">
        <f>+AQ74+AQ78</f>
        <v>11376815923</v>
      </c>
      <c r="AR80" s="639" t="e">
        <f>+AQ80/#REF!</f>
        <v>#REF!</v>
      </c>
      <c r="AS80" s="816">
        <f>+AQ80/AU80</f>
        <v>1.5229552791723651</v>
      </c>
      <c r="AT80" s="636">
        <v>1398</v>
      </c>
      <c r="AU80" s="625">
        <v>7470223242</v>
      </c>
      <c r="AV80" s="639">
        <v>316937.77013152314</v>
      </c>
      <c r="AW80" s="865"/>
      <c r="AX80" s="866"/>
    </row>
    <row r="81" spans="2:50" ht="13.5" hidden="1" thickTop="1">
      <c r="B81" s="1410" t="s">
        <v>628</v>
      </c>
      <c r="C81" s="1410"/>
      <c r="D81" s="1410"/>
      <c r="E81" s="804"/>
      <c r="F81" s="637"/>
      <c r="G81" s="614"/>
      <c r="H81" s="789"/>
      <c r="I81" s="804"/>
      <c r="J81" s="637"/>
      <c r="K81" s="614"/>
      <c r="L81" s="789"/>
      <c r="M81" s="804"/>
      <c r="N81" s="637"/>
      <c r="O81" s="760"/>
      <c r="P81" s="789"/>
      <c r="Q81" s="804"/>
      <c r="R81" s="637"/>
      <c r="S81" s="760"/>
      <c r="T81" s="789"/>
      <c r="U81" s="804"/>
      <c r="V81" s="637"/>
      <c r="W81" s="760"/>
      <c r="X81" s="789"/>
      <c r="Y81" s="804"/>
      <c r="Z81" s="637"/>
      <c r="AA81" s="760"/>
      <c r="AB81" s="789"/>
      <c r="AC81" s="804"/>
      <c r="AD81" s="637"/>
      <c r="AE81" s="760"/>
      <c r="AF81" s="789"/>
      <c r="AG81" s="804"/>
      <c r="AH81" s="637"/>
      <c r="AI81" s="760"/>
      <c r="AJ81" s="607"/>
      <c r="AK81" s="804"/>
      <c r="AL81" s="637"/>
      <c r="AM81" s="760"/>
      <c r="AN81" s="607"/>
      <c r="AO81" s="804"/>
      <c r="AP81" s="637"/>
      <c r="AQ81" s="760"/>
      <c r="AR81" s="607"/>
      <c r="AS81" s="817" t="s">
        <v>502</v>
      </c>
      <c r="AT81" s="752">
        <v>1491</v>
      </c>
      <c r="AU81" s="753">
        <v>9391343314</v>
      </c>
      <c r="AV81" s="755" t="e">
        <f>+AU81/#REF!</f>
        <v>#REF!</v>
      </c>
      <c r="AW81" s="867"/>
      <c r="AX81" s="866"/>
    </row>
    <row r="82" spans="2:50" hidden="1">
      <c r="B82" s="637"/>
      <c r="C82" s="609"/>
      <c r="D82" s="607"/>
      <c r="E82" s="804"/>
      <c r="F82" s="637"/>
      <c r="G82" s="609"/>
      <c r="H82" s="607"/>
      <c r="I82" s="804"/>
      <c r="J82" s="637"/>
      <c r="K82" s="609"/>
      <c r="L82" s="607"/>
      <c r="M82" s="804"/>
      <c r="N82" s="637"/>
      <c r="O82" s="609"/>
      <c r="P82" s="607"/>
      <c r="Q82" s="804"/>
      <c r="R82" s="637"/>
      <c r="S82" s="609"/>
      <c r="T82" s="607"/>
      <c r="U82" s="804"/>
      <c r="V82" s="637"/>
      <c r="W82" s="609"/>
      <c r="X82" s="607"/>
      <c r="Y82" s="804"/>
      <c r="Z82" s="637"/>
      <c r="AA82" s="609"/>
      <c r="AB82" s="607"/>
      <c r="AC82" s="804"/>
      <c r="AD82" s="637"/>
      <c r="AE82" s="609"/>
      <c r="AF82" s="607"/>
      <c r="AG82" s="804"/>
      <c r="AH82" s="637"/>
      <c r="AI82" s="609"/>
      <c r="AJ82" s="607"/>
      <c r="AK82" s="804"/>
      <c r="AL82" s="637"/>
      <c r="AM82" s="609"/>
      <c r="AN82" s="607"/>
      <c r="AO82" s="804"/>
      <c r="AP82" s="637"/>
      <c r="AQ82" s="609"/>
      <c r="AR82" s="607"/>
      <c r="AS82" s="804"/>
      <c r="AT82" s="637"/>
      <c r="AU82" s="609"/>
      <c r="AV82" s="607"/>
    </row>
    <row r="83" spans="2:50" hidden="1">
      <c r="B83" s="792">
        <f>+B66</f>
        <v>45261</v>
      </c>
      <c r="C83" s="685">
        <f>+D65</f>
        <v>24350</v>
      </c>
      <c r="D83" s="607"/>
      <c r="E83" s="804"/>
      <c r="F83" s="792">
        <f>+F66</f>
        <v>45231</v>
      </c>
      <c r="G83" s="685">
        <f>+H65</f>
        <v>24380</v>
      </c>
      <c r="H83" s="607"/>
      <c r="I83" s="804"/>
      <c r="J83" s="792">
        <f>+J66</f>
        <v>45200</v>
      </c>
      <c r="K83" s="685">
        <f>+L65</f>
        <v>24680</v>
      </c>
      <c r="L83" s="607"/>
      <c r="M83" s="804"/>
      <c r="N83" s="792">
        <f>+N66</f>
        <v>45170</v>
      </c>
      <c r="O83" s="685">
        <v>24450</v>
      </c>
      <c r="P83" s="607"/>
      <c r="Q83" s="804"/>
      <c r="R83" s="792">
        <f>+R66</f>
        <v>45139</v>
      </c>
      <c r="S83" s="685">
        <f>+T65</f>
        <v>24180</v>
      </c>
      <c r="T83" s="607"/>
      <c r="U83" s="804"/>
      <c r="V83" s="792">
        <f>+V66</f>
        <v>45108</v>
      </c>
      <c r="W83" s="685">
        <f>+X65</f>
        <v>23805</v>
      </c>
      <c r="X83" s="607"/>
      <c r="Y83" s="804"/>
      <c r="Z83" s="792">
        <f>+Z66</f>
        <v>45078</v>
      </c>
      <c r="AA83" s="685">
        <f>+AB65</f>
        <v>23700</v>
      </c>
      <c r="AB83" s="607"/>
      <c r="AC83" s="804"/>
      <c r="AD83" s="792">
        <f>+AD66</f>
        <v>45047</v>
      </c>
      <c r="AE83" s="685">
        <f>+AF65</f>
        <v>23610</v>
      </c>
      <c r="AF83" s="607"/>
      <c r="AG83" s="804"/>
      <c r="AH83" s="792">
        <f>+AH66</f>
        <v>45017</v>
      </c>
      <c r="AI83" s="685">
        <f>+AJ65</f>
        <v>23580</v>
      </c>
      <c r="AJ83" s="607"/>
      <c r="AK83" s="804"/>
      <c r="AL83" s="792">
        <f>+AL66</f>
        <v>44986</v>
      </c>
      <c r="AM83" s="685">
        <f>+AN65</f>
        <v>23585</v>
      </c>
      <c r="AN83" s="607"/>
      <c r="AO83" s="804"/>
      <c r="AP83" s="792">
        <v>44958</v>
      </c>
      <c r="AQ83" s="685">
        <f>+AR65</f>
        <v>23895</v>
      </c>
      <c r="AR83" s="607"/>
      <c r="AS83" s="804"/>
      <c r="AT83" s="792">
        <v>44927</v>
      </c>
      <c r="AU83" s="685">
        <f>+AV65</f>
        <v>23570</v>
      </c>
      <c r="AV83" s="607"/>
    </row>
    <row r="84" spans="2:50" hidden="1">
      <c r="B84" s="689" t="s">
        <v>414</v>
      </c>
      <c r="C84" s="690" t="s">
        <v>415</v>
      </c>
      <c r="D84" s="607"/>
      <c r="E84" s="804"/>
      <c r="F84" s="689" t="s">
        <v>414</v>
      </c>
      <c r="G84" s="690" t="s">
        <v>415</v>
      </c>
      <c r="H84" s="607"/>
      <c r="I84" s="804"/>
      <c r="J84" s="689" t="s">
        <v>414</v>
      </c>
      <c r="K84" s="690" t="s">
        <v>415</v>
      </c>
      <c r="L84" s="607"/>
      <c r="M84" s="804"/>
      <c r="N84" s="689" t="s">
        <v>414</v>
      </c>
      <c r="O84" s="690" t="s">
        <v>415</v>
      </c>
      <c r="P84" s="607"/>
      <c r="Q84" s="804"/>
      <c r="R84" s="689" t="s">
        <v>414</v>
      </c>
      <c r="S84" s="690" t="s">
        <v>415</v>
      </c>
      <c r="T84" s="607"/>
      <c r="U84" s="804"/>
      <c r="V84" s="689" t="s">
        <v>414</v>
      </c>
      <c r="W84" s="690" t="s">
        <v>415</v>
      </c>
      <c r="X84" s="607"/>
      <c r="Y84" s="804"/>
      <c r="Z84" s="689" t="s">
        <v>414</v>
      </c>
      <c r="AA84" s="690" t="s">
        <v>415</v>
      </c>
      <c r="AB84" s="607"/>
      <c r="AC84" s="804"/>
      <c r="AD84" s="689" t="s">
        <v>414</v>
      </c>
      <c r="AE84" s="690" t="s">
        <v>415</v>
      </c>
      <c r="AF84" s="607"/>
      <c r="AG84" s="804"/>
      <c r="AH84" s="689" t="s">
        <v>414</v>
      </c>
      <c r="AI84" s="690" t="s">
        <v>415</v>
      </c>
      <c r="AJ84" s="607"/>
      <c r="AK84" s="804"/>
      <c r="AL84" s="689" t="s">
        <v>414</v>
      </c>
      <c r="AM84" s="690" t="s">
        <v>415</v>
      </c>
      <c r="AN84" s="607"/>
      <c r="AO84" s="804"/>
      <c r="AP84" s="689" t="s">
        <v>414</v>
      </c>
      <c r="AQ84" s="690" t="s">
        <v>415</v>
      </c>
      <c r="AR84" s="607"/>
      <c r="AS84" s="804"/>
      <c r="AT84" s="689" t="s">
        <v>414</v>
      </c>
      <c r="AU84" s="690" t="s">
        <v>415</v>
      </c>
      <c r="AV84" s="607"/>
    </row>
    <row r="85" spans="2:50" hidden="1">
      <c r="B85" s="1403">
        <v>1243</v>
      </c>
      <c r="C85" s="1404"/>
      <c r="D85" s="607"/>
      <c r="E85" s="804"/>
      <c r="F85" s="1403">
        <f>+F80</f>
        <v>1196</v>
      </c>
      <c r="G85" s="1404"/>
      <c r="H85" s="607"/>
      <c r="I85" s="804"/>
      <c r="J85" s="1403">
        <f>+J80</f>
        <v>1209</v>
      </c>
      <c r="K85" s="1404"/>
      <c r="L85" s="607"/>
      <c r="M85" s="804"/>
      <c r="N85" s="1403">
        <f>+N80</f>
        <v>1213</v>
      </c>
      <c r="O85" s="1404"/>
      <c r="P85" s="607"/>
      <c r="Q85" s="804"/>
      <c r="R85" s="1403">
        <f>+R80</f>
        <v>1234</v>
      </c>
      <c r="S85" s="1404"/>
      <c r="T85" s="607"/>
      <c r="U85" s="804"/>
      <c r="V85" s="1403">
        <f>+V80</f>
        <v>1215</v>
      </c>
      <c r="W85" s="1404"/>
      <c r="X85" s="607"/>
      <c r="Y85" s="804"/>
      <c r="Z85" s="1403">
        <f>+Z80</f>
        <v>1228</v>
      </c>
      <c r="AA85" s="1404"/>
      <c r="AB85" s="607"/>
      <c r="AC85" s="804"/>
      <c r="AD85" s="1405">
        <f>+AD80</f>
        <v>1273</v>
      </c>
      <c r="AE85" s="1404"/>
      <c r="AF85" s="607"/>
      <c r="AG85" s="804"/>
      <c r="AH85" s="1405">
        <f>+AH80</f>
        <v>1324</v>
      </c>
      <c r="AI85" s="1404"/>
      <c r="AJ85" s="607"/>
      <c r="AK85" s="804"/>
      <c r="AL85" s="1405">
        <f>+AL80</f>
        <v>1352</v>
      </c>
      <c r="AM85" s="1404"/>
      <c r="AN85" s="607"/>
      <c r="AO85" s="804"/>
      <c r="AP85" s="1406">
        <f>+AP80</f>
        <v>1385</v>
      </c>
      <c r="AQ85" s="1406"/>
      <c r="AR85" s="607"/>
      <c r="AS85" s="804"/>
      <c r="AT85" s="1405">
        <f>+AT80</f>
        <v>1398</v>
      </c>
      <c r="AU85" s="1404"/>
      <c r="AV85" s="607"/>
    </row>
    <row r="86" spans="2:50" hidden="1">
      <c r="B86" s="680">
        <v>11470443072</v>
      </c>
      <c r="C86" s="861">
        <v>471065.42390143737</v>
      </c>
      <c r="D86" s="773"/>
      <c r="E86" s="804"/>
      <c r="F86" s="680">
        <v>9588116329</v>
      </c>
      <c r="G86" s="861" t="e">
        <f>+F86/#REF!</f>
        <v>#REF!</v>
      </c>
      <c r="H86" s="773"/>
      <c r="I86" s="804"/>
      <c r="J86" s="680">
        <v>10106038356</v>
      </c>
      <c r="K86" s="861" t="e">
        <f>+J86/#REF!</f>
        <v>#REF!</v>
      </c>
      <c r="L86" s="773"/>
      <c r="M86" s="804"/>
      <c r="N86" s="680">
        <v>10029587406</v>
      </c>
      <c r="O86" s="682" t="e">
        <f>+N86/#REF!</f>
        <v>#REF!</v>
      </c>
      <c r="P86" s="773"/>
      <c r="Q86" s="804"/>
      <c r="R86" s="680">
        <v>11050972418</v>
      </c>
      <c r="S86" s="682">
        <v>457029.46311000828</v>
      </c>
      <c r="T86" s="773"/>
      <c r="U86" s="804"/>
      <c r="V86" s="680">
        <v>10735383737</v>
      </c>
      <c r="W86" s="682" t="e">
        <f>+V86/#REF!</f>
        <v>#REF!</v>
      </c>
      <c r="X86" s="773"/>
      <c r="Y86" s="804"/>
      <c r="Z86" s="680">
        <v>10835350134</v>
      </c>
      <c r="AA86" s="682">
        <v>457187.76936708862</v>
      </c>
      <c r="AB86" s="773"/>
      <c r="AC86" s="804"/>
      <c r="AD86" s="680">
        <v>11265264298</v>
      </c>
      <c r="AE86" s="682" t="e">
        <f>+AD86/#REF!</f>
        <v>#REF!</v>
      </c>
      <c r="AF86" s="773"/>
      <c r="AG86" s="804"/>
      <c r="AH86" s="680">
        <v>11241305599</v>
      </c>
      <c r="AI86" s="682">
        <v>476730.5173452078</v>
      </c>
      <c r="AJ86" s="773"/>
      <c r="AK86" s="804"/>
      <c r="AL86" s="680">
        <v>11516047027</v>
      </c>
      <c r="AM86" s="682" t="e">
        <f>+AL86/#REF!</f>
        <v>#REF!</v>
      </c>
      <c r="AN86" s="773"/>
      <c r="AO86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    </c>
      <c r="AU86" s="682" t="e">
        <f>+AT86/#REF!</f>
        <v>#REF!</v>
      </c>
      <c r="AV86" s="607"/>
    </row>
    <row r="87" spans="2:50" hidden="1">
      <c r="B87" s="680">
        <v>8623637</v>
      </c>
      <c r="C87" s="861">
        <v>354.1534702258727</v>
      </c>
      <c r="D87" s="773"/>
      <c r="E87" s="804"/>
      <c r="F87" s="680">
        <v>13659989</v>
      </c>
      <c r="G87" s="861" t="e">
        <f>+F87/#REF!</f>
        <v>#REF!</v>
      </c>
      <c r="H87" s="773"/>
      <c r="I87" s="804"/>
      <c r="J87" s="680">
        <v>2615385</v>
      </c>
      <c r="K87" s="861" t="e">
        <f>+J87/#REF!</f>
        <v>#REF!</v>
      </c>
      <c r="L87" s="773"/>
      <c r="M87" s="804"/>
      <c r="N87" s="680">
        <v>0</v>
      </c>
      <c r="O87" s="682" t="e">
        <f>+N87/#REF!</f>
        <v>#REF!</v>
      </c>
      <c r="P87" s="773"/>
      <c r="Q87" s="804"/>
      <c r="R87" s="680">
        <v>29708301</v>
      </c>
      <c r="S87" s="682">
        <v>1228.631141439206</v>
      </c>
      <c r="T87" s="773"/>
      <c r="U87" s="804"/>
      <c r="V87" s="680">
        <v>12987981</v>
      </c>
      <c r="W87" s="682" t="e">
        <f>+V87/#REF!</f>
        <v>#REF!</v>
      </c>
      <c r="X87" s="773"/>
      <c r="Y87" s="804"/>
      <c r="Z87" s="680">
        <v>0</v>
      </c>
      <c r="AA87" s="682">
        <v>0</v>
      </c>
      <c r="AB87" s="773"/>
      <c r="AC87" s="804"/>
      <c r="AD87" s="680">
        <v>0</v>
      </c>
      <c r="AE87" s="682" t="e">
        <f>+AD87/#REF!</f>
        <v>#REF!</v>
      </c>
      <c r="AF87" s="773"/>
      <c r="AG87" s="804"/>
      <c r="AH87" s="680">
        <v>5577825</v>
      </c>
      <c r="AI87" s="682">
        <v>236.54898218829516</v>
      </c>
      <c r="AJ87" s="773"/>
      <c r="AK87" s="804"/>
      <c r="AL87" s="680">
        <v>173083778</v>
      </c>
      <c r="AM87" s="682" t="e">
        <f>+AL87/#REF!</f>
        <v>#REF!</v>
      </c>
      <c r="AN87" s="773"/>
      <c r="AO87" s="804"/>
      <c r="AP87" s="680">
        <v>148607512</v>
      </c>
      <c r="AQ87" s="682" t="e">
        <f>+AP87/#REF!</f>
        <v>#REF!</v>
      </c>
      <c r="AR87" s="607"/>
      <c r="AS87" s="804"/>
      <c r="AT87" s="680">
        <v>12142644</v>
      </c>
      <c r="AU87" s="682" t="e">
        <f>+AT87/#REF!</f>
        <v>#REF!</v>
      </c>
      <c r="AV87" s="607"/>
    </row>
    <row r="88" spans="2:50" hidden="1">
      <c r="B88" s="680">
        <v>149469105</v>
      </c>
      <c r="C88" s="861">
        <v>6138.3616016427104</v>
      </c>
      <c r="D88" s="773"/>
      <c r="E88" s="804"/>
      <c r="F88" s="680">
        <v>48087766</v>
      </c>
      <c r="G88" s="861" t="e">
        <f>+F88/#REF!</f>
        <v>#REF!</v>
      </c>
      <c r="H88" s="773"/>
      <c r="I88" s="804"/>
      <c r="J88" s="680">
        <v>873566460</v>
      </c>
      <c r="K88" s="861" t="e">
        <f>+J88/#REF!</f>
        <v>#REF!</v>
      </c>
      <c r="L88" s="773"/>
      <c r="M88" s="804"/>
      <c r="N88" s="680">
        <v>718487582</v>
      </c>
      <c r="O88" s="682" t="e">
        <f>+N88/#REF!</f>
        <v>#REF!</v>
      </c>
      <c r="P88" s="773"/>
      <c r="Q88" s="804"/>
      <c r="R88" s="680">
        <v>1208419914</v>
      </c>
      <c r="S88" s="682">
        <v>49976.009677419352</v>
      </c>
      <c r="T88" s="773"/>
      <c r="U88" s="804"/>
      <c r="V88" s="680">
        <v>1115935850</v>
      </c>
      <c r="W88" s="682" t="e">
        <f>+V88/#REF!</f>
        <v>#REF!</v>
      </c>
      <c r="X88" s="773"/>
      <c r="Y88" s="804"/>
      <c r="Z88" s="680">
        <v>1781363360</v>
      </c>
      <c r="AA88" s="682">
        <v>75163.010970464136</v>
      </c>
      <c r="AB88" s="773"/>
      <c r="AC88" s="804"/>
      <c r="AD88" s="680">
        <v>537660957</v>
      </c>
      <c r="AE88" s="682" t="e">
        <f>+AD88/#REF!</f>
        <v>#REF!</v>
      </c>
      <c r="AF88" s="773"/>
      <c r="AG88" s="804"/>
      <c r="AH88" s="680">
        <v>295431086</v>
      </c>
      <c r="AI88" s="682">
        <v>12528.884054283291</v>
      </c>
      <c r="AJ88" s="773"/>
      <c r="AK88" s="804"/>
      <c r="AL88" s="680">
        <v>470761057</v>
      </c>
      <c r="AM88" s="682" t="e">
        <f>+AL88/#REF!</f>
        <v>#REF!</v>
      </c>
      <c r="AN88" s="773"/>
      <c r="AO88" s="804"/>
      <c r="AP88" s="680">
        <v>148562491</v>
      </c>
      <c r="AQ88" s="682" t="e">
        <f>+AP88/#REF!</f>
        <v>#REF!</v>
      </c>
      <c r="AR88" s="607"/>
      <c r="AS88" s="804"/>
      <c r="AT88" s="684">
        <f>SUM(AT86:AT87)</f>
        <v>7236883387</v>
      </c>
      <c r="AU88" s="681" t="e">
        <f>SUM(AU86:AU87)</f>
        <v>#REF!</v>
      </c>
      <c r="AV88" s="607"/>
    </row>
    <row r="89" spans="2:50" hidden="1">
      <c r="B89" s="680">
        <v>0</v>
      </c>
      <c r="C89" s="861">
        <v>0</v>
      </c>
      <c r="D89" s="773"/>
      <c r="E89" s="804"/>
      <c r="F89" s="750">
        <v>0</v>
      </c>
      <c r="G89" s="861" t="e">
        <f>+F89/#REF!</f>
        <v>#REF!</v>
      </c>
      <c r="H89" s="773"/>
      <c r="I89" s="804"/>
      <c r="J89" s="750">
        <v>0</v>
      </c>
      <c r="K89" s="861" t="e">
        <f>+J89/#REF!</f>
        <v>#REF!</v>
      </c>
      <c r="L89" s="773"/>
      <c r="M89" s="804"/>
      <c r="N89" s="750">
        <v>0</v>
      </c>
      <c r="O89" s="682" t="e">
        <f>+N89/#REF!</f>
        <v>#REF!</v>
      </c>
      <c r="P89" s="773"/>
      <c r="Q89" s="804"/>
      <c r="R89" s="680">
        <v>3030140</v>
      </c>
      <c r="S89" s="682">
        <v>125.31596360628619</v>
      </c>
      <c r="T89" s="773"/>
      <c r="U89" s="804"/>
      <c r="V89" s="750">
        <v>0</v>
      </c>
      <c r="W89" s="682" t="e">
        <f>+V89/#REF!</f>
        <v>#REF!</v>
      </c>
      <c r="X89" s="773"/>
      <c r="Y89" s="804"/>
      <c r="Z89" s="750">
        <v>0</v>
      </c>
      <c r="AA89" s="682" t="e">
        <f>+Z89/#REF!</f>
        <v>#REF!</v>
      </c>
      <c r="AB89" s="773"/>
      <c r="AC89" s="804"/>
      <c r="AD89" s="750">
        <v>0</v>
      </c>
      <c r="AE89" s="682" t="e">
        <f>+AD89/#REF!</f>
        <v>#REF!</v>
      </c>
      <c r="AF89" s="773"/>
      <c r="AG89" s="804"/>
      <c r="AH89" s="680">
        <v>473550</v>
      </c>
      <c r="AI89" s="682">
        <v>20.082697201017812</v>
      </c>
      <c r="AJ89" s="773"/>
      <c r="AK89" s="804"/>
      <c r="AL89" s="680">
        <v>6934057</v>
      </c>
      <c r="AM89" s="682" t="e">
        <f>+AL89/#REF!</f>
        <v>#REF!</v>
      </c>
      <c r="AN89" s="773"/>
      <c r="AO89" s="804"/>
      <c r="AP89" s="680">
        <v>3777636</v>
      </c>
      <c r="AQ89" s="682" t="e">
        <f>+AP89/#REF!</f>
        <v>#REF!</v>
      </c>
      <c r="AR89" s="685"/>
      <c r="AS89" s="804"/>
      <c r="AT89" s="683">
        <v>233339855</v>
      </c>
      <c r="AU89" s="682" t="e">
        <f>+AT89/#REF!</f>
        <v>#REF!</v>
      </c>
      <c r="AV89" s="685"/>
    </row>
    <row r="90" spans="2:50" hidden="1">
      <c r="B90" s="684">
        <v>11628535814</v>
      </c>
      <c r="C90" s="862">
        <v>477557.93897330592</v>
      </c>
      <c r="D90" s="773"/>
      <c r="E90" s="804"/>
      <c r="F90" s="684">
        <f>SUM(F86:F89)</f>
        <v>9649864084</v>
      </c>
      <c r="G90" s="862" t="e">
        <f>SUM(G86:G89)</f>
        <v>#REF!</v>
      </c>
      <c r="H90" s="773"/>
      <c r="I90" s="804"/>
      <c r="J90" s="684">
        <f>SUM(J86:J89)</f>
        <v>10982220201</v>
      </c>
      <c r="K90" s="862" t="e">
        <f>SUM(K86:K89)</f>
        <v>#REF!</v>
      </c>
      <c r="L90" s="773"/>
      <c r="M90" s="804"/>
      <c r="N90" s="684">
        <f>SUM(N86:N89)</f>
        <v>10748074988</v>
      </c>
      <c r="O90" s="681" t="e">
        <f>SUM(O86:O89)</f>
        <v>#REF!</v>
      </c>
      <c r="P90" s="773"/>
      <c r="Q90" s="804"/>
      <c r="R90" s="684">
        <f>SUM(R86:R89)</f>
        <v>12292130773</v>
      </c>
      <c r="S90" s="681">
        <f>SUM(S86:S89)</f>
        <v>508359.41989247309</v>
      </c>
      <c r="T90" s="773"/>
      <c r="U90" s="804"/>
      <c r="V90" s="684">
        <f>SUM(V86:V89)</f>
        <v>11864307568</v>
      </c>
      <c r="W90" s="681" t="e">
        <f>SUM(W86:W89)</f>
        <v>#REF!</v>
      </c>
      <c r="X90" s="773"/>
      <c r="Y90" s="804"/>
      <c r="Z90" s="684">
        <f>SUM(Z86:Z89)</f>
        <v>12616713494</v>
      </c>
      <c r="AA90" s="681" t="e">
        <f>SUM(AA86:AA89)</f>
        <v>#REF!</v>
      </c>
      <c r="AB90" s="773"/>
      <c r="AC90" s="804"/>
      <c r="AD90" s="684">
        <f>SUM(AD86:AD89)</f>
        <v>11802925255</v>
      </c>
      <c r="AE90" s="681" t="e">
        <f>SUM(AE86:AE89)</f>
        <v>#REF!</v>
      </c>
      <c r="AF90" s="773"/>
      <c r="AG90" s="804"/>
      <c r="AH90" s="684">
        <f>SUM(AH86:AH89)</f>
        <v>11542788060</v>
      </c>
      <c r="AI90" s="681">
        <f>SUM(AI86:AI89)</f>
        <v>489516.03307888034</v>
      </c>
      <c r="AJ90" s="773"/>
      <c r="AK90" s="804"/>
      <c r="AL90" s="684">
        <f>SUM(AL86:AL89)</f>
        <v>12166825919</v>
      </c>
      <c r="AM90" s="681" t="e">
        <f>SUM(AM86:AM89)</f>
        <v>#REF!</v>
      </c>
      <c r="AN90" s="773"/>
      <c r="AO90" s="804"/>
      <c r="AP90" s="684">
        <f>SUM(AP86:AP89)</f>
        <v>10992699865</v>
      </c>
      <c r="AQ90" s="681" t="e">
        <f>SUM(AQ86:AQ89)</f>
        <v>#REF!</v>
      </c>
      <c r="AR90" s="685"/>
      <c r="AS90" s="804"/>
      <c r="AT90" s="684">
        <f>+AT89+AT88</f>
        <v>7470223242</v>
      </c>
      <c r="AU90" s="681" t="e">
        <f>+AU89+AU88</f>
        <v>#REF!</v>
      </c>
      <c r="AV90" s="685"/>
    </row>
    <row r="91" spans="2:50" ht="13.5" hidden="1" thickTop="1">
      <c r="B91" s="683">
        <v>390212783</v>
      </c>
      <c r="C91" s="861">
        <v>16025.165626283368</v>
      </c>
      <c r="D91" s="773"/>
      <c r="E91" s="804"/>
      <c r="F91" s="683">
        <v>390665380</v>
      </c>
      <c r="G91" s="861" t="e">
        <f>+F91/#REF!</f>
        <v>#REF!</v>
      </c>
      <c r="H91" s="773"/>
      <c r="I91" s="804"/>
      <c r="J91" s="683">
        <v>395190073</v>
      </c>
      <c r="K91" s="861" t="e">
        <f>+J91/#REF!</f>
        <v>#REF!</v>
      </c>
      <c r="L91" s="773"/>
      <c r="M91" s="804"/>
      <c r="N91" s="683">
        <v>391721099</v>
      </c>
      <c r="O91" s="682" t="e">
        <f>+N91/#REF!</f>
        <v>#REF!</v>
      </c>
      <c r="P91" s="773"/>
      <c r="Q91" s="804"/>
      <c r="R91" s="683">
        <v>401675686</v>
      </c>
      <c r="S91" s="682">
        <v>16611.897684036394</v>
      </c>
      <c r="T91" s="773"/>
      <c r="U91" s="804"/>
      <c r="V91" s="683">
        <f>+'[4]Foreign Salary'!$R$11</f>
        <v>381992843</v>
      </c>
      <c r="W91" s="682" t="e">
        <f>+V91/#REF!</f>
        <v>#REF!</v>
      </c>
      <c r="X91" s="773"/>
      <c r="Y91" s="804"/>
      <c r="Z91" s="683">
        <v>381175012</v>
      </c>
      <c r="AA91" s="682">
        <v>16083.333839662448</v>
      </c>
      <c r="AB91" s="773"/>
      <c r="AC91" s="804"/>
      <c r="AD91" s="683">
        <v>404382464</v>
      </c>
      <c r="AE91" s="682" t="e">
        <f>+AD91/#REF!</f>
        <v>#REF!</v>
      </c>
      <c r="AF91" s="773"/>
      <c r="AG91" s="804"/>
      <c r="AH91" s="683">
        <v>379365080</v>
      </c>
      <c r="AI91" s="682">
        <v>16088.425784563189</v>
      </c>
      <c r="AJ91" s="773"/>
      <c r="AK91" s="804"/>
      <c r="AL91" s="683">
        <v>273122112</v>
      </c>
      <c r="AM91" s="682" t="e">
        <f>+AL91/#REF!</f>
        <v>#REF!</v>
      </c>
      <c r="AN91" s="773"/>
      <c r="AO91" s="817" t="s">
        <v>502</v>
      </c>
      <c r="AP91" s="683">
        <v>384116058</v>
      </c>
      <c r="AQ91" s="682" t="e">
        <f>+AP91/#REF!</f>
        <v>#REF!</v>
      </c>
      <c r="AR91" s="686"/>
      <c r="AS91" s="817" t="s">
        <v>502</v>
      </c>
      <c r="AT91" s="754">
        <v>9391343314</v>
      </c>
      <c r="AU91" s="755">
        <v>398444.77361052186</v>
      </c>
      <c r="AV91" s="686"/>
    </row>
    <row r="92" spans="2:50" hidden="1">
      <c r="B92" s="684">
        <v>12018748597</v>
      </c>
      <c r="C92" s="862">
        <v>493583.10459958931</v>
      </c>
      <c r="D92" s="773"/>
      <c r="E92" s="804"/>
      <c r="F92" s="684">
        <f>+F91+F90</f>
        <v>10040529464</v>
      </c>
      <c r="G92" s="862" t="e">
        <f>+G91+G90</f>
        <v>#REF!</v>
      </c>
      <c r="H92" s="773"/>
      <c r="I92" s="804"/>
      <c r="J92" s="684">
        <f>+J91+J90</f>
        <v>11377410274</v>
      </c>
      <c r="K92" s="862" t="e">
        <f>+K91+K90</f>
        <v>#REF!</v>
      </c>
      <c r="L92" s="773"/>
      <c r="M92" s="804"/>
      <c r="N92" s="684">
        <f>+N91+N90</f>
        <v>11139796087</v>
      </c>
      <c r="O92" s="681" t="e">
        <f>+O91+O90</f>
        <v>#REF!</v>
      </c>
      <c r="P92" s="773"/>
      <c r="Q92" s="804"/>
      <c r="R92" s="684">
        <f>+R91+R90</f>
        <v>12693806459</v>
      </c>
      <c r="S92" s="681">
        <f>+S91+S90</f>
        <v>524971.31757650943</v>
      </c>
      <c r="T92" s="773"/>
      <c r="U92" s="804"/>
      <c r="V92" s="684">
        <f>+V91+V90</f>
        <v>12246300411</v>
      </c>
      <c r="W92" s="681" t="e">
        <f>+W91+W90</f>
        <v>#REF!</v>
      </c>
      <c r="X92" s="773"/>
      <c r="Y92" s="804"/>
      <c r="Z92" s="684">
        <f>+Z91+Z90</f>
        <v>12997888506</v>
      </c>
      <c r="AA92" s="681" t="e">
        <f>+AA91+AA90</f>
        <v>#REF!</v>
      </c>
      <c r="AB92" s="773"/>
      <c r="AC92" s="804"/>
      <c r="AD92" s="684">
        <f>+AD91+AD90</f>
        <v>12207307719</v>
      </c>
      <c r="AE92" s="681" t="e">
        <f>+AE91+AE90</f>
        <v>#REF!</v>
      </c>
      <c r="AF92" s="773"/>
      <c r="AG92" s="804"/>
      <c r="AH92" s="684">
        <f>+AH91+AH90</f>
        <v>11922153140</v>
      </c>
      <c r="AI92" s="681">
        <f>+AI91+AI90</f>
        <v>505604.45886344352</v>
      </c>
      <c r="AJ92" s="773"/>
      <c r="AK92" s="804"/>
      <c r="AL92" s="684">
        <f>+AL91+AL90</f>
        <v>12439948031</v>
      </c>
      <c r="AM92" s="681" t="e">
        <f>+AM91+AM90</f>
        <v>#REF!</v>
      </c>
      <c r="AN92" s="773"/>
      <c r="AO92" s="818"/>
      <c r="AP92" s="684">
        <f>+AP91+AP90</f>
        <v>11376815923</v>
      </c>
      <c r="AQ92" s="681" t="e">
        <f>+AQ91+AQ90</f>
        <v>#REF!</v>
      </c>
      <c r="AR92" s="611"/>
      <c r="AS92" s="818"/>
      <c r="AT92" s="757">
        <f>+AT91+AT90</f>
        <v>16861566556</v>
      </c>
      <c r="AU92" s="758">
        <v>398444.77361052186</v>
      </c>
      <c r="AV92" s="611"/>
    </row>
    <row r="93" spans="2:50" hidden="1">
      <c r="B93" s="774"/>
      <c r="C93" s="774"/>
      <c r="E93" s="804"/>
      <c r="F93" s="774"/>
      <c r="G93" s="774"/>
      <c r="I93" s="804"/>
      <c r="J93" s="774"/>
      <c r="K93" s="774"/>
      <c r="M93" s="804"/>
      <c r="N93" s="774"/>
      <c r="O93" s="774"/>
      <c r="Q93" s="804"/>
      <c r="R93" s="774"/>
      <c r="S93" s="774"/>
      <c r="U93" s="804"/>
      <c r="V93" s="774"/>
      <c r="W93" s="774"/>
      <c r="Y93" s="804"/>
      <c r="Z93" s="774"/>
      <c r="AA93" s="774"/>
      <c r="AC93" s="804"/>
      <c r="AD93" s="774"/>
      <c r="AE93" s="774"/>
      <c r="AG93" s="804"/>
      <c r="AH93" s="774"/>
      <c r="AI93" s="774"/>
      <c r="AK93" s="804"/>
      <c r="AL93" s="774"/>
      <c r="AM93" s="774"/>
      <c r="AO93" s="804"/>
      <c r="AP93" s="750"/>
      <c r="AQ93" s="774"/>
      <c r="AS93" s="804"/>
      <c r="AT93" s="750"/>
      <c r="AU93" s="608"/>
    </row>
    <row r="94" spans="2:50" hidden="1"/>
  </sheetData>
  <mergeCells count="127">
    <mergeCell ref="AY3:BA3"/>
    <mergeCell ref="AZ19:BA19"/>
    <mergeCell ref="AY23:AZ23"/>
    <mergeCell ref="C34:E34"/>
    <mergeCell ref="F34:F35"/>
    <mergeCell ref="C35:E35"/>
    <mergeCell ref="C53:D53"/>
    <mergeCell ref="G34:I34"/>
    <mergeCell ref="J34:J35"/>
    <mergeCell ref="G35:I35"/>
    <mergeCell ref="G53:H53"/>
    <mergeCell ref="S34:U34"/>
    <mergeCell ref="D49:E49"/>
    <mergeCell ref="AH34:AH35"/>
    <mergeCell ref="AE35:AG35"/>
    <mergeCell ref="AE53:AF53"/>
    <mergeCell ref="V34:V35"/>
    <mergeCell ref="S35:U35"/>
    <mergeCell ref="S53:T53"/>
    <mergeCell ref="AA34:AC34"/>
    <mergeCell ref="K34:M34"/>
    <mergeCell ref="N34:N35"/>
    <mergeCell ref="K35:M35"/>
    <mergeCell ref="K53:L53"/>
    <mergeCell ref="O34:Q34"/>
    <mergeCell ref="R34:R35"/>
    <mergeCell ref="O35:Q35"/>
    <mergeCell ref="O53:P53"/>
    <mergeCell ref="AX34:AX35"/>
    <mergeCell ref="AU35:AW35"/>
    <mergeCell ref="AU53:AV53"/>
    <mergeCell ref="AU49:AW49"/>
    <mergeCell ref="AI34:AK34"/>
    <mergeCell ref="AI35:AK35"/>
    <mergeCell ref="AI53:AJ53"/>
    <mergeCell ref="AL34:AL35"/>
    <mergeCell ref="AM34:AO34"/>
    <mergeCell ref="AM35:AO35"/>
    <mergeCell ref="AM53:AN53"/>
    <mergeCell ref="AQ34:AS34"/>
    <mergeCell ref="AT34:AT35"/>
    <mergeCell ref="AQ35:AS35"/>
    <mergeCell ref="AQ53:AR53"/>
    <mergeCell ref="AP34:AP35"/>
    <mergeCell ref="AM3:AO3"/>
    <mergeCell ref="AQ3:AS3"/>
    <mergeCell ref="AU3:AW3"/>
    <mergeCell ref="B66:D66"/>
    <mergeCell ref="E66:E67"/>
    <mergeCell ref="F66:H66"/>
    <mergeCell ref="W3:Y3"/>
    <mergeCell ref="AA3:AC3"/>
    <mergeCell ref="AE3:AG3"/>
    <mergeCell ref="AI3:AK3"/>
    <mergeCell ref="C3:E3"/>
    <mergeCell ref="G3:I3"/>
    <mergeCell ref="K3:M3"/>
    <mergeCell ref="O3:Q3"/>
    <mergeCell ref="S3:U3"/>
    <mergeCell ref="AU34:AW34"/>
    <mergeCell ref="AD34:AD35"/>
    <mergeCell ref="AA35:AC35"/>
    <mergeCell ref="AA53:AB53"/>
    <mergeCell ref="AE34:AG34"/>
    <mergeCell ref="W34:Y34"/>
    <mergeCell ref="Z34:Z35"/>
    <mergeCell ref="W35:Y35"/>
    <mergeCell ref="W53:X53"/>
    <mergeCell ref="I66:I67"/>
    <mergeCell ref="J66:L66"/>
    <mergeCell ref="M66:M67"/>
    <mergeCell ref="N66:P66"/>
    <mergeCell ref="Q66:Q67"/>
    <mergeCell ref="R66:T66"/>
    <mergeCell ref="U66:U67"/>
    <mergeCell ref="V66:X66"/>
    <mergeCell ref="Y66:Y67"/>
    <mergeCell ref="R67:T67"/>
    <mergeCell ref="V67:X67"/>
    <mergeCell ref="J85:K85"/>
    <mergeCell ref="N85:O85"/>
    <mergeCell ref="R85:S85"/>
    <mergeCell ref="B67:D67"/>
    <mergeCell ref="F67:H67"/>
    <mergeCell ref="J67:L67"/>
    <mergeCell ref="N67:P67"/>
    <mergeCell ref="AS66:AS67"/>
    <mergeCell ref="AT66:AV66"/>
    <mergeCell ref="AT67:AV67"/>
    <mergeCell ref="Z66:AB66"/>
    <mergeCell ref="AC66:AC67"/>
    <mergeCell ref="AD66:AF66"/>
    <mergeCell ref="AG66:AG67"/>
    <mergeCell ref="AH66:AJ66"/>
    <mergeCell ref="AK66:AK67"/>
    <mergeCell ref="AL66:AN66"/>
    <mergeCell ref="AO66:AO67"/>
    <mergeCell ref="AP66:AR66"/>
    <mergeCell ref="Z67:AB67"/>
    <mergeCell ref="AD67:AF67"/>
    <mergeCell ref="AH67:AJ67"/>
    <mergeCell ref="AL67:AN67"/>
    <mergeCell ref="AP67:AR67"/>
    <mergeCell ref="V85:W85"/>
    <mergeCell ref="Z85:AA85"/>
    <mergeCell ref="AD85:AE85"/>
    <mergeCell ref="AH85:AI85"/>
    <mergeCell ref="AL85:AM85"/>
    <mergeCell ref="AP85:AQ85"/>
    <mergeCell ref="AT85:AU85"/>
    <mergeCell ref="D19:E19"/>
    <mergeCell ref="AU19:AW19"/>
    <mergeCell ref="B81:D81"/>
    <mergeCell ref="C23:D23"/>
    <mergeCell ref="G23:H23"/>
    <mergeCell ref="K23:L23"/>
    <mergeCell ref="O23:P23"/>
    <mergeCell ref="S23:T23"/>
    <mergeCell ref="W23:X23"/>
    <mergeCell ref="AA23:AB23"/>
    <mergeCell ref="AE23:AF23"/>
    <mergeCell ref="AI23:AJ23"/>
    <mergeCell ref="AM23:AN23"/>
    <mergeCell ref="AQ23:AR23"/>
    <mergeCell ref="AU23:AV23"/>
    <mergeCell ref="B85:C85"/>
    <mergeCell ref="F85:G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35A3-768A-479F-8A86-522CC1F8B435}">
  <dimension ref="B2:G8"/>
  <sheetViews>
    <sheetView workbookViewId="0">
      <selection activeCell="F24" sqref="F24"/>
    </sheetView>
  </sheetViews>
  <sheetFormatPr defaultRowHeight="12.75"/>
  <cols>
    <col min="2" max="2" width="4.7109375" customWidth="1"/>
    <col min="3" max="3" width="37.28515625" bestFit="1" customWidth="1"/>
    <col min="4" max="4" width="18.28515625" customWidth="1"/>
    <col min="5" max="5" width="16.28515625" bestFit="1" customWidth="1"/>
    <col min="6" max="6" width="17.140625" customWidth="1"/>
  </cols>
  <sheetData>
    <row r="2" spans="2:7" ht="30" customHeight="1">
      <c r="B2" s="1034"/>
      <c r="C2" s="1035"/>
      <c r="D2" s="1036" t="s">
        <v>672</v>
      </c>
      <c r="E2" s="1036" t="s">
        <v>673</v>
      </c>
      <c r="F2" s="1036" t="s">
        <v>79</v>
      </c>
    </row>
    <row r="3" spans="2:7" ht="30" customHeight="1">
      <c r="B3" s="1037">
        <v>1</v>
      </c>
      <c r="C3" s="1041" t="s">
        <v>677</v>
      </c>
      <c r="D3" s="1039">
        <f>+'Foreign Salary'!R11</f>
        <v>480497301</v>
      </c>
      <c r="E3" s="1039">
        <v>0</v>
      </c>
      <c r="F3" s="1038">
        <f>SUM(D3:E3)</f>
        <v>480497301</v>
      </c>
      <c r="G3" s="1042">
        <f>+F3-'Foreign Salary'!R11</f>
        <v>0</v>
      </c>
    </row>
    <row r="4" spans="2:7" ht="30" customHeight="1">
      <c r="B4" s="1037">
        <v>2</v>
      </c>
      <c r="C4" s="1041" t="s">
        <v>674</v>
      </c>
      <c r="D4" s="1039">
        <v>10547466313</v>
      </c>
      <c r="E4" s="1039">
        <v>1126799307</v>
      </c>
      <c r="F4" s="1038">
        <f>SUM(D4:E4)</f>
        <v>11674265620</v>
      </c>
      <c r="G4" s="1042">
        <f>+F4-Transfer!E1279</f>
        <v>-869420560</v>
      </c>
    </row>
    <row r="5" spans="2:7" ht="30" customHeight="1">
      <c r="B5" s="1037">
        <v>3</v>
      </c>
      <c r="C5" s="1041" t="s">
        <v>675</v>
      </c>
      <c r="D5" s="1039">
        <v>215764202</v>
      </c>
      <c r="E5" s="1039">
        <v>21316040</v>
      </c>
      <c r="F5" s="1038">
        <f>SUM(D5:E5)</f>
        <v>237080242</v>
      </c>
      <c r="G5" s="1042">
        <f>+F5-Cash!F18</f>
        <v>194542807</v>
      </c>
    </row>
    <row r="6" spans="2:7" ht="30" customHeight="1">
      <c r="B6" s="1037">
        <v>4</v>
      </c>
      <c r="C6" s="1041" t="s">
        <v>676</v>
      </c>
      <c r="D6" s="1039">
        <v>0</v>
      </c>
      <c r="E6" s="1039">
        <v>11464288</v>
      </c>
      <c r="F6" s="1038">
        <f>SUM(D6:E6)</f>
        <v>11464288</v>
      </c>
    </row>
    <row r="7" spans="2:7" ht="30" customHeight="1">
      <c r="B7" s="1040"/>
      <c r="C7" s="1043" t="s">
        <v>79</v>
      </c>
      <c r="D7" s="1038">
        <f t="shared" ref="D7:E7" si="0">SUM(D3:D6)</f>
        <v>11243727816</v>
      </c>
      <c r="E7" s="1038">
        <f t="shared" si="0"/>
        <v>1159579635</v>
      </c>
      <c r="F7" s="1038">
        <f>SUM(F3:F6)</f>
        <v>12403307451</v>
      </c>
    </row>
    <row r="8" spans="2:7">
      <c r="F8" s="1042">
        <f>+F7-'TOTAL(payment)'!L119</f>
        <v>-663413465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18"/>
  <sheetViews>
    <sheetView workbookViewId="0">
      <selection activeCell="D18" sqref="D18"/>
    </sheetView>
  </sheetViews>
  <sheetFormatPr defaultColWidth="9.140625" defaultRowHeight="15"/>
  <cols>
    <col min="1" max="1" width="9.140625" style="124"/>
    <col min="2" max="2" width="14.7109375" style="325" customWidth="1"/>
    <col min="3" max="3" width="32.140625" style="325" customWidth="1"/>
    <col min="4" max="4" width="25" style="325" customWidth="1"/>
    <col min="5" max="5" width="24.5703125" style="325" customWidth="1"/>
    <col min="6" max="6" width="24.5703125" style="11" customWidth="1"/>
    <col min="7" max="7" width="31.7109375" style="11" customWidth="1"/>
    <col min="8" max="8" width="33" style="11" customWidth="1"/>
    <col min="9" max="16384" width="9.140625" style="11"/>
  </cols>
  <sheetData>
    <row r="1" spans="1:11" ht="50.25" customHeight="1">
      <c r="A1" s="332" t="s">
        <v>22</v>
      </c>
      <c r="B1" s="333" t="s">
        <v>290</v>
      </c>
      <c r="C1" s="333" t="s">
        <v>291</v>
      </c>
      <c r="D1" s="334" t="s">
        <v>225</v>
      </c>
      <c r="E1" s="334" t="s">
        <v>292</v>
      </c>
      <c r="F1" s="335" t="s">
        <v>226</v>
      </c>
      <c r="G1" s="335" t="s">
        <v>148</v>
      </c>
      <c r="H1" s="336" t="s">
        <v>195</v>
      </c>
    </row>
    <row r="2" spans="1:11" ht="26.25" customHeight="1">
      <c r="A2" s="337">
        <v>1</v>
      </c>
      <c r="B2" s="328" t="s">
        <v>150</v>
      </c>
      <c r="C2" s="329" t="s">
        <v>162</v>
      </c>
      <c r="D2" s="330">
        <f>+VLOOKUP(B2,'Salary sheet'!$B$6:$AS$1291,40,0)</f>
        <v>2562000</v>
      </c>
      <c r="E2" s="330">
        <f>VLOOKUP(B2,'Salary sheet'!$B$6:$AE$1318,30,0)</f>
        <v>175961.5390625</v>
      </c>
      <c r="F2" s="331">
        <f>+D2-E2</f>
        <v>2386038.4609375</v>
      </c>
      <c r="G2" s="327" t="str">
        <f>VLOOKUP(B2,'Salary sheet'!$B$3:$G$1318,5,0)</f>
        <v>P6 - Production Office</v>
      </c>
      <c r="H2" s="338" t="str">
        <f>VLOOKUP(B2,'Salary sheet'!$B$3:$G$1318,6,0)</f>
        <v>Factory manager</v>
      </c>
    </row>
    <row r="3" spans="1:11" ht="26.25" customHeight="1">
      <c r="A3" s="337">
        <v>2</v>
      </c>
      <c r="B3" s="328" t="s">
        <v>52</v>
      </c>
      <c r="C3" s="329" t="s">
        <v>53</v>
      </c>
      <c r="D3" s="330">
        <f>+VLOOKUP(B3,'Salary sheet'!$B$6:$AS$1291,40,0)</f>
        <v>2566200</v>
      </c>
      <c r="E3" s="330">
        <f>VLOOKUP(B3,'Salary sheet'!$B$6:$AE$1318,30,0)</f>
        <v>0</v>
      </c>
      <c r="F3" s="331">
        <f t="shared" ref="F3:F17" si="0">+D3-E3</f>
        <v>2566200</v>
      </c>
      <c r="G3" s="327" t="str">
        <f>VLOOKUP(B3,'Salary sheet'!$B$3:$G$1318,5,0)</f>
        <v>P6 - Production Office</v>
      </c>
      <c r="H3" s="338" t="str">
        <f>VLOOKUP(B3,'Salary sheet'!$B$3:$G$1318,6,0)</f>
        <v>Factory manager</v>
      </c>
    </row>
    <row r="4" spans="1:11" ht="26.25" customHeight="1">
      <c r="A4" s="337">
        <v>3</v>
      </c>
      <c r="B4" s="328" t="s">
        <v>57</v>
      </c>
      <c r="C4" s="329" t="s">
        <v>163</v>
      </c>
      <c r="D4" s="330">
        <f>+VLOOKUP(B4,'Salary sheet'!$B$6:$AS$1291,40,0)</f>
        <v>1944495</v>
      </c>
      <c r="E4" s="330">
        <f>VLOOKUP(B4,'Salary sheet'!$B$6:$AE$1318,30,0)</f>
        <v>0</v>
      </c>
      <c r="F4" s="331">
        <f t="shared" si="0"/>
        <v>1944495</v>
      </c>
      <c r="G4" s="327" t="str">
        <f>VLOOKUP(B4,'Salary sheet'!$B$3:$G$1318,5,0)</f>
        <v>P5 - Production Office</v>
      </c>
      <c r="H4" s="338" t="str">
        <f>VLOOKUP(B4,'Salary sheet'!$B$3:$G$1318,6,0)</f>
        <v>Factory vice manager</v>
      </c>
      <c r="K4" s="326"/>
    </row>
    <row r="5" spans="1:11" ht="26.25" customHeight="1">
      <c r="A5" s="337">
        <v>4</v>
      </c>
      <c r="B5" s="328" t="s">
        <v>58</v>
      </c>
      <c r="C5" s="329" t="s">
        <v>168</v>
      </c>
      <c r="D5" s="330">
        <f>+VLOOKUP(B5,'Salary sheet'!$B$6:$AS$1291,40,0)</f>
        <v>3034500</v>
      </c>
      <c r="E5" s="330">
        <f>VLOOKUP(B5,'Salary sheet'!$B$6:$AE$1318,30,0)</f>
        <v>208413.45962389378</v>
      </c>
      <c r="F5" s="331">
        <f t="shared" si="0"/>
        <v>2826086.5403761063</v>
      </c>
      <c r="G5" s="327" t="str">
        <f>VLOOKUP(B5,'Salary sheet'!$B$3:$G$1318,5,0)</f>
        <v>P4 - Production Office</v>
      </c>
      <c r="H5" s="338" t="str">
        <f>VLOOKUP(B5,'Salary sheet'!$B$3:$G$1318,6,0)</f>
        <v>Factory manager</v>
      </c>
    </row>
    <row r="6" spans="1:11" ht="26.25" customHeight="1">
      <c r="A6" s="337">
        <v>5</v>
      </c>
      <c r="B6" s="328" t="s">
        <v>60</v>
      </c>
      <c r="C6" s="329" t="s">
        <v>169</v>
      </c>
      <c r="D6" s="330">
        <f>+VLOOKUP(B6,'Salary sheet'!$B$6:$AS$1291,40,0)</f>
        <v>3066000</v>
      </c>
      <c r="E6" s="330">
        <f>VLOOKUP(B6,'Salary sheet'!$B$6:$AE$1318,30,0)</f>
        <v>210576.9268558952</v>
      </c>
      <c r="F6" s="331">
        <f t="shared" si="0"/>
        <v>2855423.0731441048</v>
      </c>
      <c r="G6" s="327" t="str">
        <f>VLOOKUP(B6,'Salary sheet'!$B$3:$G$1318,5,0)</f>
        <v>P0 - Design</v>
      </c>
      <c r="H6" s="338" t="str">
        <f>VLOOKUP(B6,'Salary sheet'!$B$3:$G$1318,6,0)</f>
        <v>Design manager</v>
      </c>
    </row>
    <row r="7" spans="1:11" ht="26.25" customHeight="1">
      <c r="A7" s="337">
        <v>6</v>
      </c>
      <c r="B7" s="328" t="s">
        <v>62</v>
      </c>
      <c r="C7" s="329" t="s">
        <v>166</v>
      </c>
      <c r="D7" s="330">
        <f>+VLOOKUP(B7,'Salary sheet'!$B$6:$AS$1291,40,0)</f>
        <v>2551500</v>
      </c>
      <c r="E7" s="330">
        <f>VLOOKUP(B7,'Salary sheet'!$B$6:$AE$1318,30,0)</f>
        <v>0</v>
      </c>
      <c r="F7" s="331">
        <f t="shared" si="0"/>
        <v>2551500</v>
      </c>
      <c r="G7" s="327" t="str">
        <f>VLOOKUP(B7,'Salary sheet'!$B$3:$G$1318,5,0)</f>
        <v>P0 - Development</v>
      </c>
      <c r="H7" s="338" t="str">
        <f>VLOOKUP(B7,'Salary sheet'!$B$3:$G$1318,6,0)</f>
        <v>Development manager</v>
      </c>
    </row>
    <row r="8" spans="1:11" ht="26.25" customHeight="1">
      <c r="A8" s="337">
        <v>7</v>
      </c>
      <c r="B8" s="328" t="s">
        <v>54</v>
      </c>
      <c r="C8" s="329" t="s">
        <v>165</v>
      </c>
      <c r="D8" s="330">
        <f>+VLOOKUP(B8,'Salary sheet'!$B$6:$AS$1291,40,0)</f>
        <v>1850520</v>
      </c>
      <c r="E8" s="330">
        <f>VLOOKUP(B8,'Salary sheet'!$B$6:$AE$1318,30,0)</f>
        <v>0</v>
      </c>
      <c r="F8" s="331">
        <f t="shared" si="0"/>
        <v>1850520</v>
      </c>
      <c r="G8" s="327" t="str">
        <f>VLOOKUP(B8,'Salary sheet'!$B$3:$G$1318,5,0)</f>
        <v>P0 - Maintenance</v>
      </c>
      <c r="H8" s="338" t="str">
        <f>VLOOKUP(B8,'Salary sheet'!$B$3:$G$1318,6,0)</f>
        <v>Maintenance Leader</v>
      </c>
    </row>
    <row r="9" spans="1:11" ht="26.25" customHeight="1">
      <c r="A9" s="337">
        <v>8</v>
      </c>
      <c r="B9" s="328" t="s">
        <v>61</v>
      </c>
      <c r="C9" s="329" t="s">
        <v>164</v>
      </c>
      <c r="D9" s="330">
        <f>+VLOOKUP(B9,'Salary sheet'!$B$6:$AS$1291,40,0)</f>
        <v>3227700</v>
      </c>
      <c r="E9" s="330">
        <f>VLOOKUP(B9,'Salary sheet'!$B$6:$AE$1318,30,0)</f>
        <v>0</v>
      </c>
      <c r="F9" s="331">
        <f t="shared" si="0"/>
        <v>3227700</v>
      </c>
      <c r="G9" s="327" t="str">
        <f>VLOOKUP(B9,'Salary sheet'!$B$3:$G$1318,5,0)</f>
        <v>P0 - GC WIP</v>
      </c>
      <c r="H9" s="338" t="str">
        <f>VLOOKUP(B9,'Salary sheet'!$B$3:$G$1318,6,0)</f>
        <v>GC WIP Manager</v>
      </c>
    </row>
    <row r="10" spans="1:11" ht="26.25" customHeight="1">
      <c r="A10" s="337">
        <v>9</v>
      </c>
      <c r="B10" s="328" t="s">
        <v>59</v>
      </c>
      <c r="C10" s="329" t="s">
        <v>167</v>
      </c>
      <c r="D10" s="330">
        <f>+VLOOKUP(B10,'Salary sheet'!$B$6:$AS$1291,40,0)</f>
        <v>3969000</v>
      </c>
      <c r="E10" s="330">
        <f>VLOOKUP(B10,'Salary sheet'!$B$6:$AE$1318,30,0)</f>
        <v>0</v>
      </c>
      <c r="F10" s="331">
        <f t="shared" si="0"/>
        <v>3969000</v>
      </c>
      <c r="G10" s="327" t="str">
        <f>VLOOKUP(B10,'Salary sheet'!$B$3:$G$1318,5,0)</f>
        <v>P0 - Production Office</v>
      </c>
      <c r="H10" s="338" t="str">
        <f>VLOOKUP(B10,'Salary sheet'!$B$3:$G$1318,6,0)</f>
        <v>Production Manager</v>
      </c>
    </row>
    <row r="11" spans="1:11" ht="26.25" customHeight="1">
      <c r="A11" s="337">
        <v>10</v>
      </c>
      <c r="B11" s="328" t="s">
        <v>398</v>
      </c>
      <c r="C11" s="329" t="s">
        <v>399</v>
      </c>
      <c r="D11" s="330">
        <f>+VLOOKUP(B11,'Salary sheet'!$B$6:$AS$1291,40,0)</f>
        <v>3097500</v>
      </c>
      <c r="E11" s="330">
        <f>VLOOKUP(B11,'Salary sheet'!$B$6:$AE$1318,30,0)</f>
        <v>0</v>
      </c>
      <c r="F11" s="331">
        <f t="shared" si="0"/>
        <v>3097500</v>
      </c>
      <c r="G11" s="327" t="str">
        <f>VLOOKUP(B11,'Salary sheet'!$B$3:$G$1318,5,0)</f>
        <v>P1 - Production Office</v>
      </c>
      <c r="H11" s="338" t="str">
        <f>VLOOKUP(B11,'Salary sheet'!$B$3:$G$1318,6,0)</f>
        <v>Factory manager</v>
      </c>
    </row>
    <row r="12" spans="1:11" ht="26.25" customHeight="1">
      <c r="A12" s="337">
        <v>11</v>
      </c>
      <c r="B12" s="328" t="s">
        <v>55</v>
      </c>
      <c r="C12" s="329" t="s">
        <v>56</v>
      </c>
      <c r="D12" s="330">
        <f>+VLOOKUP(B12,'Salary sheet'!$B$6:$AS$1291,40,0)</f>
        <v>3070200</v>
      </c>
      <c r="E12" s="330">
        <f>VLOOKUP(B12,'Salary sheet'!$B$6:$AE$1318,30,0)</f>
        <v>0</v>
      </c>
      <c r="F12" s="331">
        <f t="shared" si="0"/>
        <v>3070200</v>
      </c>
      <c r="G12" s="327" t="str">
        <f>VLOOKUP(B12,'Salary sheet'!$B$3:$G$1318,5,0)</f>
        <v>P2 - Production Office</v>
      </c>
      <c r="H12" s="338" t="str">
        <f>VLOOKUP(B12,'Salary sheet'!$B$3:$G$1318,6,0)</f>
        <v>Factory manager</v>
      </c>
    </row>
    <row r="13" spans="1:11" ht="26.25" customHeight="1">
      <c r="A13" s="337">
        <v>12</v>
      </c>
      <c r="B13" s="328" t="s">
        <v>179</v>
      </c>
      <c r="C13" s="329" t="s">
        <v>180</v>
      </c>
      <c r="D13" s="330">
        <f>+VLOOKUP(B13,'Salary sheet'!$B$6:$AS$1291,40,0)</f>
        <v>3301200</v>
      </c>
      <c r="E13" s="330">
        <f>VLOOKUP(B13,'Salary sheet'!$B$6:$AE$1318,30,0)</f>
        <v>226730.76988636365</v>
      </c>
      <c r="F13" s="331">
        <f t="shared" si="0"/>
        <v>3074469.2301136362</v>
      </c>
      <c r="G13" s="327" t="str">
        <f>VLOOKUP(B13,'Salary sheet'!$B$3:$G$1318,5,0)</f>
        <v>P3 - Production Office</v>
      </c>
      <c r="H13" s="338" t="str">
        <f>VLOOKUP(B13,'Salary sheet'!$B$3:$G$1318,6,0)</f>
        <v>Factory manager</v>
      </c>
    </row>
    <row r="14" spans="1:11" ht="26.25" customHeight="1">
      <c r="A14" s="337">
        <v>13</v>
      </c>
      <c r="B14" s="328" t="s">
        <v>177</v>
      </c>
      <c r="C14" s="329" t="s">
        <v>178</v>
      </c>
      <c r="D14" s="330">
        <f>+VLOOKUP(B14,'Salary sheet'!$B$6:$AS$1291,40,0)</f>
        <v>3171000</v>
      </c>
      <c r="E14" s="330">
        <f>VLOOKUP(B14,'Salary sheet'!$B$6:$AE$1318,30,0)</f>
        <v>0</v>
      </c>
      <c r="F14" s="331">
        <f t="shared" si="0"/>
        <v>3171000</v>
      </c>
      <c r="G14" s="327" t="str">
        <f>VLOOKUP(B14,'Salary sheet'!$B$3:$G$1318,5,0)</f>
        <v>P7 - Planning</v>
      </c>
      <c r="H14" s="338" t="str">
        <f>VLOOKUP(B14,'Salary sheet'!$B$3:$G$1318,6,0)</f>
        <v>Planning Manager</v>
      </c>
    </row>
    <row r="15" spans="1:11" ht="26.25" customHeight="1">
      <c r="A15" s="337">
        <v>14</v>
      </c>
      <c r="B15" s="328" t="s">
        <v>285</v>
      </c>
      <c r="C15" s="329" t="s">
        <v>286</v>
      </c>
      <c r="D15" s="330" t="e">
        <f>+VLOOKUP(B15,'Salary sheet'!$B$6:$AS$1291,40,0)</f>
        <v>#N/A</v>
      </c>
      <c r="E15" s="330" t="e">
        <f>VLOOKUP(B15,'Salary sheet'!$B$6:$AE$1318,30,0)</f>
        <v>#N/A</v>
      </c>
      <c r="F15" s="331" t="e">
        <f t="shared" si="0"/>
        <v>#N/A</v>
      </c>
      <c r="G15" s="327" t="e">
        <f>VLOOKUP(B15,'Salary sheet'!$B$3:$G$1318,5,0)</f>
        <v>#N/A</v>
      </c>
      <c r="H15" s="338" t="e">
        <f>VLOOKUP(B15,'Salary sheet'!$B$3:$G$1318,6,0)</f>
        <v>#N/A</v>
      </c>
    </row>
    <row r="16" spans="1:11" ht="26.25" customHeight="1">
      <c r="A16" s="337">
        <v>15</v>
      </c>
      <c r="B16" s="328" t="s">
        <v>432</v>
      </c>
      <c r="C16" s="329" t="s">
        <v>433</v>
      </c>
      <c r="D16" s="330" t="e">
        <f>+VLOOKUP(B16,'Salary sheet'!$B$6:$AS$1291,40,0)</f>
        <v>#N/A</v>
      </c>
      <c r="E16" s="330" t="e">
        <f>VLOOKUP(B16,'Salary sheet'!$B$6:$AE$1318,30,0)</f>
        <v>#N/A</v>
      </c>
      <c r="F16" s="331" t="e">
        <f t="shared" ref="F16" si="1">+D16-E16</f>
        <v>#N/A</v>
      </c>
      <c r="G16" s="327" t="e">
        <f>VLOOKUP(B16,'Salary sheet'!$B$3:$G$1318,5,0)</f>
        <v>#N/A</v>
      </c>
      <c r="H16" s="338" t="e">
        <f>VLOOKUP(B16,'Salary sheet'!$B$3:$G$1318,6,0)</f>
        <v>#N/A</v>
      </c>
    </row>
    <row r="17" spans="1:8" ht="26.25" customHeight="1">
      <c r="A17" s="337">
        <v>16</v>
      </c>
      <c r="B17" s="328" t="s">
        <v>401</v>
      </c>
      <c r="C17" s="329" t="s">
        <v>402</v>
      </c>
      <c r="D17" s="330">
        <f>+VLOOKUP(B17,'Salary sheet'!$B$6:$AS$1291,40,0)</f>
        <v>3811500</v>
      </c>
      <c r="E17" s="330">
        <f>VLOOKUP(B17,'Salary sheet'!$B$6:$AE$1318,30,0)</f>
        <v>0</v>
      </c>
      <c r="F17" s="331">
        <f t="shared" si="0"/>
        <v>3811500</v>
      </c>
      <c r="G17" s="327" t="str">
        <f>VLOOKUP(B17,'Salary sheet'!$B$3:$G$1318,5,0)</f>
        <v>P5 - Production Office</v>
      </c>
      <c r="H17" s="338" t="str">
        <f>VLOOKUP(B17,'Salary sheet'!$B$3:$G$1318,6,0)</f>
        <v>Factory manager</v>
      </c>
    </row>
    <row r="18" spans="1:8" ht="26.25" customHeight="1" thickBot="1">
      <c r="A18" s="339"/>
      <c r="B18" s="340"/>
      <c r="C18" s="340" t="s">
        <v>79</v>
      </c>
      <c r="D18" s="340" t="e">
        <f>SUM(D2:D17)</f>
        <v>#N/A</v>
      </c>
      <c r="E18" s="340" t="e">
        <f>SUM(E2:E17)</f>
        <v>#N/A</v>
      </c>
      <c r="F18" s="340" t="e">
        <f>SUM(F2:F17)</f>
        <v>#N/A</v>
      </c>
      <c r="G18" s="340" t="e">
        <f>SUM(G2:G17)</f>
        <v>#N/A</v>
      </c>
      <c r="H18" s="341" t="e">
        <f>SUM(H2:H17)</f>
        <v>#N/A</v>
      </c>
    </row>
  </sheetData>
  <phoneticPr fontId="61" type="noConversion"/>
  <conditionalFormatting sqref="B1:B1048576">
    <cfRule type="duplicateValues" dxfId="135" priority="1"/>
  </conditionalFormatting>
  <conditionalFormatting sqref="B14">
    <cfRule type="duplicateValues" dxfId="134" priority="17"/>
    <cfRule type="duplicateValues" dxfId="133" priority="59"/>
  </conditionalFormatting>
  <conditionalFormatting sqref="B15:B17">
    <cfRule type="duplicateValues" dxfId="132" priority="6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34"/>
  <sheetViews>
    <sheetView topLeftCell="A24" zoomScale="85" zoomScaleNormal="85" workbookViewId="0">
      <selection activeCell="G32" sqref="G32"/>
    </sheetView>
  </sheetViews>
  <sheetFormatPr defaultColWidth="9.140625" defaultRowHeight="12.75"/>
  <cols>
    <col min="1" max="1" width="9.140625" style="281"/>
    <col min="2" max="2" width="19.85546875" style="281" customWidth="1"/>
    <col min="3" max="3" width="13" style="281" customWidth="1"/>
    <col min="4" max="4" width="13.5703125" style="281" customWidth="1"/>
    <col min="5" max="5" width="20.28515625" style="199" customWidth="1"/>
    <col min="6" max="6" width="13.5703125" style="199" customWidth="1"/>
    <col min="7" max="7" width="43.85546875" style="281" customWidth="1"/>
    <col min="8" max="11" width="9.140625" style="281"/>
    <col min="12" max="14" width="9.140625" style="640"/>
    <col min="15" max="16384" width="9.140625" style="281"/>
  </cols>
  <sheetData>
    <row r="1" spans="2:5" ht="30" hidden="1" customHeight="1">
      <c r="B1" s="152" t="s">
        <v>199</v>
      </c>
      <c r="C1" s="152" t="s">
        <v>203</v>
      </c>
      <c r="D1" s="152" t="s">
        <v>86</v>
      </c>
      <c r="E1" s="152" t="s">
        <v>200</v>
      </c>
    </row>
    <row r="2" spans="2:5" ht="30" hidden="1" customHeight="1">
      <c r="B2" s="153" t="s">
        <v>122</v>
      </c>
      <c r="C2" s="236">
        <v>4186.2000000000016</v>
      </c>
      <c r="D2" s="237">
        <v>0.11849926967627977</v>
      </c>
      <c r="E2" s="566" t="s">
        <v>206</v>
      </c>
    </row>
    <row r="3" spans="2:5" ht="30" hidden="1" customHeight="1">
      <c r="B3" s="153" t="s">
        <v>123</v>
      </c>
      <c r="C3" s="236">
        <v>-2887</v>
      </c>
      <c r="D3" s="237">
        <v>-0.86076326774001188</v>
      </c>
      <c r="E3" s="566" t="s">
        <v>207</v>
      </c>
    </row>
    <row r="4" spans="2:5" ht="30" hidden="1" customHeight="1">
      <c r="B4" s="153" t="s">
        <v>201</v>
      </c>
      <c r="C4" s="236">
        <v>3478.5</v>
      </c>
      <c r="D4" s="237">
        <v>1.9775440591245026</v>
      </c>
      <c r="E4" s="566" t="s">
        <v>202</v>
      </c>
    </row>
    <row r="5" spans="2:5" ht="30" hidden="1" customHeight="1">
      <c r="B5" s="153" t="s">
        <v>124</v>
      </c>
      <c r="C5" s="236">
        <v>41402.5</v>
      </c>
      <c r="D5" s="237">
        <v>9.3123031938821406</v>
      </c>
      <c r="E5" s="566" t="s">
        <v>202</v>
      </c>
    </row>
    <row r="6" spans="2:5" ht="30" hidden="1" customHeight="1">
      <c r="B6" s="153" t="s">
        <v>125</v>
      </c>
      <c r="C6" s="236">
        <v>0</v>
      </c>
      <c r="D6" s="237">
        <v>0</v>
      </c>
      <c r="E6" s="566"/>
    </row>
    <row r="7" spans="2:5" ht="30" hidden="1" customHeight="1">
      <c r="B7" s="153" t="s">
        <v>126</v>
      </c>
      <c r="C7" s="236">
        <v>1267</v>
      </c>
      <c r="D7" s="237">
        <v>4.4770318021201412</v>
      </c>
      <c r="E7" s="566" t="s">
        <v>202</v>
      </c>
    </row>
    <row r="8" spans="2:5" hidden="1"/>
    <row r="9" spans="2:5" ht="30" hidden="1" customHeight="1">
      <c r="B9" s="152" t="s">
        <v>199</v>
      </c>
      <c r="C9" s="152" t="s">
        <v>391</v>
      </c>
      <c r="D9" s="152" t="s">
        <v>86</v>
      </c>
      <c r="E9" s="351" t="s">
        <v>200</v>
      </c>
    </row>
    <row r="10" spans="2:5" ht="20.25" hidden="1" customHeight="1">
      <c r="B10" s="1422" t="s">
        <v>122</v>
      </c>
      <c r="C10" s="354">
        <v>-7837.9000000000015</v>
      </c>
      <c r="D10" s="472">
        <v>-0.22161744913308529</v>
      </c>
      <c r="E10" s="567" t="s">
        <v>392</v>
      </c>
    </row>
    <row r="11" spans="2:5" ht="20.25" hidden="1" customHeight="1">
      <c r="B11" s="1423"/>
      <c r="C11" s="355"/>
      <c r="D11" s="473"/>
      <c r="E11" s="567" t="s">
        <v>319</v>
      </c>
    </row>
    <row r="12" spans="2:5" ht="20.25" hidden="1" customHeight="1">
      <c r="B12" s="1422" t="s">
        <v>123</v>
      </c>
      <c r="C12" s="354">
        <v>3842</v>
      </c>
      <c r="D12" s="472">
        <v>6.4033333333333333</v>
      </c>
      <c r="E12" s="567" t="s">
        <v>393</v>
      </c>
    </row>
    <row r="13" spans="2:5" ht="20.25" hidden="1" customHeight="1">
      <c r="B13" s="1423"/>
      <c r="C13" s="355"/>
      <c r="D13" s="473"/>
      <c r="E13" s="567" t="s">
        <v>394</v>
      </c>
    </row>
    <row r="14" spans="2:5" ht="20.25" hidden="1" customHeight="1">
      <c r="B14" s="1422" t="s">
        <v>201</v>
      </c>
      <c r="C14" s="354">
        <v>-2045.8</v>
      </c>
      <c r="D14" s="472">
        <v>-0.71232590529247908</v>
      </c>
      <c r="E14" s="567" t="s">
        <v>392</v>
      </c>
    </row>
    <row r="15" spans="2:5" ht="20.25" hidden="1" customHeight="1">
      <c r="B15" s="1423"/>
      <c r="C15" s="355"/>
      <c r="D15" s="474"/>
      <c r="E15" s="567" t="s">
        <v>320</v>
      </c>
    </row>
    <row r="16" spans="2:5" ht="20.25" hidden="1" customHeight="1">
      <c r="B16" s="1422" t="s">
        <v>124</v>
      </c>
      <c r="C16" s="354">
        <v>-12945</v>
      </c>
      <c r="D16" s="472">
        <v>-0.19960833898723246</v>
      </c>
      <c r="E16" s="567" t="s">
        <v>392</v>
      </c>
    </row>
    <row r="17" spans="1:14" ht="20.25" hidden="1" customHeight="1">
      <c r="B17" s="1423"/>
      <c r="C17" s="355"/>
      <c r="D17" s="474"/>
      <c r="E17" s="567" t="s">
        <v>321</v>
      </c>
    </row>
    <row r="18" spans="1:14" ht="20.25" hidden="1" customHeight="1">
      <c r="B18" s="1422" t="s">
        <v>125</v>
      </c>
      <c r="C18" s="354">
        <v>1152</v>
      </c>
      <c r="D18" s="472">
        <v>33.882352941176471</v>
      </c>
      <c r="E18" s="567" t="s">
        <v>396</v>
      </c>
    </row>
    <row r="19" spans="1:14" ht="20.25" hidden="1" customHeight="1">
      <c r="B19" s="1423"/>
      <c r="C19" s="355"/>
      <c r="D19" s="474"/>
      <c r="E19" s="567" t="s">
        <v>322</v>
      </c>
    </row>
    <row r="20" spans="1:14" ht="20.25" hidden="1" customHeight="1">
      <c r="B20" s="1422" t="s">
        <v>126</v>
      </c>
      <c r="C20" s="354">
        <v>-251</v>
      </c>
      <c r="D20" s="472">
        <v>-0.47809523809523807</v>
      </c>
      <c r="E20" s="567" t="s">
        <v>395</v>
      </c>
    </row>
    <row r="21" spans="1:14" ht="20.25" hidden="1" customHeight="1">
      <c r="B21" s="1423"/>
      <c r="C21" s="355"/>
      <c r="D21" s="356"/>
      <c r="E21" s="568" t="s">
        <v>323</v>
      </c>
    </row>
    <row r="22" spans="1:14" ht="15" hidden="1" customHeight="1">
      <c r="B22" s="153" t="s">
        <v>173</v>
      </c>
      <c r="C22" s="352">
        <v>-254.5</v>
      </c>
      <c r="D22" s="353">
        <v>-1</v>
      </c>
      <c r="E22" s="566" t="s">
        <v>305</v>
      </c>
    </row>
    <row r="23" spans="1:14" hidden="1"/>
    <row r="25" spans="1:14" s="565" customFormat="1" ht="40.5" customHeight="1">
      <c r="B25" s="557" t="s">
        <v>199</v>
      </c>
      <c r="C25" s="988" t="s">
        <v>66</v>
      </c>
      <c r="D25" s="987" t="s">
        <v>65</v>
      </c>
      <c r="E25" s="557" t="str">
        <f>"Amount  "&amp;C25&amp;" ~ "&amp;D25</f>
        <v>Amount  Apr ~ Mar</v>
      </c>
      <c r="F25" s="557" t="s">
        <v>86</v>
      </c>
      <c r="G25" s="557" t="s">
        <v>301</v>
      </c>
      <c r="L25" s="641"/>
      <c r="M25" s="641"/>
      <c r="N25" s="641"/>
    </row>
    <row r="26" spans="1:14" s="556" customFormat="1" ht="51.75" customHeight="1">
      <c r="A26" s="558"/>
      <c r="B26" s="153" t="s">
        <v>315</v>
      </c>
      <c r="C26" s="236">
        <v>28967.600000000009</v>
      </c>
      <c r="D26" s="236">
        <v>31007.899999999991</v>
      </c>
      <c r="E26" s="569">
        <f>+C26-D26</f>
        <v>-2040.2999999999811</v>
      </c>
      <c r="F26" s="660">
        <f>+E26/D26</f>
        <v>-6.5799360808051557E-2</v>
      </c>
      <c r="G26" s="600" t="s">
        <v>5918</v>
      </c>
      <c r="L26" s="642"/>
      <c r="M26" s="642"/>
      <c r="N26" s="642"/>
    </row>
    <row r="27" spans="1:14" s="556" customFormat="1" ht="63.75" customHeight="1">
      <c r="A27" s="558"/>
      <c r="B27" s="153" t="s">
        <v>316</v>
      </c>
      <c r="C27" s="236">
        <v>2981</v>
      </c>
      <c r="D27" s="236">
        <v>87</v>
      </c>
      <c r="E27" s="569">
        <f t="shared" ref="E27:E33" si="0">+C27-D27</f>
        <v>2894</v>
      </c>
      <c r="F27" s="660">
        <f t="shared" ref="F27:F32" si="1">+E27/D27</f>
        <v>33.264367816091955</v>
      </c>
      <c r="G27" s="600" t="s">
        <v>5919</v>
      </c>
      <c r="J27" s="556" t="s">
        <v>656</v>
      </c>
      <c r="L27" s="642"/>
      <c r="M27" s="642"/>
      <c r="N27" s="642"/>
    </row>
    <row r="28" spans="1:14" s="556" customFormat="1" ht="35.25" hidden="1" customHeight="1">
      <c r="A28" s="558"/>
      <c r="B28" s="153" t="s">
        <v>317</v>
      </c>
      <c r="C28" s="236"/>
      <c r="D28" s="236"/>
      <c r="E28" s="569">
        <f t="shared" si="0"/>
        <v>0</v>
      </c>
      <c r="F28" s="660"/>
      <c r="G28" s="600" t="s">
        <v>741</v>
      </c>
      <c r="L28" s="642"/>
      <c r="M28" s="642"/>
      <c r="N28" s="642"/>
    </row>
    <row r="29" spans="1:14" s="556" customFormat="1" ht="37.5" customHeight="1">
      <c r="A29" s="558"/>
      <c r="B29" s="600" t="s">
        <v>318</v>
      </c>
      <c r="C29" s="236">
        <v>4497</v>
      </c>
      <c r="D29" s="236">
        <v>4387</v>
      </c>
      <c r="E29" s="569">
        <f t="shared" si="0"/>
        <v>110</v>
      </c>
      <c r="F29" s="660">
        <f t="shared" si="1"/>
        <v>2.5074082516526101E-2</v>
      </c>
      <c r="G29" s="600" t="s">
        <v>779</v>
      </c>
      <c r="L29" s="642"/>
      <c r="M29" s="642"/>
      <c r="N29" s="642"/>
    </row>
    <row r="30" spans="1:14" s="556" customFormat="1" ht="52.5" customHeight="1">
      <c r="A30" s="558"/>
      <c r="B30" s="153" t="s">
        <v>124</v>
      </c>
      <c r="C30" s="236">
        <v>46478.5</v>
      </c>
      <c r="D30" s="236">
        <v>46222.5</v>
      </c>
      <c r="E30" s="569">
        <f t="shared" si="0"/>
        <v>256</v>
      </c>
      <c r="F30" s="660">
        <f t="shared" si="1"/>
        <v>5.538428254637893E-3</v>
      </c>
      <c r="G30" s="600" t="s">
        <v>5920</v>
      </c>
      <c r="K30" s="600" t="s">
        <v>5714</v>
      </c>
      <c r="L30" s="642"/>
      <c r="M30" s="642"/>
      <c r="N30" s="642"/>
    </row>
    <row r="31" spans="1:14" s="556" customFormat="1" ht="37.5" customHeight="1">
      <c r="A31" s="558"/>
      <c r="B31" s="153" t="s">
        <v>125</v>
      </c>
      <c r="C31" s="236">
        <v>568</v>
      </c>
      <c r="D31" s="236">
        <v>199.5</v>
      </c>
      <c r="E31" s="569">
        <f t="shared" si="0"/>
        <v>368.5</v>
      </c>
      <c r="F31" s="660">
        <f t="shared" si="1"/>
        <v>1.8471177944862156</v>
      </c>
      <c r="G31" s="600" t="s">
        <v>775</v>
      </c>
      <c r="L31" s="642"/>
      <c r="M31" s="642"/>
      <c r="N31" s="642"/>
    </row>
    <row r="32" spans="1:14" s="556" customFormat="1" ht="37.5" customHeight="1">
      <c r="A32" s="558"/>
      <c r="B32" s="153" t="s">
        <v>126</v>
      </c>
      <c r="C32" s="236">
        <v>423</v>
      </c>
      <c r="D32" s="236">
        <v>506.5</v>
      </c>
      <c r="E32" s="569">
        <f t="shared" si="0"/>
        <v>-83.5</v>
      </c>
      <c r="F32" s="660">
        <f t="shared" si="1"/>
        <v>-0.16485686080947681</v>
      </c>
      <c r="G32" s="600" t="s">
        <v>780</v>
      </c>
      <c r="L32" s="642"/>
      <c r="M32" s="642"/>
      <c r="N32" s="642"/>
    </row>
    <row r="33" spans="1:14" s="556" customFormat="1" ht="35.25" hidden="1" customHeight="1">
      <c r="A33" s="558"/>
      <c r="B33" s="153" t="s">
        <v>172</v>
      </c>
      <c r="C33" s="236">
        <v>0</v>
      </c>
      <c r="D33" s="236"/>
      <c r="E33" s="569">
        <f t="shared" si="0"/>
        <v>0</v>
      </c>
      <c r="F33" s="660"/>
      <c r="G33" s="153"/>
      <c r="L33" s="642"/>
      <c r="M33" s="642"/>
      <c r="N33" s="642"/>
    </row>
    <row r="34" spans="1:14" s="556" customFormat="1" ht="35.25" hidden="1" customHeight="1">
      <c r="A34" s="558"/>
      <c r="B34" s="153" t="s">
        <v>173</v>
      </c>
      <c r="C34" s="236">
        <v>136</v>
      </c>
      <c r="D34" s="236">
        <v>0</v>
      </c>
      <c r="E34" s="569">
        <f t="shared" ref="E34" si="2">+C34-D34</f>
        <v>136</v>
      </c>
      <c r="F34" s="570"/>
      <c r="G34" s="153"/>
      <c r="L34" s="642"/>
      <c r="M34" s="642"/>
      <c r="N34" s="642"/>
    </row>
  </sheetData>
  <mergeCells count="6">
    <mergeCell ref="B20:B21"/>
    <mergeCell ref="B10:B11"/>
    <mergeCell ref="B12:B13"/>
    <mergeCell ref="B14:B15"/>
    <mergeCell ref="B16:B17"/>
    <mergeCell ref="B18:B19"/>
  </mergeCells>
  <phoneticPr fontId="6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P133"/>
  <sheetViews>
    <sheetView zoomScaleNormal="100" zoomScaleSheetLayoutView="80" workbookViewId="0">
      <pane xSplit="3" ySplit="6" topLeftCell="D105" activePane="bottomRight" state="frozen"/>
      <selection pane="topRight" activeCell="D1" sqref="D1"/>
      <selection pane="bottomLeft" activeCell="A7" sqref="A7"/>
      <selection pane="bottomRight" activeCell="G119" sqref="G119"/>
    </sheetView>
  </sheetViews>
  <sheetFormatPr defaultColWidth="9.140625" defaultRowHeight="18"/>
  <cols>
    <col min="1" max="1" width="10.5703125" style="19" customWidth="1"/>
    <col min="2" max="2" width="14.42578125" style="127" customWidth="1"/>
    <col min="3" max="3" width="29.5703125" style="19" customWidth="1"/>
    <col min="4" max="4" width="19.140625" style="19" customWidth="1"/>
    <col min="5" max="5" width="12" style="19" customWidth="1"/>
    <col min="6" max="6" width="23.28515625" style="17" customWidth="1"/>
    <col min="7" max="7" width="19.28515625" style="17" customWidth="1"/>
    <col min="8" max="8" width="17.28515625" style="17" customWidth="1"/>
    <col min="9" max="9" width="17.7109375" style="17" customWidth="1"/>
    <col min="10" max="10" width="15.42578125" style="17" customWidth="1"/>
    <col min="11" max="11" width="19.140625" style="17" customWidth="1"/>
    <col min="12" max="12" width="20.5703125" style="857" customWidth="1"/>
    <col min="13" max="13" width="20.5703125" style="17" hidden="1" customWidth="1"/>
    <col min="14" max="14" width="16.85546875" style="18" bestFit="1" customWidth="1"/>
    <col min="15" max="15" width="9.140625" style="18"/>
    <col min="16" max="16" width="10" style="18" bestFit="1" customWidth="1"/>
    <col min="17" max="16384" width="9.140625" style="18"/>
  </cols>
  <sheetData>
    <row r="1" spans="1:13" s="15" customFormat="1">
      <c r="A1" s="126" t="s">
        <v>25</v>
      </c>
      <c r="B1" s="126"/>
      <c r="C1" s="29"/>
      <c r="D1" s="29"/>
      <c r="E1" s="29"/>
      <c r="F1" s="16"/>
      <c r="G1" s="17"/>
      <c r="H1" s="16"/>
      <c r="I1" s="16"/>
      <c r="J1" s="16"/>
      <c r="K1" s="16"/>
      <c r="L1" s="856"/>
      <c r="M1" s="16"/>
    </row>
    <row r="2" spans="1:13" ht="4.5" customHeight="1"/>
    <row r="3" spans="1:13" s="20" customFormat="1" ht="31.5" customHeight="1">
      <c r="A3" s="1424" t="s">
        <v>5719</v>
      </c>
      <c r="B3" s="1424"/>
      <c r="C3" s="1424"/>
      <c r="D3" s="1424"/>
      <c r="E3" s="1424"/>
      <c r="F3" s="1424"/>
      <c r="G3" s="1424"/>
      <c r="H3" s="1424"/>
      <c r="I3" s="1424"/>
      <c r="J3" s="1424"/>
      <c r="K3" s="1424"/>
      <c r="L3" s="1425"/>
      <c r="M3" s="27"/>
    </row>
    <row r="4" spans="1:13" s="20" customFormat="1" ht="27" customHeight="1">
      <c r="A4" s="1426" t="s">
        <v>5720</v>
      </c>
      <c r="B4" s="1426"/>
      <c r="C4" s="1426"/>
      <c r="D4" s="1426"/>
      <c r="E4" s="1426"/>
      <c r="F4" s="1426"/>
      <c r="G4" s="1426"/>
      <c r="H4" s="1426"/>
      <c r="I4" s="1426"/>
      <c r="J4" s="1426"/>
      <c r="K4" s="1426"/>
      <c r="L4" s="1427"/>
      <c r="M4" s="27"/>
    </row>
    <row r="5" spans="1:13" ht="21.75" customHeight="1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858"/>
      <c r="M5" s="80"/>
    </row>
    <row r="6" spans="1:13" s="21" customFormat="1" ht="73.5" customHeight="1">
      <c r="A6" s="1401">
        <v>0.5444444444444444</v>
      </c>
      <c r="B6" s="509" t="s">
        <v>215</v>
      </c>
      <c r="C6" s="509" t="s">
        <v>205</v>
      </c>
      <c r="D6" s="509" t="s">
        <v>270</v>
      </c>
      <c r="E6" s="509" t="s">
        <v>36</v>
      </c>
      <c r="F6" s="509" t="s">
        <v>227</v>
      </c>
      <c r="G6" s="509" t="s">
        <v>21</v>
      </c>
      <c r="H6" s="509" t="s">
        <v>19</v>
      </c>
      <c r="I6" s="509" t="s">
        <v>119</v>
      </c>
      <c r="J6" s="509" t="s">
        <v>116</v>
      </c>
      <c r="K6" s="509" t="s">
        <v>510</v>
      </c>
      <c r="L6" s="859" t="s">
        <v>228</v>
      </c>
      <c r="M6" s="510" t="s">
        <v>373</v>
      </c>
    </row>
    <row r="7" spans="1:13" s="22" customFormat="1" ht="26.25" customHeight="1">
      <c r="A7" s="505">
        <f>SUBTOTAL(3,B$7:B7)</f>
        <v>1</v>
      </c>
      <c r="B7" s="506" t="s">
        <v>438</v>
      </c>
      <c r="C7" s="506" t="s">
        <v>438</v>
      </c>
      <c r="D7" s="507"/>
      <c r="E7" s="508">
        <v>3</v>
      </c>
      <c r="F7" s="463">
        <f>+'Foreign Salary'!L11</f>
        <v>686964617</v>
      </c>
      <c r="G7" s="463">
        <f>+'Foreign Salary'!M11</f>
        <v>13338000</v>
      </c>
      <c r="H7" s="463">
        <v>0</v>
      </c>
      <c r="I7" s="463">
        <f>+'Foreign Salary'!P11</f>
        <v>193129316</v>
      </c>
      <c r="J7" s="463">
        <v>0</v>
      </c>
      <c r="K7" s="463">
        <v>0</v>
      </c>
      <c r="L7" s="460">
        <f t="shared" ref="L7:L39" si="0">+(F7)-SUM(G7:K7)</f>
        <v>480497301</v>
      </c>
      <c r="M7" s="459">
        <f t="shared" ref="M7:M39" si="1">+L7/E7</f>
        <v>160165767</v>
      </c>
    </row>
    <row r="8" spans="1:13" s="22" customFormat="1" ht="26.25" customHeight="1">
      <c r="A8" s="464">
        <f>SUBTOTAL(3,B$7:B8)</f>
        <v>2</v>
      </c>
      <c r="B8" s="465" t="s">
        <v>221</v>
      </c>
      <c r="C8" s="466" t="s">
        <v>241</v>
      </c>
      <c r="D8" s="467" t="s">
        <v>701</v>
      </c>
      <c r="E8" s="468">
        <f>COUNTIFS('Salary sheet'!$F$6:$F$2288,C8,'Salary sheet'!$E$6:$E$2288,B8)</f>
        <v>4</v>
      </c>
      <c r="F8" s="460">
        <f>+SUMIFS('Salary sheet'!$AN$6:$AN$1292,'Salary sheet'!$F$6:$F$1292,'TOTAL(payment)'!C8,'Salary sheet'!$E$6:$E$1292,'TOTAL(payment)'!B8)</f>
        <v>38438407</v>
      </c>
      <c r="G8" s="460">
        <f>+SUMIFS('Salary sheet'!$AO$6:$AO$2288,'Salary sheet'!$F$6:$F$2288,C8,'Salary sheet'!$E$6:$E$2288,B8)</f>
        <v>2962470</v>
      </c>
      <c r="H8" s="460">
        <f>+SUMIFS('Salary sheet'!$AP$6:$AP$2288,'Salary sheet'!$F$6:$F$2288,C8,'Salary sheet'!$E$6:$E$2288,B8)</f>
        <v>176400</v>
      </c>
      <c r="I8" s="460">
        <f>+SUMIFS('Salary sheet'!$AQ$6:$AQ$2288,'Salary sheet'!$F$6:$F$2288,C8,'Salary sheet'!$E$6:$E$2288,B8)</f>
        <v>0</v>
      </c>
      <c r="J8" s="460">
        <f>+SUMIFS('Salary sheet'!$AR$6:$AR$2288,'Salary sheet'!$F$6:$F$2288,C8,'Salary sheet'!$E$6:$E$2288,B8)</f>
        <v>0</v>
      </c>
      <c r="K8" s="460">
        <f>SUMIFS('Salary sheet'!$AS$6:$AS$1291,'Salary sheet'!$F$6:$F$1291,'TOTAL(payment)'!C8)</f>
        <v>0</v>
      </c>
      <c r="L8" s="460">
        <f t="shared" si="0"/>
        <v>35299537</v>
      </c>
      <c r="M8" s="459">
        <f t="shared" si="1"/>
        <v>8824884.25</v>
      </c>
    </row>
    <row r="9" spans="1:13" s="22" customFormat="1" ht="26.25" customHeight="1">
      <c r="A9" s="464">
        <f>SUBTOTAL(3,B$7:B9)</f>
        <v>3</v>
      </c>
      <c r="B9" s="465" t="s">
        <v>221</v>
      </c>
      <c r="C9" s="466" t="s">
        <v>242</v>
      </c>
      <c r="D9" s="467" t="s">
        <v>582</v>
      </c>
      <c r="E9" s="468">
        <f>COUNTIFS('Salary sheet'!$F$6:$F$2288,C9,'Salary sheet'!$E$6:$E$2288,B9)</f>
        <v>4</v>
      </c>
      <c r="F9" s="460">
        <f>+SUMIFS('Salary sheet'!$AN$6:$AN$1292,'Salary sheet'!$F$6:$F$1292,'TOTAL(payment)'!C9,'Salary sheet'!$E$6:$E$1292,'TOTAL(payment)'!B9)</f>
        <v>70351442</v>
      </c>
      <c r="G9" s="460">
        <f>+SUMIFS('Salary sheet'!$AO$6:$AO$2288,'Salary sheet'!$F$6:$F$2288,C9,'Salary sheet'!$E$6:$E$2288,B9)</f>
        <v>7350000</v>
      </c>
      <c r="H9" s="460">
        <f>+SUMIFS('Salary sheet'!$AP$6:$AP$2288,'Salary sheet'!$F$6:$F$2288,C9,'Salary sheet'!$E$6:$E$2288,B9)</f>
        <v>176400</v>
      </c>
      <c r="I9" s="460">
        <f>+SUMIFS('Salary sheet'!$AQ$6:$AQ$2288,'Salary sheet'!$F$6:$F$2288,C9,'Salary sheet'!$E$6:$E$2288,B9)</f>
        <v>364524</v>
      </c>
      <c r="J9" s="460">
        <f>+SUMIFS('Salary sheet'!$AR$6:$AR$2288,'Salary sheet'!$F$6:$F$2288,C9,'Salary sheet'!$E$6:$E$2288,B9)</f>
        <v>0</v>
      </c>
      <c r="K9" s="460">
        <f>SUMIFS('Salary sheet'!$AS$6:$AS$1291,'Salary sheet'!$F$6:$F$1291,'TOTAL(payment)'!C9)</f>
        <v>0</v>
      </c>
      <c r="L9" s="460">
        <f t="shared" si="0"/>
        <v>62460518</v>
      </c>
      <c r="M9" s="459">
        <f t="shared" si="1"/>
        <v>15615129.5</v>
      </c>
    </row>
    <row r="10" spans="1:13" s="22" customFormat="1" ht="26.25" customHeight="1">
      <c r="A10" s="464">
        <f>SUBTOTAL(3,B$7:B10)</f>
        <v>4</v>
      </c>
      <c r="B10" s="465" t="s">
        <v>221</v>
      </c>
      <c r="C10" s="466" t="s">
        <v>243</v>
      </c>
      <c r="D10" s="467" t="s">
        <v>583</v>
      </c>
      <c r="E10" s="468">
        <f>COUNTIFS('Salary sheet'!$F$6:$F$2288,C10,'Salary sheet'!$E$6:$E$2288,B10)</f>
        <v>13</v>
      </c>
      <c r="F10" s="460">
        <f>+SUMIFS('Salary sheet'!$AN$6:$AN$1292,'Salary sheet'!$F$6:$F$1292,'TOTAL(payment)'!C10,'Salary sheet'!$E$6:$E$1292,'TOTAL(payment)'!B10)</f>
        <v>207934161</v>
      </c>
      <c r="G10" s="460">
        <f>+SUMIFS('Salary sheet'!$AO$6:$AO$2288,'Salary sheet'!$F$6:$F$2288,C10,'Salary sheet'!$E$6:$E$2288,B10)</f>
        <v>12238905</v>
      </c>
      <c r="H10" s="460">
        <f>+SUMIFS('Salary sheet'!$AP$6:$AP$2288,'Salary sheet'!$F$6:$F$2288,C10,'Salary sheet'!$E$6:$E$2288,B10)</f>
        <v>573300</v>
      </c>
      <c r="I10" s="460">
        <f>+SUMIFS('Salary sheet'!$AQ$6:$AQ$2288,'Salary sheet'!$F$6:$F$2288,C10,'Salary sheet'!$E$6:$E$2288,B10)</f>
        <v>428727</v>
      </c>
      <c r="J10" s="460">
        <f>+SUMIFS('Salary sheet'!$AR$6:$AR$2288,'Salary sheet'!$F$6:$F$2288,C10,'Salary sheet'!$E$6:$E$2288,B10)</f>
        <v>0</v>
      </c>
      <c r="K10" s="460">
        <f>SUMIFS('Salary sheet'!$AS$6:$AS$1291,'Salary sheet'!$F$6:$F$1291,'TOTAL(payment)'!C10)</f>
        <v>0</v>
      </c>
      <c r="L10" s="460">
        <f t="shared" si="0"/>
        <v>194693229</v>
      </c>
      <c r="M10" s="459">
        <f t="shared" si="1"/>
        <v>14976402.23076923</v>
      </c>
    </row>
    <row r="11" spans="1:13" s="22" customFormat="1" ht="26.25" customHeight="1">
      <c r="A11" s="464">
        <f>SUBTOTAL(3,B$7:B11)</f>
        <v>5</v>
      </c>
      <c r="B11" s="465" t="s">
        <v>221</v>
      </c>
      <c r="C11" s="466" t="s">
        <v>244</v>
      </c>
      <c r="D11" s="467" t="s">
        <v>584</v>
      </c>
      <c r="E11" s="468">
        <f>COUNTIFS('Salary sheet'!$F$6:$F$2288,C11,'Salary sheet'!$E$6:$E$2288,B11)</f>
        <v>3</v>
      </c>
      <c r="F11" s="460">
        <f>+SUMIFS('Salary sheet'!$AN$6:$AN$1292,'Salary sheet'!$F$6:$F$1292,'TOTAL(payment)'!C11,'Salary sheet'!$E$6:$E$1292,'TOTAL(payment)'!B11)</f>
        <v>34202056</v>
      </c>
      <c r="G11" s="460">
        <f>+SUMIFS('Salary sheet'!$AO$6:$AO$2288,'Salary sheet'!$F$6:$F$2288,C11,'Salary sheet'!$E$6:$E$2288,B11)</f>
        <v>2592345</v>
      </c>
      <c r="H11" s="460">
        <f>+SUMIFS('Salary sheet'!$AP$6:$AP$2288,'Salary sheet'!$F$6:$F$2288,C11,'Salary sheet'!$E$6:$E$2288,B11)</f>
        <v>132300</v>
      </c>
      <c r="I11" s="460">
        <f>+SUMIFS('Salary sheet'!$AQ$6:$AQ$2288,'Salary sheet'!$F$6:$F$2288,C11,'Salary sheet'!$E$6:$E$2288,B11)</f>
        <v>0</v>
      </c>
      <c r="J11" s="460">
        <f>+SUMIFS('Salary sheet'!$AR$6:$AR$2288,'Salary sheet'!$F$6:$F$2288,C11,'Salary sheet'!$E$6:$E$2288,B11)</f>
        <v>0</v>
      </c>
      <c r="K11" s="460">
        <f>SUMIFS('Salary sheet'!$AS$6:$AS$1291,'Salary sheet'!$F$6:$F$1291,'TOTAL(payment)'!C11)</f>
        <v>0</v>
      </c>
      <c r="L11" s="460">
        <f t="shared" si="0"/>
        <v>31477411</v>
      </c>
      <c r="M11" s="459">
        <f t="shared" si="1"/>
        <v>10492470.333333334</v>
      </c>
    </row>
    <row r="12" spans="1:13" s="22" customFormat="1" ht="26.25" customHeight="1">
      <c r="A12" s="464">
        <f>SUBTOTAL(3,B$7:B12)</f>
        <v>6</v>
      </c>
      <c r="B12" s="465" t="s">
        <v>221</v>
      </c>
      <c r="C12" s="466" t="s">
        <v>546</v>
      </c>
      <c r="D12" s="467" t="s">
        <v>585</v>
      </c>
      <c r="E12" s="468">
        <f>COUNTIFS('Salary sheet'!$F$6:$F$2288,C12,'Salary sheet'!$E$6:$E$2288,B12)</f>
        <v>3</v>
      </c>
      <c r="F12" s="460">
        <f>+SUMIFS('Salary sheet'!$AN$6:$AN$1292,'Salary sheet'!$F$6:$F$1292,'TOTAL(payment)'!C12,'Salary sheet'!$E$6:$E$1292,'TOTAL(payment)'!B12)</f>
        <v>36890624</v>
      </c>
      <c r="G12" s="460">
        <f>+SUMIFS('Salary sheet'!$AO$6:$AO$2288,'Salary sheet'!$F$6:$F$2288,C12,'Salary sheet'!$E$6:$E$2288,B12)</f>
        <v>3727500</v>
      </c>
      <c r="H12" s="460">
        <f>+SUMIFS('Salary sheet'!$AP$6:$AP$2288,'Salary sheet'!$F$6:$F$2288,C12,'Salary sheet'!$E$6:$E$2288,B12)</f>
        <v>132300</v>
      </c>
      <c r="I12" s="460">
        <f>+SUMIFS('Salary sheet'!$AQ$6:$AQ$2288,'Salary sheet'!$F$6:$F$2288,C12,'Salary sheet'!$E$6:$E$2288,B12)</f>
        <v>0</v>
      </c>
      <c r="J12" s="460">
        <f>+SUMIFS('Salary sheet'!$AR$6:$AR$2288,'Salary sheet'!$F$6:$F$2288,C12,'Salary sheet'!$E$6:$E$2288,B12)</f>
        <v>0</v>
      </c>
      <c r="K12" s="460">
        <f>SUMIFS('Salary sheet'!$AS$6:$AS$1291,'Salary sheet'!$F$6:$F$1291,'TOTAL(payment)'!C12)</f>
        <v>0</v>
      </c>
      <c r="L12" s="460">
        <f t="shared" si="0"/>
        <v>33030824</v>
      </c>
      <c r="M12" s="459">
        <f t="shared" si="1"/>
        <v>11010274.666666666</v>
      </c>
    </row>
    <row r="13" spans="1:13" s="22" customFormat="1" ht="26.25" customHeight="1">
      <c r="A13" s="464">
        <f>SUBTOTAL(3,B$7:B13)</f>
        <v>7</v>
      </c>
      <c r="B13" s="465" t="s">
        <v>221</v>
      </c>
      <c r="C13" s="466" t="s">
        <v>531</v>
      </c>
      <c r="D13" s="467" t="s">
        <v>586</v>
      </c>
      <c r="E13" s="468">
        <f>COUNTIFS('Salary sheet'!$F$6:$F$2288,C13,'Salary sheet'!$E$6:$E$2288,B13)</f>
        <v>10</v>
      </c>
      <c r="F13" s="460">
        <f>+SUMIFS('Salary sheet'!$AN$6:$AN$1292,'Salary sheet'!$F$6:$F$1292,'TOTAL(payment)'!C13,'Salary sheet'!$E$6:$E$1292,'TOTAL(payment)'!B13)</f>
        <v>139072979</v>
      </c>
      <c r="G13" s="460">
        <f>+SUMIFS('Salary sheet'!$AO$6:$AO$2288,'Salary sheet'!$F$6:$F$2288,C13,'Salary sheet'!$E$6:$E$2288,B13)</f>
        <v>11025420</v>
      </c>
      <c r="H13" s="460">
        <f>+SUMIFS('Salary sheet'!$AP$6:$AP$2288,'Salary sheet'!$F$6:$F$2288,C13,'Salary sheet'!$E$6:$E$2288,B13)</f>
        <v>441000</v>
      </c>
      <c r="I13" s="460">
        <f>+SUMIFS('Salary sheet'!$AQ$6:$AQ$2288,'Salary sheet'!$F$6:$F$2288,C13,'Salary sheet'!$E$6:$E$2288,B13)</f>
        <v>170615</v>
      </c>
      <c r="J13" s="460">
        <f>+SUMIFS('Salary sheet'!$AR$6:$AR$2288,'Salary sheet'!$F$6:$F$2288,C13,'Salary sheet'!$E$6:$E$2288,B13)</f>
        <v>0</v>
      </c>
      <c r="K13" s="460">
        <f>SUMIFS('Salary sheet'!$AS$6:$AS$1291,'Salary sheet'!$F$6:$F$1291,'TOTAL(payment)'!C13)</f>
        <v>0</v>
      </c>
      <c r="L13" s="460">
        <f t="shared" si="0"/>
        <v>127435944</v>
      </c>
      <c r="M13" s="459">
        <f t="shared" si="1"/>
        <v>12743594.4</v>
      </c>
    </row>
    <row r="14" spans="1:13" s="22" customFormat="1" ht="26.25" customHeight="1">
      <c r="A14" s="464">
        <f>SUBTOTAL(3,B$7:B14)</f>
        <v>8</v>
      </c>
      <c r="B14" s="465" t="s">
        <v>221</v>
      </c>
      <c r="C14" s="466" t="s">
        <v>532</v>
      </c>
      <c r="D14" s="467" t="s">
        <v>587</v>
      </c>
      <c r="E14" s="468">
        <f>COUNTIFS('Salary sheet'!$F$6:$F$2288,C14,'Salary sheet'!$E$6:$E$2288,B14)</f>
        <v>5</v>
      </c>
      <c r="F14" s="460">
        <f>+SUMIFS('Salary sheet'!$AN$6:$AN$1292,'Salary sheet'!$F$6:$F$1292,'TOTAL(payment)'!C14,'Salary sheet'!$E$6:$E$1292,'TOTAL(payment)'!B14)</f>
        <v>81855000</v>
      </c>
      <c r="G14" s="460">
        <f>+SUMIFS('Salary sheet'!$AO$6:$AO$2288,'Salary sheet'!$F$6:$F$2288,C14,'Salary sheet'!$E$6:$E$2288,B14)</f>
        <v>6744990</v>
      </c>
      <c r="H14" s="460">
        <f>+SUMIFS('Salary sheet'!$AP$6:$AP$2288,'Salary sheet'!$F$6:$F$2288,C14,'Salary sheet'!$E$6:$E$2288,B14)</f>
        <v>220500</v>
      </c>
      <c r="I14" s="460">
        <f>+SUMIFS('Salary sheet'!$AQ$6:$AQ$2288,'Salary sheet'!$F$6:$F$2288,C14,'Salary sheet'!$E$6:$E$2288,B14)</f>
        <v>132102</v>
      </c>
      <c r="J14" s="460">
        <f>+SUMIFS('Salary sheet'!$AR$6:$AR$2288,'Salary sheet'!$F$6:$F$2288,C14,'Salary sheet'!$E$6:$E$2288,B14)</f>
        <v>0</v>
      </c>
      <c r="K14" s="460">
        <f>SUMIFS('Salary sheet'!$AS$6:$AS$1291,'Salary sheet'!$F$6:$F$1291,'TOTAL(payment)'!C14)</f>
        <v>0</v>
      </c>
      <c r="L14" s="460">
        <f t="shared" si="0"/>
        <v>74757408</v>
      </c>
      <c r="M14" s="459">
        <f t="shared" si="1"/>
        <v>14951481.6</v>
      </c>
    </row>
    <row r="15" spans="1:13" s="22" customFormat="1" ht="26.25" customHeight="1">
      <c r="A15" s="464">
        <f>SUBTOTAL(3,B$7:B15)</f>
        <v>9</v>
      </c>
      <c r="B15" s="465" t="s">
        <v>221</v>
      </c>
      <c r="C15" s="466" t="s">
        <v>547</v>
      </c>
      <c r="D15" s="467" t="s">
        <v>588</v>
      </c>
      <c r="E15" s="468">
        <f>COUNTIFS('Salary sheet'!$F$6:$F$2288,C15,'Salary sheet'!$E$6:$E$2288,B15)</f>
        <v>9</v>
      </c>
      <c r="F15" s="460">
        <f>+SUMIFS('Salary sheet'!$AN$6:$AN$1292,'Salary sheet'!$F$6:$F$1292,'TOTAL(payment)'!C15,'Salary sheet'!$E$6:$E$1292,'TOTAL(payment)'!B15)</f>
        <v>160153125</v>
      </c>
      <c r="G15" s="460">
        <f>+SUMIFS('Salary sheet'!$AO$6:$AO$2288,'Salary sheet'!$F$6:$F$2288,C15,'Salary sheet'!$E$6:$E$2288,B15)</f>
        <v>16695000</v>
      </c>
      <c r="H15" s="460">
        <f>+SUMIFS('Salary sheet'!$AP$6:$AP$2288,'Salary sheet'!$F$6:$F$2288,C15,'Salary sheet'!$E$6:$E$2288,B15)</f>
        <v>396900</v>
      </c>
      <c r="I15" s="460">
        <f>+SUMIFS('Salary sheet'!$AQ$6:$AQ$2288,'Salary sheet'!$F$6:$F$2288,C15,'Salary sheet'!$E$6:$E$2288,B15)</f>
        <v>659735</v>
      </c>
      <c r="J15" s="460">
        <f>+SUMIFS('Salary sheet'!$AR$6:$AR$2288,'Salary sheet'!$F$6:$F$2288,C15,'Salary sheet'!$E$6:$E$2288,B15)</f>
        <v>0</v>
      </c>
      <c r="K15" s="460">
        <f>SUMIFS('Salary sheet'!$AS$6:$AS$1291,'Salary sheet'!$F$6:$F$1291,'TOTAL(payment)'!C15)</f>
        <v>0</v>
      </c>
      <c r="L15" s="460">
        <f t="shared" si="0"/>
        <v>142401490</v>
      </c>
      <c r="M15" s="459">
        <f t="shared" si="1"/>
        <v>15822387.777777778</v>
      </c>
    </row>
    <row r="16" spans="1:13" s="22" customFormat="1" ht="26.25" customHeight="1">
      <c r="A16" s="464">
        <f>SUBTOTAL(3,B$7:B16)</f>
        <v>10</v>
      </c>
      <c r="B16" s="465" t="s">
        <v>221</v>
      </c>
      <c r="C16" s="466" t="s">
        <v>245</v>
      </c>
      <c r="D16" s="467" t="s">
        <v>589</v>
      </c>
      <c r="E16" s="468">
        <f>COUNTIFS('Salary sheet'!$F$6:$F$2288,C16,'Salary sheet'!$E$6:$E$2288,B16)</f>
        <v>5</v>
      </c>
      <c r="F16" s="460">
        <f>+SUMIFS('Salary sheet'!$AN$6:$AN$1292,'Salary sheet'!$F$6:$F$1292,'TOTAL(payment)'!C16,'Salary sheet'!$E$6:$E$1292,'TOTAL(payment)'!B16)</f>
        <v>56711533</v>
      </c>
      <c r="G16" s="460">
        <f>+SUMIFS('Salary sheet'!$AO$6:$AO$2288,'Salary sheet'!$F$6:$F$2288,C16,'Salary sheet'!$E$6:$E$2288,B16)</f>
        <v>4168306</v>
      </c>
      <c r="H16" s="460">
        <f>+SUMIFS('Salary sheet'!$AP$6:$AP$2288,'Salary sheet'!$F$6:$F$2288,C16,'Salary sheet'!$E$6:$E$2288,B16)</f>
        <v>132300</v>
      </c>
      <c r="I16" s="460">
        <f>+SUMIFS('Salary sheet'!$AQ$6:$AQ$2288,'Salary sheet'!$F$6:$F$2288,C16,'Salary sheet'!$E$6:$E$2288,B16)</f>
        <v>33447</v>
      </c>
      <c r="J16" s="460">
        <f>+SUMIFS('Salary sheet'!$AR$6:$AR$2288,'Salary sheet'!$F$6:$F$2288,C16,'Salary sheet'!$E$6:$E$2288,B16)</f>
        <v>0</v>
      </c>
      <c r="K16" s="460">
        <f>SUMIFS('Salary sheet'!$AS$6:$AS$1291,'Salary sheet'!$F$6:$F$1291,'TOTAL(payment)'!C16)</f>
        <v>186299</v>
      </c>
      <c r="L16" s="460">
        <f t="shared" si="0"/>
        <v>52191181</v>
      </c>
      <c r="M16" s="459">
        <f t="shared" si="1"/>
        <v>10438236.199999999</v>
      </c>
    </row>
    <row r="17" spans="1:13" s="22" customFormat="1" ht="26.25" customHeight="1">
      <c r="A17" s="464">
        <f>SUBTOTAL(3,B$7:B17)</f>
        <v>11</v>
      </c>
      <c r="B17" s="465" t="s">
        <v>221</v>
      </c>
      <c r="C17" s="466" t="s">
        <v>246</v>
      </c>
      <c r="D17" s="467" t="s">
        <v>590</v>
      </c>
      <c r="E17" s="468">
        <f>COUNTIFS('Salary sheet'!$F$6:$F$2288,C17,'Salary sheet'!$E$6:$E$2288,B17)</f>
        <v>9</v>
      </c>
      <c r="F17" s="460">
        <f>+SUMIFS('Salary sheet'!$AN$6:$AN$1292,'Salary sheet'!$F$6:$F$1292,'TOTAL(payment)'!C17,'Salary sheet'!$E$6:$E$1292,'TOTAL(payment)'!B17)</f>
        <v>104930197</v>
      </c>
      <c r="G17" s="460">
        <f>+SUMIFS('Salary sheet'!$AO$6:$AO$2288,'Salary sheet'!$F$6:$F$2288,C17,'Salary sheet'!$E$6:$E$2288,B17)</f>
        <v>10774995</v>
      </c>
      <c r="H17" s="460">
        <f>+SUMIFS('Salary sheet'!$AP$6:$AP$2288,'Salary sheet'!$F$6:$F$2288,C17,'Salary sheet'!$E$6:$E$2288,B17)</f>
        <v>352800</v>
      </c>
      <c r="I17" s="460">
        <f>+SUMIFS('Salary sheet'!$AQ$6:$AQ$2288,'Salary sheet'!$F$6:$F$2288,C17,'Salary sheet'!$E$6:$E$2288,B17)</f>
        <v>113181</v>
      </c>
      <c r="J17" s="460">
        <f>+SUMIFS('Salary sheet'!$AR$6:$AR$2288,'Salary sheet'!$F$6:$F$2288,C17,'Salary sheet'!$E$6:$E$2288,B17)</f>
        <v>0</v>
      </c>
      <c r="K17" s="460">
        <f>SUMIFS('Salary sheet'!$AS$6:$AS$1291,'Salary sheet'!$F$6:$F$1291,'TOTAL(payment)'!C17)</f>
        <v>0</v>
      </c>
      <c r="L17" s="460">
        <f t="shared" si="0"/>
        <v>93689221</v>
      </c>
      <c r="M17" s="459">
        <f t="shared" si="1"/>
        <v>10409913.444444444</v>
      </c>
    </row>
    <row r="18" spans="1:13" s="22" customFormat="1" ht="26.25" customHeight="1">
      <c r="A18" s="464">
        <f>SUBTOTAL(3,B$7:B18)</f>
        <v>12</v>
      </c>
      <c r="B18" s="465" t="s">
        <v>221</v>
      </c>
      <c r="C18" s="466" t="s">
        <v>397</v>
      </c>
      <c r="D18" s="467" t="s">
        <v>476</v>
      </c>
      <c r="E18" s="468">
        <f>COUNTIFS('Salary sheet'!$F$6:$F$2288,C18,'Salary sheet'!$E$6:$E$2288,B18)</f>
        <v>1</v>
      </c>
      <c r="F18" s="460">
        <f>+SUMIFS('Salary sheet'!$AN$6:$AN$1292,'Salary sheet'!$F$6:$F$1292,'TOTAL(payment)'!C18,'Salary sheet'!$E$6:$E$1292,'TOTAL(payment)'!B18)</f>
        <v>38500000</v>
      </c>
      <c r="G18" s="460">
        <f>+SUMIFS('Salary sheet'!$AO$6:$AO$2288,'Salary sheet'!$F$6:$F$2288,C18,'Salary sheet'!$E$6:$E$2288,B18)</f>
        <v>3969000</v>
      </c>
      <c r="H18" s="460">
        <f>+SUMIFS('Salary sheet'!$AP$6:$AP$2288,'Salary sheet'!$F$6:$F$2288,C18,'Salary sheet'!$E$6:$E$2288,B18)</f>
        <v>44100</v>
      </c>
      <c r="I18" s="460">
        <f>+SUMIFS('Salary sheet'!$AQ$6:$AQ$2288,'Salary sheet'!$F$6:$F$2288,C18,'Salary sheet'!$E$6:$E$2288,B18)</f>
        <v>283100</v>
      </c>
      <c r="J18" s="460">
        <f>+SUMIFS('Salary sheet'!$AR$6:$AR$2288,'Salary sheet'!$F$6:$F$2288,C18,'Salary sheet'!$E$6:$E$2288,B18)</f>
        <v>0</v>
      </c>
      <c r="K18" s="460">
        <f>SUMIFS('Salary sheet'!$AS$6:$AS$1291,'Salary sheet'!$F$6:$F$1291,'TOTAL(payment)'!C18)</f>
        <v>0</v>
      </c>
      <c r="L18" s="460">
        <f t="shared" si="0"/>
        <v>34203800</v>
      </c>
      <c r="M18" s="459">
        <f t="shared" si="1"/>
        <v>34203800</v>
      </c>
    </row>
    <row r="19" spans="1:13" s="22" customFormat="1" ht="26.25" customHeight="1">
      <c r="A19" s="464">
        <f>SUBTOTAL(3,B$7:B19)</f>
        <v>13</v>
      </c>
      <c r="B19" s="465" t="s">
        <v>221</v>
      </c>
      <c r="C19" s="466" t="s">
        <v>548</v>
      </c>
      <c r="D19" s="467" t="s">
        <v>591</v>
      </c>
      <c r="E19" s="468">
        <f>COUNTIFS('Salary sheet'!$F$6:$F$2288,C19,'Salary sheet'!$E$6:$E$2288,B19)</f>
        <v>1</v>
      </c>
      <c r="F19" s="460">
        <f>+SUMIFS('Salary sheet'!$AN$6:$AN$1292,'Salary sheet'!$F$6:$F$1292,'TOTAL(payment)'!C19,'Salary sheet'!$E$6:$E$1292,'TOTAL(payment)'!B19)</f>
        <v>9706348</v>
      </c>
      <c r="G19" s="460">
        <f>+SUMIFS('Salary sheet'!$AO$6:$AO$2288,'Salary sheet'!$F$6:$F$2288,C19,'Salary sheet'!$E$6:$E$2288,B19)</f>
        <v>1012620</v>
      </c>
      <c r="H19" s="460">
        <f>+SUMIFS('Salary sheet'!$AP$6:$AP$2288,'Salary sheet'!$F$6:$F$2288,C19,'Salary sheet'!$E$6:$E$2288,B19)</f>
        <v>44100</v>
      </c>
      <c r="I19" s="460">
        <f>+SUMIFS('Salary sheet'!$AQ$6:$AQ$2288,'Salary sheet'!$F$6:$F$2288,C19,'Salary sheet'!$E$6:$E$2288,B19)</f>
        <v>0</v>
      </c>
      <c r="J19" s="460">
        <f>+SUMIFS('Salary sheet'!$AR$6:$AR$2288,'Salary sheet'!$F$6:$F$2288,C19,'Salary sheet'!$E$6:$E$2288,B19)</f>
        <v>0</v>
      </c>
      <c r="K19" s="460">
        <f>SUMIFS('Salary sheet'!$AS$6:$AS$1291,'Salary sheet'!$F$6:$F$1291,'TOTAL(payment)'!C19)</f>
        <v>0</v>
      </c>
      <c r="L19" s="460">
        <f t="shared" si="0"/>
        <v>8649628</v>
      </c>
      <c r="M19" s="459">
        <f t="shared" si="1"/>
        <v>8649628</v>
      </c>
    </row>
    <row r="20" spans="1:13" s="22" customFormat="1" ht="26.25" customHeight="1">
      <c r="A20" s="464">
        <f>SUBTOTAL(3,B$7:B20)</f>
        <v>14</v>
      </c>
      <c r="B20" s="465" t="s">
        <v>221</v>
      </c>
      <c r="C20" s="466" t="s">
        <v>247</v>
      </c>
      <c r="D20" s="467" t="s">
        <v>592</v>
      </c>
      <c r="E20" s="468">
        <f>COUNTIFS('Salary sheet'!$F$6:$F$2288,C20,'Salary sheet'!$E$6:$E$2288,B20)</f>
        <v>5</v>
      </c>
      <c r="F20" s="460">
        <f>+SUMIFS('Salary sheet'!$AN$6:$AN$1292,'Salary sheet'!$F$6:$F$1292,'TOTAL(payment)'!C20,'Salary sheet'!$E$6:$E$1292,'TOTAL(payment)'!B20)</f>
        <v>68363666</v>
      </c>
      <c r="G20" s="460">
        <f>+SUMIFS('Salary sheet'!$AO$6:$AO$2288,'Salary sheet'!$F$6:$F$2288,C20,'Salary sheet'!$E$6:$E$2288,B20)</f>
        <v>5823825</v>
      </c>
      <c r="H20" s="460">
        <f>+SUMIFS('Salary sheet'!$AP$6:$AP$2288,'Salary sheet'!$F$6:$F$2288,C20,'Salary sheet'!$E$6:$E$2288,B20)</f>
        <v>220500</v>
      </c>
      <c r="I20" s="460">
        <f>+SUMIFS('Salary sheet'!$AQ$6:$AQ$2288,'Salary sheet'!$F$6:$F$2288,C20,'Salary sheet'!$E$6:$E$2288,B20)</f>
        <v>196164</v>
      </c>
      <c r="J20" s="460">
        <f>+SUMIFS('Salary sheet'!$AR$6:$AR$2288,'Salary sheet'!$F$6:$F$2288,C20,'Salary sheet'!$E$6:$E$2288,B20)</f>
        <v>0</v>
      </c>
      <c r="K20" s="460">
        <f>SUMIFS('Salary sheet'!$AS$6:$AS$1291,'Salary sheet'!$F$6:$F$1291,'TOTAL(payment)'!C20)</f>
        <v>0</v>
      </c>
      <c r="L20" s="460">
        <f t="shared" si="0"/>
        <v>62123177</v>
      </c>
      <c r="M20" s="459">
        <f t="shared" si="1"/>
        <v>12424635.4</v>
      </c>
    </row>
    <row r="21" spans="1:13" s="22" customFormat="1" ht="26.25" customHeight="1">
      <c r="A21" s="464">
        <f>SUBTOTAL(3,B$7:B21)</f>
        <v>15</v>
      </c>
      <c r="B21" s="465" t="s">
        <v>221</v>
      </c>
      <c r="C21" s="466" t="s">
        <v>248</v>
      </c>
      <c r="D21" s="467" t="s">
        <v>439</v>
      </c>
      <c r="E21" s="468">
        <f>COUNTIFS('Salary sheet'!$F$6:$F$2288,C21,'Salary sheet'!$E$6:$E$2288,B21)</f>
        <v>11</v>
      </c>
      <c r="F21" s="460">
        <f>+SUMIFS('Salary sheet'!$AN$6:$AN$1292,'Salary sheet'!$F$6:$F$1292,'TOTAL(payment)'!C21,'Salary sheet'!$E$6:$E$1292,'TOTAL(payment)'!B21)</f>
        <v>137887624</v>
      </c>
      <c r="G21" s="460">
        <f>+SUMIFS('Salary sheet'!$AO$6:$AO$2288,'Salary sheet'!$F$6:$F$2288,C21,'Salary sheet'!$E$6:$E$2288,B21)</f>
        <v>7931595</v>
      </c>
      <c r="H21" s="460">
        <f>+SUMIFS('Salary sheet'!$AP$6:$AP$2288,'Salary sheet'!$F$6:$F$2288,C21,'Salary sheet'!$E$6:$E$2288,B21)</f>
        <v>396900</v>
      </c>
      <c r="I21" s="460">
        <f>+SUMIFS('Salary sheet'!$AQ$6:$AQ$2288,'Salary sheet'!$F$6:$F$2288,C21,'Salary sheet'!$E$6:$E$2288,B21)</f>
        <v>84402</v>
      </c>
      <c r="J21" s="460">
        <f>+SUMIFS('Salary sheet'!$AR$6:$AR$2288,'Salary sheet'!$F$6:$F$2288,C21,'Salary sheet'!$E$6:$E$2288,B21)</f>
        <v>0</v>
      </c>
      <c r="K21" s="460">
        <f>SUMIFS('Salary sheet'!$AS$6:$AS$1291,'Salary sheet'!$F$6:$F$1291,'TOTAL(payment)'!C21)</f>
        <v>0</v>
      </c>
      <c r="L21" s="460">
        <f t="shared" si="0"/>
        <v>129474727</v>
      </c>
      <c r="M21" s="459">
        <f t="shared" si="1"/>
        <v>11770429.727272727</v>
      </c>
    </row>
    <row r="22" spans="1:13" s="22" customFormat="1" ht="26.25" customHeight="1">
      <c r="A22" s="464">
        <f>SUBTOTAL(3,B$7:B22)</f>
        <v>16</v>
      </c>
      <c r="B22" s="465" t="s">
        <v>221</v>
      </c>
      <c r="C22" s="466" t="s">
        <v>533</v>
      </c>
      <c r="D22" s="467" t="s">
        <v>440</v>
      </c>
      <c r="E22" s="468">
        <f>COUNTIFS('Salary sheet'!$F$6:$F$2288,C22,'Salary sheet'!$E$6:$E$2288,B22)</f>
        <v>33</v>
      </c>
      <c r="F22" s="460">
        <f>+SUMIFS('Salary sheet'!$AN$6:$AN$1292,'Salary sheet'!$F$6:$F$1292,'TOTAL(payment)'!C22,'Salary sheet'!$E$6:$E$1292,'TOTAL(payment)'!B22)</f>
        <v>650807927</v>
      </c>
      <c r="G22" s="460">
        <f>+SUMIFS('Salary sheet'!$AO$6:$AO$2288,'Salary sheet'!$F$6:$F$2288,C22,'Salary sheet'!$E$6:$E$2288,B22)</f>
        <v>43817921</v>
      </c>
      <c r="H22" s="460">
        <f>+SUMIFS('Salary sheet'!$AP$6:$AP$2288,'Salary sheet'!$F$6:$F$2288,C22,'Salary sheet'!$E$6:$E$2288,B22)</f>
        <v>1411200</v>
      </c>
      <c r="I22" s="460">
        <f>+SUMIFS('Salary sheet'!$AQ$6:$AQ$2288,'Salary sheet'!$F$6:$F$2288,C22,'Salary sheet'!$E$6:$E$2288,B22)</f>
        <v>5243688</v>
      </c>
      <c r="J22" s="460">
        <f>+SUMIFS('Salary sheet'!$AR$6:$AR$2288,'Salary sheet'!$F$6:$F$2288,C22,'Salary sheet'!$E$6:$E$2288,B22)</f>
        <v>0</v>
      </c>
      <c r="K22" s="460">
        <f>SUMIFS('Salary sheet'!$AS$6:$AS$1291,'Salary sheet'!$F$6:$F$1291,'TOTAL(payment)'!C22)</f>
        <v>420143</v>
      </c>
      <c r="L22" s="460">
        <f t="shared" si="0"/>
        <v>599914975</v>
      </c>
      <c r="M22" s="459">
        <f t="shared" si="1"/>
        <v>18179241.666666668</v>
      </c>
    </row>
    <row r="23" spans="1:13" s="22" customFormat="1" ht="26.25" customHeight="1">
      <c r="A23" s="464">
        <f>SUBTOTAL(3,B$7:B23)</f>
        <v>17</v>
      </c>
      <c r="B23" s="465" t="s">
        <v>221</v>
      </c>
      <c r="C23" s="466" t="s">
        <v>249</v>
      </c>
      <c r="D23" s="467" t="s">
        <v>441</v>
      </c>
      <c r="E23" s="468">
        <f>COUNTIFS('Salary sheet'!$F$6:$F$2288,C23,'Salary sheet'!$E$6:$E$2288,B23)</f>
        <v>2</v>
      </c>
      <c r="F23" s="460">
        <f>+SUMIFS('Salary sheet'!$AN$6:$AN$1292,'Salary sheet'!$F$6:$F$1292,'TOTAL(payment)'!C23,'Salary sheet'!$E$6:$E$1292,'TOTAL(payment)'!B23)</f>
        <v>54257841</v>
      </c>
      <c r="G23" s="460">
        <f>+SUMIFS('Salary sheet'!$AO$6:$AO$2288,'Salary sheet'!$F$6:$F$2288,C23,'Salary sheet'!$E$6:$E$2288,B23)</f>
        <v>4337340</v>
      </c>
      <c r="H23" s="460">
        <f>+SUMIFS('Salary sheet'!$AP$6:$AP$2288,'Salary sheet'!$F$6:$F$2288,C23,'Salary sheet'!$E$6:$E$2288,B23)</f>
        <v>88200</v>
      </c>
      <c r="I23" s="460">
        <f>+SUMIFS('Salary sheet'!$AQ$6:$AQ$2288,'Salary sheet'!$F$6:$F$2288,C23,'Salary sheet'!$E$6:$E$2288,B23)</f>
        <v>0</v>
      </c>
      <c r="J23" s="460">
        <f>+SUMIFS('Salary sheet'!$AR$6:$AR$2288,'Salary sheet'!$F$6:$F$2288,C23,'Salary sheet'!$E$6:$E$2288,B23)</f>
        <v>0</v>
      </c>
      <c r="K23" s="460">
        <f>SUMIFS('Salary sheet'!$AS$6:$AS$1291,'Salary sheet'!$F$6:$F$1291,'TOTAL(payment)'!C23)</f>
        <v>0</v>
      </c>
      <c r="L23" s="460">
        <f t="shared" si="0"/>
        <v>49832301</v>
      </c>
      <c r="M23" s="459">
        <f t="shared" si="1"/>
        <v>24916150.5</v>
      </c>
    </row>
    <row r="24" spans="1:13" s="22" customFormat="1" ht="26.25" customHeight="1">
      <c r="A24" s="464">
        <f>SUBTOTAL(3,B$7:B24)</f>
        <v>18</v>
      </c>
      <c r="B24" s="465" t="s">
        <v>221</v>
      </c>
      <c r="C24" s="466" t="s">
        <v>534</v>
      </c>
      <c r="D24" s="467" t="s">
        <v>442</v>
      </c>
      <c r="E24" s="468">
        <f>COUNTIFS('Salary sheet'!$F$6:$F$2288,C24,'Salary sheet'!$E$6:$E$2288,B24)</f>
        <v>15</v>
      </c>
      <c r="F24" s="460">
        <f>+SUMIFS('Salary sheet'!$AN$6:$AN$1292,'Salary sheet'!$F$6:$F$1292,'TOTAL(payment)'!C24,'Salary sheet'!$E$6:$E$1292,'TOTAL(payment)'!B24)</f>
        <v>150956917</v>
      </c>
      <c r="G24" s="460">
        <f>+SUMIFS('Salary sheet'!$AO$6:$AO$2288,'Salary sheet'!$F$6:$F$2288,C24,'Salary sheet'!$E$6:$E$2288,B24)</f>
        <v>10831905</v>
      </c>
      <c r="H24" s="460">
        <f>+SUMIFS('Salary sheet'!$AP$6:$AP$2288,'Salary sheet'!$F$6:$F$2288,C24,'Salary sheet'!$E$6:$E$2288,B24)</f>
        <v>661500</v>
      </c>
      <c r="I24" s="460">
        <f>+SUMIFS('Salary sheet'!$AQ$6:$AQ$2288,'Salary sheet'!$F$6:$F$2288,C24,'Salary sheet'!$E$6:$E$2288,B24)</f>
        <v>52140</v>
      </c>
      <c r="J24" s="460">
        <f>+SUMIFS('Salary sheet'!$AR$6:$AR$2288,'Salary sheet'!$F$6:$F$2288,C24,'Salary sheet'!$E$6:$E$2288,B24)</f>
        <v>0</v>
      </c>
      <c r="K24" s="460">
        <f>SUMIFS('Salary sheet'!$AS$6:$AS$1291,'Salary sheet'!$F$6:$F$1291,'TOTAL(payment)'!C24)</f>
        <v>0</v>
      </c>
      <c r="L24" s="460">
        <f t="shared" si="0"/>
        <v>139411372</v>
      </c>
      <c r="M24" s="459">
        <f t="shared" si="1"/>
        <v>9294091.4666666668</v>
      </c>
    </row>
    <row r="25" spans="1:13" s="22" customFormat="1" ht="26.25" customHeight="1">
      <c r="A25" s="464">
        <f>SUBTOTAL(3,B$7:B25)</f>
        <v>19</v>
      </c>
      <c r="B25" s="465" t="s">
        <v>221</v>
      </c>
      <c r="C25" s="466" t="s">
        <v>250</v>
      </c>
      <c r="D25" s="467" t="s">
        <v>443</v>
      </c>
      <c r="E25" s="468">
        <f>COUNTIFS('Salary sheet'!$F$6:$F$2288,C25,'Salary sheet'!$E$6:$E$2288,B25)</f>
        <v>14</v>
      </c>
      <c r="F25" s="460">
        <f>+SUMIFS('Salary sheet'!$AN$6:$AN$1292,'Salary sheet'!$F$6:$F$1292,'TOTAL(payment)'!C25,'Salary sheet'!$E$6:$E$1292,'TOTAL(payment)'!B25)</f>
        <v>142669544</v>
      </c>
      <c r="G25" s="460">
        <f>+SUMIFS('Salary sheet'!$AO$6:$AO$2288,'Salary sheet'!$F$6:$F$2288,C25,'Salary sheet'!$E$6:$E$2288,B25)</f>
        <v>9704835</v>
      </c>
      <c r="H25" s="460">
        <f>+SUMIFS('Salary sheet'!$AP$6:$AP$2288,'Salary sheet'!$F$6:$F$2288,C25,'Salary sheet'!$E$6:$E$2288,B25)</f>
        <v>573300</v>
      </c>
      <c r="I25" s="460">
        <f>+SUMIFS('Salary sheet'!$AQ$6:$AQ$2288,'Salary sheet'!$F$6:$F$2288,C25,'Salary sheet'!$E$6:$E$2288,B25)</f>
        <v>35010</v>
      </c>
      <c r="J25" s="460">
        <f>+SUMIFS('Salary sheet'!$AR$6:$AR$2288,'Salary sheet'!$F$6:$F$2288,C25,'Salary sheet'!$E$6:$E$2288,B25)</f>
        <v>0</v>
      </c>
      <c r="K25" s="460">
        <f>SUMIFS('Salary sheet'!$AS$6:$AS$1291,'Salary sheet'!$F$6:$F$1291,'TOTAL(payment)'!C25)</f>
        <v>0</v>
      </c>
      <c r="L25" s="460">
        <f t="shared" si="0"/>
        <v>132356399</v>
      </c>
      <c r="M25" s="459">
        <f t="shared" si="1"/>
        <v>9454028.5</v>
      </c>
    </row>
    <row r="26" spans="1:13" s="22" customFormat="1" ht="26.25" customHeight="1">
      <c r="A26" s="464">
        <f>SUBTOTAL(3,B$7:B26)</f>
        <v>20</v>
      </c>
      <c r="B26" s="465" t="s">
        <v>221</v>
      </c>
      <c r="C26" s="466" t="s">
        <v>251</v>
      </c>
      <c r="D26" s="467" t="s">
        <v>444</v>
      </c>
      <c r="E26" s="468">
        <f>COUNTIFS('Salary sheet'!$F$6:$F$2288,C26,'Salary sheet'!$E$6:$E$2288,B26)</f>
        <v>9</v>
      </c>
      <c r="F26" s="460">
        <f>+SUMIFS('Salary sheet'!$AN$6:$AN$1292,'Salary sheet'!$F$6:$F$1292,'TOTAL(payment)'!C26,'Salary sheet'!$E$6:$E$1292,'TOTAL(payment)'!B26)</f>
        <v>95130438</v>
      </c>
      <c r="G26" s="460">
        <f>+SUMIFS('Salary sheet'!$AO$6:$AO$2288,'Salary sheet'!$F$6:$F$2288,C26,'Salary sheet'!$E$6:$E$2288,B26)</f>
        <v>6425055</v>
      </c>
      <c r="H26" s="460">
        <f>+SUMIFS('Salary sheet'!$AP$6:$AP$2288,'Salary sheet'!$F$6:$F$2288,C26,'Salary sheet'!$E$6:$E$2288,B26)</f>
        <v>396900</v>
      </c>
      <c r="I26" s="460">
        <f>+SUMIFS('Salary sheet'!$AQ$6:$AQ$2288,'Salary sheet'!$F$6:$F$2288,C26,'Salary sheet'!$E$6:$E$2288,B26)</f>
        <v>0</v>
      </c>
      <c r="J26" s="460">
        <f>+SUMIFS('Salary sheet'!$AR$6:$AR$2288,'Salary sheet'!$F$6:$F$2288,C26,'Salary sheet'!$E$6:$E$2288,B26)</f>
        <v>0</v>
      </c>
      <c r="K26" s="460">
        <f>SUMIFS('Salary sheet'!$AS$6:$AS$1291,'Salary sheet'!$F$6:$F$1291,'TOTAL(payment)'!C26)</f>
        <v>0</v>
      </c>
      <c r="L26" s="460">
        <f t="shared" si="0"/>
        <v>88308483</v>
      </c>
      <c r="M26" s="459">
        <f t="shared" si="1"/>
        <v>9812053.666666666</v>
      </c>
    </row>
    <row r="27" spans="1:13" s="22" customFormat="1" ht="26.25" customHeight="1">
      <c r="A27" s="464">
        <f>SUBTOTAL(3,B$7:B27)</f>
        <v>21</v>
      </c>
      <c r="B27" s="465" t="s">
        <v>221</v>
      </c>
      <c r="C27" s="466" t="s">
        <v>5782</v>
      </c>
      <c r="D27" s="467" t="s">
        <v>5916</v>
      </c>
      <c r="E27" s="468">
        <f>COUNTIFS('Salary sheet'!$F$6:$F$2288,C27,'Salary sheet'!$E$6:$E$2288,B27)</f>
        <v>6</v>
      </c>
      <c r="F27" s="460">
        <f>+SUMIFS('Salary sheet'!$AN$6:$AN$1292,'Salary sheet'!$F$6:$F$1292,'TOTAL(payment)'!C27,'Salary sheet'!$E$6:$E$1292,'TOTAL(payment)'!B27)</f>
        <v>59300015</v>
      </c>
      <c r="G27" s="460">
        <f>+SUMIFS('Salary sheet'!$AO$6:$AO$2288,'Salary sheet'!$F$6:$F$2288,C27,'Salary sheet'!$E$6:$E$2288,B27)</f>
        <v>4051530</v>
      </c>
      <c r="H27" s="460">
        <f>+SUMIFS('Salary sheet'!$AP$6:$AP$2288,'Salary sheet'!$F$6:$F$2288,C27,'Salary sheet'!$E$6:$E$2288,B27)</f>
        <v>264600</v>
      </c>
      <c r="I27" s="460">
        <f>+SUMIFS('Salary sheet'!$AQ$6:$AQ$2288,'Salary sheet'!$F$6:$F$2288,C27,'Salary sheet'!$E$6:$E$2288,B27)</f>
        <v>0</v>
      </c>
      <c r="J27" s="460">
        <f>+SUMIFS('Salary sheet'!$AR$6:$AR$2288,'Salary sheet'!$F$6:$F$2288,C27,'Salary sheet'!$E$6:$E$2288,B27)</f>
        <v>65000</v>
      </c>
      <c r="K27" s="460">
        <f>SUMIFS('Salary sheet'!$AS$6:$AS$1291,'Salary sheet'!$F$6:$F$1291,'TOTAL(payment)'!C27)</f>
        <v>0</v>
      </c>
      <c r="L27" s="460">
        <f t="shared" ref="L27" si="2">+(F27)-SUM(G27:K27)</f>
        <v>54918885</v>
      </c>
      <c r="M27" s="459">
        <f t="shared" ref="M27" si="3">+L27/E27</f>
        <v>9153147.5</v>
      </c>
    </row>
    <row r="28" spans="1:13" s="22" customFormat="1" ht="26.25" customHeight="1">
      <c r="A28" s="464">
        <f>SUBTOTAL(3,B$7:B28)</f>
        <v>22</v>
      </c>
      <c r="B28" s="465" t="s">
        <v>221</v>
      </c>
      <c r="C28" s="466" t="s">
        <v>252</v>
      </c>
      <c r="D28" s="467" t="s">
        <v>445</v>
      </c>
      <c r="E28" s="468">
        <f>COUNTIFS('Salary sheet'!$F$6:$F$2288,C28,'Salary sheet'!$E$6:$E$2288,B28)</f>
        <v>19</v>
      </c>
      <c r="F28" s="460">
        <f>+SUMIFS('Salary sheet'!$AN$6:$AN$1292,'Salary sheet'!$F$6:$F$1292,'TOTAL(payment)'!C28,'Salary sheet'!$E$6:$E$1292,'TOTAL(payment)'!B28)</f>
        <v>202970169</v>
      </c>
      <c r="G28" s="460">
        <f>+SUMIFS('Salary sheet'!$AO$6:$AO$2288,'Salary sheet'!$F$6:$F$2288,C28,'Salary sheet'!$E$6:$E$2288,B28)</f>
        <v>15775987</v>
      </c>
      <c r="H28" s="460">
        <f>+SUMIFS('Salary sheet'!$AP$6:$AP$2288,'Salary sheet'!$F$6:$F$2288,C28,'Salary sheet'!$E$6:$E$2288,B28)</f>
        <v>837900</v>
      </c>
      <c r="I28" s="460">
        <f>+SUMIFS('Salary sheet'!$AQ$6:$AQ$2288,'Salary sheet'!$F$6:$F$2288,C28,'Salary sheet'!$E$6:$E$2288,B28)</f>
        <v>293746</v>
      </c>
      <c r="J28" s="460">
        <f>+SUMIFS('Salary sheet'!$AR$6:$AR$2288,'Salary sheet'!$F$6:$F$2288,C28,'Salary sheet'!$E$6:$E$2288,B28)</f>
        <v>0</v>
      </c>
      <c r="K28" s="460">
        <f>SUMIFS('Salary sheet'!$AS$6:$AS$1291,'Salary sheet'!$F$6:$F$1291,'TOTAL(payment)'!C28)</f>
        <v>582153</v>
      </c>
      <c r="L28" s="460">
        <f t="shared" si="0"/>
        <v>185480383</v>
      </c>
      <c r="M28" s="459">
        <f t="shared" si="1"/>
        <v>9762125.421052631</v>
      </c>
    </row>
    <row r="29" spans="1:13" s="22" customFormat="1" ht="26.25" customHeight="1">
      <c r="A29" s="464">
        <f>SUBTOTAL(3,B$7:B29)</f>
        <v>23</v>
      </c>
      <c r="B29" s="465" t="s">
        <v>221</v>
      </c>
      <c r="C29" s="466" t="s">
        <v>400</v>
      </c>
      <c r="D29" s="467" t="s">
        <v>477</v>
      </c>
      <c r="E29" s="468">
        <f>COUNTIFS('Salary sheet'!$F$6:$F$2288,C29,'Salary sheet'!$E$6:$E$2288,B29)</f>
        <v>5</v>
      </c>
      <c r="F29" s="460">
        <f>+SUMIFS('Salary sheet'!$AN$6:$AN$1292,'Salary sheet'!$F$6:$F$1292,'TOTAL(payment)'!C29,'Salary sheet'!$E$6:$E$1292,'TOTAL(payment)'!B29)</f>
        <v>36253335</v>
      </c>
      <c r="G29" s="460">
        <f>+SUMIFS('Salary sheet'!$AO$6:$AO$2288,'Salary sheet'!$F$6:$F$2288,C29,'Salary sheet'!$E$6:$E$2288,B29)</f>
        <v>1392510</v>
      </c>
      <c r="H29" s="460">
        <f>+SUMIFS('Salary sheet'!$AP$6:$AP$2288,'Salary sheet'!$F$6:$F$2288,C29,'Salary sheet'!$E$6:$E$2288,B29)</f>
        <v>88200</v>
      </c>
      <c r="I29" s="460">
        <f>+SUMIFS('Salary sheet'!$AQ$6:$AQ$2288,'Salary sheet'!$F$6:$F$2288,C29,'Salary sheet'!$E$6:$E$2288,B29)</f>
        <v>0</v>
      </c>
      <c r="J29" s="460">
        <f>+SUMIFS('Salary sheet'!$AR$6:$AR$2288,'Salary sheet'!$F$6:$F$2288,C29,'Salary sheet'!$E$6:$E$2288,B29)</f>
        <v>0</v>
      </c>
      <c r="K29" s="460">
        <f>SUMIFS('Salary sheet'!$AS$6:$AS$1291,'Salary sheet'!$F$6:$F$1291,'TOTAL(payment)'!C29)</f>
        <v>0</v>
      </c>
      <c r="L29" s="460">
        <f t="shared" si="0"/>
        <v>34772625</v>
      </c>
      <c r="M29" s="459">
        <f t="shared" si="1"/>
        <v>6954525</v>
      </c>
    </row>
    <row r="30" spans="1:13" s="22" customFormat="1" ht="26.25" customHeight="1">
      <c r="A30" s="464">
        <f>SUBTOTAL(3,B$7:B30)</f>
        <v>24</v>
      </c>
      <c r="B30" s="465" t="s">
        <v>221</v>
      </c>
      <c r="C30" s="466" t="s">
        <v>535</v>
      </c>
      <c r="D30" s="467" t="s">
        <v>446</v>
      </c>
      <c r="E30" s="468">
        <f>COUNTIFS('Salary sheet'!$F$6:$F$2288,C30,'Salary sheet'!$E$6:$E$2288,B30)</f>
        <v>16</v>
      </c>
      <c r="F30" s="460">
        <f>+SUMIFS('Salary sheet'!$AN$6:$AN$1292,'Salary sheet'!$F$6:$F$1292,'TOTAL(payment)'!C30,'Salary sheet'!$E$6:$E$1292,'TOTAL(payment)'!B30)</f>
        <v>175044927</v>
      </c>
      <c r="G30" s="460">
        <f>+SUMIFS('Salary sheet'!$AO$6:$AO$2288,'Salary sheet'!$F$6:$F$2288,C30,'Salary sheet'!$E$6:$E$2288,B30)</f>
        <v>10573605</v>
      </c>
      <c r="H30" s="460">
        <f>+SUMIFS('Salary sheet'!$AP$6:$AP$2288,'Salary sheet'!$F$6:$F$2288,C30,'Salary sheet'!$E$6:$E$2288,B30)</f>
        <v>573300</v>
      </c>
      <c r="I30" s="460">
        <f>+SUMIFS('Salary sheet'!$AQ$6:$AQ$2288,'Salary sheet'!$F$6:$F$2288,C30,'Salary sheet'!$E$6:$E$2288,B30)</f>
        <v>85355</v>
      </c>
      <c r="J30" s="460">
        <f>+SUMIFS('Salary sheet'!$AR$6:$AR$2288,'Salary sheet'!$F$6:$F$2288,C30,'Salary sheet'!$E$6:$E$2288,B30)</f>
        <v>0</v>
      </c>
      <c r="K30" s="460">
        <f>SUMIFS('Salary sheet'!$AS$6:$AS$1291,'Salary sheet'!$F$6:$F$1291,'TOTAL(payment)'!C30)</f>
        <v>0</v>
      </c>
      <c r="L30" s="460">
        <f t="shared" si="0"/>
        <v>163812667</v>
      </c>
      <c r="M30" s="459">
        <f t="shared" si="1"/>
        <v>10238291.6875</v>
      </c>
    </row>
    <row r="31" spans="1:13" s="22" customFormat="1" ht="26.25" customHeight="1">
      <c r="A31" s="464">
        <f>SUBTOTAL(3,B$7:B31)</f>
        <v>25</v>
      </c>
      <c r="B31" s="465" t="s">
        <v>221</v>
      </c>
      <c r="C31" s="466" t="s">
        <v>253</v>
      </c>
      <c r="D31" s="467" t="s">
        <v>447</v>
      </c>
      <c r="E31" s="468">
        <f>COUNTIFS('Salary sheet'!$F$6:$F$2288,C31,'Salary sheet'!$E$6:$E$2288,B31)</f>
        <v>3</v>
      </c>
      <c r="F31" s="460">
        <f>+SUMIFS('Salary sheet'!$AN$6:$AN$1292,'Salary sheet'!$F$6:$F$1292,'TOTAL(payment)'!C31,'Salary sheet'!$E$6:$E$1292,'TOTAL(payment)'!B31)</f>
        <v>71940163</v>
      </c>
      <c r="G31" s="460">
        <f>+SUMIFS('Salary sheet'!$AO$6:$AO$2288,'Salary sheet'!$F$6:$F$2288,C31,'Salary sheet'!$E$6:$E$2288,B31)</f>
        <v>5982900</v>
      </c>
      <c r="H31" s="460">
        <f>+SUMIFS('Salary sheet'!$AP$6:$AP$2288,'Salary sheet'!$F$6:$F$2288,C31,'Salary sheet'!$E$6:$E$2288,B31)</f>
        <v>132300</v>
      </c>
      <c r="I31" s="460">
        <f>+SUMIFS('Salary sheet'!$AQ$6:$AQ$2288,'Salary sheet'!$F$6:$F$2288,C31,'Salary sheet'!$E$6:$E$2288,B31)</f>
        <v>169697</v>
      </c>
      <c r="J31" s="460">
        <f>+SUMIFS('Salary sheet'!$AR$6:$AR$2288,'Salary sheet'!$F$6:$F$2288,C31,'Salary sheet'!$E$6:$E$2288,B31)</f>
        <v>0</v>
      </c>
      <c r="K31" s="460">
        <f>SUMIFS('Salary sheet'!$AS$6:$AS$1291,'Salary sheet'!$F$6:$F$1291,'TOTAL(payment)'!C31)</f>
        <v>0</v>
      </c>
      <c r="L31" s="460">
        <f t="shared" si="0"/>
        <v>65655266</v>
      </c>
      <c r="M31" s="459">
        <f t="shared" si="1"/>
        <v>21885088.666666668</v>
      </c>
    </row>
    <row r="32" spans="1:13" s="22" customFormat="1" ht="26.25" customHeight="1">
      <c r="A32" s="464">
        <f>SUBTOTAL(3,B$7:B32)</f>
        <v>26</v>
      </c>
      <c r="B32" s="465" t="s">
        <v>221</v>
      </c>
      <c r="C32" s="466" t="s">
        <v>659</v>
      </c>
      <c r="D32" s="467" t="s">
        <v>661</v>
      </c>
      <c r="E32" s="468">
        <f>COUNTIFS('Salary sheet'!$F$6:$F$2288,C32,'Salary sheet'!$E$6:$E$2288,B32)</f>
        <v>5</v>
      </c>
      <c r="F32" s="460">
        <f>+SUMIFS('Salary sheet'!$AN$6:$AN$1292,'Salary sheet'!$F$6:$F$1292,'TOTAL(payment)'!C32,'Salary sheet'!$E$6:$E$1292,'TOTAL(payment)'!B32)</f>
        <v>37312000</v>
      </c>
      <c r="G32" s="460">
        <f>+SUMIFS('Salary sheet'!$AO$6:$AO$2288,'Salary sheet'!$F$6:$F$2288,C32,'Salary sheet'!$E$6:$E$2288,B32)</f>
        <v>2755515</v>
      </c>
      <c r="H32" s="460">
        <f>+SUMIFS('Salary sheet'!$AP$6:$AP$2288,'Salary sheet'!$F$6:$F$2288,C32,'Salary sheet'!$E$6:$E$2288,B32)</f>
        <v>176400</v>
      </c>
      <c r="I32" s="460">
        <f>+SUMIFS('Salary sheet'!$AQ$6:$AQ$2288,'Salary sheet'!$F$6:$F$2288,C32,'Salary sheet'!$E$6:$E$2288,B32)</f>
        <v>0</v>
      </c>
      <c r="J32" s="460">
        <f>+SUMIFS('Salary sheet'!$AR$6:$AR$2288,'Salary sheet'!$F$6:$F$2288,C32,'Salary sheet'!$E$6:$E$2288,B32)</f>
        <v>0</v>
      </c>
      <c r="K32" s="460">
        <f>SUMIFS('Salary sheet'!$AS$6:$AS$1291,'Salary sheet'!$F$6:$F$1291,'TOTAL(payment)'!C32)</f>
        <v>0</v>
      </c>
      <c r="L32" s="460">
        <f t="shared" si="0"/>
        <v>34380085</v>
      </c>
      <c r="M32" s="459">
        <f t="shared" si="1"/>
        <v>6876017</v>
      </c>
    </row>
    <row r="33" spans="1:13" s="22" customFormat="1" ht="26.25" customHeight="1">
      <c r="A33" s="464">
        <f>SUBTOTAL(3,B$7:B33)</f>
        <v>27</v>
      </c>
      <c r="B33" s="465" t="s">
        <v>221</v>
      </c>
      <c r="C33" s="466" t="s">
        <v>536</v>
      </c>
      <c r="D33" s="467" t="s">
        <v>448</v>
      </c>
      <c r="E33" s="468">
        <f>COUNTIFS('Salary sheet'!$F$6:$F$2288,C33,'Salary sheet'!$E$6:$E$2288,B33)</f>
        <v>11</v>
      </c>
      <c r="F33" s="460">
        <f>+SUMIFS('Salary sheet'!$AN$6:$AN$1292,'Salary sheet'!$F$6:$F$1292,'TOTAL(payment)'!C33,'Salary sheet'!$E$6:$E$1292,'TOTAL(payment)'!B33)</f>
        <v>119622745</v>
      </c>
      <c r="G33" s="460">
        <f>+SUMIFS('Salary sheet'!$AO$6:$AO$2288,'Salary sheet'!$F$6:$F$2288,C33,'Salary sheet'!$E$6:$E$2288,B33)</f>
        <v>7150710</v>
      </c>
      <c r="H33" s="460">
        <f>+SUMIFS('Salary sheet'!$AP$6:$AP$2288,'Salary sheet'!$F$6:$F$2288,C33,'Salary sheet'!$E$6:$E$2288,B33)</f>
        <v>441000</v>
      </c>
      <c r="I33" s="460">
        <f>+SUMIFS('Salary sheet'!$AQ$6:$AQ$2288,'Salary sheet'!$F$6:$F$2288,C33,'Salary sheet'!$E$6:$E$2288,B33)</f>
        <v>0</v>
      </c>
      <c r="J33" s="460">
        <f>+SUMIFS('Salary sheet'!$AR$6:$AR$2288,'Salary sheet'!$F$6:$F$2288,C33,'Salary sheet'!$E$6:$E$2288,B33)</f>
        <v>0</v>
      </c>
      <c r="K33" s="460">
        <f>SUMIFS('Salary sheet'!$AS$6:$AS$1291,'Salary sheet'!$F$6:$F$1291,'TOTAL(payment)'!C33)</f>
        <v>0</v>
      </c>
      <c r="L33" s="460">
        <f t="shared" si="0"/>
        <v>112031035</v>
      </c>
      <c r="M33" s="459">
        <f t="shared" si="1"/>
        <v>10184639.545454545</v>
      </c>
    </row>
    <row r="34" spans="1:13" s="22" customFormat="1" ht="26.25" customHeight="1">
      <c r="A34" s="464">
        <f>SUBTOTAL(3,B$7:B34)</f>
        <v>28</v>
      </c>
      <c r="B34" s="465" t="s">
        <v>221</v>
      </c>
      <c r="C34" s="466" t="s">
        <v>537</v>
      </c>
      <c r="D34" s="467" t="s">
        <v>449</v>
      </c>
      <c r="E34" s="468">
        <f>COUNTIFS('Salary sheet'!$F$6:$F$2288,C34,'Salary sheet'!$E$6:$E$2288,B34)</f>
        <v>10</v>
      </c>
      <c r="F34" s="460">
        <f>+SUMIFS('Salary sheet'!$AN$6:$AN$1292,'Salary sheet'!$F$6:$F$1292,'TOTAL(payment)'!C34,'Salary sheet'!$E$6:$E$1292,'TOTAL(payment)'!B34)</f>
        <v>103612176</v>
      </c>
      <c r="G34" s="460">
        <f>+SUMIFS('Salary sheet'!$AO$6:$AO$2288,'Salary sheet'!$F$6:$F$2288,C34,'Salary sheet'!$E$6:$E$2288,B34)</f>
        <v>6626445</v>
      </c>
      <c r="H34" s="460">
        <f>+SUMIFS('Salary sheet'!$AP$6:$AP$2288,'Salary sheet'!$F$6:$F$2288,C34,'Salary sheet'!$E$6:$E$2288,B34)</f>
        <v>352800</v>
      </c>
      <c r="I34" s="460">
        <f>+SUMIFS('Salary sheet'!$AQ$6:$AQ$2288,'Salary sheet'!$F$6:$F$2288,C34,'Salary sheet'!$E$6:$E$2288,B34)</f>
        <v>39672</v>
      </c>
      <c r="J34" s="460">
        <f>+SUMIFS('Salary sheet'!$AR$6:$AR$2288,'Salary sheet'!$F$6:$F$2288,C34,'Salary sheet'!$E$6:$E$2288,B34)</f>
        <v>0</v>
      </c>
      <c r="K34" s="460">
        <f>SUMIFS('Salary sheet'!$AS$6:$AS$1291,'Salary sheet'!$F$6:$F$1291,'TOTAL(payment)'!C34)</f>
        <v>0</v>
      </c>
      <c r="L34" s="460">
        <f t="shared" si="0"/>
        <v>96593259</v>
      </c>
      <c r="M34" s="459">
        <f t="shared" si="1"/>
        <v>9659325.9000000004</v>
      </c>
    </row>
    <row r="35" spans="1:13" s="22" customFormat="1" ht="26.25" customHeight="1">
      <c r="A35" s="464">
        <f>SUBTOTAL(3,B$7:B35)</f>
        <v>29</v>
      </c>
      <c r="B35" s="465" t="s">
        <v>221</v>
      </c>
      <c r="C35" s="466" t="s">
        <v>254</v>
      </c>
      <c r="D35" s="467" t="s">
        <v>450</v>
      </c>
      <c r="E35" s="468">
        <f>COUNTIFS('Salary sheet'!$F$6:$F$2288,C35,'Salary sheet'!$E$6:$E$2288,B35)</f>
        <v>10</v>
      </c>
      <c r="F35" s="460">
        <f>+SUMIFS('Salary sheet'!$AN$6:$AN$1292,'Salary sheet'!$F$6:$F$1292,'TOTAL(payment)'!C35,'Salary sheet'!$E$6:$E$1292,'TOTAL(payment)'!B35)</f>
        <v>116451924</v>
      </c>
      <c r="G35" s="460">
        <f>+SUMIFS('Salary sheet'!$AO$6:$AO$2288,'Salary sheet'!$F$6:$F$2288,C35,'Salary sheet'!$E$6:$E$2288,B35)</f>
        <v>7662795</v>
      </c>
      <c r="H35" s="460">
        <f>+SUMIFS('Salary sheet'!$AP$6:$AP$2288,'Salary sheet'!$F$6:$F$2288,C35,'Salary sheet'!$E$6:$E$2288,B35)</f>
        <v>396900</v>
      </c>
      <c r="I35" s="460">
        <f>+SUMIFS('Salary sheet'!$AQ$6:$AQ$2288,'Salary sheet'!$F$6:$F$2288,C35,'Salary sheet'!$E$6:$E$2288,B35)</f>
        <v>0</v>
      </c>
      <c r="J35" s="460">
        <f>+SUMIFS('Salary sheet'!$AR$6:$AR$2288,'Salary sheet'!$F$6:$F$2288,C35,'Salary sheet'!$E$6:$E$2288,B35)</f>
        <v>0</v>
      </c>
      <c r="K35" s="460">
        <f>SUMIFS('Salary sheet'!$AS$6:$AS$1291,'Salary sheet'!$F$6:$F$1291,'TOTAL(payment)'!C35)</f>
        <v>0</v>
      </c>
      <c r="L35" s="460">
        <f t="shared" si="0"/>
        <v>108392229</v>
      </c>
      <c r="M35" s="459">
        <f t="shared" si="1"/>
        <v>10839222.9</v>
      </c>
    </row>
    <row r="36" spans="1:13" s="22" customFormat="1" ht="26.25" customHeight="1">
      <c r="A36" s="464">
        <f>SUBTOTAL(3,B$7:B36)</f>
        <v>30</v>
      </c>
      <c r="B36" s="465" t="s">
        <v>221</v>
      </c>
      <c r="C36" s="466" t="s">
        <v>538</v>
      </c>
      <c r="D36" s="467" t="s">
        <v>451</v>
      </c>
      <c r="E36" s="468">
        <f>COUNTIFS('Salary sheet'!$F$6:$F$2288,C36,'Salary sheet'!$E$6:$E$2288,B36)</f>
        <v>7</v>
      </c>
      <c r="F36" s="460">
        <f>+SUMIFS('Salary sheet'!$AN$6:$AN$1292,'Salary sheet'!$F$6:$F$1292,'TOTAL(payment)'!C36,'Salary sheet'!$E$6:$E$1292,'TOTAL(payment)'!B36)</f>
        <v>76553501</v>
      </c>
      <c r="G36" s="460">
        <f>+SUMIFS('Salary sheet'!$AO$6:$AO$2288,'Salary sheet'!$F$6:$F$2288,C36,'Salary sheet'!$E$6:$E$2288,B36)</f>
        <v>4980736</v>
      </c>
      <c r="H36" s="460">
        <f>+SUMIFS('Salary sheet'!$AP$6:$AP$2288,'Salary sheet'!$F$6:$F$2288,C36,'Salary sheet'!$E$6:$E$2288,B36)</f>
        <v>220500</v>
      </c>
      <c r="I36" s="460">
        <f>+SUMIFS('Salary sheet'!$AQ$6:$AQ$2288,'Salary sheet'!$F$6:$F$2288,C36,'Salary sheet'!$E$6:$E$2288,B36)</f>
        <v>0</v>
      </c>
      <c r="J36" s="460">
        <f>+SUMIFS('Salary sheet'!$AR$6:$AR$2288,'Salary sheet'!$F$6:$F$2288,C36,'Salary sheet'!$E$6:$E$2288,B36)</f>
        <v>0</v>
      </c>
      <c r="K36" s="460">
        <f>SUMIFS('Salary sheet'!$AS$6:$AS$1291,'Salary sheet'!$F$6:$F$1291,'TOTAL(payment)'!C36)</f>
        <v>353985</v>
      </c>
      <c r="L36" s="460">
        <f t="shared" si="0"/>
        <v>70998280</v>
      </c>
      <c r="M36" s="459">
        <f t="shared" si="1"/>
        <v>10142611.428571429</v>
      </c>
    </row>
    <row r="37" spans="1:13" s="22" customFormat="1" ht="26.25" customHeight="1">
      <c r="A37" s="464">
        <f>SUBTOTAL(3,B$7:B37)</f>
        <v>31</v>
      </c>
      <c r="B37" s="465" t="s">
        <v>221</v>
      </c>
      <c r="C37" s="466" t="s">
        <v>255</v>
      </c>
      <c r="D37" s="467" t="s">
        <v>452</v>
      </c>
      <c r="E37" s="468">
        <f>COUNTIFS('Salary sheet'!$F$6:$F$2288,C37,'Salary sheet'!$E$6:$E$2288,B37)</f>
        <v>3</v>
      </c>
      <c r="F37" s="460">
        <f>+SUMIFS('Salary sheet'!$AN$6:$AN$1292,'Salary sheet'!$F$6:$F$1292,'TOTAL(payment)'!C37,'Salary sheet'!$E$6:$E$1292,'TOTAL(payment)'!B37)</f>
        <v>26020521</v>
      </c>
      <c r="G37" s="460">
        <f>+SUMIFS('Salary sheet'!$AO$6:$AO$2288,'Salary sheet'!$F$6:$F$2288,C37,'Salary sheet'!$E$6:$E$2288,B37)</f>
        <v>1497510</v>
      </c>
      <c r="H37" s="460">
        <f>+SUMIFS('Salary sheet'!$AP$6:$AP$2288,'Salary sheet'!$F$6:$F$2288,C37,'Salary sheet'!$E$6:$E$2288,B37)</f>
        <v>88200</v>
      </c>
      <c r="I37" s="460">
        <f>+SUMIFS('Salary sheet'!$AQ$6:$AQ$2288,'Salary sheet'!$F$6:$F$2288,C37,'Salary sheet'!$E$6:$E$2288,B37)</f>
        <v>0</v>
      </c>
      <c r="J37" s="460">
        <f>+SUMIFS('Salary sheet'!$AR$6:$AR$2288,'Salary sheet'!$F$6:$F$2288,C37,'Salary sheet'!$E$6:$E$2288,B37)</f>
        <v>0</v>
      </c>
      <c r="K37" s="460">
        <f>SUMIFS('Salary sheet'!$AS$6:$AS$1291,'Salary sheet'!$F$6:$F$1291,'TOTAL(payment)'!C37)</f>
        <v>0</v>
      </c>
      <c r="L37" s="460">
        <f t="shared" si="0"/>
        <v>24434811</v>
      </c>
      <c r="M37" s="459">
        <f t="shared" si="1"/>
        <v>8144937</v>
      </c>
    </row>
    <row r="38" spans="1:13" s="22" customFormat="1" ht="26.25" customHeight="1">
      <c r="A38" s="464">
        <f>SUBTOTAL(3,B$7:B38)</f>
        <v>32</v>
      </c>
      <c r="B38" s="465" t="s">
        <v>221</v>
      </c>
      <c r="C38" s="466" t="s">
        <v>282</v>
      </c>
      <c r="D38" s="467" t="s">
        <v>702</v>
      </c>
      <c r="E38" s="468">
        <f>COUNTIFS('Salary sheet'!$F$6:$F$2288,C38,'Salary sheet'!$E$6:$E$2288,B38)</f>
        <v>51</v>
      </c>
      <c r="F38" s="460">
        <f>+SUMIFS('Salary sheet'!$AN$6:$AN$1292,'Salary sheet'!$F$6:$F$1292,'TOTAL(payment)'!C38,'Salary sheet'!$E$6:$E$1292,'TOTAL(payment)'!B38)</f>
        <v>444162521</v>
      </c>
      <c r="G38" s="460">
        <f>+SUMIFS('Salary sheet'!$AO$6:$AO$2288,'Salary sheet'!$F$6:$F$2288,C38,'Salary sheet'!$E$6:$E$2288,B38)</f>
        <v>29895044</v>
      </c>
      <c r="H38" s="460">
        <f>+SUMIFS('Salary sheet'!$AP$6:$AP$2288,'Salary sheet'!$F$6:$F$2288,C38,'Salary sheet'!$E$6:$E$2288,B38)</f>
        <v>1896300</v>
      </c>
      <c r="I38" s="460">
        <f>+SUMIFS('Salary sheet'!$AQ$6:$AQ$2288,'Salary sheet'!$F$6:$F$2288,C38,'Salary sheet'!$E$6:$E$2288,B38)</f>
        <v>0</v>
      </c>
      <c r="J38" s="460">
        <f>+SUMIFS('Salary sheet'!$AR$6:$AR$2288,'Salary sheet'!$F$6:$F$2288,C38,'Salary sheet'!$E$6:$E$2288,B38)</f>
        <v>0</v>
      </c>
      <c r="K38" s="460">
        <f>SUMIFS('Salary sheet'!$AS$6:$AS$1291,'Salary sheet'!$F$6:$F$1291,'TOTAL(payment)'!C38)</f>
        <v>573856</v>
      </c>
      <c r="L38" s="460">
        <f t="shared" si="0"/>
        <v>411797321</v>
      </c>
      <c r="M38" s="459">
        <f t="shared" si="1"/>
        <v>8074457.2745098043</v>
      </c>
    </row>
    <row r="39" spans="1:13" s="22" customFormat="1" ht="26.25" customHeight="1">
      <c r="A39" s="464">
        <f>SUBTOTAL(3,B$7:B39)</f>
        <v>33</v>
      </c>
      <c r="B39" s="465" t="s">
        <v>221</v>
      </c>
      <c r="C39" s="466" t="s">
        <v>256</v>
      </c>
      <c r="D39" s="467" t="s">
        <v>703</v>
      </c>
      <c r="E39" s="468">
        <f>COUNTIFS('Salary sheet'!$F$6:$F$2288,C39,'Salary sheet'!$E$6:$E$2288,B39)</f>
        <v>65</v>
      </c>
      <c r="F39" s="460">
        <f>+SUMIFS('Salary sheet'!$AN$6:$AN$1292,'Salary sheet'!$F$6:$F$1292,'TOTAL(payment)'!C39,'Salary sheet'!$E$6:$E$1292,'TOTAL(payment)'!B39)</f>
        <v>589227310</v>
      </c>
      <c r="G39" s="460">
        <f>+SUMIFS('Salary sheet'!$AO$6:$AO$2288,'Salary sheet'!$F$6:$F$2288,C39,'Salary sheet'!$E$6:$E$2288,B39)</f>
        <v>37617038</v>
      </c>
      <c r="H39" s="460">
        <f>+SUMIFS('Salary sheet'!$AP$6:$AP$2288,'Salary sheet'!$F$6:$F$2288,C39,'Salary sheet'!$E$6:$E$2288,B39)</f>
        <v>2690100</v>
      </c>
      <c r="I39" s="460">
        <f>+SUMIFS('Salary sheet'!$AQ$6:$AQ$2288,'Salary sheet'!$F$6:$F$2288,C39,'Salary sheet'!$E$6:$E$2288,B39)</f>
        <v>57002</v>
      </c>
      <c r="J39" s="460">
        <f>+SUMIFS('Salary sheet'!$AR$6:$AR$2288,'Salary sheet'!$F$6:$F$2288,C39,'Salary sheet'!$E$6:$E$2288,B39)</f>
        <v>0</v>
      </c>
      <c r="K39" s="460">
        <f>SUMIFS('Salary sheet'!$AS$6:$AS$1291,'Salary sheet'!$F$6:$F$1291,'TOTAL(payment)'!C39)</f>
        <v>202462</v>
      </c>
      <c r="L39" s="460">
        <f t="shared" si="0"/>
        <v>548660708</v>
      </c>
      <c r="M39" s="459">
        <f t="shared" si="1"/>
        <v>8440933.9692307692</v>
      </c>
    </row>
    <row r="40" spans="1:13" s="22" customFormat="1" ht="26.25" customHeight="1">
      <c r="A40" s="464">
        <f>SUBTOTAL(3,B$7:B40)</f>
        <v>34</v>
      </c>
      <c r="B40" s="465" t="s">
        <v>221</v>
      </c>
      <c r="C40" s="466" t="s">
        <v>257</v>
      </c>
      <c r="D40" s="467" t="s">
        <v>593</v>
      </c>
      <c r="E40" s="468">
        <f>COUNTIFS('Salary sheet'!$F$6:$F$2288,C40,'Salary sheet'!$E$6:$E$2288,B40)</f>
        <v>66</v>
      </c>
      <c r="F40" s="460">
        <f>+SUMIFS('Salary sheet'!$AN$6:$AN$1292,'Salary sheet'!$F$6:$F$1292,'TOTAL(payment)'!C40,'Salary sheet'!$E$6:$E$1292,'TOTAL(payment)'!B40)</f>
        <v>609180709</v>
      </c>
      <c r="G40" s="460">
        <f>+SUMIFS('Salary sheet'!$AO$6:$AO$2288,'Salary sheet'!$F$6:$F$2288,C40,'Salary sheet'!$E$6:$E$2288,B40)</f>
        <v>35724360</v>
      </c>
      <c r="H40" s="460">
        <f>+SUMIFS('Salary sheet'!$AP$6:$AP$2288,'Salary sheet'!$F$6:$F$2288,C40,'Salary sheet'!$E$6:$E$2288,B40)</f>
        <v>2513700</v>
      </c>
      <c r="I40" s="460">
        <f>+SUMIFS('Salary sheet'!$AQ$6:$AQ$2288,'Salary sheet'!$F$6:$F$2288,C40,'Salary sheet'!$E$6:$E$2288,B40)</f>
        <v>134429</v>
      </c>
      <c r="J40" s="460">
        <f>+SUMIFS('Salary sheet'!$AR$6:$AR$2288,'Salary sheet'!$F$6:$F$2288,C40,'Salary sheet'!$E$6:$E$2288,B40)</f>
        <v>0</v>
      </c>
      <c r="K40" s="460">
        <f>SUMIFS('Salary sheet'!$AS$6:$AS$1291,'Salary sheet'!$F$6:$F$1291,'TOTAL(payment)'!C40)</f>
        <v>0</v>
      </c>
      <c r="L40" s="460">
        <f t="shared" ref="L40:L71" si="4">+(F40)-SUM(G40:K40)</f>
        <v>570808220</v>
      </c>
      <c r="M40" s="459">
        <f t="shared" ref="M40:M71" si="5">+L40/E40</f>
        <v>8648609.3939393945</v>
      </c>
    </row>
    <row r="41" spans="1:13" s="22" customFormat="1" ht="26.25" customHeight="1">
      <c r="A41" s="464">
        <f>SUBTOTAL(3,B$7:B41)</f>
        <v>35</v>
      </c>
      <c r="B41" s="465" t="s">
        <v>221</v>
      </c>
      <c r="C41" s="466" t="s">
        <v>289</v>
      </c>
      <c r="D41" s="467" t="s">
        <v>453</v>
      </c>
      <c r="E41" s="468">
        <f>COUNTIFS('Salary sheet'!$F$6:$F$2288,C41,'Salary sheet'!$E$6:$E$2288,B41)</f>
        <v>1</v>
      </c>
      <c r="F41" s="460">
        <f>+SUMIFS('Salary sheet'!$AN$6:$AN$1292,'Salary sheet'!$F$6:$F$1292,'TOTAL(payment)'!C41,'Salary sheet'!$E$6:$E$1292,'TOTAL(payment)'!B41)</f>
        <v>12866101</v>
      </c>
      <c r="G41" s="460">
        <f>+SUMIFS('Salary sheet'!$AO$6:$AO$2288,'Salary sheet'!$F$6:$F$2288,C41,'Salary sheet'!$E$6:$E$2288,B41)</f>
        <v>843045</v>
      </c>
      <c r="H41" s="460">
        <f>+SUMIFS('Salary sheet'!$AP$6:$AP$2288,'Salary sheet'!$F$6:$F$2288,C41,'Salary sheet'!$E$6:$E$2288,B41)</f>
        <v>44100</v>
      </c>
      <c r="I41" s="460">
        <f>+SUMIFS('Salary sheet'!$AQ$6:$AQ$2288,'Salary sheet'!$F$6:$F$2288,C41,'Salary sheet'!$E$6:$E$2288,B41)</f>
        <v>0</v>
      </c>
      <c r="J41" s="460">
        <f>+SUMIFS('Salary sheet'!$AR$6:$AR$2288,'Salary sheet'!$F$6:$F$2288,C41,'Salary sheet'!$E$6:$E$2288,B41)</f>
        <v>0</v>
      </c>
      <c r="K41" s="460">
        <f>SUMIFS('Salary sheet'!$AS$6:$AS$1291,'Salary sheet'!$F$6:$F$1291,'TOTAL(payment)'!C41)</f>
        <v>0</v>
      </c>
      <c r="L41" s="460">
        <f t="shared" si="4"/>
        <v>11978956</v>
      </c>
      <c r="M41" s="459">
        <f t="shared" si="5"/>
        <v>11978956</v>
      </c>
    </row>
    <row r="42" spans="1:13" s="22" customFormat="1" ht="26.25" customHeight="1">
      <c r="A42" s="464">
        <f>SUBTOTAL(3,B$7:B42)</f>
        <v>36</v>
      </c>
      <c r="B42" s="465" t="s">
        <v>221</v>
      </c>
      <c r="C42" s="466" t="s">
        <v>258</v>
      </c>
      <c r="D42" s="467" t="s">
        <v>454</v>
      </c>
      <c r="E42" s="468">
        <f>COUNTIFS('Salary sheet'!$F$6:$F$2288,C42,'Salary sheet'!$E$6:$E$2288,B42)</f>
        <v>20</v>
      </c>
      <c r="F42" s="460">
        <f>+SUMIFS('Salary sheet'!$AN$6:$AN$1292,'Salary sheet'!$F$6:$F$1292,'TOTAL(payment)'!C42,'Salary sheet'!$E$6:$E$1292,'TOTAL(payment)'!B42)</f>
        <v>190236008</v>
      </c>
      <c r="G42" s="460">
        <f>+SUMIFS('Salary sheet'!$AO$6:$AO$2288,'Salary sheet'!$F$6:$F$2288,C42,'Salary sheet'!$E$6:$E$2288,B42)</f>
        <v>12750045</v>
      </c>
      <c r="H42" s="460">
        <f>+SUMIFS('Salary sheet'!$AP$6:$AP$2288,'Salary sheet'!$F$6:$F$2288,C42,'Salary sheet'!$E$6:$E$2288,B42)</f>
        <v>837900</v>
      </c>
      <c r="I42" s="460">
        <f>+SUMIFS('Salary sheet'!$AQ$6:$AQ$2288,'Salary sheet'!$F$6:$F$2288,C42,'Salary sheet'!$E$6:$E$2288,B42)</f>
        <v>44933</v>
      </c>
      <c r="J42" s="460">
        <f>+SUMIFS('Salary sheet'!$AR$6:$AR$2288,'Salary sheet'!$F$6:$F$2288,C42,'Salary sheet'!$E$6:$E$2288,B42)</f>
        <v>0</v>
      </c>
      <c r="K42" s="460">
        <f>SUMIFS('Salary sheet'!$AS$6:$AS$1291,'Salary sheet'!$F$6:$F$1291,'TOTAL(payment)'!C42)</f>
        <v>0</v>
      </c>
      <c r="L42" s="460">
        <f t="shared" si="4"/>
        <v>176603130</v>
      </c>
      <c r="M42" s="459">
        <f t="shared" si="5"/>
        <v>8830156.5</v>
      </c>
    </row>
    <row r="43" spans="1:13" s="22" customFormat="1" ht="26.25" customHeight="1">
      <c r="A43" s="464">
        <f>SUBTOTAL(3,B$7:B43)</f>
        <v>37</v>
      </c>
      <c r="B43" s="465" t="s">
        <v>221</v>
      </c>
      <c r="C43" s="466" t="s">
        <v>259</v>
      </c>
      <c r="D43" s="467" t="s">
        <v>455</v>
      </c>
      <c r="E43" s="468">
        <f>COUNTIFS('Salary sheet'!$F$6:$F$2288,C43,'Salary sheet'!$E$6:$E$2288,B43)</f>
        <v>12</v>
      </c>
      <c r="F43" s="460">
        <f>+SUMIFS('Salary sheet'!$AN$6:$AN$1292,'Salary sheet'!$F$6:$F$1292,'TOTAL(payment)'!C43,'Salary sheet'!$E$6:$E$1292,'TOTAL(payment)'!B43)</f>
        <v>120531607</v>
      </c>
      <c r="G43" s="460">
        <f>+SUMIFS('Salary sheet'!$AO$6:$AO$2288,'Salary sheet'!$F$6:$F$2288,C43,'Salary sheet'!$E$6:$E$2288,B43)</f>
        <v>6956670</v>
      </c>
      <c r="H43" s="460">
        <f>+SUMIFS('Salary sheet'!$AP$6:$AP$2288,'Salary sheet'!$F$6:$F$2288,C43,'Salary sheet'!$E$6:$E$2288,B43)</f>
        <v>396900</v>
      </c>
      <c r="I43" s="460">
        <f>+SUMIFS('Salary sheet'!$AQ$6:$AQ$2288,'Salary sheet'!$F$6:$F$2288,C43,'Salary sheet'!$E$6:$E$2288,B43)</f>
        <v>51615</v>
      </c>
      <c r="J43" s="460">
        <f>+SUMIFS('Salary sheet'!$AR$6:$AR$2288,'Salary sheet'!$F$6:$F$2288,C43,'Salary sheet'!$E$6:$E$2288,B43)</f>
        <v>0</v>
      </c>
      <c r="K43" s="460">
        <f>SUMIFS('Salary sheet'!$AS$6:$AS$1291,'Salary sheet'!$F$6:$F$1291,'TOTAL(payment)'!C43)</f>
        <v>0</v>
      </c>
      <c r="L43" s="460">
        <f t="shared" si="4"/>
        <v>113126422</v>
      </c>
      <c r="M43" s="459">
        <f t="shared" si="5"/>
        <v>9427201.833333334</v>
      </c>
    </row>
    <row r="44" spans="1:13" s="22" customFormat="1" ht="26.25" customHeight="1">
      <c r="A44" s="464">
        <f>SUBTOTAL(3,B$7:B44)</f>
        <v>38</v>
      </c>
      <c r="B44" s="465" t="s">
        <v>221</v>
      </c>
      <c r="C44" s="466" t="s">
        <v>260</v>
      </c>
      <c r="D44" s="467" t="s">
        <v>456</v>
      </c>
      <c r="E44" s="468">
        <f>COUNTIFS('Salary sheet'!$F$6:$F$2288,C44,'Salary sheet'!$E$6:$E$2288,B44)</f>
        <v>4</v>
      </c>
      <c r="F44" s="460">
        <f>+SUMIFS('Salary sheet'!$AN$6:$AN$1292,'Salary sheet'!$F$6:$F$1292,'TOTAL(payment)'!C44,'Salary sheet'!$E$6:$E$1292,'TOTAL(payment)'!B44)</f>
        <v>93434854</v>
      </c>
      <c r="G44" s="460">
        <f>+SUMIFS('Salary sheet'!$AO$6:$AO$2288,'Salary sheet'!$F$6:$F$2288,C44,'Salary sheet'!$E$6:$E$2288,B44)</f>
        <v>7950705</v>
      </c>
      <c r="H44" s="460">
        <f>+SUMIFS('Salary sheet'!$AP$6:$AP$2288,'Salary sheet'!$F$6:$F$2288,C44,'Salary sheet'!$E$6:$E$2288,B44)</f>
        <v>176400</v>
      </c>
      <c r="I44" s="460">
        <f>+SUMIFS('Salary sheet'!$AQ$6:$AQ$2288,'Salary sheet'!$F$6:$F$2288,C44,'Salary sheet'!$E$6:$E$2288,B44)</f>
        <v>140095</v>
      </c>
      <c r="J44" s="460">
        <f>+SUMIFS('Salary sheet'!$AR$6:$AR$2288,'Salary sheet'!$F$6:$F$2288,C44,'Salary sheet'!$E$6:$E$2288,B44)</f>
        <v>0</v>
      </c>
      <c r="K44" s="460">
        <f>SUMIFS('Salary sheet'!$AS$6:$AS$1291,'Salary sheet'!$F$6:$F$1291,'TOTAL(payment)'!C44)</f>
        <v>0</v>
      </c>
      <c r="L44" s="460">
        <f t="shared" si="4"/>
        <v>85167654</v>
      </c>
      <c r="M44" s="459">
        <f t="shared" si="5"/>
        <v>21291913.5</v>
      </c>
    </row>
    <row r="45" spans="1:13" s="22" customFormat="1" ht="26.25" customHeight="1">
      <c r="A45" s="464">
        <f>SUBTOTAL(3,B$7:B45)</f>
        <v>39</v>
      </c>
      <c r="B45" s="465" t="s">
        <v>221</v>
      </c>
      <c r="C45" s="466" t="s">
        <v>261</v>
      </c>
      <c r="D45" s="467" t="s">
        <v>457</v>
      </c>
      <c r="E45" s="468">
        <f>COUNTIFS('Salary sheet'!$F$6:$F$2288,C45,'Salary sheet'!$E$6:$E$2288,B45)</f>
        <v>10</v>
      </c>
      <c r="F45" s="460">
        <f>+SUMIFS('Salary sheet'!$AN$6:$AN$1292,'Salary sheet'!$F$6:$F$1292,'TOTAL(payment)'!C45,'Salary sheet'!$E$6:$E$1292,'TOTAL(payment)'!B45)</f>
        <v>89405208</v>
      </c>
      <c r="G45" s="460">
        <f>+SUMIFS('Salary sheet'!$AO$6:$AO$2288,'Salary sheet'!$F$6:$F$2288,C45,'Salary sheet'!$E$6:$E$2288,B45)</f>
        <v>6387990</v>
      </c>
      <c r="H45" s="460">
        <f>+SUMIFS('Salary sheet'!$AP$6:$AP$2288,'Salary sheet'!$F$6:$F$2288,C45,'Salary sheet'!$E$6:$E$2288,B45)</f>
        <v>396900</v>
      </c>
      <c r="I45" s="460">
        <f>+SUMIFS('Salary sheet'!$AQ$6:$AQ$2288,'Salary sheet'!$F$6:$F$2288,C45,'Salary sheet'!$E$6:$E$2288,B45)</f>
        <v>0</v>
      </c>
      <c r="J45" s="460">
        <f>+SUMIFS('Salary sheet'!$AR$6:$AR$2288,'Salary sheet'!$F$6:$F$2288,C45,'Salary sheet'!$E$6:$E$2288,B45)</f>
        <v>0</v>
      </c>
      <c r="K45" s="460">
        <f>SUMIFS('Salary sheet'!$AS$6:$AS$1291,'Salary sheet'!$F$6:$F$1291,'TOTAL(payment)'!C45)</f>
        <v>0</v>
      </c>
      <c r="L45" s="460">
        <f t="shared" si="4"/>
        <v>82620318</v>
      </c>
      <c r="M45" s="459">
        <f t="shared" si="5"/>
        <v>8262031.7999999998</v>
      </c>
    </row>
    <row r="46" spans="1:13" s="22" customFormat="1" ht="26.25" customHeight="1">
      <c r="A46" s="464">
        <f>SUBTOTAL(3,B$7:B46)</f>
        <v>40</v>
      </c>
      <c r="B46" s="465" t="s">
        <v>221</v>
      </c>
      <c r="C46" s="466" t="s">
        <v>262</v>
      </c>
      <c r="D46" s="467" t="s">
        <v>458</v>
      </c>
      <c r="E46" s="468">
        <f>COUNTIFS('Salary sheet'!$F$6:$F$2288,C46,'Salary sheet'!$E$6:$E$2288,B46)</f>
        <v>4</v>
      </c>
      <c r="F46" s="460">
        <f>+SUMIFS('Salary sheet'!$AN$6:$AN$1292,'Salary sheet'!$F$6:$F$1292,'TOTAL(payment)'!C46,'Salary sheet'!$E$6:$E$1292,'TOTAL(payment)'!B46)</f>
        <v>43307324</v>
      </c>
      <c r="G46" s="460">
        <f>+SUMIFS('Salary sheet'!$AO$6:$AO$2288,'Salary sheet'!$F$6:$F$2288,C46,'Salary sheet'!$E$6:$E$2288,B46)</f>
        <v>2795100</v>
      </c>
      <c r="H46" s="460">
        <f>+SUMIFS('Salary sheet'!$AP$6:$AP$2288,'Salary sheet'!$F$6:$F$2288,C46,'Salary sheet'!$E$6:$E$2288,B46)</f>
        <v>176400</v>
      </c>
      <c r="I46" s="460">
        <f>+SUMIFS('Salary sheet'!$AQ$6:$AQ$2288,'Salary sheet'!$F$6:$F$2288,C46,'Salary sheet'!$E$6:$E$2288,B46)</f>
        <v>0</v>
      </c>
      <c r="J46" s="460">
        <f>+SUMIFS('Salary sheet'!$AR$6:$AR$2288,'Salary sheet'!$F$6:$F$2288,C46,'Salary sheet'!$E$6:$E$2288,B46)</f>
        <v>0</v>
      </c>
      <c r="K46" s="460">
        <f>SUMIFS('Salary sheet'!$AS$6:$AS$1291,'Salary sheet'!$F$6:$F$1291,'TOTAL(payment)'!C46)</f>
        <v>0</v>
      </c>
      <c r="L46" s="460">
        <f t="shared" si="4"/>
        <v>40335824</v>
      </c>
      <c r="M46" s="459">
        <f t="shared" si="5"/>
        <v>10083956</v>
      </c>
    </row>
    <row r="47" spans="1:13" s="22" customFormat="1" ht="26.25" customHeight="1">
      <c r="A47" s="464">
        <f>SUBTOTAL(3,B$7:B47)</f>
        <v>41</v>
      </c>
      <c r="B47" s="465" t="s">
        <v>218</v>
      </c>
      <c r="C47" s="466" t="s">
        <v>240</v>
      </c>
      <c r="D47" s="467" t="s">
        <v>459</v>
      </c>
      <c r="E47" s="468">
        <f>COUNTIFS('Salary sheet'!$F$6:$F$2288,C47,'Salary sheet'!$E$6:$E$2288,B47)</f>
        <v>1</v>
      </c>
      <c r="F47" s="460">
        <f>+SUMIFS('Salary sheet'!$AN$6:$AN$1292,'Salary sheet'!$F$6:$F$1292,'TOTAL(payment)'!C47,'Salary sheet'!$E$6:$E$1292,'TOTAL(payment)'!B47)</f>
        <v>8817716</v>
      </c>
      <c r="G47" s="460">
        <f>+SUMIFS('Salary sheet'!$AO$6:$AO$2288,'Salary sheet'!$F$6:$F$2288,C47,'Salary sheet'!$E$6:$E$2288,B47)</f>
        <v>717255</v>
      </c>
      <c r="H47" s="460">
        <f>+SUMIFS('Salary sheet'!$AP$6:$AP$2288,'Salary sheet'!$F$6:$F$2288,C47,'Salary sheet'!$E$6:$E$2288,B47)</f>
        <v>44100</v>
      </c>
      <c r="I47" s="460">
        <f>+SUMIFS('Salary sheet'!$AQ$6:$AQ$2288,'Salary sheet'!$F$6:$F$2288,C47,'Salary sheet'!$E$6:$E$2288,B47)</f>
        <v>0</v>
      </c>
      <c r="J47" s="460">
        <f>+SUMIFS('Salary sheet'!$AR$6:$AR$2288,'Salary sheet'!$F$6:$F$2288,C47,'Salary sheet'!$E$6:$E$2288,B47)</f>
        <v>0</v>
      </c>
      <c r="K47" s="460">
        <f>SUMIFS('Salary sheet'!$AS$6:$AS$1291,'Salary sheet'!$F$6:$F$1291,'TOTAL(payment)'!C47)</f>
        <v>0</v>
      </c>
      <c r="L47" s="460">
        <f t="shared" si="4"/>
        <v>8056361</v>
      </c>
      <c r="M47" s="459">
        <f t="shared" si="5"/>
        <v>8056361</v>
      </c>
    </row>
    <row r="48" spans="1:13" s="22" customFormat="1" ht="26.25" customHeight="1">
      <c r="A48" s="464">
        <f>SUBTOTAL(3,B$7:B48)</f>
        <v>42</v>
      </c>
      <c r="B48" s="465" t="s">
        <v>218</v>
      </c>
      <c r="C48" s="466" t="s">
        <v>516</v>
      </c>
      <c r="D48" s="467" t="s">
        <v>460</v>
      </c>
      <c r="E48" s="468">
        <f>COUNTIFS('Salary sheet'!$F$6:$F$2288,C48,'Salary sheet'!$E$6:$E$2288,B48)</f>
        <v>24</v>
      </c>
      <c r="F48" s="460">
        <f>+SUMIFS('Salary sheet'!$AN$6:$AN$1292,'Salary sheet'!$F$6:$F$1292,'TOTAL(payment)'!C48,'Salary sheet'!$E$6:$E$1292,'TOTAL(payment)'!B48)</f>
        <v>186670446</v>
      </c>
      <c r="G48" s="460">
        <f>+SUMIFS('Salary sheet'!$AO$6:$AO$2288,'Salary sheet'!$F$6:$F$2288,C48,'Salary sheet'!$E$6:$E$2288,B48)</f>
        <v>13341510</v>
      </c>
      <c r="H48" s="460">
        <f>+SUMIFS('Salary sheet'!$AP$6:$AP$2288,'Salary sheet'!$F$6:$F$2288,C48,'Salary sheet'!$E$6:$E$2288,B48)</f>
        <v>970200</v>
      </c>
      <c r="I48" s="460">
        <f>+SUMIFS('Salary sheet'!$AQ$6:$AQ$2288,'Salary sheet'!$F$6:$F$2288,C48,'Salary sheet'!$E$6:$E$2288,B48)</f>
        <v>0</v>
      </c>
      <c r="J48" s="460">
        <f>+SUMIFS('Salary sheet'!$AR$6:$AR$2288,'Salary sheet'!$F$6:$F$2288,C48,'Salary sheet'!$E$6:$E$2288,B48)</f>
        <v>0</v>
      </c>
      <c r="K48" s="460">
        <f>SUMIFS('Salary sheet'!$AS$6:$AS$1291,'Salary sheet'!$F$6:$F$1291,'TOTAL(payment)'!C48)</f>
        <v>0</v>
      </c>
      <c r="L48" s="460">
        <f t="shared" si="4"/>
        <v>172358736</v>
      </c>
      <c r="M48" s="459">
        <f t="shared" si="5"/>
        <v>7181614</v>
      </c>
    </row>
    <row r="49" spans="1:13" s="22" customFormat="1" ht="26.25" customHeight="1">
      <c r="A49" s="464">
        <f>SUBTOTAL(3,B$7:B49)</f>
        <v>43</v>
      </c>
      <c r="B49" s="465" t="s">
        <v>218</v>
      </c>
      <c r="C49" s="466" t="s">
        <v>517</v>
      </c>
      <c r="D49" s="467" t="s">
        <v>704</v>
      </c>
      <c r="E49" s="468">
        <f>COUNTIFS('Salary sheet'!$F$6:$F$2288,C49,'Salary sheet'!$E$6:$E$2288,B49)</f>
        <v>24</v>
      </c>
      <c r="F49" s="460">
        <f>+SUMIFS('Salary sheet'!$AN$6:$AN$1292,'Salary sheet'!$F$6:$F$1292,'TOTAL(payment)'!C49,'Salary sheet'!$E$6:$E$1292,'TOTAL(payment)'!B49)</f>
        <v>188588203</v>
      </c>
      <c r="G49" s="460">
        <f>+SUMIFS('Salary sheet'!$AO$6:$AO$2288,'Salary sheet'!$F$6:$F$2288,C49,'Salary sheet'!$E$6:$E$2288,B49)</f>
        <v>12963510</v>
      </c>
      <c r="H49" s="460">
        <f>+SUMIFS('Salary sheet'!$AP$6:$AP$2288,'Salary sheet'!$F$6:$F$2288,C49,'Salary sheet'!$E$6:$E$2288,B49)</f>
        <v>926100</v>
      </c>
      <c r="I49" s="460">
        <f>+SUMIFS('Salary sheet'!$AQ$6:$AQ$2288,'Salary sheet'!$F$6:$F$2288,C49,'Salary sheet'!$E$6:$E$2288,B49)</f>
        <v>0</v>
      </c>
      <c r="J49" s="460">
        <f>+SUMIFS('Salary sheet'!$AR$6:$AR$2288,'Salary sheet'!$F$6:$F$2288,C49,'Salary sheet'!$E$6:$E$2288,B49)</f>
        <v>65000</v>
      </c>
      <c r="K49" s="460">
        <f>SUMIFS('Salary sheet'!$AS$6:$AS$1291,'Salary sheet'!$F$6:$F$1291,'TOTAL(payment)'!C49)</f>
        <v>0</v>
      </c>
      <c r="L49" s="460">
        <f t="shared" si="4"/>
        <v>174633593</v>
      </c>
      <c r="M49" s="459">
        <f t="shared" si="5"/>
        <v>7276399.708333333</v>
      </c>
    </row>
    <row r="50" spans="1:13" s="22" customFormat="1" ht="26.25" customHeight="1">
      <c r="A50" s="464">
        <f>SUBTOTAL(3,B$7:B50)</f>
        <v>44</v>
      </c>
      <c r="B50" s="465" t="s">
        <v>218</v>
      </c>
      <c r="C50" s="466" t="s">
        <v>518</v>
      </c>
      <c r="D50" s="467" t="s">
        <v>705</v>
      </c>
      <c r="E50" s="468">
        <f>COUNTIFS('Salary sheet'!$F$6:$F$2288,C50,'Salary sheet'!$E$6:$E$2288,B50)</f>
        <v>23</v>
      </c>
      <c r="F50" s="460">
        <f>+SUMIFS('Salary sheet'!$AN$6:$AN$1292,'Salary sheet'!$F$6:$F$1292,'TOTAL(payment)'!C50,'Salary sheet'!$E$6:$E$1292,'TOTAL(payment)'!B50)</f>
        <v>175213131</v>
      </c>
      <c r="G50" s="460">
        <f>+SUMIFS('Salary sheet'!$AO$6:$AO$2288,'Salary sheet'!$F$6:$F$2288,C50,'Salary sheet'!$E$6:$E$2288,B50)</f>
        <v>12938730</v>
      </c>
      <c r="H50" s="460">
        <f>+SUMIFS('Salary sheet'!$AP$6:$AP$2288,'Salary sheet'!$F$6:$F$2288,C50,'Salary sheet'!$E$6:$E$2288,B50)</f>
        <v>926100</v>
      </c>
      <c r="I50" s="460">
        <f>+SUMIFS('Salary sheet'!$AQ$6:$AQ$2288,'Salary sheet'!$F$6:$F$2288,C50,'Salary sheet'!$E$6:$E$2288,B50)</f>
        <v>0</v>
      </c>
      <c r="J50" s="460">
        <f>+SUMIFS('Salary sheet'!$AR$6:$AR$2288,'Salary sheet'!$F$6:$F$2288,C50,'Salary sheet'!$E$6:$E$2288,B50)</f>
        <v>0</v>
      </c>
      <c r="K50" s="460">
        <f>SUMIFS('Salary sheet'!$AS$6:$AS$1291,'Salary sheet'!$F$6:$F$1291,'TOTAL(payment)'!C50)</f>
        <v>0</v>
      </c>
      <c r="L50" s="460">
        <f t="shared" si="4"/>
        <v>161348301</v>
      </c>
      <c r="M50" s="459">
        <f t="shared" si="5"/>
        <v>7015143.5217391308</v>
      </c>
    </row>
    <row r="51" spans="1:13" s="22" customFormat="1" ht="26.25" customHeight="1">
      <c r="A51" s="464">
        <f>SUBTOTAL(3,B$7:B51)</f>
        <v>45</v>
      </c>
      <c r="B51" s="465" t="s">
        <v>218</v>
      </c>
      <c r="C51" s="466" t="s">
        <v>519</v>
      </c>
      <c r="D51" s="467" t="s">
        <v>594</v>
      </c>
      <c r="E51" s="468">
        <f>COUNTIFS('Salary sheet'!$F$6:$F$2288,C51,'Salary sheet'!$E$6:$E$2288,B51)</f>
        <v>21</v>
      </c>
      <c r="F51" s="460">
        <f>+SUMIFS('Salary sheet'!$AN$6:$AN$1292,'Salary sheet'!$F$6:$F$1292,'TOTAL(payment)'!C51,'Salary sheet'!$E$6:$E$1292,'TOTAL(payment)'!B51)</f>
        <v>178708343</v>
      </c>
      <c r="G51" s="460">
        <f>+SUMIFS('Salary sheet'!$AO$6:$AO$2288,'Salary sheet'!$F$6:$F$2288,C51,'Salary sheet'!$E$6:$E$2288,B51)</f>
        <v>11437440</v>
      </c>
      <c r="H51" s="460">
        <f>+SUMIFS('Salary sheet'!$AP$6:$AP$2288,'Salary sheet'!$F$6:$F$2288,C51,'Salary sheet'!$E$6:$E$2288,B51)</f>
        <v>793800</v>
      </c>
      <c r="I51" s="460">
        <f>+SUMIFS('Salary sheet'!$AQ$6:$AQ$2288,'Salary sheet'!$F$6:$F$2288,C51,'Salary sheet'!$E$6:$E$2288,B51)</f>
        <v>13671</v>
      </c>
      <c r="J51" s="460">
        <f>+SUMIFS('Salary sheet'!$AR$6:$AR$2288,'Salary sheet'!$F$6:$F$2288,C51,'Salary sheet'!$E$6:$E$2288,B51)</f>
        <v>0</v>
      </c>
      <c r="K51" s="460">
        <f>SUMIFS('Salary sheet'!$AS$6:$AS$1291,'Salary sheet'!$F$6:$F$1291,'TOTAL(payment)'!C51)</f>
        <v>0</v>
      </c>
      <c r="L51" s="460">
        <f t="shared" si="4"/>
        <v>166463432</v>
      </c>
      <c r="M51" s="459">
        <f t="shared" si="5"/>
        <v>7926830.0952380951</v>
      </c>
    </row>
    <row r="52" spans="1:13" s="22" customFormat="1" ht="26.25" customHeight="1">
      <c r="A52" s="464">
        <f>SUBTOTAL(3,B$7:B52)</f>
        <v>46</v>
      </c>
      <c r="B52" s="465" t="s">
        <v>218</v>
      </c>
      <c r="C52" s="466" t="s">
        <v>520</v>
      </c>
      <c r="D52" s="467" t="s">
        <v>706</v>
      </c>
      <c r="E52" s="468">
        <f>COUNTIFS('Salary sheet'!$F$6:$F$2288,C52,'Salary sheet'!$E$6:$E$2288,B52)</f>
        <v>25</v>
      </c>
      <c r="F52" s="460">
        <f>+SUMIFS('Salary sheet'!$AN$6:$AN$1292,'Salary sheet'!$F$6:$F$1292,'TOTAL(payment)'!C52,'Salary sheet'!$E$6:$E$1292,'TOTAL(payment)'!B52)</f>
        <v>202653839</v>
      </c>
      <c r="G52" s="460">
        <f>+SUMIFS('Salary sheet'!$AO$6:$AO$2288,'Salary sheet'!$F$6:$F$2288,C52,'Salary sheet'!$E$6:$E$2288,B52)</f>
        <v>12078570</v>
      </c>
      <c r="H52" s="460">
        <f>+SUMIFS('Salary sheet'!$AP$6:$AP$2288,'Salary sheet'!$F$6:$F$2288,C52,'Salary sheet'!$E$6:$E$2288,B52)</f>
        <v>882000</v>
      </c>
      <c r="I52" s="460">
        <f>+SUMIFS('Salary sheet'!$AQ$6:$AQ$2288,'Salary sheet'!$F$6:$F$2288,C52,'Salary sheet'!$E$6:$E$2288,B52)</f>
        <v>0</v>
      </c>
      <c r="J52" s="460">
        <f>+SUMIFS('Salary sheet'!$AR$6:$AR$2288,'Salary sheet'!$F$6:$F$2288,C52,'Salary sheet'!$E$6:$E$2288,B52)</f>
        <v>0</v>
      </c>
      <c r="K52" s="460">
        <f>SUMIFS('Salary sheet'!$AS$6:$AS$1291,'Salary sheet'!$F$6:$F$1291,'TOTAL(payment)'!C52)</f>
        <v>0</v>
      </c>
      <c r="L52" s="460">
        <f t="shared" si="4"/>
        <v>189693269</v>
      </c>
      <c r="M52" s="459">
        <f t="shared" si="5"/>
        <v>7587730.7599999998</v>
      </c>
    </row>
    <row r="53" spans="1:13" s="22" customFormat="1" ht="26.25" customHeight="1">
      <c r="A53" s="464">
        <f>SUBTOTAL(3,B$7:B53)</f>
        <v>47</v>
      </c>
      <c r="B53" s="465" t="s">
        <v>218</v>
      </c>
      <c r="C53" s="466" t="s">
        <v>521</v>
      </c>
      <c r="D53" s="467" t="s">
        <v>707</v>
      </c>
      <c r="E53" s="468">
        <f>COUNTIFS('Salary sheet'!$F$6:$F$2288,C53,'Salary sheet'!$E$6:$E$2288,B53)</f>
        <v>25</v>
      </c>
      <c r="F53" s="460">
        <f>+SUMIFS('Salary sheet'!$AN$6:$AN$1292,'Salary sheet'!$F$6:$F$1292,'TOTAL(payment)'!C53,'Salary sheet'!$E$6:$E$1292,'TOTAL(payment)'!B53)</f>
        <v>224352905</v>
      </c>
      <c r="G53" s="460">
        <f>+SUMIFS('Salary sheet'!$AO$6:$AO$2288,'Salary sheet'!$F$6:$F$2288,C53,'Salary sheet'!$E$6:$E$2288,B53)</f>
        <v>14076090</v>
      </c>
      <c r="H53" s="460">
        <f>+SUMIFS('Salary sheet'!$AP$6:$AP$2288,'Salary sheet'!$F$6:$F$2288,C53,'Salary sheet'!$E$6:$E$2288,B53)</f>
        <v>1014300</v>
      </c>
      <c r="I53" s="460">
        <f>+SUMIFS('Salary sheet'!$AQ$6:$AQ$2288,'Salary sheet'!$F$6:$F$2288,C53,'Salary sheet'!$E$6:$E$2288,B53)</f>
        <v>0</v>
      </c>
      <c r="J53" s="460">
        <f>+SUMIFS('Salary sheet'!$AR$6:$AR$2288,'Salary sheet'!$F$6:$F$2288,C53,'Salary sheet'!$E$6:$E$2288,B53)</f>
        <v>0</v>
      </c>
      <c r="K53" s="460">
        <f>SUMIFS('Salary sheet'!$AS$6:$AS$1291,'Salary sheet'!$F$6:$F$1291,'TOTAL(payment)'!C53)</f>
        <v>0</v>
      </c>
      <c r="L53" s="460">
        <f t="shared" si="4"/>
        <v>209262515</v>
      </c>
      <c r="M53" s="459">
        <f t="shared" si="5"/>
        <v>8370500.5999999996</v>
      </c>
    </row>
    <row r="54" spans="1:13" s="22" customFormat="1" ht="26.25" customHeight="1">
      <c r="A54" s="464">
        <f>SUBTOTAL(3,B$7:B54)</f>
        <v>48</v>
      </c>
      <c r="B54" s="465" t="s">
        <v>218</v>
      </c>
      <c r="C54" s="466" t="s">
        <v>522</v>
      </c>
      <c r="D54" s="467" t="s">
        <v>461</v>
      </c>
      <c r="E54" s="468">
        <f>COUNTIFS('Salary sheet'!$F$6:$F$2288,C54,'Salary sheet'!$E$6:$E$2288,B54)</f>
        <v>14</v>
      </c>
      <c r="F54" s="460">
        <f>+SUMIFS('Salary sheet'!$AN$6:$AN$1292,'Salary sheet'!$F$6:$F$1292,'TOTAL(payment)'!C54,'Salary sheet'!$E$6:$E$1292,'TOTAL(payment)'!B54)</f>
        <v>118016819</v>
      </c>
      <c r="G54" s="460">
        <f>+SUMIFS('Salary sheet'!$AO$6:$AO$2288,'Salary sheet'!$F$6:$F$2288,C54,'Salary sheet'!$E$6:$E$2288,B54)</f>
        <v>8358735</v>
      </c>
      <c r="H54" s="460">
        <f>+SUMIFS('Salary sheet'!$AP$6:$AP$2288,'Salary sheet'!$F$6:$F$2288,C54,'Salary sheet'!$E$6:$E$2288,B54)</f>
        <v>573300</v>
      </c>
      <c r="I54" s="460">
        <f>+SUMIFS('Salary sheet'!$AQ$6:$AQ$2288,'Salary sheet'!$F$6:$F$2288,C54,'Salary sheet'!$E$6:$E$2288,B54)</f>
        <v>0</v>
      </c>
      <c r="J54" s="460">
        <f>+SUMIFS('Salary sheet'!$AR$6:$AR$2288,'Salary sheet'!$F$6:$F$2288,C54,'Salary sheet'!$E$6:$E$2288,B54)</f>
        <v>65000</v>
      </c>
      <c r="K54" s="460">
        <f>SUMIFS('Salary sheet'!$AS$6:$AS$1291,'Salary sheet'!$F$6:$F$1291,'TOTAL(payment)'!C54)</f>
        <v>0</v>
      </c>
      <c r="L54" s="460">
        <f t="shared" si="4"/>
        <v>109019784</v>
      </c>
      <c r="M54" s="459">
        <f t="shared" si="5"/>
        <v>7787127.4285714282</v>
      </c>
    </row>
    <row r="55" spans="1:13" s="22" customFormat="1" ht="26.25" customHeight="1">
      <c r="A55" s="464">
        <f>SUBTOTAL(3,B$7:B55)</f>
        <v>49</v>
      </c>
      <c r="B55" s="465" t="s">
        <v>218</v>
      </c>
      <c r="C55" s="466" t="s">
        <v>523</v>
      </c>
      <c r="D55" s="467" t="s">
        <v>462</v>
      </c>
      <c r="E55" s="468">
        <f>COUNTIFS('Salary sheet'!$F$6:$F$2288,C55,'Salary sheet'!$E$6:$E$2288,B55)</f>
        <v>11</v>
      </c>
      <c r="F55" s="460">
        <f>+SUMIFS('Salary sheet'!$AN$6:$AN$1292,'Salary sheet'!$F$6:$F$1292,'TOTAL(payment)'!C55,'Salary sheet'!$E$6:$E$1292,'TOTAL(payment)'!B55)</f>
        <v>105772162</v>
      </c>
      <c r="G55" s="460">
        <f>+SUMIFS('Salary sheet'!$AO$6:$AO$2288,'Salary sheet'!$F$6:$F$2288,C55,'Salary sheet'!$E$6:$E$2288,B55)</f>
        <v>7827540</v>
      </c>
      <c r="H55" s="460">
        <f>+SUMIFS('Salary sheet'!$AP$6:$AP$2288,'Salary sheet'!$F$6:$F$2288,C55,'Salary sheet'!$E$6:$E$2288,B55)</f>
        <v>485100</v>
      </c>
      <c r="I55" s="460">
        <f>+SUMIFS('Salary sheet'!$AQ$6:$AQ$2288,'Salary sheet'!$F$6:$F$2288,C55,'Salary sheet'!$E$6:$E$2288,B55)</f>
        <v>0</v>
      </c>
      <c r="J55" s="460">
        <f>+SUMIFS('Salary sheet'!$AR$6:$AR$2288,'Salary sheet'!$F$6:$F$2288,C55,'Salary sheet'!$E$6:$E$2288,B55)</f>
        <v>0</v>
      </c>
      <c r="K55" s="460">
        <f>SUMIFS('Salary sheet'!$AS$6:$AS$1291,'Salary sheet'!$F$6:$F$1291,'TOTAL(payment)'!C55)</f>
        <v>0</v>
      </c>
      <c r="L55" s="460">
        <f t="shared" si="4"/>
        <v>97459522</v>
      </c>
      <c r="M55" s="459">
        <f t="shared" si="5"/>
        <v>8859956.5454545449</v>
      </c>
    </row>
    <row r="56" spans="1:13" s="22" customFormat="1" ht="26.25" customHeight="1">
      <c r="A56" s="464">
        <f>SUBTOTAL(3,B$7:B56)</f>
        <v>50</v>
      </c>
      <c r="B56" s="465" t="s">
        <v>218</v>
      </c>
      <c r="C56" s="466" t="s">
        <v>524</v>
      </c>
      <c r="D56" s="467" t="s">
        <v>463</v>
      </c>
      <c r="E56" s="468">
        <f>COUNTIFS('Salary sheet'!$F$6:$F$2288,C56,'Salary sheet'!$E$6:$E$2288,B56)</f>
        <v>4</v>
      </c>
      <c r="F56" s="460">
        <f>+SUMIFS('Salary sheet'!$AN$6:$AN$1292,'Salary sheet'!$F$6:$F$1292,'TOTAL(payment)'!C56,'Salary sheet'!$E$6:$E$1292,'TOTAL(payment)'!B56)</f>
        <v>86883958</v>
      </c>
      <c r="G56" s="460">
        <f>+SUMIFS('Salary sheet'!$AO$6:$AO$2288,'Salary sheet'!$F$6:$F$2288,C56,'Salary sheet'!$E$6:$E$2288,B56)</f>
        <v>7891485</v>
      </c>
      <c r="H56" s="460">
        <f>+SUMIFS('Salary sheet'!$AP$6:$AP$2288,'Salary sheet'!$F$6:$F$2288,C56,'Salary sheet'!$E$6:$E$2288,B56)</f>
        <v>176400</v>
      </c>
      <c r="I56" s="460">
        <f>+SUMIFS('Salary sheet'!$AQ$6:$AQ$2288,'Salary sheet'!$F$6:$F$2288,C56,'Salary sheet'!$E$6:$E$2288,B56)</f>
        <v>487235</v>
      </c>
      <c r="J56" s="460">
        <f>+SUMIFS('Salary sheet'!$AR$6:$AR$2288,'Salary sheet'!$F$6:$F$2288,C56,'Salary sheet'!$E$6:$E$2288,B56)</f>
        <v>70000</v>
      </c>
      <c r="K56" s="460">
        <f>SUMIFS('Salary sheet'!$AS$6:$AS$1291,'Salary sheet'!$F$6:$F$1291,'TOTAL(payment)'!C56)</f>
        <v>0</v>
      </c>
      <c r="L56" s="460">
        <f t="shared" si="4"/>
        <v>78258838</v>
      </c>
      <c r="M56" s="459">
        <f t="shared" si="5"/>
        <v>19564709.5</v>
      </c>
    </row>
    <row r="57" spans="1:13" s="22" customFormat="1" ht="26.25" customHeight="1">
      <c r="A57" s="464">
        <f>SUBTOTAL(3,B$7:B57)</f>
        <v>51</v>
      </c>
      <c r="B57" s="465" t="s">
        <v>218</v>
      </c>
      <c r="C57" s="466" t="s">
        <v>525</v>
      </c>
      <c r="D57" s="467" t="s">
        <v>464</v>
      </c>
      <c r="E57" s="468">
        <f>COUNTIFS('Salary sheet'!$F$6:$F$2288,C57,'Salary sheet'!$E$6:$E$2288,B57)</f>
        <v>11</v>
      </c>
      <c r="F57" s="460">
        <f>+SUMIFS('Salary sheet'!$AN$6:$AN$1292,'Salary sheet'!$F$6:$F$1292,'TOTAL(payment)'!C57,'Salary sheet'!$E$6:$E$1292,'TOTAL(payment)'!B57)</f>
        <v>104554695</v>
      </c>
      <c r="G57" s="460">
        <f>+SUMIFS('Salary sheet'!$AO$6:$AO$2288,'Salary sheet'!$F$6:$F$2288,C57,'Salary sheet'!$E$6:$E$2288,B57)</f>
        <v>7716870</v>
      </c>
      <c r="H57" s="460">
        <f>+SUMIFS('Salary sheet'!$AP$6:$AP$2288,'Salary sheet'!$F$6:$F$2288,C57,'Salary sheet'!$E$6:$E$2288,B57)</f>
        <v>485100</v>
      </c>
      <c r="I57" s="460">
        <f>+SUMIFS('Salary sheet'!$AQ$6:$AQ$2288,'Salary sheet'!$F$6:$F$2288,C57,'Salary sheet'!$E$6:$E$2288,B57)</f>
        <v>0</v>
      </c>
      <c r="J57" s="460">
        <f>+SUMIFS('Salary sheet'!$AR$6:$AR$2288,'Salary sheet'!$F$6:$F$2288,C57,'Salary sheet'!$E$6:$E$2288,B57)</f>
        <v>0</v>
      </c>
      <c r="K57" s="460">
        <f>SUMIFS('Salary sheet'!$AS$6:$AS$1291,'Salary sheet'!$F$6:$F$1291,'TOTAL(payment)'!C57)</f>
        <v>0</v>
      </c>
      <c r="L57" s="460">
        <f t="shared" si="4"/>
        <v>96352725</v>
      </c>
      <c r="M57" s="459">
        <f t="shared" si="5"/>
        <v>8759338.6363636367</v>
      </c>
    </row>
    <row r="58" spans="1:13" s="22" customFormat="1" ht="26.25" customHeight="1">
      <c r="A58" s="464">
        <f>SUBTOTAL(3,B$7:B58)</f>
        <v>52</v>
      </c>
      <c r="B58" s="465" t="s">
        <v>218</v>
      </c>
      <c r="C58" s="466" t="s">
        <v>526</v>
      </c>
      <c r="D58" s="467" t="s">
        <v>465</v>
      </c>
      <c r="E58" s="468">
        <f>COUNTIFS('Salary sheet'!$F$6:$F$2288,C58,'Salary sheet'!$E$6:$E$2288,B58)</f>
        <v>1</v>
      </c>
      <c r="F58" s="460">
        <f>+SUMIFS('Salary sheet'!$AN$6:$AN$1292,'Salary sheet'!$F$6:$F$1292,'TOTAL(payment)'!C58,'Salary sheet'!$E$6:$E$1292,'TOTAL(payment)'!B58)</f>
        <v>8506848</v>
      </c>
      <c r="G58" s="460">
        <f>+SUMIFS('Salary sheet'!$AO$6:$AO$2288,'Salary sheet'!$F$6:$F$2288,C58,'Salary sheet'!$E$6:$E$2288,B58)</f>
        <v>654255</v>
      </c>
      <c r="H58" s="460">
        <f>+SUMIFS('Salary sheet'!$AP$6:$AP$2288,'Salary sheet'!$F$6:$F$2288,C58,'Salary sheet'!$E$6:$E$2288,B58)</f>
        <v>44100</v>
      </c>
      <c r="I58" s="460">
        <f>+SUMIFS('Salary sheet'!$AQ$6:$AQ$2288,'Salary sheet'!$F$6:$F$2288,C58,'Salary sheet'!$E$6:$E$2288,B58)</f>
        <v>0</v>
      </c>
      <c r="J58" s="460">
        <f>+SUMIFS('Salary sheet'!$AR$6:$AR$2288,'Salary sheet'!$F$6:$F$2288,C58,'Salary sheet'!$E$6:$E$2288,B58)</f>
        <v>0</v>
      </c>
      <c r="K58" s="460">
        <f>SUMIFS('Salary sheet'!$AS$6:$AS$1291,'Salary sheet'!$F$6:$F$1291,'TOTAL(payment)'!C58)</f>
        <v>0</v>
      </c>
      <c r="L58" s="460">
        <f t="shared" si="4"/>
        <v>7808493</v>
      </c>
      <c r="M58" s="459">
        <f t="shared" si="5"/>
        <v>7808493</v>
      </c>
    </row>
    <row r="59" spans="1:13" s="22" customFormat="1" ht="26.25" customHeight="1">
      <c r="A59" s="464">
        <f>SUBTOTAL(3,B$7:B59)</f>
        <v>53</v>
      </c>
      <c r="B59" s="465" t="s">
        <v>217</v>
      </c>
      <c r="C59" s="466" t="s">
        <v>564</v>
      </c>
      <c r="D59" s="467" t="s">
        <v>595</v>
      </c>
      <c r="E59" s="468">
        <f>COUNTIFS('Salary sheet'!$F$6:$F$2288,C59,'Salary sheet'!$E$6:$E$2288,B59)</f>
        <v>4</v>
      </c>
      <c r="F59" s="460">
        <f>+SUMIFS('Salary sheet'!$AN$6:$AN$1292,'Salary sheet'!$F$6:$F$1292,'TOTAL(payment)'!C59,'Salary sheet'!$E$6:$E$1292,'TOTAL(payment)'!B59)</f>
        <v>49942462</v>
      </c>
      <c r="G59" s="460">
        <f>+SUMIFS('Salary sheet'!$AO$6:$AO$2288,'Salary sheet'!$F$6:$F$2288,C59,'Salary sheet'!$E$6:$E$2288,B59)</f>
        <v>3467520</v>
      </c>
      <c r="H59" s="460">
        <f>+SUMIFS('Salary sheet'!$AP$6:$AP$2288,'Salary sheet'!$F$6:$F$2288,C59,'Salary sheet'!$E$6:$E$2288,B59)</f>
        <v>176400</v>
      </c>
      <c r="I59" s="460">
        <f>+SUMIFS('Salary sheet'!$AQ$6:$AQ$2288,'Salary sheet'!$F$6:$F$2288,C59,'Salary sheet'!$E$6:$E$2288,B59)</f>
        <v>85143</v>
      </c>
      <c r="J59" s="460">
        <f>+SUMIFS('Salary sheet'!$AR$6:$AR$2288,'Salary sheet'!$F$6:$F$2288,C59,'Salary sheet'!$E$6:$E$2288,B59)</f>
        <v>0</v>
      </c>
      <c r="K59" s="460">
        <f>SUMIFS('Salary sheet'!$AS$6:$AS$1291,'Salary sheet'!$F$6:$F$1291,'TOTAL(payment)'!C59)</f>
        <v>0</v>
      </c>
      <c r="L59" s="460">
        <f t="shared" si="4"/>
        <v>46213399</v>
      </c>
      <c r="M59" s="459">
        <f t="shared" si="5"/>
        <v>11553349.75</v>
      </c>
    </row>
    <row r="60" spans="1:13" s="22" customFormat="1" ht="26.25" customHeight="1">
      <c r="A60" s="464">
        <f>SUBTOTAL(3,B$7:B60)</f>
        <v>54</v>
      </c>
      <c r="B60" s="465" t="s">
        <v>217</v>
      </c>
      <c r="C60" s="466" t="s">
        <v>565</v>
      </c>
      <c r="D60" s="467" t="s">
        <v>597</v>
      </c>
      <c r="E60" s="468">
        <f>COUNTIFS('Salary sheet'!$F$6:$F$2288,C60,'Salary sheet'!$E$6:$E$2288,B60)</f>
        <v>13</v>
      </c>
      <c r="F60" s="460">
        <f>+SUMIFS('Salary sheet'!$AN$6:$AN$1292,'Salary sheet'!$F$6:$F$1292,'TOTAL(payment)'!C60,'Salary sheet'!$E$6:$E$1292,'TOTAL(payment)'!B60)</f>
        <v>132262471</v>
      </c>
      <c r="G60" s="460">
        <f>+SUMIFS('Salary sheet'!$AO$6:$AO$2288,'Salary sheet'!$F$6:$F$2288,C60,'Salary sheet'!$E$6:$E$2288,B60)</f>
        <v>9339855</v>
      </c>
      <c r="H60" s="460">
        <f>+SUMIFS('Salary sheet'!$AP$6:$AP$2288,'Salary sheet'!$F$6:$F$2288,C60,'Salary sheet'!$E$6:$E$2288,B60)</f>
        <v>573300</v>
      </c>
      <c r="I60" s="460">
        <f>+SUMIFS('Salary sheet'!$AQ$6:$AQ$2288,'Salary sheet'!$F$6:$F$2288,C60,'Salary sheet'!$E$6:$E$2288,B60)</f>
        <v>0</v>
      </c>
      <c r="J60" s="460">
        <f>+SUMIFS('Salary sheet'!$AR$6:$AR$2288,'Salary sheet'!$F$6:$F$2288,C60,'Salary sheet'!$E$6:$E$2288,B60)</f>
        <v>0</v>
      </c>
      <c r="K60" s="460">
        <f>SUMIFS('Salary sheet'!$AS$6:$AS$1291,'Salary sheet'!$F$6:$F$1291,'TOTAL(payment)'!C60)</f>
        <v>0</v>
      </c>
      <c r="L60" s="460">
        <f t="shared" si="4"/>
        <v>122349316</v>
      </c>
      <c r="M60" s="459">
        <f t="shared" si="5"/>
        <v>9411485.846153846</v>
      </c>
    </row>
    <row r="61" spans="1:13" s="22" customFormat="1" ht="26.25" customHeight="1">
      <c r="A61" s="464">
        <f>SUBTOTAL(3,B$7:B61)</f>
        <v>55</v>
      </c>
      <c r="B61" s="465" t="s">
        <v>217</v>
      </c>
      <c r="C61" s="466" t="s">
        <v>566</v>
      </c>
      <c r="D61" s="467" t="s">
        <v>598</v>
      </c>
      <c r="E61" s="468">
        <f>COUNTIFS('Salary sheet'!$F$6:$F$2288,C61,'Salary sheet'!$E$6:$E$2288,B61)</f>
        <v>4</v>
      </c>
      <c r="F61" s="460">
        <f>+SUMIFS('Salary sheet'!$AN$6:$AN$1292,'Salary sheet'!$F$6:$F$1292,'TOTAL(payment)'!C61,'Salary sheet'!$E$6:$E$1292,'TOTAL(payment)'!B61)</f>
        <v>46534466</v>
      </c>
      <c r="G61" s="460">
        <f>+SUMIFS('Salary sheet'!$AO$6:$AO$2288,'Salary sheet'!$F$6:$F$2288,C61,'Salary sheet'!$E$6:$E$2288,B61)</f>
        <v>3058755</v>
      </c>
      <c r="H61" s="460">
        <f>+SUMIFS('Salary sheet'!$AP$6:$AP$2288,'Salary sheet'!$F$6:$F$2288,C61,'Salary sheet'!$E$6:$E$2288,B61)</f>
        <v>176400</v>
      </c>
      <c r="I61" s="460">
        <f>+SUMIFS('Salary sheet'!$AQ$6:$AQ$2288,'Salary sheet'!$F$6:$F$2288,C61,'Salary sheet'!$E$6:$E$2288,B61)</f>
        <v>0</v>
      </c>
      <c r="J61" s="460">
        <f>+SUMIFS('Salary sheet'!$AR$6:$AR$2288,'Salary sheet'!$F$6:$F$2288,C61,'Salary sheet'!$E$6:$E$2288,B61)</f>
        <v>0</v>
      </c>
      <c r="K61" s="460">
        <f>SUMIFS('Salary sheet'!$AS$6:$AS$1291,'Salary sheet'!$F$6:$F$1291,'TOTAL(payment)'!C61)</f>
        <v>0</v>
      </c>
      <c r="L61" s="460">
        <f t="shared" si="4"/>
        <v>43299311</v>
      </c>
      <c r="M61" s="459">
        <f t="shared" si="5"/>
        <v>10824827.75</v>
      </c>
    </row>
    <row r="62" spans="1:13" s="22" customFormat="1" ht="26.25" customHeight="1">
      <c r="A62" s="464">
        <f>SUBTOTAL(3,B$7:B62)</f>
        <v>56</v>
      </c>
      <c r="B62" s="465" t="s">
        <v>217</v>
      </c>
      <c r="C62" s="466" t="s">
        <v>567</v>
      </c>
      <c r="D62" s="467" t="s">
        <v>599</v>
      </c>
      <c r="E62" s="468">
        <f>COUNTIFS('Salary sheet'!$F$6:$F$2288,C62,'Salary sheet'!$E$6:$E$2288,B62)</f>
        <v>5</v>
      </c>
      <c r="F62" s="460">
        <f>+SUMIFS('Salary sheet'!$AN$6:$AN$1292,'Salary sheet'!$F$6:$F$1292,'TOTAL(payment)'!C62,'Salary sheet'!$E$6:$E$1292,'TOTAL(payment)'!B62)</f>
        <v>48177378</v>
      </c>
      <c r="G62" s="460">
        <f>+SUMIFS('Salary sheet'!$AO$6:$AO$2288,'Salary sheet'!$F$6:$F$2288,C62,'Salary sheet'!$E$6:$E$2288,B62)</f>
        <v>3467310</v>
      </c>
      <c r="H62" s="460">
        <f>+SUMIFS('Salary sheet'!$AP$6:$AP$2288,'Salary sheet'!$F$6:$F$2288,C62,'Salary sheet'!$E$6:$E$2288,B62)</f>
        <v>220500</v>
      </c>
      <c r="I62" s="460">
        <f>+SUMIFS('Salary sheet'!$AQ$6:$AQ$2288,'Salary sheet'!$F$6:$F$2288,C62,'Salary sheet'!$E$6:$E$2288,B62)</f>
        <v>0</v>
      </c>
      <c r="J62" s="460">
        <f>+SUMIFS('Salary sheet'!$AR$6:$AR$2288,'Salary sheet'!$F$6:$F$2288,C62,'Salary sheet'!$E$6:$E$2288,B62)</f>
        <v>0</v>
      </c>
      <c r="K62" s="460">
        <f>SUMIFS('Salary sheet'!$AS$6:$AS$1291,'Salary sheet'!$F$6:$F$1291,'TOTAL(payment)'!C62)</f>
        <v>0</v>
      </c>
      <c r="L62" s="460">
        <f t="shared" si="4"/>
        <v>44489568</v>
      </c>
      <c r="M62" s="459">
        <f t="shared" si="5"/>
        <v>8897913.5999999996</v>
      </c>
    </row>
    <row r="63" spans="1:13" s="22" customFormat="1" ht="26.25" customHeight="1">
      <c r="A63" s="464">
        <f>SUBTOTAL(3,B$7:B63)</f>
        <v>57</v>
      </c>
      <c r="B63" s="465" t="s">
        <v>217</v>
      </c>
      <c r="C63" s="466" t="s">
        <v>568</v>
      </c>
      <c r="D63" s="467" t="s">
        <v>600</v>
      </c>
      <c r="E63" s="468">
        <f>COUNTIFS('Salary sheet'!$F$6:$F$2288,C63,'Salary sheet'!$E$6:$E$2288,B63)</f>
        <v>14</v>
      </c>
      <c r="F63" s="460">
        <f>+SUMIFS('Salary sheet'!$AN$6:$AN$1292,'Salary sheet'!$F$6:$F$1292,'TOTAL(payment)'!C63,'Salary sheet'!$E$6:$E$1292,'TOTAL(payment)'!B63)</f>
        <v>138702839</v>
      </c>
      <c r="G63" s="460">
        <f>+SUMIFS('Salary sheet'!$AO$6:$AO$2288,'Salary sheet'!$F$6:$F$2288,C63,'Salary sheet'!$E$6:$E$2288,B63)</f>
        <v>9504810</v>
      </c>
      <c r="H63" s="460">
        <f>+SUMIFS('Salary sheet'!$AP$6:$AP$2288,'Salary sheet'!$F$6:$F$2288,C63,'Salary sheet'!$E$6:$E$2288,B63)</f>
        <v>573300</v>
      </c>
      <c r="I63" s="460">
        <f>+SUMIFS('Salary sheet'!$AQ$6:$AQ$2288,'Salary sheet'!$F$6:$F$2288,C63,'Salary sheet'!$E$6:$E$2288,B63)</f>
        <v>0</v>
      </c>
      <c r="J63" s="460">
        <f>+SUMIFS('Salary sheet'!$AR$6:$AR$2288,'Salary sheet'!$F$6:$F$2288,C63,'Salary sheet'!$E$6:$E$2288,B63)</f>
        <v>0</v>
      </c>
      <c r="K63" s="460">
        <f>SUMIFS('Salary sheet'!$AS$6:$AS$1291,'Salary sheet'!$F$6:$F$1291,'TOTAL(payment)'!C63)</f>
        <v>0</v>
      </c>
      <c r="L63" s="460">
        <f t="shared" si="4"/>
        <v>128624729</v>
      </c>
      <c r="M63" s="459">
        <f t="shared" si="5"/>
        <v>9187480.6428571437</v>
      </c>
    </row>
    <row r="64" spans="1:13" s="22" customFormat="1" ht="26.25" customHeight="1">
      <c r="A64" s="464">
        <f>SUBTOTAL(3,B$7:B64)</f>
        <v>58</v>
      </c>
      <c r="B64" s="465" t="s">
        <v>217</v>
      </c>
      <c r="C64" s="466" t="s">
        <v>569</v>
      </c>
      <c r="D64" s="467" t="s">
        <v>601</v>
      </c>
      <c r="E64" s="468">
        <f>COUNTIFS('Salary sheet'!$F$6:$F$2288,C64,'Salary sheet'!$E$6:$E$2288,B64)</f>
        <v>13</v>
      </c>
      <c r="F64" s="460">
        <f>+SUMIFS('Salary sheet'!$AN$6:$AN$1292,'Salary sheet'!$F$6:$F$1292,'TOTAL(payment)'!C64,'Salary sheet'!$E$6:$E$1292,'TOTAL(payment)'!B64)</f>
        <v>116609399</v>
      </c>
      <c r="G64" s="460">
        <f>+SUMIFS('Salary sheet'!$AO$6:$AO$2288,'Salary sheet'!$F$6:$F$2288,C64,'Salary sheet'!$E$6:$E$2288,B64)</f>
        <v>8575560</v>
      </c>
      <c r="H64" s="460">
        <f>+SUMIFS('Salary sheet'!$AP$6:$AP$2288,'Salary sheet'!$F$6:$F$2288,C64,'Salary sheet'!$E$6:$E$2288,B64)</f>
        <v>529200</v>
      </c>
      <c r="I64" s="460">
        <f>+SUMIFS('Salary sheet'!$AQ$6:$AQ$2288,'Salary sheet'!$F$6:$F$2288,C64,'Salary sheet'!$E$6:$E$2288,B64)</f>
        <v>80757</v>
      </c>
      <c r="J64" s="460">
        <f>+SUMIFS('Salary sheet'!$AR$6:$AR$2288,'Salary sheet'!$F$6:$F$2288,C64,'Salary sheet'!$E$6:$E$2288,B64)</f>
        <v>0</v>
      </c>
      <c r="K64" s="460">
        <f>SUMIFS('Salary sheet'!$AS$6:$AS$1291,'Salary sheet'!$F$6:$F$1291,'TOTAL(payment)'!C64)</f>
        <v>0</v>
      </c>
      <c r="L64" s="460">
        <f t="shared" si="4"/>
        <v>107423882</v>
      </c>
      <c r="M64" s="459">
        <f t="shared" si="5"/>
        <v>8263375.538461538</v>
      </c>
    </row>
    <row r="65" spans="1:13" s="22" customFormat="1" ht="26.25" customHeight="1">
      <c r="A65" s="464">
        <f>SUBTOTAL(3,B$7:B65)</f>
        <v>59</v>
      </c>
      <c r="B65" s="465" t="s">
        <v>217</v>
      </c>
      <c r="C65" s="466" t="s">
        <v>570</v>
      </c>
      <c r="D65" s="467" t="s">
        <v>602</v>
      </c>
      <c r="E65" s="468">
        <f>COUNTIFS('Salary sheet'!$F$6:$F$2288,C65,'Salary sheet'!$E$6:$E$2288,B65)</f>
        <v>11</v>
      </c>
      <c r="F65" s="460">
        <f>+SUMIFS('Salary sheet'!$AN$6:$AN$1292,'Salary sheet'!$F$6:$F$1292,'TOTAL(payment)'!C65,'Salary sheet'!$E$6:$E$1292,'TOTAL(payment)'!B65)</f>
        <v>93800752</v>
      </c>
      <c r="G65" s="460">
        <f>+SUMIFS('Salary sheet'!$AO$6:$AO$2288,'Salary sheet'!$F$6:$F$2288,C65,'Salary sheet'!$E$6:$E$2288,B65)</f>
        <v>6608490</v>
      </c>
      <c r="H65" s="460">
        <f>+SUMIFS('Salary sheet'!$AP$6:$AP$2288,'Salary sheet'!$F$6:$F$2288,C65,'Salary sheet'!$E$6:$E$2288,B65)</f>
        <v>485100</v>
      </c>
      <c r="I65" s="460">
        <f>+SUMIFS('Salary sheet'!$AQ$6:$AQ$2288,'Salary sheet'!$F$6:$F$2288,C65,'Salary sheet'!$E$6:$E$2288,B65)</f>
        <v>0</v>
      </c>
      <c r="J65" s="460">
        <f>+SUMIFS('Salary sheet'!$AR$6:$AR$2288,'Salary sheet'!$F$6:$F$2288,C65,'Salary sheet'!$E$6:$E$2288,B65)</f>
        <v>0</v>
      </c>
      <c r="K65" s="460">
        <f>SUMIFS('Salary sheet'!$AS$6:$AS$1291,'Salary sheet'!$F$6:$F$1291,'TOTAL(payment)'!C65)</f>
        <v>0</v>
      </c>
      <c r="L65" s="460">
        <f t="shared" si="4"/>
        <v>86707162</v>
      </c>
      <c r="M65" s="459">
        <f t="shared" si="5"/>
        <v>7882469.2727272725</v>
      </c>
    </row>
    <row r="66" spans="1:13" s="22" customFormat="1" ht="26.25" customHeight="1">
      <c r="A66" s="464">
        <f>SUBTOTAL(3,B$7:B66)</f>
        <v>60</v>
      </c>
      <c r="B66" s="465" t="s">
        <v>217</v>
      </c>
      <c r="C66" s="466" t="s">
        <v>239</v>
      </c>
      <c r="D66" s="467" t="s">
        <v>466</v>
      </c>
      <c r="E66" s="468">
        <f>COUNTIFS('Salary sheet'!$F$6:$F$2288,C66,'Salary sheet'!$E$6:$E$2288,B66)</f>
        <v>1</v>
      </c>
      <c r="F66" s="460">
        <f>+SUMIFS('Salary sheet'!$AN$6:$AN$1292,'Salary sheet'!$F$6:$F$1292,'TOTAL(payment)'!C66,'Salary sheet'!$E$6:$E$1292,'TOTAL(payment)'!B66)</f>
        <v>10541887</v>
      </c>
      <c r="G66" s="460">
        <f>+SUMIFS('Salary sheet'!$AO$6:$AO$2288,'Salary sheet'!$F$6:$F$2288,C66,'Salary sheet'!$E$6:$E$2288,B66)</f>
        <v>717255</v>
      </c>
      <c r="H66" s="460">
        <f>+SUMIFS('Salary sheet'!$AP$6:$AP$2288,'Salary sheet'!$F$6:$F$2288,C66,'Salary sheet'!$E$6:$E$2288,B66)</f>
        <v>44100</v>
      </c>
      <c r="I66" s="460">
        <f>+SUMIFS('Salary sheet'!$AQ$6:$AQ$2288,'Salary sheet'!$F$6:$F$2288,C66,'Salary sheet'!$E$6:$E$2288,B66)</f>
        <v>0</v>
      </c>
      <c r="J66" s="460">
        <f>+SUMIFS('Salary sheet'!$AR$6:$AR$2288,'Salary sheet'!$F$6:$F$2288,C66,'Salary sheet'!$E$6:$E$2288,B66)</f>
        <v>0</v>
      </c>
      <c r="K66" s="460">
        <f>SUMIFS('Salary sheet'!$AS$6:$AS$1291,'Salary sheet'!$F$6:$F$1291,'TOTAL(payment)'!C66)</f>
        <v>0</v>
      </c>
      <c r="L66" s="460">
        <f t="shared" si="4"/>
        <v>9780532</v>
      </c>
      <c r="M66" s="459">
        <f t="shared" si="5"/>
        <v>9780532</v>
      </c>
    </row>
    <row r="67" spans="1:13" s="22" customFormat="1" ht="26.25" customHeight="1">
      <c r="A67" s="464">
        <f>SUBTOTAL(3,B$7:B67)</f>
        <v>61</v>
      </c>
      <c r="B67" s="465" t="s">
        <v>217</v>
      </c>
      <c r="C67" s="466" t="s">
        <v>571</v>
      </c>
      <c r="D67" s="467" t="s">
        <v>603</v>
      </c>
      <c r="E67" s="468">
        <f>COUNTIFS('Salary sheet'!$F$6:$F$2288,C67,'Salary sheet'!$E$6:$E$2288,B67)</f>
        <v>10</v>
      </c>
      <c r="F67" s="460">
        <f>+SUMIFS('Salary sheet'!$AN$6:$AN$1292,'Salary sheet'!$F$6:$F$1292,'TOTAL(payment)'!C67,'Salary sheet'!$E$6:$E$1292,'TOTAL(payment)'!B67)</f>
        <v>104030318</v>
      </c>
      <c r="G67" s="460">
        <f>+SUMIFS('Salary sheet'!$AO$6:$AO$2288,'Salary sheet'!$F$6:$F$2288,C67,'Salary sheet'!$E$6:$E$2288,B67)</f>
        <v>7117845</v>
      </c>
      <c r="H67" s="460">
        <f>+SUMIFS('Salary sheet'!$AP$6:$AP$2288,'Salary sheet'!$F$6:$F$2288,C67,'Salary sheet'!$E$6:$E$2288,B67)</f>
        <v>441000</v>
      </c>
      <c r="I67" s="460">
        <f>+SUMIFS('Salary sheet'!$AQ$6:$AQ$2288,'Salary sheet'!$F$6:$F$2288,C67,'Salary sheet'!$E$6:$E$2288,B67)</f>
        <v>25176</v>
      </c>
      <c r="J67" s="460">
        <f>+SUMIFS('Salary sheet'!$AR$6:$AR$2288,'Salary sheet'!$F$6:$F$2288,C67,'Salary sheet'!$E$6:$E$2288,B67)</f>
        <v>0</v>
      </c>
      <c r="K67" s="460">
        <f>SUMIFS('Salary sheet'!$AS$6:$AS$1291,'Salary sheet'!$F$6:$F$1291,'TOTAL(payment)'!C67)</f>
        <v>0</v>
      </c>
      <c r="L67" s="460">
        <f t="shared" si="4"/>
        <v>96446297</v>
      </c>
      <c r="M67" s="459">
        <f t="shared" si="5"/>
        <v>9644629.6999999993</v>
      </c>
    </row>
    <row r="68" spans="1:13" s="22" customFormat="1" ht="26.25" customHeight="1">
      <c r="A68" s="464">
        <f>SUBTOTAL(3,B$7:B68)</f>
        <v>62</v>
      </c>
      <c r="B68" s="465" t="s">
        <v>217</v>
      </c>
      <c r="C68" s="466" t="s">
        <v>572</v>
      </c>
      <c r="D68" s="467" t="s">
        <v>604</v>
      </c>
      <c r="E68" s="468">
        <f>COUNTIFS('Salary sheet'!$F$6:$F$2288,C68,'Salary sheet'!$E$6:$E$2288,B68)</f>
        <v>9</v>
      </c>
      <c r="F68" s="460">
        <f>+SUMIFS('Salary sheet'!$AN$6:$AN$1292,'Salary sheet'!$F$6:$F$1292,'TOTAL(payment)'!C68,'Salary sheet'!$E$6:$E$1292,'TOTAL(payment)'!B68)</f>
        <v>85156445</v>
      </c>
      <c r="G68" s="460">
        <f>+SUMIFS('Salary sheet'!$AO$6:$AO$2288,'Salary sheet'!$F$6:$F$2288,C68,'Salary sheet'!$E$6:$E$2288,B68)</f>
        <v>4673235</v>
      </c>
      <c r="H68" s="460">
        <f>+SUMIFS('Salary sheet'!$AP$6:$AP$2288,'Salary sheet'!$F$6:$F$2288,C68,'Salary sheet'!$E$6:$E$2288,B68)</f>
        <v>308700</v>
      </c>
      <c r="I68" s="460">
        <f>+SUMIFS('Salary sheet'!$AQ$6:$AQ$2288,'Salary sheet'!$F$6:$F$2288,C68,'Salary sheet'!$E$6:$E$2288,B68)</f>
        <v>0</v>
      </c>
      <c r="J68" s="460">
        <f>+SUMIFS('Salary sheet'!$AR$6:$AR$2288,'Salary sheet'!$F$6:$F$2288,C68,'Salary sheet'!$E$6:$E$2288,B68)</f>
        <v>0</v>
      </c>
      <c r="K68" s="460">
        <f>SUMIFS('Salary sheet'!$AS$6:$AS$1291,'Salary sheet'!$F$6:$F$1291,'TOTAL(payment)'!C68)</f>
        <v>91558</v>
      </c>
      <c r="L68" s="460">
        <f t="shared" si="4"/>
        <v>80082952</v>
      </c>
      <c r="M68" s="459">
        <f t="shared" si="5"/>
        <v>8898105.777777778</v>
      </c>
    </row>
    <row r="69" spans="1:13" s="22" customFormat="1" ht="26.25" customHeight="1">
      <c r="A69" s="464">
        <f>SUBTOTAL(3,B$7:B69)</f>
        <v>63</v>
      </c>
      <c r="B69" s="465" t="s">
        <v>217</v>
      </c>
      <c r="C69" s="466" t="s">
        <v>573</v>
      </c>
      <c r="D69" s="467" t="s">
        <v>605</v>
      </c>
      <c r="E69" s="468">
        <f>COUNTIFS('Salary sheet'!$F$6:$F$2288,C69,'Salary sheet'!$E$6:$E$2288,B69)</f>
        <v>1</v>
      </c>
      <c r="F69" s="460">
        <f>+SUMIFS('Salary sheet'!$AN$6:$AN$1292,'Salary sheet'!$F$6:$F$1292,'TOTAL(payment)'!C69,'Salary sheet'!$E$6:$E$1292,'TOTAL(payment)'!B69)</f>
        <v>12843030</v>
      </c>
      <c r="G69" s="460">
        <f>+SUMIFS('Salary sheet'!$AO$6:$AO$2288,'Salary sheet'!$F$6:$F$2288,C69,'Salary sheet'!$E$6:$E$2288,B69)</f>
        <v>1181250</v>
      </c>
      <c r="H69" s="460">
        <f>+SUMIFS('Salary sheet'!$AP$6:$AP$2288,'Salary sheet'!$F$6:$F$2288,C69,'Salary sheet'!$E$6:$E$2288,B69)</f>
        <v>44100</v>
      </c>
      <c r="I69" s="460">
        <f>+SUMIFS('Salary sheet'!$AQ$6:$AQ$2288,'Salary sheet'!$F$6:$F$2288,C69,'Salary sheet'!$E$6:$E$2288,B69)</f>
        <v>32680</v>
      </c>
      <c r="J69" s="460">
        <f>+SUMIFS('Salary sheet'!$AR$6:$AR$2288,'Salary sheet'!$F$6:$F$2288,C69,'Salary sheet'!$E$6:$E$2288,B69)</f>
        <v>0</v>
      </c>
      <c r="K69" s="460">
        <f>SUMIFS('Salary sheet'!$AS$6:$AS$1291,'Salary sheet'!$F$6:$F$1291,'TOTAL(payment)'!C69)</f>
        <v>0</v>
      </c>
      <c r="L69" s="460">
        <f t="shared" si="4"/>
        <v>11585000</v>
      </c>
      <c r="M69" s="459">
        <f t="shared" si="5"/>
        <v>11585000</v>
      </c>
    </row>
    <row r="70" spans="1:13" s="22" customFormat="1" ht="26.25" customHeight="1">
      <c r="A70" s="464">
        <f>SUBTOTAL(3,B$7:B70)</f>
        <v>64</v>
      </c>
      <c r="B70" s="465" t="s">
        <v>217</v>
      </c>
      <c r="C70" s="466" t="s">
        <v>574</v>
      </c>
      <c r="D70" s="467" t="s">
        <v>606</v>
      </c>
      <c r="E70" s="468">
        <f>COUNTIFS('Salary sheet'!$F$6:$F$2288,C70,'Salary sheet'!$E$6:$E$2288,B70)</f>
        <v>3</v>
      </c>
      <c r="F70" s="460">
        <f>+SUMIFS('Salary sheet'!$AN$6:$AN$1292,'Salary sheet'!$F$6:$F$1292,'TOTAL(payment)'!C70,'Salary sheet'!$E$6:$E$1292,'TOTAL(payment)'!B70)</f>
        <v>32080178</v>
      </c>
      <c r="G70" s="460">
        <f>+SUMIFS('Salary sheet'!$AO$6:$AO$2288,'Salary sheet'!$F$6:$F$2288,C70,'Salary sheet'!$E$6:$E$2288,B70)</f>
        <v>2767380</v>
      </c>
      <c r="H70" s="460">
        <f>+SUMIFS('Salary sheet'!$AP$6:$AP$2288,'Salary sheet'!$F$6:$F$2288,C70,'Salary sheet'!$E$6:$E$2288,B70)</f>
        <v>132300</v>
      </c>
      <c r="I70" s="460">
        <f>+SUMIFS('Salary sheet'!$AQ$6:$AQ$2288,'Salary sheet'!$F$6:$F$2288,C70,'Salary sheet'!$E$6:$E$2288,B70)</f>
        <v>94864</v>
      </c>
      <c r="J70" s="460">
        <f>+SUMIFS('Salary sheet'!$AR$6:$AR$2288,'Salary sheet'!$F$6:$F$2288,C70,'Salary sheet'!$E$6:$E$2288,B70)</f>
        <v>0</v>
      </c>
      <c r="K70" s="460">
        <f>SUMIFS('Salary sheet'!$AS$6:$AS$1291,'Salary sheet'!$F$6:$F$1291,'TOTAL(payment)'!C70)</f>
        <v>0</v>
      </c>
      <c r="L70" s="460">
        <f t="shared" si="4"/>
        <v>29085634</v>
      </c>
      <c r="M70" s="459">
        <f t="shared" si="5"/>
        <v>9695211.333333334</v>
      </c>
    </row>
    <row r="71" spans="1:13" s="22" customFormat="1" ht="26.25" customHeight="1">
      <c r="A71" s="464">
        <f>SUBTOTAL(3,B$7:B71)</f>
        <v>65</v>
      </c>
      <c r="B71" s="465" t="s">
        <v>217</v>
      </c>
      <c r="C71" s="466" t="s">
        <v>514</v>
      </c>
      <c r="D71" s="467" t="s">
        <v>467</v>
      </c>
      <c r="E71" s="468">
        <f>COUNTIFS('Salary sheet'!$F$6:$F$2288,C71,'Salary sheet'!$E$6:$E$2288,B71)</f>
        <v>5</v>
      </c>
      <c r="F71" s="460">
        <f>+SUMIFS('Salary sheet'!$AN$6:$AN$1292,'Salary sheet'!$F$6:$F$1292,'TOTAL(payment)'!C71,'Salary sheet'!$E$6:$E$1292,'TOTAL(payment)'!B71)</f>
        <v>104556399</v>
      </c>
      <c r="G71" s="460">
        <f>+SUMIFS('Salary sheet'!$AO$6:$AO$2288,'Salary sheet'!$F$6:$F$2288,C71,'Salary sheet'!$E$6:$E$2288,B71)</f>
        <v>9396135</v>
      </c>
      <c r="H71" s="460">
        <f>+SUMIFS('Salary sheet'!$AP$6:$AP$2288,'Salary sheet'!$F$6:$F$2288,C71,'Salary sheet'!$E$6:$E$2288,B71)</f>
        <v>176400</v>
      </c>
      <c r="I71" s="460">
        <f>+SUMIFS('Salary sheet'!$AQ$6:$AQ$2288,'Salary sheet'!$F$6:$F$2288,C71,'Salary sheet'!$E$6:$E$2288,B71)</f>
        <v>553098</v>
      </c>
      <c r="J71" s="460">
        <f>+SUMIFS('Salary sheet'!$AR$6:$AR$2288,'Salary sheet'!$F$6:$F$2288,C71,'Salary sheet'!$E$6:$E$2288,B71)</f>
        <v>0</v>
      </c>
      <c r="K71" s="460">
        <f>SUMIFS('Salary sheet'!$AS$6:$AS$1291,'Salary sheet'!$F$6:$F$1291,'TOTAL(payment)'!C71)</f>
        <v>0</v>
      </c>
      <c r="L71" s="460">
        <f t="shared" si="4"/>
        <v>94430766</v>
      </c>
      <c r="M71" s="459">
        <f t="shared" si="5"/>
        <v>18886153.199999999</v>
      </c>
    </row>
    <row r="72" spans="1:13" s="22" customFormat="1" ht="26.25" customHeight="1">
      <c r="A72" s="464">
        <f>SUBTOTAL(3,B$7:B72)</f>
        <v>66</v>
      </c>
      <c r="B72" s="465" t="s">
        <v>217</v>
      </c>
      <c r="C72" s="466" t="s">
        <v>515</v>
      </c>
      <c r="D72" s="467" t="s">
        <v>468</v>
      </c>
      <c r="E72" s="468">
        <f>COUNTIFS('Salary sheet'!$F$6:$F$2288,C72,'Salary sheet'!$E$6:$E$2288,B72)</f>
        <v>7</v>
      </c>
      <c r="F72" s="460">
        <f>+SUMIFS('Salary sheet'!$AN$6:$AN$1292,'Salary sheet'!$F$6:$F$1292,'TOTAL(payment)'!C72,'Salary sheet'!$E$6:$E$1292,'TOTAL(payment)'!B72)</f>
        <v>76696915</v>
      </c>
      <c r="G72" s="460">
        <f>+SUMIFS('Salary sheet'!$AO$6:$AO$2288,'Salary sheet'!$F$6:$F$2288,C72,'Salary sheet'!$E$6:$E$2288,B72)</f>
        <v>5319405</v>
      </c>
      <c r="H72" s="460">
        <f>+SUMIFS('Salary sheet'!$AP$6:$AP$2288,'Salary sheet'!$F$6:$F$2288,C72,'Salary sheet'!$E$6:$E$2288,B72)</f>
        <v>308700</v>
      </c>
      <c r="I72" s="460">
        <f>+SUMIFS('Salary sheet'!$AQ$6:$AQ$2288,'Salary sheet'!$F$6:$F$2288,C72,'Salary sheet'!$E$6:$E$2288,B72)</f>
        <v>0</v>
      </c>
      <c r="J72" s="460">
        <f>+SUMIFS('Salary sheet'!$AR$6:$AR$2288,'Salary sheet'!$F$6:$F$2288,C72,'Salary sheet'!$E$6:$E$2288,B72)</f>
        <v>0</v>
      </c>
      <c r="K72" s="460">
        <f>SUMIFS('Salary sheet'!$AS$6:$AS$1291,'Salary sheet'!$F$6:$F$1291,'TOTAL(payment)'!C72)</f>
        <v>0</v>
      </c>
      <c r="L72" s="460">
        <f t="shared" ref="L72:L103" si="6">+(F72)-SUM(G72:K72)</f>
        <v>71068810</v>
      </c>
      <c r="M72" s="459">
        <f t="shared" ref="M72:M103" si="7">+L72/E72</f>
        <v>10152687.142857144</v>
      </c>
    </row>
    <row r="73" spans="1:13" s="22" customFormat="1" ht="26.25" customHeight="1">
      <c r="A73" s="464">
        <f>SUBTOTAL(3,B$7:B73)</f>
        <v>67</v>
      </c>
      <c r="B73" s="465" t="s">
        <v>217</v>
      </c>
      <c r="C73" s="466" t="s">
        <v>575</v>
      </c>
      <c r="D73" s="467" t="s">
        <v>607</v>
      </c>
      <c r="E73" s="468">
        <f>COUNTIFS('Salary sheet'!$F$6:$F$2288,C73,'Salary sheet'!$E$6:$E$2288,B73)</f>
        <v>16</v>
      </c>
      <c r="F73" s="460">
        <f>+SUMIFS('Salary sheet'!$AN$6:$AN$1292,'Salary sheet'!$F$6:$F$1292,'TOTAL(payment)'!C73,'Salary sheet'!$E$6:$E$1292,'TOTAL(payment)'!B73)</f>
        <v>144231033</v>
      </c>
      <c r="G73" s="460">
        <f>+SUMIFS('Salary sheet'!$AO$6:$AO$2288,'Salary sheet'!$F$6:$F$2288,C73,'Salary sheet'!$E$6:$E$2288,B73)</f>
        <v>10146780</v>
      </c>
      <c r="H73" s="460">
        <f>+SUMIFS('Salary sheet'!$AP$6:$AP$2288,'Salary sheet'!$F$6:$F$2288,C73,'Salary sheet'!$E$6:$E$2288,B73)</f>
        <v>661500</v>
      </c>
      <c r="I73" s="460">
        <f>+SUMIFS('Salary sheet'!$AQ$6:$AQ$2288,'Salary sheet'!$F$6:$F$2288,C73,'Salary sheet'!$E$6:$E$2288,B73)</f>
        <v>0</v>
      </c>
      <c r="J73" s="460">
        <f>+SUMIFS('Salary sheet'!$AR$6:$AR$2288,'Salary sheet'!$F$6:$F$2288,C73,'Salary sheet'!$E$6:$E$2288,B73)</f>
        <v>0</v>
      </c>
      <c r="K73" s="460">
        <f>SUMIFS('Salary sheet'!$AS$6:$AS$1291,'Salary sheet'!$F$6:$F$1291,'TOTAL(payment)'!C73)</f>
        <v>0</v>
      </c>
      <c r="L73" s="460">
        <f t="shared" si="6"/>
        <v>133422753</v>
      </c>
      <c r="M73" s="459">
        <f t="shared" si="7"/>
        <v>8338922.0625</v>
      </c>
    </row>
    <row r="74" spans="1:13" s="22" customFormat="1" ht="25.5" customHeight="1">
      <c r="A74" s="464">
        <f>SUBTOTAL(3,B$7:B74)</f>
        <v>68</v>
      </c>
      <c r="B74" s="465" t="s">
        <v>217</v>
      </c>
      <c r="C74" s="466" t="s">
        <v>576</v>
      </c>
      <c r="D74" s="467" t="s">
        <v>608</v>
      </c>
      <c r="E74" s="468">
        <f>COUNTIFS('Salary sheet'!$F$6:$F$2288,C74,'Salary sheet'!$E$6:$E$2288,B74)</f>
        <v>16</v>
      </c>
      <c r="F74" s="460">
        <f>+SUMIFS('Salary sheet'!$AN$6:$AN$1292,'Salary sheet'!$F$6:$F$1292,'TOTAL(payment)'!C74,'Salary sheet'!$E$6:$E$1292,'TOTAL(payment)'!B74)</f>
        <v>147098508</v>
      </c>
      <c r="G74" s="460">
        <f>+SUMIFS('Salary sheet'!$AO$6:$AO$2288,'Salary sheet'!$F$6:$F$2288,C74,'Salary sheet'!$E$6:$E$2288,B74)</f>
        <v>10487610</v>
      </c>
      <c r="H74" s="460">
        <f>+SUMIFS('Salary sheet'!$AP$6:$AP$2288,'Salary sheet'!$F$6:$F$2288,C74,'Salary sheet'!$E$6:$E$2288,B74)</f>
        <v>705600</v>
      </c>
      <c r="I74" s="460">
        <f>+SUMIFS('Salary sheet'!$AQ$6:$AQ$2288,'Salary sheet'!$F$6:$F$2288,C74,'Salary sheet'!$E$6:$E$2288,B74)</f>
        <v>0</v>
      </c>
      <c r="J74" s="460">
        <f>+SUMIFS('Salary sheet'!$AR$6:$AR$2288,'Salary sheet'!$F$6:$F$2288,C74,'Salary sheet'!$E$6:$E$2288,B74)</f>
        <v>0</v>
      </c>
      <c r="K74" s="460">
        <f>SUMIFS('Salary sheet'!$AS$6:$AS$1291,'Salary sheet'!$F$6:$F$1291,'TOTAL(payment)'!C74)</f>
        <v>0</v>
      </c>
      <c r="L74" s="460">
        <f t="shared" si="6"/>
        <v>135905298</v>
      </c>
      <c r="M74" s="459">
        <f t="shared" si="7"/>
        <v>8494081.125</v>
      </c>
    </row>
    <row r="75" spans="1:13" s="22" customFormat="1" ht="25.5" customHeight="1">
      <c r="A75" s="464">
        <f>SUBTOTAL(3,B$7:B75)</f>
        <v>69</v>
      </c>
      <c r="B75" s="465" t="s">
        <v>217</v>
      </c>
      <c r="C75" s="466" t="s">
        <v>657</v>
      </c>
      <c r="D75" s="467" t="s">
        <v>596</v>
      </c>
      <c r="E75" s="468">
        <f>COUNTIFS('Salary sheet'!$F$6:$F$2288,C75,'Salary sheet'!$E$6:$E$2288,B75)</f>
        <v>8</v>
      </c>
      <c r="F75" s="460">
        <f>+SUMIFS('Salary sheet'!$AN$6:$AN$1292,'Salary sheet'!$F$6:$F$1292,'TOTAL(payment)'!C75,'Salary sheet'!$E$6:$E$1292,'TOTAL(payment)'!B75)</f>
        <v>73852071</v>
      </c>
      <c r="G75" s="460">
        <f>+SUMIFS('Salary sheet'!$AO$6:$AO$2288,'Salary sheet'!$F$6:$F$2288,C75,'Salary sheet'!$E$6:$E$2288,B75)</f>
        <v>4902030</v>
      </c>
      <c r="H75" s="460">
        <f>+SUMIFS('Salary sheet'!$AP$6:$AP$2288,'Salary sheet'!$F$6:$F$2288,C75,'Salary sheet'!$E$6:$E$2288,B75)</f>
        <v>352800</v>
      </c>
      <c r="I75" s="460">
        <f>+SUMIFS('Salary sheet'!$AQ$6:$AQ$2288,'Salary sheet'!$F$6:$F$2288,C75,'Salary sheet'!$E$6:$E$2288,B75)</f>
        <v>0</v>
      </c>
      <c r="J75" s="460">
        <f>+SUMIFS('Salary sheet'!$AR$6:$AR$2288,'Salary sheet'!$F$6:$F$2288,C75,'Salary sheet'!$E$6:$E$2288,B75)</f>
        <v>0</v>
      </c>
      <c r="K75" s="460">
        <f>SUMIFS('Salary sheet'!$AS$6:$AS$1291,'Salary sheet'!$F$6:$F$1291,'TOTAL(payment)'!C75)</f>
        <v>0</v>
      </c>
      <c r="L75" s="460">
        <f t="shared" si="6"/>
        <v>68597241</v>
      </c>
      <c r="M75" s="459">
        <f t="shared" si="7"/>
        <v>8574655.125</v>
      </c>
    </row>
    <row r="76" spans="1:13" s="22" customFormat="1" ht="26.25" customHeight="1">
      <c r="A76" s="464">
        <f>SUBTOTAL(3,B$7:B76)</f>
        <v>70</v>
      </c>
      <c r="B76" s="465" t="s">
        <v>217</v>
      </c>
      <c r="C76" s="466" t="s">
        <v>577</v>
      </c>
      <c r="D76" s="467" t="s">
        <v>609</v>
      </c>
      <c r="E76" s="468">
        <f>COUNTIFS('Salary sheet'!$F$6:$F$2288,C76,'Salary sheet'!$E$6:$E$2288,B76)</f>
        <v>12</v>
      </c>
      <c r="F76" s="460">
        <f>+SUMIFS('Salary sheet'!$AN$6:$AN$1292,'Salary sheet'!$F$6:$F$1292,'TOTAL(payment)'!C76,'Salary sheet'!$E$6:$E$1292,'TOTAL(payment)'!B76)</f>
        <v>93372676</v>
      </c>
      <c r="G76" s="460">
        <f>+SUMIFS('Salary sheet'!$AO$6:$AO$2288,'Salary sheet'!$F$6:$F$2288,C76,'Salary sheet'!$E$6:$E$2288,B76)</f>
        <v>7702275</v>
      </c>
      <c r="H76" s="460">
        <f>+SUMIFS('Salary sheet'!$AP$6:$AP$2288,'Salary sheet'!$F$6:$F$2288,C76,'Salary sheet'!$E$6:$E$2288,B76)</f>
        <v>529200</v>
      </c>
      <c r="I76" s="460">
        <f>+SUMIFS('Salary sheet'!$AQ$6:$AQ$2288,'Salary sheet'!$F$6:$F$2288,C76,'Salary sheet'!$E$6:$E$2288,B76)</f>
        <v>0</v>
      </c>
      <c r="J76" s="460">
        <f>+SUMIFS('Salary sheet'!$AR$6:$AR$2288,'Salary sheet'!$F$6:$F$2288,C76,'Salary sheet'!$E$6:$E$2288,B76)</f>
        <v>0</v>
      </c>
      <c r="K76" s="460">
        <f>SUMIFS('Salary sheet'!$AS$6:$AS$1291,'Salary sheet'!$F$6:$F$1291,'TOTAL(payment)'!C76)</f>
        <v>0</v>
      </c>
      <c r="L76" s="460">
        <f t="shared" si="6"/>
        <v>85141201</v>
      </c>
      <c r="M76" s="459">
        <f t="shared" si="7"/>
        <v>7095100.083333333</v>
      </c>
    </row>
    <row r="77" spans="1:13" s="22" customFormat="1" ht="26.25" customHeight="1">
      <c r="A77" s="464">
        <f>SUBTOTAL(3,B$7:B77)</f>
        <v>71</v>
      </c>
      <c r="B77" s="465" t="s">
        <v>217</v>
      </c>
      <c r="C77" s="466" t="s">
        <v>578</v>
      </c>
      <c r="D77" s="467" t="s">
        <v>610</v>
      </c>
      <c r="E77" s="468">
        <f>COUNTIFS('Salary sheet'!$F$6:$F$2288,C77,'Salary sheet'!$E$6:$E$2288,B77)</f>
        <v>11</v>
      </c>
      <c r="F77" s="460">
        <f>+SUMIFS('Salary sheet'!$AN$6:$AN$1292,'Salary sheet'!$F$6:$F$1292,'TOTAL(payment)'!C77,'Salary sheet'!$E$6:$E$1292,'TOTAL(payment)'!B77)</f>
        <v>82900630</v>
      </c>
      <c r="G77" s="460">
        <f>+SUMIFS('Salary sheet'!$AO$6:$AO$2288,'Salary sheet'!$F$6:$F$2288,C77,'Salary sheet'!$E$6:$E$2288,B77)</f>
        <v>6714330</v>
      </c>
      <c r="H77" s="460">
        <f>+SUMIFS('Salary sheet'!$AP$6:$AP$2288,'Salary sheet'!$F$6:$F$2288,C77,'Salary sheet'!$E$6:$E$2288,B77)</f>
        <v>485100</v>
      </c>
      <c r="I77" s="460">
        <f>+SUMIFS('Salary sheet'!$AQ$6:$AQ$2288,'Salary sheet'!$F$6:$F$2288,C77,'Salary sheet'!$E$6:$E$2288,B77)</f>
        <v>0</v>
      </c>
      <c r="J77" s="460">
        <f>+SUMIFS('Salary sheet'!$AR$6:$AR$2288,'Salary sheet'!$F$6:$F$2288,C77,'Salary sheet'!$E$6:$E$2288,B77)</f>
        <v>0</v>
      </c>
      <c r="K77" s="460">
        <f>SUMIFS('Salary sheet'!$AS$6:$AS$1291,'Salary sheet'!$F$6:$F$1291,'TOTAL(payment)'!C77)</f>
        <v>0</v>
      </c>
      <c r="L77" s="460">
        <f t="shared" si="6"/>
        <v>75701200</v>
      </c>
      <c r="M77" s="459">
        <f t="shared" si="7"/>
        <v>6881927.2727272725</v>
      </c>
    </row>
    <row r="78" spans="1:13" s="22" customFormat="1" ht="26.25" customHeight="1">
      <c r="A78" s="464">
        <f>SUBTOTAL(3,B$7:B78)</f>
        <v>72</v>
      </c>
      <c r="B78" s="465" t="s">
        <v>217</v>
      </c>
      <c r="C78" s="466" t="s">
        <v>579</v>
      </c>
      <c r="D78" s="467" t="s">
        <v>611</v>
      </c>
      <c r="E78" s="468">
        <f>COUNTIFS('Salary sheet'!$F$6:$F$2288,C78,'Salary sheet'!$E$6:$E$2288,B78)</f>
        <v>9</v>
      </c>
      <c r="F78" s="460">
        <f>+SUMIFS('Salary sheet'!$AN$6:$AN$1292,'Salary sheet'!$F$6:$F$1292,'TOTAL(payment)'!C78,'Salary sheet'!$E$6:$E$1292,'TOTAL(payment)'!B78)</f>
        <v>87455664</v>
      </c>
      <c r="G78" s="460">
        <f>+SUMIFS('Salary sheet'!$AO$6:$AO$2288,'Salary sheet'!$F$6:$F$2288,C78,'Salary sheet'!$E$6:$E$2288,B78)</f>
        <v>5940795</v>
      </c>
      <c r="H78" s="460">
        <f>+SUMIFS('Salary sheet'!$AP$6:$AP$2288,'Salary sheet'!$F$6:$F$2288,C78,'Salary sheet'!$E$6:$E$2288,B78)</f>
        <v>396900</v>
      </c>
      <c r="I78" s="460">
        <f>+SUMIFS('Salary sheet'!$AQ$6:$AQ$2288,'Salary sheet'!$F$6:$F$2288,C78,'Salary sheet'!$E$6:$E$2288,B78)</f>
        <v>0</v>
      </c>
      <c r="J78" s="460">
        <f>+SUMIFS('Salary sheet'!$AR$6:$AR$2288,'Salary sheet'!$F$6:$F$2288,C78,'Salary sheet'!$E$6:$E$2288,B78)</f>
        <v>0</v>
      </c>
      <c r="K78" s="460">
        <f>SUMIFS('Salary sheet'!$AS$6:$AS$1291,'Salary sheet'!$F$6:$F$1291,'TOTAL(payment)'!C78)</f>
        <v>0</v>
      </c>
      <c r="L78" s="460">
        <f t="shared" si="6"/>
        <v>81117969</v>
      </c>
      <c r="M78" s="459">
        <f t="shared" si="7"/>
        <v>9013107.666666666</v>
      </c>
    </row>
    <row r="79" spans="1:13" s="22" customFormat="1" ht="26.25" customHeight="1">
      <c r="A79" s="464">
        <f>SUBTOTAL(3,B$7:B79)</f>
        <v>73</v>
      </c>
      <c r="B79" s="465" t="s">
        <v>217</v>
      </c>
      <c r="C79" s="466" t="s">
        <v>580</v>
      </c>
      <c r="D79" s="467" t="s">
        <v>612</v>
      </c>
      <c r="E79" s="468">
        <f>COUNTIFS('Salary sheet'!$F$6:$F$2288,C79,'Salary sheet'!$E$6:$E$2288,B79)</f>
        <v>3</v>
      </c>
      <c r="F79" s="460">
        <f>+SUMIFS('Salary sheet'!$AN$6:$AN$1292,'Salary sheet'!$F$6:$F$1292,'TOTAL(payment)'!C79,'Salary sheet'!$E$6:$E$1292,'TOTAL(payment)'!B79)</f>
        <v>26609149</v>
      </c>
      <c r="G79" s="460">
        <f>+SUMIFS('Salary sheet'!$AO$6:$AO$2288,'Salary sheet'!$F$6:$F$2288,C79,'Salary sheet'!$E$6:$E$2288,B79)</f>
        <v>1923600</v>
      </c>
      <c r="H79" s="460">
        <f>+SUMIFS('Salary sheet'!$AP$6:$AP$2288,'Salary sheet'!$F$6:$F$2288,C79,'Salary sheet'!$E$6:$E$2288,B79)</f>
        <v>132300</v>
      </c>
      <c r="I79" s="460">
        <f>+SUMIFS('Salary sheet'!$AQ$6:$AQ$2288,'Salary sheet'!$F$6:$F$2288,C79,'Salary sheet'!$E$6:$E$2288,B79)</f>
        <v>0</v>
      </c>
      <c r="J79" s="460">
        <f>+SUMIFS('Salary sheet'!$AR$6:$AR$2288,'Salary sheet'!$F$6:$F$2288,C79,'Salary sheet'!$E$6:$E$2288,B79)</f>
        <v>0</v>
      </c>
      <c r="K79" s="460">
        <f>SUMIFS('Salary sheet'!$AS$6:$AS$1291,'Salary sheet'!$F$6:$F$1291,'TOTAL(payment)'!C79)</f>
        <v>0</v>
      </c>
      <c r="L79" s="460">
        <f t="shared" si="6"/>
        <v>24553249</v>
      </c>
      <c r="M79" s="459">
        <f t="shared" si="7"/>
        <v>8184416.333333333</v>
      </c>
    </row>
    <row r="80" spans="1:13" s="22" customFormat="1" ht="26.25" customHeight="1">
      <c r="A80" s="464">
        <f>SUBTOTAL(3,B$7:B80)</f>
        <v>74</v>
      </c>
      <c r="B80" s="465" t="s">
        <v>217</v>
      </c>
      <c r="C80" s="466" t="s">
        <v>581</v>
      </c>
      <c r="D80" s="467" t="s">
        <v>613</v>
      </c>
      <c r="E80" s="468">
        <f>COUNTIFS('Salary sheet'!$F$6:$F$2288,C80,'Salary sheet'!$E$6:$E$2288,B80)</f>
        <v>4</v>
      </c>
      <c r="F80" s="460">
        <f>+SUMIFS('Salary sheet'!$AN$6:$AN$1292,'Salary sheet'!$F$6:$F$1292,'TOTAL(payment)'!C80,'Salary sheet'!$E$6:$E$1292,'TOTAL(payment)'!B80)</f>
        <v>26892124</v>
      </c>
      <c r="G80" s="460">
        <f>+SUMIFS('Salary sheet'!$AO$6:$AO$2288,'Salary sheet'!$F$6:$F$2288,C80,'Salary sheet'!$E$6:$E$2288,B80)</f>
        <v>1755810</v>
      </c>
      <c r="H80" s="460">
        <f>+SUMIFS('Salary sheet'!$AP$6:$AP$2288,'Salary sheet'!$F$6:$F$2288,C80,'Salary sheet'!$E$6:$E$2288,B80)</f>
        <v>176400</v>
      </c>
      <c r="I80" s="460">
        <f>+SUMIFS('Salary sheet'!$AQ$6:$AQ$2288,'Salary sheet'!$F$6:$F$2288,C80,'Salary sheet'!$E$6:$E$2288,B80)</f>
        <v>0</v>
      </c>
      <c r="J80" s="460">
        <f>+SUMIFS('Salary sheet'!$AR$6:$AR$2288,'Salary sheet'!$F$6:$F$2288,C80,'Salary sheet'!$E$6:$E$2288,B80)</f>
        <v>0</v>
      </c>
      <c r="K80" s="460">
        <f>SUMIFS('Salary sheet'!$AS$6:$AS$1291,'Salary sheet'!$F$6:$F$1291,'TOTAL(payment)'!C80)</f>
        <v>0</v>
      </c>
      <c r="L80" s="460">
        <f t="shared" si="6"/>
        <v>24959914</v>
      </c>
      <c r="M80" s="459">
        <f t="shared" si="7"/>
        <v>6239978.5</v>
      </c>
    </row>
    <row r="81" spans="1:13" s="22" customFormat="1" ht="26.25" customHeight="1">
      <c r="A81" s="464">
        <f>SUBTOTAL(3,B$7:B81)</f>
        <v>75</v>
      </c>
      <c r="B81" s="465" t="s">
        <v>216</v>
      </c>
      <c r="C81" s="466" t="s">
        <v>691</v>
      </c>
      <c r="D81" s="467" t="s">
        <v>708</v>
      </c>
      <c r="E81" s="468">
        <f>COUNTIFS('Salary sheet'!$F$6:$F$2288,C81,'Salary sheet'!$E$6:$E$2288,B81)</f>
        <v>42</v>
      </c>
      <c r="F81" s="460">
        <f>+SUMIFS('Salary sheet'!$AN$6:$AN$1292,'Salary sheet'!$F$6:$F$1292,'TOTAL(payment)'!C81,'Salary sheet'!$E$6:$E$1292,'TOTAL(payment)'!B81)</f>
        <v>404482522</v>
      </c>
      <c r="G81" s="460">
        <f>+SUMIFS('Salary sheet'!$AO$6:$AO$2288,'Salary sheet'!$F$6:$F$2288,C81,'Salary sheet'!$E$6:$E$2288,B81)</f>
        <v>26197500</v>
      </c>
      <c r="H81" s="460">
        <f>+SUMIFS('Salary sheet'!$AP$6:$AP$2288,'Salary sheet'!$F$6:$F$2288,C81,'Salary sheet'!$E$6:$E$2288,B81)</f>
        <v>1852200</v>
      </c>
      <c r="I81" s="460">
        <f>+SUMIFS('Salary sheet'!$AQ$6:$AQ$2288,'Salary sheet'!$F$6:$F$2288,C81,'Salary sheet'!$E$6:$E$2288,B81)</f>
        <v>0</v>
      </c>
      <c r="J81" s="460">
        <f>+SUMIFS('Salary sheet'!$AR$6:$AR$2288,'Salary sheet'!$F$6:$F$2288,C81,'Salary sheet'!$E$6:$E$2288,B81)</f>
        <v>0</v>
      </c>
      <c r="K81" s="460">
        <f>SUMIFS('Salary sheet'!$AS$6:$AS$1291,'Salary sheet'!$F$6:$F$1291,'TOTAL(payment)'!C81)</f>
        <v>56943</v>
      </c>
      <c r="L81" s="460">
        <f t="shared" si="6"/>
        <v>376375879</v>
      </c>
      <c r="M81" s="459">
        <f t="shared" si="7"/>
        <v>8961330.4523809515</v>
      </c>
    </row>
    <row r="82" spans="1:13" s="22" customFormat="1" ht="26.25" customHeight="1">
      <c r="A82" s="464">
        <f>SUBTOTAL(3,B$7:B82)</f>
        <v>76</v>
      </c>
      <c r="B82" s="465" t="s">
        <v>216</v>
      </c>
      <c r="C82" s="466" t="s">
        <v>692</v>
      </c>
      <c r="D82" s="467" t="s">
        <v>474</v>
      </c>
      <c r="E82" s="468">
        <f>COUNTIFS('Salary sheet'!$F$6:$F$2288,C82,'Salary sheet'!$E$6:$E$2288,B82)</f>
        <v>21</v>
      </c>
      <c r="F82" s="460">
        <f>+SUMIFS('Salary sheet'!$AN$6:$AN$1292,'Salary sheet'!$F$6:$F$1292,'TOTAL(payment)'!C82,'Salary sheet'!$E$6:$E$1292,'TOTAL(payment)'!B82)</f>
        <v>213852512</v>
      </c>
      <c r="G82" s="460">
        <f>+SUMIFS('Salary sheet'!$AO$6:$AO$2288,'Salary sheet'!$F$6:$F$2288,C82,'Salary sheet'!$E$6:$E$2288,B82)</f>
        <v>14352870</v>
      </c>
      <c r="H82" s="460">
        <f>+SUMIFS('Salary sheet'!$AP$6:$AP$2288,'Salary sheet'!$F$6:$F$2288,C82,'Salary sheet'!$E$6:$E$2288,B82)</f>
        <v>882000</v>
      </c>
      <c r="I82" s="460">
        <f>+SUMIFS('Salary sheet'!$AQ$6:$AQ$2288,'Salary sheet'!$F$6:$F$2288,C82,'Salary sheet'!$E$6:$E$2288,B82)</f>
        <v>12850</v>
      </c>
      <c r="J82" s="460">
        <f>+SUMIFS('Salary sheet'!$AR$6:$AR$2288,'Salary sheet'!$F$6:$F$2288,C82,'Salary sheet'!$E$6:$E$2288,B82)</f>
        <v>0</v>
      </c>
      <c r="K82" s="460">
        <f>SUMIFS('Salary sheet'!$AS$6:$AS$1291,'Salary sheet'!$F$6:$F$1291,'TOTAL(payment)'!C82)</f>
        <v>0</v>
      </c>
      <c r="L82" s="460">
        <f t="shared" si="6"/>
        <v>198604792</v>
      </c>
      <c r="M82" s="459">
        <f t="shared" si="7"/>
        <v>9457371.0476190485</v>
      </c>
    </row>
    <row r="83" spans="1:13" s="22" customFormat="1" ht="26.25" customHeight="1">
      <c r="A83" s="464">
        <f>SUBTOTAL(3,B$7:B83)</f>
        <v>77</v>
      </c>
      <c r="B83" s="465" t="s">
        <v>216</v>
      </c>
      <c r="C83" s="466" t="s">
        <v>693</v>
      </c>
      <c r="D83" s="467" t="s">
        <v>709</v>
      </c>
      <c r="E83" s="468">
        <f>COUNTIFS('Salary sheet'!$F$6:$F$2288,C83,'Salary sheet'!$E$6:$E$2288,B83)</f>
        <v>26</v>
      </c>
      <c r="F83" s="460">
        <f>+SUMIFS('Salary sheet'!$AN$6:$AN$1292,'Salary sheet'!$F$6:$F$1292,'TOTAL(payment)'!C83,'Salary sheet'!$E$6:$E$1292,'TOTAL(payment)'!B83)</f>
        <v>242589923</v>
      </c>
      <c r="G83" s="460">
        <f>+SUMIFS('Salary sheet'!$AO$6:$AO$2288,'Salary sheet'!$F$6:$F$2288,C83,'Salary sheet'!$E$6:$E$2288,B83)</f>
        <v>16411605</v>
      </c>
      <c r="H83" s="460">
        <f>+SUMIFS('Salary sheet'!$AP$6:$AP$2288,'Salary sheet'!$F$6:$F$2288,C83,'Salary sheet'!$E$6:$E$2288,B83)</f>
        <v>1146600</v>
      </c>
      <c r="I83" s="460">
        <f>+SUMIFS('Salary sheet'!$AQ$6:$AQ$2288,'Salary sheet'!$F$6:$F$2288,C83,'Salary sheet'!$E$6:$E$2288,B83)</f>
        <v>15299</v>
      </c>
      <c r="J83" s="460">
        <f>+SUMIFS('Salary sheet'!$AR$6:$AR$2288,'Salary sheet'!$F$6:$F$2288,C83,'Salary sheet'!$E$6:$E$2288,B83)</f>
        <v>0</v>
      </c>
      <c r="K83" s="460">
        <f>SUMIFS('Salary sheet'!$AS$6:$AS$1291,'Salary sheet'!$F$6:$F$1291,'TOTAL(payment)'!C83)</f>
        <v>0</v>
      </c>
      <c r="L83" s="460">
        <f t="shared" si="6"/>
        <v>225016419</v>
      </c>
      <c r="M83" s="459">
        <f t="shared" si="7"/>
        <v>8654477.653846154</v>
      </c>
    </row>
    <row r="84" spans="1:13" s="22" customFormat="1" ht="26.25" customHeight="1">
      <c r="A84" s="464">
        <f>SUBTOTAL(3,B$7:B84)</f>
        <v>78</v>
      </c>
      <c r="B84" s="465" t="s">
        <v>216</v>
      </c>
      <c r="C84" s="466" t="s">
        <v>694</v>
      </c>
      <c r="D84" s="467" t="s">
        <v>710</v>
      </c>
      <c r="E84" s="468">
        <f>COUNTIFS('Salary sheet'!$F$6:$F$2288,C84,'Salary sheet'!$E$6:$E$2288,B84)</f>
        <v>24</v>
      </c>
      <c r="F84" s="460">
        <f>+SUMIFS('Salary sheet'!$AN$6:$AN$1292,'Salary sheet'!$F$6:$F$1292,'TOTAL(payment)'!C84,'Salary sheet'!$E$6:$E$1292,'TOTAL(payment)'!B84)</f>
        <v>229238234</v>
      </c>
      <c r="G84" s="460">
        <f>+SUMIFS('Salary sheet'!$AO$6:$AO$2288,'Salary sheet'!$F$6:$F$2288,C84,'Salary sheet'!$E$6:$E$2288,B84)</f>
        <v>14942970</v>
      </c>
      <c r="H84" s="460">
        <f>+SUMIFS('Salary sheet'!$AP$6:$AP$2288,'Salary sheet'!$F$6:$F$2288,C84,'Salary sheet'!$E$6:$E$2288,B84)</f>
        <v>1058400</v>
      </c>
      <c r="I84" s="460">
        <f>+SUMIFS('Salary sheet'!$AQ$6:$AQ$2288,'Salary sheet'!$F$6:$F$2288,C84,'Salary sheet'!$E$6:$E$2288,B84)</f>
        <v>0</v>
      </c>
      <c r="J84" s="460">
        <f>+SUMIFS('Salary sheet'!$AR$6:$AR$2288,'Salary sheet'!$F$6:$F$2288,C84,'Salary sheet'!$E$6:$E$2288,B84)</f>
        <v>0</v>
      </c>
      <c r="K84" s="460">
        <f>SUMIFS('Salary sheet'!$AS$6:$AS$1291,'Salary sheet'!$F$6:$F$1291,'TOTAL(payment)'!C84)</f>
        <v>0</v>
      </c>
      <c r="L84" s="460">
        <f t="shared" si="6"/>
        <v>213236864</v>
      </c>
      <c r="M84" s="459">
        <f t="shared" si="7"/>
        <v>8884869.333333334</v>
      </c>
    </row>
    <row r="85" spans="1:13" s="22" customFormat="1" ht="26.25" customHeight="1">
      <c r="A85" s="464">
        <f>SUBTOTAL(3,B$7:B85)</f>
        <v>79</v>
      </c>
      <c r="B85" s="465" t="s">
        <v>216</v>
      </c>
      <c r="C85" s="466" t="s">
        <v>695</v>
      </c>
      <c r="D85" s="467" t="s">
        <v>711</v>
      </c>
      <c r="E85" s="468">
        <f>COUNTIFS('Salary sheet'!$F$6:$F$2288,C85,'Salary sheet'!$E$6:$E$2288,B85)</f>
        <v>23</v>
      </c>
      <c r="F85" s="460">
        <f>+SUMIFS('Salary sheet'!$AN$6:$AN$1292,'Salary sheet'!$F$6:$F$1292,'TOTAL(payment)'!C85,'Salary sheet'!$E$6:$E$1292,'TOTAL(payment)'!B85)</f>
        <v>215684046</v>
      </c>
      <c r="G85" s="460">
        <f>+SUMIFS('Salary sheet'!$AO$6:$AO$2288,'Salary sheet'!$F$6:$F$2288,C85,'Salary sheet'!$E$6:$E$2288,B85)</f>
        <v>14494935</v>
      </c>
      <c r="H85" s="460">
        <f>+SUMIFS('Salary sheet'!$AP$6:$AP$2288,'Salary sheet'!$F$6:$F$2288,C85,'Salary sheet'!$E$6:$E$2288,B85)</f>
        <v>1014300</v>
      </c>
      <c r="I85" s="460">
        <f>+SUMIFS('Salary sheet'!$AQ$6:$AQ$2288,'Salary sheet'!$F$6:$F$2288,C85,'Salary sheet'!$E$6:$E$2288,B85)</f>
        <v>0</v>
      </c>
      <c r="J85" s="460">
        <f>+SUMIFS('Salary sheet'!$AR$6:$AR$2288,'Salary sheet'!$F$6:$F$2288,C85,'Salary sheet'!$E$6:$E$2288,B85)</f>
        <v>0</v>
      </c>
      <c r="K85" s="460">
        <f>SUMIFS('Salary sheet'!$AS$6:$AS$1291,'Salary sheet'!$F$6:$F$1291,'TOTAL(payment)'!C85)</f>
        <v>0</v>
      </c>
      <c r="L85" s="460">
        <f t="shared" si="6"/>
        <v>200174811</v>
      </c>
      <c r="M85" s="459">
        <f t="shared" si="7"/>
        <v>8703252.6521739122</v>
      </c>
    </row>
    <row r="86" spans="1:13" s="22" customFormat="1" ht="26.25" customHeight="1">
      <c r="A86" s="464">
        <f>SUBTOTAL(3,B$7:B86)</f>
        <v>80</v>
      </c>
      <c r="B86" s="465" t="s">
        <v>216</v>
      </c>
      <c r="C86" s="466" t="s">
        <v>237</v>
      </c>
      <c r="D86" s="467" t="s">
        <v>469</v>
      </c>
      <c r="E86" s="468">
        <f>COUNTIFS('Salary sheet'!$F$6:$F$2288,C86,'Salary sheet'!$E$6:$E$2288,B86)</f>
        <v>1</v>
      </c>
      <c r="F86" s="460">
        <f>+SUMIFS('Salary sheet'!$AN$6:$AN$1292,'Salary sheet'!$F$6:$F$1292,'TOTAL(payment)'!C86,'Salary sheet'!$E$6:$E$1292,'TOTAL(payment)'!B86)</f>
        <v>7338924</v>
      </c>
      <c r="G86" s="460">
        <f>+SUMIFS('Salary sheet'!$AO$6:$AO$2288,'Salary sheet'!$F$6:$F$2288,C86,'Salary sheet'!$E$6:$E$2288,B86)</f>
        <v>621915</v>
      </c>
      <c r="H86" s="460">
        <f>+SUMIFS('Salary sheet'!$AP$6:$AP$2288,'Salary sheet'!$F$6:$F$2288,C86,'Salary sheet'!$E$6:$E$2288,B86)</f>
        <v>44100</v>
      </c>
      <c r="I86" s="460">
        <f>+SUMIFS('Salary sheet'!$AQ$6:$AQ$2288,'Salary sheet'!$F$6:$F$2288,C86,'Salary sheet'!$E$6:$E$2288,B86)</f>
        <v>0</v>
      </c>
      <c r="J86" s="460">
        <f>+SUMIFS('Salary sheet'!$AR$6:$AR$2288,'Salary sheet'!$F$6:$F$2288,C86,'Salary sheet'!$E$6:$E$2288,B86)</f>
        <v>0</v>
      </c>
      <c r="K86" s="460">
        <f>SUMIFS('Salary sheet'!$AS$6:$AS$1291,'Salary sheet'!$F$6:$F$1291,'TOTAL(payment)'!C86)</f>
        <v>0</v>
      </c>
      <c r="L86" s="460">
        <f t="shared" si="6"/>
        <v>6672909</v>
      </c>
      <c r="M86" s="459">
        <f t="shared" si="7"/>
        <v>6672909</v>
      </c>
    </row>
    <row r="87" spans="1:13" s="22" customFormat="1" ht="26.25" customHeight="1">
      <c r="A87" s="464">
        <f>SUBTOTAL(3,B$7:B87)</f>
        <v>81</v>
      </c>
      <c r="B87" s="465" t="s">
        <v>216</v>
      </c>
      <c r="C87" s="466" t="s">
        <v>696</v>
      </c>
      <c r="D87" s="467" t="s">
        <v>712</v>
      </c>
      <c r="E87" s="468">
        <f>COUNTIFS('Salary sheet'!$F$6:$F$2288,C87,'Salary sheet'!$E$6:$E$2288,B87)</f>
        <v>45</v>
      </c>
      <c r="F87" s="460">
        <f>+SUMIFS('Salary sheet'!$AN$6:$AN$1292,'Salary sheet'!$F$6:$F$1292,'TOTAL(payment)'!C87,'Salary sheet'!$E$6:$E$1292,'TOTAL(payment)'!B87)</f>
        <v>360878877</v>
      </c>
      <c r="G87" s="460">
        <f>+SUMIFS('Salary sheet'!$AO$6:$AO$2288,'Salary sheet'!$F$6:$F$2288,C87,'Salary sheet'!$E$6:$E$2288,B87)</f>
        <v>21518575</v>
      </c>
      <c r="H87" s="460">
        <f>+SUMIFS('Salary sheet'!$AP$6:$AP$2288,'Salary sheet'!$F$6:$F$2288,C87,'Salary sheet'!$E$6:$E$2288,B87)</f>
        <v>1455300</v>
      </c>
      <c r="I87" s="460">
        <f>+SUMIFS('Salary sheet'!$AQ$6:$AQ$2288,'Salary sheet'!$F$6:$F$2288,C87,'Salary sheet'!$E$6:$E$2288,B87)</f>
        <v>0</v>
      </c>
      <c r="J87" s="460">
        <f>+SUMIFS('Salary sheet'!$AR$6:$AR$2288,'Salary sheet'!$F$6:$F$2288,C87,'Salary sheet'!$E$6:$E$2288,B87)</f>
        <v>0</v>
      </c>
      <c r="K87" s="460">
        <f>SUMIFS('Salary sheet'!$AS$6:$AS$1291,'Salary sheet'!$F$6:$F$1291,'TOTAL(payment)'!C87)</f>
        <v>177154</v>
      </c>
      <c r="L87" s="460">
        <f t="shared" si="6"/>
        <v>337727848</v>
      </c>
      <c r="M87" s="459">
        <f t="shared" si="7"/>
        <v>7505063.2888888884</v>
      </c>
    </row>
    <row r="88" spans="1:13" s="22" customFormat="1" ht="26.25" customHeight="1">
      <c r="A88" s="464">
        <f>SUBTOTAL(3,B$7:B88)</f>
        <v>82</v>
      </c>
      <c r="B88" s="465" t="s">
        <v>216</v>
      </c>
      <c r="C88" s="466" t="s">
        <v>697</v>
      </c>
      <c r="D88" s="467" t="s">
        <v>470</v>
      </c>
      <c r="E88" s="468">
        <f>COUNTIFS('Salary sheet'!$F$6:$F$2288,C88,'Salary sheet'!$E$6:$E$2288,B88)</f>
        <v>19</v>
      </c>
      <c r="F88" s="460">
        <f>+SUMIFS('Salary sheet'!$AN$6:$AN$1292,'Salary sheet'!$F$6:$F$1292,'TOTAL(payment)'!C88,'Salary sheet'!$E$6:$E$1292,'TOTAL(payment)'!B88)</f>
        <v>189417094</v>
      </c>
      <c r="G88" s="460">
        <f>+SUMIFS('Salary sheet'!$AO$6:$AO$2288,'Salary sheet'!$F$6:$F$2288,C88,'Salary sheet'!$E$6:$E$2288,B88)</f>
        <v>12382335</v>
      </c>
      <c r="H88" s="460">
        <f>+SUMIFS('Salary sheet'!$AP$6:$AP$2288,'Salary sheet'!$F$6:$F$2288,C88,'Salary sheet'!$E$6:$E$2288,B88)</f>
        <v>749700</v>
      </c>
      <c r="I88" s="460">
        <f>+SUMIFS('Salary sheet'!$AQ$6:$AQ$2288,'Salary sheet'!$F$6:$F$2288,C88,'Salary sheet'!$E$6:$E$2288,B88)</f>
        <v>12657</v>
      </c>
      <c r="J88" s="460">
        <f>+SUMIFS('Salary sheet'!$AR$6:$AR$2288,'Salary sheet'!$F$6:$F$2288,C88,'Salary sheet'!$E$6:$E$2288,B88)</f>
        <v>0</v>
      </c>
      <c r="K88" s="460">
        <f>SUMIFS('Salary sheet'!$AS$6:$AS$1291,'Salary sheet'!$F$6:$F$1291,'TOTAL(payment)'!C88)</f>
        <v>0</v>
      </c>
      <c r="L88" s="460">
        <f t="shared" si="6"/>
        <v>176272402</v>
      </c>
      <c r="M88" s="459">
        <f t="shared" si="7"/>
        <v>9277494.8421052638</v>
      </c>
    </row>
    <row r="89" spans="1:13" s="22" customFormat="1" ht="26.25" customHeight="1">
      <c r="A89" s="464">
        <f>SUBTOTAL(3,B$7:B89)</f>
        <v>83</v>
      </c>
      <c r="B89" s="465" t="s">
        <v>216</v>
      </c>
      <c r="C89" s="466" t="s">
        <v>698</v>
      </c>
      <c r="D89" s="467" t="s">
        <v>713</v>
      </c>
      <c r="E89" s="468">
        <f>COUNTIFS('Salary sheet'!$F$6:$F$2288,C89,'Salary sheet'!$E$6:$E$2288,B89)</f>
        <v>19</v>
      </c>
      <c r="F89" s="460">
        <f>+SUMIFS('Salary sheet'!$AN$6:$AN$1292,'Salary sheet'!$F$6:$F$1292,'TOTAL(payment)'!C89,'Salary sheet'!$E$6:$E$1292,'TOTAL(payment)'!B89)</f>
        <v>169083679</v>
      </c>
      <c r="G89" s="460">
        <f>+SUMIFS('Salary sheet'!$AO$6:$AO$2288,'Salary sheet'!$F$6:$F$2288,C89,'Salary sheet'!$E$6:$E$2288,B89)</f>
        <v>11531625</v>
      </c>
      <c r="H89" s="460">
        <f>+SUMIFS('Salary sheet'!$AP$6:$AP$2288,'Salary sheet'!$F$6:$F$2288,C89,'Salary sheet'!$E$6:$E$2288,B89)</f>
        <v>793800</v>
      </c>
      <c r="I89" s="460">
        <f>+SUMIFS('Salary sheet'!$AQ$6:$AQ$2288,'Salary sheet'!$F$6:$F$2288,C89,'Salary sheet'!$E$6:$E$2288,B89)</f>
        <v>0</v>
      </c>
      <c r="J89" s="460">
        <f>+SUMIFS('Salary sheet'!$AR$6:$AR$2288,'Salary sheet'!$F$6:$F$2288,C89,'Salary sheet'!$E$6:$E$2288,B89)</f>
        <v>0</v>
      </c>
      <c r="K89" s="460">
        <f>SUMIFS('Salary sheet'!$AS$6:$AS$1291,'Salary sheet'!$F$6:$F$1291,'TOTAL(payment)'!C89)</f>
        <v>0</v>
      </c>
      <c r="L89" s="460">
        <f t="shared" si="6"/>
        <v>156758254</v>
      </c>
      <c r="M89" s="459">
        <f t="shared" si="7"/>
        <v>8250434.4210526319</v>
      </c>
    </row>
    <row r="90" spans="1:13" s="22" customFormat="1" ht="26.25" customHeight="1">
      <c r="A90" s="464">
        <f>SUBTOTAL(3,B$7:B90)</f>
        <v>84</v>
      </c>
      <c r="B90" s="465" t="s">
        <v>216</v>
      </c>
      <c r="C90" s="466" t="s">
        <v>238</v>
      </c>
      <c r="D90" s="467" t="s">
        <v>471</v>
      </c>
      <c r="E90" s="468">
        <f>COUNTIFS('Salary sheet'!$F$6:$F$2288,C90,'Salary sheet'!$E$6:$E$2288,B90)</f>
        <v>2</v>
      </c>
      <c r="F90" s="460">
        <f>+SUMIFS('Salary sheet'!$AN$6:$AN$1292,'Salary sheet'!$F$6:$F$1292,'TOTAL(payment)'!C90,'Salary sheet'!$E$6:$E$1292,'TOTAL(payment)'!B90)</f>
        <v>23917406</v>
      </c>
      <c r="G90" s="460">
        <f>+SUMIFS('Salary sheet'!$AO$6:$AO$2288,'Salary sheet'!$F$6:$F$2288,C90,'Salary sheet'!$E$6:$E$2288,B90)</f>
        <v>1602090</v>
      </c>
      <c r="H90" s="460">
        <f>+SUMIFS('Salary sheet'!$AP$6:$AP$2288,'Salary sheet'!$F$6:$F$2288,C90,'Salary sheet'!$E$6:$E$2288,B90)</f>
        <v>88200</v>
      </c>
      <c r="I90" s="460">
        <f>+SUMIFS('Salary sheet'!$AQ$6:$AQ$2288,'Salary sheet'!$F$6:$F$2288,C90,'Salary sheet'!$E$6:$E$2288,B90)</f>
        <v>0</v>
      </c>
      <c r="J90" s="460">
        <f>+SUMIFS('Salary sheet'!$AR$6:$AR$2288,'Salary sheet'!$F$6:$F$2288,C90,'Salary sheet'!$E$6:$E$2288,B90)</f>
        <v>0</v>
      </c>
      <c r="K90" s="460">
        <f>SUMIFS('Salary sheet'!$AS$6:$AS$1291,'Salary sheet'!$F$6:$F$1291,'TOTAL(payment)'!C90)</f>
        <v>0</v>
      </c>
      <c r="L90" s="460">
        <f t="shared" si="6"/>
        <v>22227116</v>
      </c>
      <c r="M90" s="459">
        <f t="shared" si="7"/>
        <v>11113558</v>
      </c>
    </row>
    <row r="91" spans="1:13" s="22" customFormat="1" ht="26.25" customHeight="1">
      <c r="A91" s="464">
        <f>SUBTOTAL(3,B$7:B91)</f>
        <v>85</v>
      </c>
      <c r="B91" s="465" t="s">
        <v>216</v>
      </c>
      <c r="C91" s="466" t="s">
        <v>699</v>
      </c>
      <c r="D91" s="467" t="s">
        <v>714</v>
      </c>
      <c r="E91" s="468">
        <f>COUNTIFS('Salary sheet'!$F$6:$F$2288,C91,'Salary sheet'!$E$6:$E$2288,B91)</f>
        <v>33</v>
      </c>
      <c r="F91" s="460">
        <f>+SUMIFS('Salary sheet'!$AN$6:$AN$1292,'Salary sheet'!$F$6:$F$1292,'TOTAL(payment)'!C91,'Salary sheet'!$E$6:$E$1292,'TOTAL(payment)'!B91)</f>
        <v>325641433</v>
      </c>
      <c r="G91" s="460">
        <f>+SUMIFS('Salary sheet'!$AO$6:$AO$2288,'Salary sheet'!$F$6:$F$2288,C91,'Salary sheet'!$E$6:$E$2288,B91)</f>
        <v>22013040</v>
      </c>
      <c r="H91" s="460">
        <f>+SUMIFS('Salary sheet'!$AP$6:$AP$2288,'Salary sheet'!$F$6:$F$2288,C91,'Salary sheet'!$E$6:$E$2288,B91)</f>
        <v>1455300</v>
      </c>
      <c r="I91" s="460">
        <f>+SUMIFS('Salary sheet'!$AQ$6:$AQ$2288,'Salary sheet'!$F$6:$F$2288,C91,'Salary sheet'!$E$6:$E$2288,B91)</f>
        <v>0</v>
      </c>
      <c r="J91" s="460">
        <f>+SUMIFS('Salary sheet'!$AR$6:$AR$2288,'Salary sheet'!$F$6:$F$2288,C91,'Salary sheet'!$E$6:$E$2288,B91)</f>
        <v>0</v>
      </c>
      <c r="K91" s="460">
        <f>SUMIFS('Salary sheet'!$AS$6:$AS$1291,'Salary sheet'!$F$6:$F$1291,'TOTAL(payment)'!C91)</f>
        <v>0</v>
      </c>
      <c r="L91" s="460">
        <f t="shared" si="6"/>
        <v>302173093</v>
      </c>
      <c r="M91" s="459">
        <f t="shared" si="7"/>
        <v>9156760.3939393945</v>
      </c>
    </row>
    <row r="92" spans="1:13" s="22" customFormat="1" ht="26.25" customHeight="1">
      <c r="A92" s="464">
        <f>SUBTOTAL(3,B$7:B92)</f>
        <v>86</v>
      </c>
      <c r="B92" s="465" t="s">
        <v>216</v>
      </c>
      <c r="C92" s="466" t="s">
        <v>511</v>
      </c>
      <c r="D92" s="467" t="s">
        <v>472</v>
      </c>
      <c r="E92" s="468">
        <f>COUNTIFS('Salary sheet'!$F$6:$F$2288,C92,'Salary sheet'!$E$6:$E$2288,B92)</f>
        <v>5</v>
      </c>
      <c r="F92" s="460">
        <f>+SUMIFS('Salary sheet'!$AN$6:$AN$1292,'Salary sheet'!$F$6:$F$1292,'TOTAL(payment)'!C92,'Salary sheet'!$E$6:$E$1292,'TOTAL(payment)'!B92)</f>
        <v>103816917</v>
      </c>
      <c r="G92" s="460">
        <f>+SUMIFS('Salary sheet'!$AO$6:$AO$2288,'Salary sheet'!$F$6:$F$2288,C92,'Salary sheet'!$E$6:$E$2288,B92)</f>
        <v>9012675</v>
      </c>
      <c r="H92" s="460">
        <f>+SUMIFS('Salary sheet'!$AP$6:$AP$2288,'Salary sheet'!$F$6:$F$2288,C92,'Salary sheet'!$E$6:$E$2288,B92)</f>
        <v>220500</v>
      </c>
      <c r="I92" s="460">
        <f>+SUMIFS('Salary sheet'!$AQ$6:$AQ$2288,'Salary sheet'!$F$6:$F$2288,C92,'Salary sheet'!$E$6:$E$2288,B92)</f>
        <v>210288</v>
      </c>
      <c r="J92" s="460">
        <f>+SUMIFS('Salary sheet'!$AR$6:$AR$2288,'Salary sheet'!$F$6:$F$2288,C92,'Salary sheet'!$E$6:$E$2288,B92)</f>
        <v>0</v>
      </c>
      <c r="K92" s="460">
        <f>SUMIFS('Salary sheet'!$AS$6:$AS$1291,'Salary sheet'!$F$6:$F$1291,'TOTAL(payment)'!C92)</f>
        <v>0</v>
      </c>
      <c r="L92" s="460">
        <f t="shared" si="6"/>
        <v>94373454</v>
      </c>
      <c r="M92" s="459">
        <f t="shared" si="7"/>
        <v>18874690.800000001</v>
      </c>
    </row>
    <row r="93" spans="1:13" s="22" customFormat="1" ht="26.25" customHeight="1">
      <c r="A93" s="464">
        <f>SUBTOTAL(3,B$7:B93)</f>
        <v>87</v>
      </c>
      <c r="B93" s="465" t="s">
        <v>216</v>
      </c>
      <c r="C93" s="466" t="s">
        <v>512</v>
      </c>
      <c r="D93" s="467" t="s">
        <v>473</v>
      </c>
      <c r="E93" s="468">
        <f>COUNTIFS('Salary sheet'!$F$6:$F$2288,C93,'Salary sheet'!$E$6:$E$2288,B93)</f>
        <v>8</v>
      </c>
      <c r="F93" s="460">
        <f>+SUMIFS('Salary sheet'!$AN$6:$AN$1292,'Salary sheet'!$F$6:$F$1292,'TOTAL(payment)'!C93,'Salary sheet'!$E$6:$E$1292,'TOTAL(payment)'!B93)</f>
        <v>91323587</v>
      </c>
      <c r="G93" s="460">
        <f>+SUMIFS('Salary sheet'!$AO$6:$AO$2288,'Salary sheet'!$F$6:$F$2288,C93,'Salary sheet'!$E$6:$E$2288,B93)</f>
        <v>6381690</v>
      </c>
      <c r="H93" s="460">
        <f>+SUMIFS('Salary sheet'!$AP$6:$AP$2288,'Salary sheet'!$F$6:$F$2288,C93,'Salary sheet'!$E$6:$E$2288,B93)</f>
        <v>308700</v>
      </c>
      <c r="I93" s="460">
        <f>+SUMIFS('Salary sheet'!$AQ$6:$AQ$2288,'Salary sheet'!$F$6:$F$2288,C93,'Salary sheet'!$E$6:$E$2288,B93)</f>
        <v>43689</v>
      </c>
      <c r="J93" s="460">
        <f>+SUMIFS('Salary sheet'!$AR$6:$AR$2288,'Salary sheet'!$F$6:$F$2288,C93,'Salary sheet'!$E$6:$E$2288,B93)</f>
        <v>0</v>
      </c>
      <c r="K93" s="460">
        <f>SUMIFS('Salary sheet'!$AS$6:$AS$1291,'Salary sheet'!$F$6:$F$1291,'TOTAL(payment)'!C93)</f>
        <v>0</v>
      </c>
      <c r="L93" s="460">
        <f t="shared" si="6"/>
        <v>84589508</v>
      </c>
      <c r="M93" s="459">
        <f t="shared" si="7"/>
        <v>10573688.5</v>
      </c>
    </row>
    <row r="94" spans="1:13" s="22" customFormat="1" ht="26.25" customHeight="1">
      <c r="A94" s="464">
        <f>SUBTOTAL(3,B$7:B94)</f>
        <v>88</v>
      </c>
      <c r="B94" s="465" t="s">
        <v>216</v>
      </c>
      <c r="C94" s="466" t="s">
        <v>513</v>
      </c>
      <c r="D94" s="467" t="s">
        <v>475</v>
      </c>
      <c r="E94" s="468">
        <f>COUNTIFS('Salary sheet'!$F$6:$F$2288,C94,'Salary sheet'!$E$6:$E$2288,B94)</f>
        <v>1</v>
      </c>
      <c r="F94" s="460">
        <f>+SUMIFS('Salary sheet'!$AN$6:$AN$1292,'Salary sheet'!$F$6:$F$1292,'TOTAL(payment)'!C94,'Salary sheet'!$E$6:$E$1292,'TOTAL(payment)'!B94)</f>
        <v>10369571</v>
      </c>
      <c r="G94" s="460">
        <f>+SUMIFS('Salary sheet'!$AO$6:$AO$2288,'Salary sheet'!$F$6:$F$2288,C94,'Salary sheet'!$E$6:$E$2288,B94)</f>
        <v>675255</v>
      </c>
      <c r="H94" s="460">
        <f>+SUMIFS('Salary sheet'!$AP$6:$AP$2288,'Salary sheet'!$F$6:$F$2288,C94,'Salary sheet'!$E$6:$E$2288,B94)</f>
        <v>44100</v>
      </c>
      <c r="I94" s="460">
        <f>+SUMIFS('Salary sheet'!$AQ$6:$AQ$2288,'Salary sheet'!$F$6:$F$2288,C94,'Salary sheet'!$E$6:$E$2288,B94)</f>
        <v>0</v>
      </c>
      <c r="J94" s="460">
        <f>+SUMIFS('Salary sheet'!$AR$6:$AR$2288,'Salary sheet'!$F$6:$F$2288,C94,'Salary sheet'!$E$6:$E$2288,B94)</f>
        <v>0</v>
      </c>
      <c r="K94" s="460">
        <f>SUMIFS('Salary sheet'!$AS$6:$AS$1291,'Salary sheet'!$F$6:$F$1291,'TOTAL(payment)'!C94)</f>
        <v>0</v>
      </c>
      <c r="L94" s="460">
        <f t="shared" si="6"/>
        <v>9650216</v>
      </c>
      <c r="M94" s="459">
        <f t="shared" si="7"/>
        <v>9650216</v>
      </c>
    </row>
    <row r="95" spans="1:13" s="22" customFormat="1" ht="26.25" customHeight="1">
      <c r="A95" s="464">
        <f>SUBTOTAL(3,B$7:B95)</f>
        <v>89</v>
      </c>
      <c r="B95" s="465" t="s">
        <v>220</v>
      </c>
      <c r="C95" s="466" t="s">
        <v>541</v>
      </c>
      <c r="D95" s="467" t="s">
        <v>614</v>
      </c>
      <c r="E95" s="468">
        <f>COUNTIFS('Salary sheet'!$F$6:$F$2288,C95,'Salary sheet'!$E$6:$E$2288,B95)</f>
        <v>6</v>
      </c>
      <c r="F95" s="460">
        <f>+SUMIFS('Salary sheet'!$AN$6:$AN$1292,'Salary sheet'!$F$6:$F$1292,'TOTAL(payment)'!C95,'Salary sheet'!$E$6:$E$1292,'TOTAL(payment)'!B95)</f>
        <v>116538510</v>
      </c>
      <c r="G95" s="460">
        <f>+SUMIFS('Salary sheet'!$AO$6:$AO$2288,'Salary sheet'!$F$6:$F$2288,C95,'Salary sheet'!$E$6:$E$2288,B95)</f>
        <v>12726000</v>
      </c>
      <c r="H95" s="460">
        <f>+SUMIFS('Salary sheet'!$AP$6:$AP$2288,'Salary sheet'!$F$6:$F$2288,C95,'Salary sheet'!$E$6:$E$2288,B95)</f>
        <v>264600</v>
      </c>
      <c r="I95" s="460">
        <f>+SUMIFS('Salary sheet'!$AQ$6:$AQ$2288,'Salary sheet'!$F$6:$F$2288,C95,'Salary sheet'!$E$6:$E$2288,B95)</f>
        <v>0</v>
      </c>
      <c r="J95" s="460">
        <f>+SUMIFS('Salary sheet'!$AR$6:$AR$2288,'Salary sheet'!$F$6:$F$2288,C95,'Salary sheet'!$E$6:$E$2288,B95)</f>
        <v>0</v>
      </c>
      <c r="K95" s="460">
        <f>SUMIFS('Salary sheet'!$AS$6:$AS$1291,'Salary sheet'!$F$6:$F$1291,'TOTAL(payment)'!C95)</f>
        <v>0</v>
      </c>
      <c r="L95" s="460">
        <f t="shared" si="6"/>
        <v>103547910</v>
      </c>
      <c r="M95" s="459">
        <f t="shared" si="7"/>
        <v>17257985</v>
      </c>
    </row>
    <row r="96" spans="1:13" s="22" customFormat="1" ht="26.25" customHeight="1">
      <c r="A96" s="464">
        <f>SUBTOTAL(3,B$7:B96)</f>
        <v>90</v>
      </c>
      <c r="B96" s="465" t="s">
        <v>220</v>
      </c>
      <c r="C96" s="466" t="s">
        <v>263</v>
      </c>
      <c r="D96" s="467" t="s">
        <v>615</v>
      </c>
      <c r="E96" s="468">
        <f>COUNTIFS('Salary sheet'!$F$6:$F$2288,C96,'Salary sheet'!$E$6:$E$2288,B96)</f>
        <v>2</v>
      </c>
      <c r="F96" s="460">
        <f>+SUMIFS('Salary sheet'!$AN$6:$AN$1292,'Salary sheet'!$F$6:$F$1292,'TOTAL(payment)'!C96,'Salary sheet'!$E$6:$E$1292,'TOTAL(payment)'!B96)</f>
        <v>39596154</v>
      </c>
      <c r="G96" s="460">
        <f>+SUMIFS('Salary sheet'!$AO$6:$AO$2288,'Salary sheet'!$F$6:$F$2288,C96,'Salary sheet'!$E$6:$E$2288,B96)</f>
        <v>3664500</v>
      </c>
      <c r="H96" s="460">
        <f>+SUMIFS('Salary sheet'!$AP$6:$AP$2288,'Salary sheet'!$F$6:$F$2288,C96,'Salary sheet'!$E$6:$E$2288,B96)</f>
        <v>88200</v>
      </c>
      <c r="I96" s="460">
        <f>+SUMIFS('Salary sheet'!$AQ$6:$AQ$2288,'Salary sheet'!$F$6:$F$2288,C96,'Salary sheet'!$E$6:$E$2288,B96)</f>
        <v>11450</v>
      </c>
      <c r="J96" s="460">
        <f>+SUMIFS('Salary sheet'!$AR$6:$AR$2288,'Salary sheet'!$F$6:$F$2288,C96,'Salary sheet'!$E$6:$E$2288,B96)</f>
        <v>0</v>
      </c>
      <c r="K96" s="460">
        <f>SUMIFS('Salary sheet'!$AS$6:$AS$1291,'Salary sheet'!$F$6:$F$1291,'TOTAL(payment)'!C96)</f>
        <v>0</v>
      </c>
      <c r="L96" s="460">
        <f t="shared" si="6"/>
        <v>35832004</v>
      </c>
      <c r="M96" s="459">
        <f t="shared" si="7"/>
        <v>17916002</v>
      </c>
    </row>
    <row r="97" spans="1:13" s="22" customFormat="1" ht="26.25" customHeight="1">
      <c r="A97" s="464">
        <f>SUBTOTAL(3,B$7:B97)</f>
        <v>91</v>
      </c>
      <c r="B97" s="465" t="s">
        <v>220</v>
      </c>
      <c r="C97" s="466" t="s">
        <v>264</v>
      </c>
      <c r="D97" s="467" t="s">
        <v>715</v>
      </c>
      <c r="E97" s="468">
        <f>COUNTIFS('Salary sheet'!$F$6:$F$2288,C97,'Salary sheet'!$E$6:$E$2288,B97)</f>
        <v>6</v>
      </c>
      <c r="F97" s="460">
        <f>+SUMIFS('Salary sheet'!$AN$6:$AN$1292,'Salary sheet'!$F$6:$F$1292,'TOTAL(payment)'!C97,'Salary sheet'!$E$6:$E$1292,'TOTAL(payment)'!B97)</f>
        <v>60862573</v>
      </c>
      <c r="G97" s="460">
        <f>+SUMIFS('Salary sheet'!$AO$6:$AO$2288,'Salary sheet'!$F$6:$F$2288,C97,'Salary sheet'!$E$6:$E$2288,B97)</f>
        <v>4671135</v>
      </c>
      <c r="H97" s="460">
        <f>+SUMIFS('Salary sheet'!$AP$6:$AP$2288,'Salary sheet'!$F$6:$F$2288,C97,'Salary sheet'!$E$6:$E$2288,B97)</f>
        <v>264600</v>
      </c>
      <c r="I97" s="460">
        <f>+SUMIFS('Salary sheet'!$AQ$6:$AQ$2288,'Salary sheet'!$F$6:$F$2288,C97,'Salary sheet'!$E$6:$E$2288,B97)</f>
        <v>0</v>
      </c>
      <c r="J97" s="460">
        <f>+SUMIFS('Salary sheet'!$AR$6:$AR$2288,'Salary sheet'!$F$6:$F$2288,C97,'Salary sheet'!$E$6:$E$2288,B97)</f>
        <v>0</v>
      </c>
      <c r="K97" s="460">
        <f>SUMIFS('Salary sheet'!$AS$6:$AS$1291,'Salary sheet'!$F$6:$F$1291,'TOTAL(payment)'!C97)</f>
        <v>0</v>
      </c>
      <c r="L97" s="460">
        <f t="shared" si="6"/>
        <v>55926838</v>
      </c>
      <c r="M97" s="459">
        <f t="shared" si="7"/>
        <v>9321139.666666666</v>
      </c>
    </row>
    <row r="98" spans="1:13" s="22" customFormat="1" ht="26.25" customHeight="1">
      <c r="A98" s="464">
        <f>SUBTOTAL(3,B$7:B98)</f>
        <v>92</v>
      </c>
      <c r="B98" s="465" t="s">
        <v>220</v>
      </c>
      <c r="C98" s="466" t="s">
        <v>265</v>
      </c>
      <c r="D98" s="467" t="s">
        <v>616</v>
      </c>
      <c r="E98" s="468">
        <f>COUNTIFS('Salary sheet'!$F$6:$F$2288,C98,'Salary sheet'!$E$6:$E$2288,B98)</f>
        <v>6</v>
      </c>
      <c r="F98" s="460">
        <f>+SUMIFS('Salary sheet'!$AN$6:$AN$1292,'Salary sheet'!$F$6:$F$1292,'TOTAL(payment)'!C98,'Salary sheet'!$E$6:$E$1292,'TOTAL(payment)'!B98)</f>
        <v>94476955</v>
      </c>
      <c r="G98" s="460">
        <f>+SUMIFS('Salary sheet'!$AO$6:$AO$2288,'Salary sheet'!$F$6:$F$2288,C98,'Salary sheet'!$E$6:$E$2288,B98)</f>
        <v>6092835</v>
      </c>
      <c r="H98" s="460">
        <f>+SUMIFS('Salary sheet'!$AP$6:$AP$2288,'Salary sheet'!$F$6:$F$2288,C98,'Salary sheet'!$E$6:$E$2288,B98)</f>
        <v>264600</v>
      </c>
      <c r="I98" s="460">
        <f>+SUMIFS('Salary sheet'!$AQ$6:$AQ$2288,'Salary sheet'!$F$6:$F$2288,C98,'Salary sheet'!$E$6:$E$2288,B98)</f>
        <v>66681</v>
      </c>
      <c r="J98" s="460">
        <f>+SUMIFS('Salary sheet'!$AR$6:$AR$2288,'Salary sheet'!$F$6:$F$2288,C98,'Salary sheet'!$E$6:$E$2288,B98)</f>
        <v>0</v>
      </c>
      <c r="K98" s="460">
        <f>SUMIFS('Salary sheet'!$AS$6:$AS$1291,'Salary sheet'!$F$6:$F$1291,'TOTAL(payment)'!C98)</f>
        <v>0</v>
      </c>
      <c r="L98" s="460">
        <f t="shared" si="6"/>
        <v>88052839</v>
      </c>
      <c r="M98" s="459">
        <f t="shared" si="7"/>
        <v>14675473.166666666</v>
      </c>
    </row>
    <row r="99" spans="1:13" s="22" customFormat="1" ht="26.25" customHeight="1">
      <c r="A99" s="464">
        <f>SUBTOTAL(3,B$7:B99)</f>
        <v>93</v>
      </c>
      <c r="B99" s="465" t="s">
        <v>220</v>
      </c>
      <c r="C99" s="466" t="s">
        <v>527</v>
      </c>
      <c r="D99" s="467" t="s">
        <v>617</v>
      </c>
      <c r="E99" s="468">
        <f>COUNTIFS('Salary sheet'!$F$6:$F$2288,C99,'Salary sheet'!$E$6:$E$2288,B99)</f>
        <v>4</v>
      </c>
      <c r="F99" s="460">
        <f>+SUMIFS('Salary sheet'!$AN$6:$AN$1292,'Salary sheet'!$F$6:$F$1292,'TOTAL(payment)'!C99,'Salary sheet'!$E$6:$E$1292,'TOTAL(payment)'!B99)</f>
        <v>42564904</v>
      </c>
      <c r="G99" s="460">
        <f>+SUMIFS('Salary sheet'!$AO$6:$AO$2288,'Salary sheet'!$F$6:$F$2288,C99,'Salary sheet'!$E$6:$E$2288,B99)</f>
        <v>3496500</v>
      </c>
      <c r="H99" s="460">
        <f>+SUMIFS('Salary sheet'!$AP$6:$AP$2288,'Salary sheet'!$F$6:$F$2288,C99,'Salary sheet'!$E$6:$E$2288,B99)</f>
        <v>132300</v>
      </c>
      <c r="I99" s="460">
        <f>+SUMIFS('Salary sheet'!$AQ$6:$AQ$2288,'Salary sheet'!$F$6:$F$2288,C99,'Salary sheet'!$E$6:$E$2288,B99)</f>
        <v>0</v>
      </c>
      <c r="J99" s="460">
        <f>+SUMIFS('Salary sheet'!$AR$6:$AR$2288,'Salary sheet'!$F$6:$F$2288,C99,'Salary sheet'!$E$6:$E$2288,B99)</f>
        <v>0</v>
      </c>
      <c r="K99" s="460">
        <f>SUMIFS('Salary sheet'!$AS$6:$AS$1291,'Salary sheet'!$F$6:$F$1291,'TOTAL(payment)'!C99)</f>
        <v>0</v>
      </c>
      <c r="L99" s="460">
        <f t="shared" si="6"/>
        <v>38936104</v>
      </c>
      <c r="M99" s="459">
        <f t="shared" si="7"/>
        <v>9734026</v>
      </c>
    </row>
    <row r="100" spans="1:13" s="22" customFormat="1" ht="26.25" customHeight="1">
      <c r="A100" s="464">
        <f>SUBTOTAL(3,B$7:B100)</f>
        <v>94</v>
      </c>
      <c r="B100" s="465" t="s">
        <v>220</v>
      </c>
      <c r="C100" s="466" t="s">
        <v>266</v>
      </c>
      <c r="D100" s="467" t="s">
        <v>618</v>
      </c>
      <c r="E100" s="468">
        <f>COUNTIFS('Salary sheet'!$F$6:$F$2288,C100,'Salary sheet'!$E$6:$E$2288,B100)</f>
        <v>23</v>
      </c>
      <c r="F100" s="460">
        <f>+SUMIFS('Salary sheet'!$AN$6:$AN$1292,'Salary sheet'!$F$6:$F$1292,'TOTAL(payment)'!C100,'Salary sheet'!$E$6:$E$1292,'TOTAL(payment)'!B100)</f>
        <v>244463644</v>
      </c>
      <c r="G100" s="460">
        <f>+SUMIFS('Salary sheet'!$AO$6:$AO$2288,'Salary sheet'!$F$6:$F$2288,C100,'Salary sheet'!$E$6:$E$2288,B100)</f>
        <v>19485375</v>
      </c>
      <c r="H100" s="460">
        <f>+SUMIFS('Salary sheet'!$AP$6:$AP$2288,'Salary sheet'!$F$6:$F$2288,C100,'Salary sheet'!$E$6:$E$2288,B100)</f>
        <v>882000</v>
      </c>
      <c r="I100" s="460">
        <f>+SUMIFS('Salary sheet'!$AQ$6:$AQ$2288,'Salary sheet'!$F$6:$F$2288,C100,'Salary sheet'!$E$6:$E$2288,B100)</f>
        <v>3190</v>
      </c>
      <c r="J100" s="460">
        <f>+SUMIFS('Salary sheet'!$AR$6:$AR$2288,'Salary sheet'!$F$6:$F$2288,C100,'Salary sheet'!$E$6:$E$2288,B100)</f>
        <v>0</v>
      </c>
      <c r="K100" s="460">
        <f>SUMIFS('Salary sheet'!$AS$6:$AS$1291,'Salary sheet'!$F$6:$F$1291,'TOTAL(payment)'!C100)</f>
        <v>0</v>
      </c>
      <c r="L100" s="460">
        <f t="shared" si="6"/>
        <v>224093079</v>
      </c>
      <c r="M100" s="459">
        <f t="shared" si="7"/>
        <v>9743177.3478260878</v>
      </c>
    </row>
    <row r="101" spans="1:13" s="22" customFormat="1" ht="26.25" customHeight="1">
      <c r="A101" s="464">
        <f>SUBTOTAL(3,B$7:B101)</f>
        <v>95</v>
      </c>
      <c r="B101" s="465" t="s">
        <v>220</v>
      </c>
      <c r="C101" s="466" t="s">
        <v>542</v>
      </c>
      <c r="D101" s="467" t="s">
        <v>619</v>
      </c>
      <c r="E101" s="468">
        <f>COUNTIFS('Salary sheet'!$F$6:$F$2288,C101,'Salary sheet'!$E$6:$E$2288,B101)</f>
        <v>6</v>
      </c>
      <c r="F101" s="460">
        <f>+SUMIFS('Salary sheet'!$AN$6:$AN$1292,'Salary sheet'!$F$6:$F$1292,'TOTAL(payment)'!C101,'Salary sheet'!$E$6:$E$1292,'TOTAL(payment)'!B101)</f>
        <v>93887336</v>
      </c>
      <c r="G101" s="460">
        <f>+SUMIFS('Salary sheet'!$AO$6:$AO$2288,'Salary sheet'!$F$6:$F$2288,C101,'Salary sheet'!$E$6:$E$2288,B101)</f>
        <v>9849000</v>
      </c>
      <c r="H101" s="460">
        <f>+SUMIFS('Salary sheet'!$AP$6:$AP$2288,'Salary sheet'!$F$6:$F$2288,C101,'Salary sheet'!$E$6:$E$2288,B101)</f>
        <v>220500</v>
      </c>
      <c r="I101" s="460">
        <f>+SUMIFS('Salary sheet'!$AQ$6:$AQ$2288,'Salary sheet'!$F$6:$F$2288,C101,'Salary sheet'!$E$6:$E$2288,B101)</f>
        <v>1733118</v>
      </c>
      <c r="J101" s="460">
        <f>+SUMIFS('Salary sheet'!$AR$6:$AR$2288,'Salary sheet'!$F$6:$F$2288,C101,'Salary sheet'!$E$6:$E$2288,B101)</f>
        <v>0</v>
      </c>
      <c r="K101" s="460">
        <f>SUMIFS('Salary sheet'!$AS$6:$AS$1291,'Salary sheet'!$F$6:$F$1291,'TOTAL(payment)'!C101)</f>
        <v>0</v>
      </c>
      <c r="L101" s="460">
        <f t="shared" si="6"/>
        <v>82084718</v>
      </c>
      <c r="M101" s="459">
        <f t="shared" si="7"/>
        <v>13680786.333333334</v>
      </c>
    </row>
    <row r="102" spans="1:13" s="22" customFormat="1" ht="26.25" customHeight="1">
      <c r="A102" s="464">
        <f>SUBTOTAL(3,B$7:B102)</f>
        <v>96</v>
      </c>
      <c r="B102" s="465" t="s">
        <v>220</v>
      </c>
      <c r="C102" s="466" t="s">
        <v>528</v>
      </c>
      <c r="D102" s="467" t="s">
        <v>620</v>
      </c>
      <c r="E102" s="468">
        <f>COUNTIFS('Salary sheet'!$F$6:$F$2288,C102,'Salary sheet'!$E$6:$E$2288,B102)</f>
        <v>31</v>
      </c>
      <c r="F102" s="460">
        <f>+SUMIFS('Salary sheet'!$AN$6:$AN$1292,'Salary sheet'!$F$6:$F$1292,'TOTAL(payment)'!C102,'Salary sheet'!$E$6:$E$1292,'TOTAL(payment)'!B102)</f>
        <v>305941623</v>
      </c>
      <c r="G102" s="460">
        <f>+SUMIFS('Salary sheet'!$AO$6:$AO$2288,'Salary sheet'!$F$6:$F$2288,C102,'Salary sheet'!$E$6:$E$2288,B102)</f>
        <v>23959740</v>
      </c>
      <c r="H102" s="460">
        <f>+SUMIFS('Salary sheet'!$AP$6:$AP$2288,'Salary sheet'!$F$6:$F$2288,C102,'Salary sheet'!$E$6:$E$2288,B102)</f>
        <v>1367100</v>
      </c>
      <c r="I102" s="460">
        <f>+SUMIFS('Salary sheet'!$AQ$6:$AQ$2288,'Salary sheet'!$F$6:$F$2288,C102,'Salary sheet'!$E$6:$E$2288,B102)</f>
        <v>13478</v>
      </c>
      <c r="J102" s="460">
        <f>+SUMIFS('Salary sheet'!$AR$6:$AR$2288,'Salary sheet'!$F$6:$F$2288,C102,'Salary sheet'!$E$6:$E$2288,B102)</f>
        <v>0</v>
      </c>
      <c r="K102" s="460">
        <f>SUMIFS('Salary sheet'!$AS$6:$AS$1291,'Salary sheet'!$F$6:$F$1291,'TOTAL(payment)'!C102)</f>
        <v>400000</v>
      </c>
      <c r="L102" s="460">
        <f t="shared" si="6"/>
        <v>280201305</v>
      </c>
      <c r="M102" s="459">
        <f t="shared" si="7"/>
        <v>9038751.7741935477</v>
      </c>
    </row>
    <row r="103" spans="1:13" s="22" customFormat="1" ht="26.25" customHeight="1">
      <c r="A103" s="464">
        <f>SUBTOTAL(3,B$7:B103)</f>
        <v>97</v>
      </c>
      <c r="B103" s="465" t="s">
        <v>220</v>
      </c>
      <c r="C103" s="466" t="s">
        <v>543</v>
      </c>
      <c r="D103" s="467" t="s">
        <v>621</v>
      </c>
      <c r="E103" s="468">
        <f>COUNTIFS('Salary sheet'!$F$6:$F$2288,C103,'Salary sheet'!$E$6:$E$2288,B103)</f>
        <v>9</v>
      </c>
      <c r="F103" s="460">
        <f>+SUMIFS('Salary sheet'!$AN$6:$AN$1292,'Salary sheet'!$F$6:$F$1292,'TOTAL(payment)'!C103,'Salary sheet'!$E$6:$E$1292,'TOTAL(payment)'!B103)</f>
        <v>166103836</v>
      </c>
      <c r="G103" s="460">
        <f>+SUMIFS('Salary sheet'!$AO$6:$AO$2288,'Salary sheet'!$F$6:$F$2288,C103,'Salary sheet'!$E$6:$E$2288,B103)</f>
        <v>16842000</v>
      </c>
      <c r="H103" s="460">
        <f>+SUMIFS('Salary sheet'!$AP$6:$AP$2288,'Salary sheet'!$F$6:$F$2288,C103,'Salary sheet'!$E$6:$E$2288,B103)</f>
        <v>308700</v>
      </c>
      <c r="I103" s="460">
        <f>+SUMIFS('Salary sheet'!$AQ$6:$AQ$2288,'Salary sheet'!$F$6:$F$2288,C103,'Salary sheet'!$E$6:$E$2288,B103)</f>
        <v>1350946</v>
      </c>
      <c r="J103" s="460">
        <f>+SUMIFS('Salary sheet'!$AR$6:$AR$2288,'Salary sheet'!$F$6:$F$2288,C103,'Salary sheet'!$E$6:$E$2288,B103)</f>
        <v>0</v>
      </c>
      <c r="K103" s="460">
        <f>SUMIFS('Salary sheet'!$AS$6:$AS$1291,'Salary sheet'!$F$6:$F$1291,'TOTAL(payment)'!C103)</f>
        <v>0</v>
      </c>
      <c r="L103" s="460">
        <f t="shared" si="6"/>
        <v>147602190</v>
      </c>
      <c r="M103" s="459">
        <f t="shared" si="7"/>
        <v>16400243.333333334</v>
      </c>
    </row>
    <row r="104" spans="1:13" s="22" customFormat="1" ht="26.25" customHeight="1">
      <c r="A104" s="464">
        <f>SUBTOTAL(3,B$7:B104)</f>
        <v>98</v>
      </c>
      <c r="B104" s="465" t="s">
        <v>220</v>
      </c>
      <c r="C104" s="466" t="s">
        <v>529</v>
      </c>
      <c r="D104" s="467" t="s">
        <v>622</v>
      </c>
      <c r="E104" s="468">
        <f>COUNTIFS('Salary sheet'!$F$6:$F$2288,C104,'Salary sheet'!$E$6:$E$2288,B104)</f>
        <v>1</v>
      </c>
      <c r="F104" s="460">
        <f>+SUMIFS('Salary sheet'!$AN$6:$AN$1292,'Salary sheet'!$F$6:$F$1292,'TOTAL(payment)'!C104,'Salary sheet'!$E$6:$E$1292,'TOTAL(payment)'!B104)</f>
        <v>9806706</v>
      </c>
      <c r="G104" s="460">
        <f>+SUMIFS('Salary sheet'!$AO$6:$AO$2288,'Salary sheet'!$F$6:$F$2288,C104,'Salary sheet'!$E$6:$E$2288,B104)</f>
        <v>738255</v>
      </c>
      <c r="H104" s="460">
        <f>+SUMIFS('Salary sheet'!$AP$6:$AP$2288,'Salary sheet'!$F$6:$F$2288,C104,'Salary sheet'!$E$6:$E$2288,B104)</f>
        <v>44100</v>
      </c>
      <c r="I104" s="460">
        <f>+SUMIFS('Salary sheet'!$AQ$6:$AQ$2288,'Salary sheet'!$F$6:$F$2288,C104,'Salary sheet'!$E$6:$E$2288,B104)</f>
        <v>0</v>
      </c>
      <c r="J104" s="460">
        <f>+SUMIFS('Salary sheet'!$AR$6:$AR$2288,'Salary sheet'!$F$6:$F$2288,C104,'Salary sheet'!$E$6:$E$2288,B104)</f>
        <v>0</v>
      </c>
      <c r="K104" s="460">
        <f>SUMIFS('Salary sheet'!$AS$6:$AS$1291,'Salary sheet'!$F$6:$F$1291,'TOTAL(payment)'!C104)</f>
        <v>0</v>
      </c>
      <c r="L104" s="460">
        <f t="shared" ref="L104:L118" si="8">+(F104)-SUM(G104:K104)</f>
        <v>9024351</v>
      </c>
      <c r="M104" s="459">
        <f t="shared" ref="M104:M118" si="9">+L104/E104</f>
        <v>9024351</v>
      </c>
    </row>
    <row r="105" spans="1:13" s="22" customFormat="1" ht="26.25" customHeight="1">
      <c r="A105" s="464">
        <f>SUBTOTAL(3,B$7:B105)</f>
        <v>99</v>
      </c>
      <c r="B105" s="465" t="s">
        <v>220</v>
      </c>
      <c r="C105" s="466" t="s">
        <v>530</v>
      </c>
      <c r="D105" s="467" t="s">
        <v>623</v>
      </c>
      <c r="E105" s="468">
        <f>COUNTIFS('Salary sheet'!$F$6:$F$2288,C105,'Salary sheet'!$E$6:$E$2288,B105)</f>
        <v>12</v>
      </c>
      <c r="F105" s="460">
        <f>+SUMIFS('Salary sheet'!$AN$6:$AN$1292,'Salary sheet'!$F$6:$F$1292,'TOTAL(payment)'!C105,'Salary sheet'!$E$6:$E$1292,'TOTAL(payment)'!B105)</f>
        <v>192011427</v>
      </c>
      <c r="G105" s="460">
        <f>+SUMIFS('Salary sheet'!$AO$6:$AO$2288,'Salary sheet'!$F$6:$F$2288,C105,'Salary sheet'!$E$6:$E$2288,B105)</f>
        <v>15569190</v>
      </c>
      <c r="H105" s="460">
        <f>+SUMIFS('Salary sheet'!$AP$6:$AP$2288,'Salary sheet'!$F$6:$F$2288,C105,'Salary sheet'!$E$6:$E$2288,B105)</f>
        <v>529200</v>
      </c>
      <c r="I105" s="460">
        <f>+SUMIFS('Salary sheet'!$AQ$6:$AQ$2288,'Salary sheet'!$F$6:$F$2288,C105,'Salary sheet'!$E$6:$E$2288,B105)</f>
        <v>385372</v>
      </c>
      <c r="J105" s="460">
        <f>+SUMIFS('Salary sheet'!$AR$6:$AR$2288,'Salary sheet'!$F$6:$F$2288,C105,'Salary sheet'!$E$6:$E$2288,B105)</f>
        <v>33500</v>
      </c>
      <c r="K105" s="460">
        <f>SUMIFS('Salary sheet'!$AS$6:$AS$1291,'Salary sheet'!$F$6:$F$1291,'TOTAL(payment)'!C105)</f>
        <v>39923</v>
      </c>
      <c r="L105" s="460">
        <f t="shared" si="8"/>
        <v>175454242</v>
      </c>
      <c r="M105" s="459">
        <f t="shared" si="9"/>
        <v>14621186.833333334</v>
      </c>
    </row>
    <row r="106" spans="1:13" s="22" customFormat="1" ht="26.25" customHeight="1">
      <c r="A106" s="464">
        <f>SUBTOTAL(3,B$7:B106)</f>
        <v>100</v>
      </c>
      <c r="B106" s="465" t="s">
        <v>220</v>
      </c>
      <c r="C106" s="466" t="s">
        <v>544</v>
      </c>
      <c r="D106" s="467" t="s">
        <v>624</v>
      </c>
      <c r="E106" s="468">
        <f>COUNTIFS('Salary sheet'!$F$6:$F$2288,C106,'Salary sheet'!$E$6:$E$2288,B106)</f>
        <v>10</v>
      </c>
      <c r="F106" s="460">
        <f>+SUMIFS('Salary sheet'!$AN$6:$AN$1292,'Salary sheet'!$F$6:$F$1292,'TOTAL(payment)'!C106,'Salary sheet'!$E$6:$E$1292,'TOTAL(payment)'!B106)</f>
        <v>168452115</v>
      </c>
      <c r="G106" s="460">
        <f>+SUMIFS('Salary sheet'!$AO$6:$AO$2288,'Salary sheet'!$F$6:$F$2288,C106,'Salary sheet'!$E$6:$E$2288,B106)</f>
        <v>17346000</v>
      </c>
      <c r="H106" s="460">
        <f>+SUMIFS('Salary sheet'!$AP$6:$AP$2288,'Salary sheet'!$F$6:$F$2288,C106,'Salary sheet'!$E$6:$E$2288,B106)</f>
        <v>441000</v>
      </c>
      <c r="I106" s="460">
        <f>+SUMIFS('Salary sheet'!$AQ$6:$AQ$2288,'Salary sheet'!$F$6:$F$2288,C106,'Salary sheet'!$E$6:$E$2288,B106)</f>
        <v>785612</v>
      </c>
      <c r="J106" s="460">
        <f>+SUMIFS('Salary sheet'!$AR$6:$AR$2288,'Salary sheet'!$F$6:$F$2288,C106,'Salary sheet'!$E$6:$E$2288,B106)</f>
        <v>0</v>
      </c>
      <c r="K106" s="460">
        <f>SUMIFS('Salary sheet'!$AS$6:$AS$1291,'Salary sheet'!$F$6:$F$1291,'TOTAL(payment)'!C106)</f>
        <v>0</v>
      </c>
      <c r="L106" s="460">
        <f t="shared" si="8"/>
        <v>149879503</v>
      </c>
      <c r="M106" s="459">
        <f t="shared" si="9"/>
        <v>14987950.300000001</v>
      </c>
    </row>
    <row r="107" spans="1:13" s="22" customFormat="1" ht="26.25" customHeight="1">
      <c r="A107" s="464">
        <f>SUBTOTAL(3,B$7:B107)</f>
        <v>101</v>
      </c>
      <c r="B107" s="465" t="s">
        <v>220</v>
      </c>
      <c r="C107" s="466" t="s">
        <v>267</v>
      </c>
      <c r="D107" s="467" t="s">
        <v>625</v>
      </c>
      <c r="E107" s="468">
        <f>COUNTIFS('Salary sheet'!$F$6:$F$2288,C107,'Salary sheet'!$E$6:$E$2288,B107)</f>
        <v>11</v>
      </c>
      <c r="F107" s="460">
        <f>+SUMIFS('Salary sheet'!$AN$6:$AN$1292,'Salary sheet'!$F$6:$F$1292,'TOTAL(payment)'!C107,'Salary sheet'!$E$6:$E$1292,'TOTAL(payment)'!B107)</f>
        <v>132688426</v>
      </c>
      <c r="G107" s="460">
        <f>+SUMIFS('Salary sheet'!$AO$6:$AO$2288,'Salary sheet'!$F$6:$F$2288,C107,'Salary sheet'!$E$6:$E$2288,B107)</f>
        <v>11224500</v>
      </c>
      <c r="H107" s="460">
        <f>+SUMIFS('Salary sheet'!$AP$6:$AP$2288,'Salary sheet'!$F$6:$F$2288,C107,'Salary sheet'!$E$6:$E$2288,B107)</f>
        <v>485100</v>
      </c>
      <c r="I107" s="460">
        <f>+SUMIFS('Salary sheet'!$AQ$6:$AQ$2288,'Salary sheet'!$F$6:$F$2288,C107,'Salary sheet'!$E$6:$E$2288,B107)</f>
        <v>4997</v>
      </c>
      <c r="J107" s="460">
        <f>+SUMIFS('Salary sheet'!$AR$6:$AR$2288,'Salary sheet'!$F$6:$F$2288,C107,'Salary sheet'!$E$6:$E$2288,B107)</f>
        <v>0</v>
      </c>
      <c r="K107" s="460">
        <f>SUMIFS('Salary sheet'!$AS$6:$AS$1291,'Salary sheet'!$F$6:$F$1291,'TOTAL(payment)'!C107)</f>
        <v>0</v>
      </c>
      <c r="L107" s="460">
        <f t="shared" si="8"/>
        <v>120973829</v>
      </c>
      <c r="M107" s="459">
        <f t="shared" si="9"/>
        <v>10997620.818181818</v>
      </c>
    </row>
    <row r="108" spans="1:13" s="22" customFormat="1" ht="26.25" customHeight="1">
      <c r="A108" s="464">
        <f>SUBTOTAL(3,B$7:B108)</f>
        <v>102</v>
      </c>
      <c r="B108" s="465" t="s">
        <v>220</v>
      </c>
      <c r="C108" s="466" t="s">
        <v>284</v>
      </c>
      <c r="D108" s="467" t="s">
        <v>626</v>
      </c>
      <c r="E108" s="468">
        <f>COUNTIFS('Salary sheet'!$F$6:$F$2288,C108,'Salary sheet'!$E$6:$E$2288,B108)</f>
        <v>2</v>
      </c>
      <c r="F108" s="460">
        <f>+SUMIFS('Salary sheet'!$AN$6:$AN$1292,'Salary sheet'!$F$6:$F$1292,'TOTAL(payment)'!C108,'Salary sheet'!$E$6:$E$1292,'TOTAL(payment)'!B108)</f>
        <v>27595538</v>
      </c>
      <c r="G108" s="460">
        <f>+SUMIFS('Salary sheet'!$AO$6:$AO$2288,'Salary sheet'!$F$6:$F$2288,C108,'Salary sheet'!$E$6:$E$2288,B108)</f>
        <v>2169510</v>
      </c>
      <c r="H108" s="460">
        <f>+SUMIFS('Salary sheet'!$AP$6:$AP$2288,'Salary sheet'!$F$6:$F$2288,C108,'Salary sheet'!$E$6:$E$2288,B108)</f>
        <v>88200</v>
      </c>
      <c r="I108" s="460">
        <f>+SUMIFS('Salary sheet'!$AQ$6:$AQ$2288,'Salary sheet'!$F$6:$F$2288,C108,'Salary sheet'!$E$6:$E$2288,B108)</f>
        <v>72736</v>
      </c>
      <c r="J108" s="460">
        <f>+SUMIFS('Salary sheet'!$AR$6:$AR$2288,'Salary sheet'!$F$6:$F$2288,C108,'Salary sheet'!$E$6:$E$2288,B108)</f>
        <v>0</v>
      </c>
      <c r="K108" s="460">
        <f>SUMIFS('Salary sheet'!$AS$6:$AS$1291,'Salary sheet'!$F$6:$F$1291,'TOTAL(payment)'!C108)</f>
        <v>0</v>
      </c>
      <c r="L108" s="460">
        <f t="shared" si="8"/>
        <v>25265092</v>
      </c>
      <c r="M108" s="459">
        <f t="shared" si="9"/>
        <v>12632546</v>
      </c>
    </row>
    <row r="109" spans="1:13" s="22" customFormat="1" ht="26.25" customHeight="1">
      <c r="A109" s="464">
        <f>SUBTOTAL(3,B$7:B109)</f>
        <v>103</v>
      </c>
      <c r="B109" s="465" t="s">
        <v>220</v>
      </c>
      <c r="C109" s="466" t="s">
        <v>658</v>
      </c>
      <c r="D109" s="467" t="s">
        <v>662</v>
      </c>
      <c r="E109" s="468">
        <f>COUNTIFS('Salary sheet'!$F$6:$F$2288,C109,'Salary sheet'!$E$6:$E$2288,B109)</f>
        <v>3</v>
      </c>
      <c r="F109" s="460">
        <f>+SUMIFS('Salary sheet'!$AN$6:$AN$1292,'Salary sheet'!$F$6:$F$1292,'TOTAL(payment)'!C109,'Salary sheet'!$E$6:$E$1292,'TOTAL(payment)'!B109)</f>
        <v>26681078</v>
      </c>
      <c r="G109" s="460">
        <f>+SUMIFS('Salary sheet'!$AO$6:$AO$2288,'Salary sheet'!$F$6:$F$2288,C109,'Salary sheet'!$E$6:$E$2288,B109)</f>
        <v>2191245</v>
      </c>
      <c r="H109" s="460">
        <f>+SUMIFS('Salary sheet'!$AP$6:$AP$2288,'Salary sheet'!$F$6:$F$2288,C109,'Salary sheet'!$E$6:$E$2288,B109)</f>
        <v>132300</v>
      </c>
      <c r="I109" s="460">
        <f>+SUMIFS('Salary sheet'!$AQ$6:$AQ$2288,'Salary sheet'!$F$6:$F$2288,C109,'Salary sheet'!$E$6:$E$2288,B109)</f>
        <v>0</v>
      </c>
      <c r="J109" s="460">
        <f>+SUMIFS('Salary sheet'!$AR$6:$AR$2288,'Salary sheet'!$F$6:$F$2288,C109,'Salary sheet'!$E$6:$E$2288,B109)</f>
        <v>0</v>
      </c>
      <c r="K109" s="460">
        <f>SUMIFS('Salary sheet'!$AS$6:$AS$1291,'Salary sheet'!$F$6:$F$1291,'TOTAL(payment)'!C109)</f>
        <v>0</v>
      </c>
      <c r="L109" s="460">
        <f t="shared" si="8"/>
        <v>24357533</v>
      </c>
      <c r="M109" s="459">
        <f t="shared" si="9"/>
        <v>8119177.666666667</v>
      </c>
    </row>
    <row r="110" spans="1:13" s="22" customFormat="1" ht="26.25" customHeight="1">
      <c r="A110" s="464">
        <f>SUBTOTAL(3,B$7:B110)</f>
        <v>104</v>
      </c>
      <c r="B110" s="465" t="s">
        <v>220</v>
      </c>
      <c r="C110" s="466" t="s">
        <v>268</v>
      </c>
      <c r="D110" s="467" t="s">
        <v>590</v>
      </c>
      <c r="E110" s="468">
        <f>COUNTIFS('Salary sheet'!$F$6:$F$2288,C110,'Salary sheet'!$E$6:$E$2288,B110)</f>
        <v>12</v>
      </c>
      <c r="F110" s="460">
        <f>+SUMIFS('Salary sheet'!$AN$6:$AN$1292,'Salary sheet'!$F$6:$F$1292,'TOTAL(payment)'!C110,'Salary sheet'!$E$6:$E$1292,'TOTAL(payment)'!B110)</f>
        <v>155737158</v>
      </c>
      <c r="G110" s="460">
        <f>+SUMIFS('Salary sheet'!$AO$6:$AO$2288,'Salary sheet'!$F$6:$F$2288,C110,'Salary sheet'!$E$6:$E$2288,B110)</f>
        <v>14407260</v>
      </c>
      <c r="H110" s="460">
        <f>+SUMIFS('Salary sheet'!$AP$6:$AP$2288,'Salary sheet'!$F$6:$F$2288,C110,'Salary sheet'!$E$6:$E$2288,B110)</f>
        <v>485100</v>
      </c>
      <c r="I110" s="460">
        <f>+SUMIFS('Salary sheet'!$AQ$6:$AQ$2288,'Salary sheet'!$F$6:$F$2288,C110,'Salary sheet'!$E$6:$E$2288,B110)</f>
        <v>228487</v>
      </c>
      <c r="J110" s="460">
        <f>+SUMIFS('Salary sheet'!$AR$6:$AR$2288,'Salary sheet'!$F$6:$F$2288,C110,'Salary sheet'!$E$6:$E$2288,B110)</f>
        <v>0</v>
      </c>
      <c r="K110" s="460">
        <f>SUMIFS('Salary sheet'!$AS$6:$AS$1291,'Salary sheet'!$F$6:$F$1291,'TOTAL(payment)'!C110)</f>
        <v>115385</v>
      </c>
      <c r="L110" s="460">
        <f t="shared" si="8"/>
        <v>140500926</v>
      </c>
      <c r="M110" s="459">
        <f t="shared" si="9"/>
        <v>11708410.5</v>
      </c>
    </row>
    <row r="111" spans="1:13" s="22" customFormat="1" ht="26.25" customHeight="1">
      <c r="A111" s="464">
        <f>SUBTOTAL(3,B$7:B111)</f>
        <v>105</v>
      </c>
      <c r="B111" s="465" t="s">
        <v>220</v>
      </c>
      <c r="C111" s="466" t="s">
        <v>545</v>
      </c>
      <c r="D111" s="467" t="s">
        <v>627</v>
      </c>
      <c r="E111" s="468">
        <f>COUNTIFS('Salary sheet'!$F$6:$F$2288,C111,'Salary sheet'!$E$6:$E$2288,B111)</f>
        <v>6</v>
      </c>
      <c r="F111" s="460">
        <f>+SUMIFS('Salary sheet'!$AN$6:$AN$1292,'Salary sheet'!$F$6:$F$1292,'TOTAL(payment)'!C111,'Salary sheet'!$E$6:$E$1292,'TOTAL(payment)'!B111)</f>
        <v>110170479</v>
      </c>
      <c r="G111" s="460">
        <f>+SUMIFS('Salary sheet'!$AO$6:$AO$2288,'Salary sheet'!$F$6:$F$2288,C111,'Salary sheet'!$E$6:$E$2288,B111)</f>
        <v>12085500</v>
      </c>
      <c r="H111" s="460">
        <f>+SUMIFS('Salary sheet'!$AP$6:$AP$2288,'Salary sheet'!$F$6:$F$2288,C111,'Salary sheet'!$E$6:$E$2288,B111)</f>
        <v>264600</v>
      </c>
      <c r="I111" s="460">
        <f>+SUMIFS('Salary sheet'!$AQ$6:$AQ$2288,'Salary sheet'!$F$6:$F$2288,C111,'Salary sheet'!$E$6:$E$2288,B111)</f>
        <v>68226</v>
      </c>
      <c r="J111" s="460">
        <f>+SUMIFS('Salary sheet'!$AR$6:$AR$2288,'Salary sheet'!$F$6:$F$2288,C111,'Salary sheet'!$E$6:$E$2288,B111)</f>
        <v>0</v>
      </c>
      <c r="K111" s="460">
        <f>SUMIFS('Salary sheet'!$AS$6:$AS$1291,'Salary sheet'!$F$6:$F$1291,'TOTAL(payment)'!C111)</f>
        <v>0</v>
      </c>
      <c r="L111" s="460">
        <f t="shared" si="8"/>
        <v>97752153</v>
      </c>
      <c r="M111" s="459">
        <f t="shared" si="9"/>
        <v>16292025.5</v>
      </c>
    </row>
    <row r="112" spans="1:13" s="22" customFormat="1" ht="26.25" customHeight="1">
      <c r="A112" s="464">
        <f>SUBTOTAL(3,B$7:B112)</f>
        <v>106</v>
      </c>
      <c r="B112" s="465" t="s">
        <v>220</v>
      </c>
      <c r="C112" s="466" t="s">
        <v>269</v>
      </c>
      <c r="D112" s="467" t="s">
        <v>716</v>
      </c>
      <c r="E112" s="468">
        <f>COUNTIFS('Salary sheet'!$F$6:$F$2288,C112,'Salary sheet'!$E$6:$E$2288,B112)</f>
        <v>5</v>
      </c>
      <c r="F112" s="460">
        <f>+SUMIFS('Salary sheet'!$AN$6:$AN$1292,'Salary sheet'!$F$6:$F$1292,'TOTAL(payment)'!C112,'Salary sheet'!$E$6:$E$1292,'TOTAL(payment)'!B112)</f>
        <v>80769902</v>
      </c>
      <c r="G112" s="460">
        <f>+SUMIFS('Salary sheet'!$AO$6:$AO$2288,'Salary sheet'!$F$6:$F$2288,C112,'Salary sheet'!$E$6:$E$2288,B112)</f>
        <v>6872565</v>
      </c>
      <c r="H112" s="460">
        <f>+SUMIFS('Salary sheet'!$AP$6:$AP$2288,'Salary sheet'!$F$6:$F$2288,C112,'Salary sheet'!$E$6:$E$2288,B112)</f>
        <v>220500</v>
      </c>
      <c r="I112" s="460">
        <f>+SUMIFS('Salary sheet'!$AQ$6:$AQ$2288,'Salary sheet'!$F$6:$F$2288,C112,'Salary sheet'!$E$6:$E$2288,B112)</f>
        <v>259247</v>
      </c>
      <c r="J112" s="460">
        <f>+SUMIFS('Salary sheet'!$AR$6:$AR$2288,'Salary sheet'!$F$6:$F$2288,C112,'Salary sheet'!$E$6:$E$2288,B112)</f>
        <v>0</v>
      </c>
      <c r="K112" s="460">
        <f>SUMIFS('Salary sheet'!$AS$6:$AS$1291,'Salary sheet'!$F$6:$F$1291,'TOTAL(payment)'!C112)</f>
        <v>0</v>
      </c>
      <c r="L112" s="460">
        <f t="shared" si="8"/>
        <v>73417590</v>
      </c>
      <c r="M112" s="459">
        <f t="shared" si="9"/>
        <v>14683518</v>
      </c>
    </row>
    <row r="113" spans="1:16" s="22" customFormat="1" ht="26.25" customHeight="1">
      <c r="A113" s="464">
        <f>SUBTOTAL(3,B$7:B113)</f>
        <v>107</v>
      </c>
      <c r="B113" s="465" t="s">
        <v>216</v>
      </c>
      <c r="C113" s="466" t="s">
        <v>663</v>
      </c>
      <c r="D113" s="467" t="s">
        <v>666</v>
      </c>
      <c r="E113" s="468">
        <f>COUNTIFS('Salary sheet'!$F$6:$F$2288,C113,'Salary sheet'!$E$6:$E$2288,B113)</f>
        <v>4</v>
      </c>
      <c r="F113" s="460">
        <f>+SUMIFS('Salary sheet'!$AN$6:$AN$1292,'Salary sheet'!$F$6:$F$1292,'TOTAL(payment)'!C113,'Salary sheet'!$E$6:$E$1292,'TOTAL(payment)'!B113)</f>
        <v>49227530</v>
      </c>
      <c r="G113" s="460">
        <f>+SUMIFS('Salary sheet'!$AO$6:$AO$2288,'Salary sheet'!$F$6:$F$2288,C113,'Salary sheet'!$E$6:$E$2288,B113)</f>
        <v>3780000</v>
      </c>
      <c r="H113" s="460">
        <f>+SUMIFS('Salary sheet'!$AP$6:$AP$2288,'Salary sheet'!$F$6:$F$2288,C113,'Salary sheet'!$E$6:$E$2288,B113)</f>
        <v>176400</v>
      </c>
      <c r="I113" s="460">
        <f>+SUMIFS('Salary sheet'!$AQ$6:$AQ$2288,'Salary sheet'!$F$6:$F$2288,C113,'Salary sheet'!$E$6:$E$2288,B113)</f>
        <v>0</v>
      </c>
      <c r="J113" s="460">
        <f>+SUMIFS('Salary sheet'!$AR$6:$AR$2288,'Salary sheet'!$F$6:$F$2288,C113,'Salary sheet'!$E$6:$E$2288,B113)</f>
        <v>0</v>
      </c>
      <c r="K113" s="460">
        <f>SUMIFS('Salary sheet'!$AS$6:$AS$1291,'Salary sheet'!$F$6:$F$1291,'TOTAL(payment)'!C113)</f>
        <v>0</v>
      </c>
      <c r="L113" s="460">
        <f t="shared" si="8"/>
        <v>45271130</v>
      </c>
      <c r="M113" s="459">
        <f t="shared" si="9"/>
        <v>11317782.5</v>
      </c>
    </row>
    <row r="114" spans="1:16" s="22" customFormat="1" ht="26.25" customHeight="1">
      <c r="A114" s="464">
        <f>SUBTOTAL(3,B$7:B114)</f>
        <v>108</v>
      </c>
      <c r="B114" s="465" t="s">
        <v>216</v>
      </c>
      <c r="C114" s="466" t="s">
        <v>687</v>
      </c>
      <c r="D114" s="467" t="s">
        <v>688</v>
      </c>
      <c r="E114" s="468">
        <f>COUNTIFS('Salary sheet'!$F$6:$F$2288,C114,'Salary sheet'!$E$6:$E$2288,B114)</f>
        <v>1</v>
      </c>
      <c r="F114" s="460">
        <f>+SUMIFS('Salary sheet'!$AN$6:$AN$1292,'Salary sheet'!$F$6:$F$1292,'TOTAL(payment)'!C114,'Salary sheet'!$E$6:$E$1292,'TOTAL(payment)'!B114)</f>
        <v>9059570</v>
      </c>
      <c r="G114" s="460">
        <f>+SUMIFS('Salary sheet'!$AO$6:$AO$2288,'Salary sheet'!$F$6:$F$2288,C114,'Salary sheet'!$E$6:$E$2288,B114)</f>
        <v>643755</v>
      </c>
      <c r="H114" s="460">
        <f>+SUMIFS('Salary sheet'!$AP$6:$AP$2288,'Salary sheet'!$F$6:$F$2288,C114,'Salary sheet'!$E$6:$E$2288,B114)</f>
        <v>44100</v>
      </c>
      <c r="I114" s="460">
        <f>+SUMIFS('Salary sheet'!$AQ$6:$AQ$2288,'Salary sheet'!$F$6:$F$2288,C114,'Salary sheet'!$E$6:$E$2288,B114)</f>
        <v>0</v>
      </c>
      <c r="J114" s="460">
        <f>+SUMIFS('Salary sheet'!$AR$6:$AR$2288,'Salary sheet'!$F$6:$F$2288,C114,'Salary sheet'!$E$6:$E$2288,B114)</f>
        <v>140000</v>
      </c>
      <c r="K114" s="460">
        <f>SUMIFS('Salary sheet'!$AS$6:$AS$1291,'Salary sheet'!$F$6:$F$1291,'TOTAL(payment)'!C114)</f>
        <v>0</v>
      </c>
      <c r="L114" s="460">
        <f t="shared" si="8"/>
        <v>8231715</v>
      </c>
      <c r="M114" s="459">
        <f t="shared" si="9"/>
        <v>8231715</v>
      </c>
    </row>
    <row r="115" spans="1:16" s="22" customFormat="1" ht="26.25" customHeight="1">
      <c r="A115" s="464">
        <f>SUBTOTAL(3,B$7:B115)</f>
        <v>109</v>
      </c>
      <c r="B115" s="465" t="s">
        <v>216</v>
      </c>
      <c r="C115" s="466" t="s">
        <v>664</v>
      </c>
      <c r="D115" s="467" t="s">
        <v>665</v>
      </c>
      <c r="E115" s="468">
        <f>COUNTIFS('Salary sheet'!$F$6:$F$2288,C115,'Salary sheet'!$E$6:$E$2288,B115)</f>
        <v>1</v>
      </c>
      <c r="F115" s="460">
        <f>+SUMIFS('Salary sheet'!$AN$6:$AN$1292,'Salary sheet'!$F$6:$F$1292,'TOTAL(payment)'!C115,'Salary sheet'!$E$6:$E$1292,'TOTAL(payment)'!B115)</f>
        <v>28000000</v>
      </c>
      <c r="G115" s="460">
        <f>+SUMIFS('Salary sheet'!$AO$6:$AO$2288,'Salary sheet'!$F$6:$F$2288,C115,'Salary sheet'!$E$6:$E$2288,B115)</f>
        <v>2887500</v>
      </c>
      <c r="H115" s="460">
        <f>+SUMIFS('Salary sheet'!$AP$6:$AP$2288,'Salary sheet'!$F$6:$F$2288,C115,'Salary sheet'!$E$6:$E$2288,B115)</f>
        <v>44100</v>
      </c>
      <c r="I115" s="460">
        <f>+SUMIFS('Salary sheet'!$AQ$6:$AQ$2288,'Salary sheet'!$F$6:$F$2288,C115,'Salary sheet'!$E$6:$E$2288,B115)</f>
        <v>245625</v>
      </c>
      <c r="J115" s="460">
        <f>+SUMIFS('Salary sheet'!$AR$6:$AR$2288,'Salary sheet'!$F$6:$F$2288,C115,'Salary sheet'!$E$6:$E$2288,B115)</f>
        <v>0</v>
      </c>
      <c r="K115" s="460">
        <f>SUMIFS('Salary sheet'!$AS$6:$AS$1291,'Salary sheet'!$F$6:$F$1291,'TOTAL(payment)'!C115)</f>
        <v>0</v>
      </c>
      <c r="L115" s="460">
        <f t="shared" si="8"/>
        <v>24822775</v>
      </c>
      <c r="M115" s="459">
        <f t="shared" si="9"/>
        <v>24822775</v>
      </c>
    </row>
    <row r="116" spans="1:16" s="22" customFormat="1" ht="26.25" customHeight="1">
      <c r="A116" s="464">
        <f>SUBTOTAL(3,B$7:B116)</f>
        <v>110</v>
      </c>
      <c r="B116" s="465" t="s">
        <v>216</v>
      </c>
      <c r="C116" s="466" t="s">
        <v>678</v>
      </c>
      <c r="D116" s="467" t="s">
        <v>684</v>
      </c>
      <c r="E116" s="468">
        <f>COUNTIFS('Salary sheet'!$F$6:$F$2288,C116,'Salary sheet'!$E$6:$E$2288,B116)</f>
        <v>2</v>
      </c>
      <c r="F116" s="460">
        <f>+SUMIFS('Salary sheet'!$AN$6:$AN$1292,'Salary sheet'!$F$6:$F$1292,'TOTAL(payment)'!C116,'Salary sheet'!$E$6:$E$1292,'TOTAL(payment)'!B116)</f>
        <v>23120340</v>
      </c>
      <c r="G116" s="460">
        <f>+SUMIFS('Salary sheet'!$AO$6:$AO$2288,'Salary sheet'!$F$6:$F$2288,C116,'Salary sheet'!$E$6:$E$2288,B116)</f>
        <v>1687770</v>
      </c>
      <c r="H116" s="460">
        <f>+SUMIFS('Salary sheet'!$AP$6:$AP$2288,'Salary sheet'!$F$6:$F$2288,C116,'Salary sheet'!$E$6:$E$2288,B116)</f>
        <v>88200</v>
      </c>
      <c r="I116" s="460">
        <f>+SUMIFS('Salary sheet'!$AQ$6:$AQ$2288,'Salary sheet'!$F$6:$F$2288,C116,'Salary sheet'!$E$6:$E$2288,B116)</f>
        <v>0</v>
      </c>
      <c r="J116" s="460">
        <f>+SUMIFS('Salary sheet'!$AR$6:$AR$2288,'Salary sheet'!$F$6:$F$2288,C116,'Salary sheet'!$E$6:$E$2288,B116)</f>
        <v>0</v>
      </c>
      <c r="K116" s="460">
        <f>SUMIFS('Salary sheet'!$AS$6:$AS$1291,'Salary sheet'!$F$6:$F$1291,'TOTAL(payment)'!C116)</f>
        <v>0</v>
      </c>
      <c r="L116" s="460">
        <f t="shared" si="8"/>
        <v>21344370</v>
      </c>
      <c r="M116" s="459">
        <f t="shared" si="9"/>
        <v>10672185</v>
      </c>
    </row>
    <row r="117" spans="1:16" s="22" customFormat="1" ht="26.25" customHeight="1">
      <c r="A117" s="464">
        <f>SUBTOTAL(3,B$7:B117)</f>
        <v>111</v>
      </c>
      <c r="B117" s="465" t="s">
        <v>216</v>
      </c>
      <c r="C117" s="466" t="s">
        <v>679</v>
      </c>
      <c r="D117" s="467" t="s">
        <v>685</v>
      </c>
      <c r="E117" s="468">
        <f>COUNTIFS('Salary sheet'!$F$6:$F$2288,C117,'Salary sheet'!$E$6:$E$2288,B117)</f>
        <v>6</v>
      </c>
      <c r="F117" s="460">
        <f>+SUMIFS('Salary sheet'!$AN$6:$AN$1292,'Salary sheet'!$F$6:$F$1292,'TOTAL(payment)'!C117,'Salary sheet'!$E$6:$E$1292,'TOTAL(payment)'!B117)</f>
        <v>49791311</v>
      </c>
      <c r="G117" s="460">
        <f>+SUMIFS('Salary sheet'!$AO$6:$AO$2288,'Salary sheet'!$F$6:$F$2288,C117,'Salary sheet'!$E$6:$E$2288,B117)</f>
        <v>3231480</v>
      </c>
      <c r="H117" s="460">
        <f>+SUMIFS('Salary sheet'!$AP$6:$AP$2288,'Salary sheet'!$F$6:$F$2288,C117,'Salary sheet'!$E$6:$E$2288,B117)</f>
        <v>220500</v>
      </c>
      <c r="I117" s="460">
        <f>+SUMIFS('Salary sheet'!$AQ$6:$AQ$2288,'Salary sheet'!$F$6:$F$2288,C117,'Salary sheet'!$E$6:$E$2288,B117)</f>
        <v>0</v>
      </c>
      <c r="J117" s="460">
        <f>+SUMIFS('Salary sheet'!$AR$6:$AR$2288,'Salary sheet'!$F$6:$F$2288,C117,'Salary sheet'!$E$6:$E$2288,B117)</f>
        <v>130000</v>
      </c>
      <c r="K117" s="460">
        <f>SUMIFS('Salary sheet'!$AS$6:$AS$1291,'Salary sheet'!$F$6:$F$1291,'TOTAL(payment)'!C117)</f>
        <v>0</v>
      </c>
      <c r="L117" s="460">
        <f t="shared" si="8"/>
        <v>46209331</v>
      </c>
      <c r="M117" s="459">
        <f t="shared" si="9"/>
        <v>7701555.166666667</v>
      </c>
    </row>
    <row r="118" spans="1:16" s="22" customFormat="1" ht="26.25" customHeight="1" thickBot="1">
      <c r="A118" s="464">
        <f>SUBTOTAL(3,B$7:B118)</f>
        <v>112</v>
      </c>
      <c r="B118" s="465" t="s">
        <v>216</v>
      </c>
      <c r="C118" s="466" t="s">
        <v>680</v>
      </c>
      <c r="D118" s="467" t="s">
        <v>686</v>
      </c>
      <c r="E118" s="468">
        <f>COUNTIFS('Salary sheet'!$F$6:$F$2288,C118,'Salary sheet'!$E$6:$E$2288,B118)</f>
        <v>1</v>
      </c>
      <c r="F118" s="460">
        <f>+SUMIFS('Salary sheet'!$AN$6:$AN$1292,'Salary sheet'!$F$6:$F$1292,'TOTAL(payment)'!C118,'Salary sheet'!$E$6:$E$1292,'TOTAL(payment)'!B118)</f>
        <v>8278438</v>
      </c>
      <c r="G118" s="460">
        <f>+SUMIFS('Salary sheet'!$AO$6:$AO$2288,'Salary sheet'!$F$6:$F$2288,C118,'Salary sheet'!$E$6:$E$2288,B118)</f>
        <v>627270</v>
      </c>
      <c r="H118" s="460">
        <f>+SUMIFS('Salary sheet'!$AP$6:$AP$2288,'Salary sheet'!$F$6:$F$2288,C118,'Salary sheet'!$E$6:$E$2288,B118)</f>
        <v>44100</v>
      </c>
      <c r="I118" s="460">
        <f>+SUMIFS('Salary sheet'!$AQ$6:$AQ$2288,'Salary sheet'!$F$6:$F$2288,C118,'Salary sheet'!$E$6:$E$2288,B118)</f>
        <v>0</v>
      </c>
      <c r="J118" s="460">
        <f>+SUMIFS('Salary sheet'!$AR$6:$AR$2288,'Salary sheet'!$F$6:$F$2288,C118,'Salary sheet'!$E$6:$E$2288,B118)</f>
        <v>0</v>
      </c>
      <c r="K118" s="460">
        <f>SUMIFS('Salary sheet'!$AS$6:$AS$1291,'Salary sheet'!$F$6:$F$1291,'TOTAL(payment)'!C118)</f>
        <v>0</v>
      </c>
      <c r="L118" s="460">
        <f t="shared" si="8"/>
        <v>7607068</v>
      </c>
      <c r="M118" s="459">
        <f t="shared" si="9"/>
        <v>7607068</v>
      </c>
    </row>
    <row r="119" spans="1:16" s="471" customFormat="1" ht="43.5" customHeight="1" thickBot="1">
      <c r="A119" s="461" t="s">
        <v>281</v>
      </c>
      <c r="B119" s="461"/>
      <c r="C119" s="461"/>
      <c r="D119" s="461"/>
      <c r="E119" s="462">
        <f t="shared" ref="E119:L119" si="10">SUM(E7:E118)</f>
        <v>1289</v>
      </c>
      <c r="F119" s="462">
        <f t="shared" si="10"/>
        <v>14329763701</v>
      </c>
      <c r="G119" s="462">
        <f t="shared" si="10"/>
        <v>998000257</v>
      </c>
      <c r="H119" s="462">
        <f t="shared" si="10"/>
        <v>52434900</v>
      </c>
      <c r="I119" s="462">
        <f t="shared" si="10"/>
        <v>208839267</v>
      </c>
      <c r="J119" s="462">
        <f t="shared" si="10"/>
        <v>568500</v>
      </c>
      <c r="K119" s="462">
        <f t="shared" si="10"/>
        <v>3199861</v>
      </c>
      <c r="L119" s="462">
        <f t="shared" si="10"/>
        <v>13066720916</v>
      </c>
      <c r="M119" s="462">
        <f>SUM(M7:M112)</f>
        <v>1313282850.7944925</v>
      </c>
      <c r="N119" s="471">
        <f>+L119-(L7+'Salary sheet'!AT1292)</f>
        <v>0</v>
      </c>
    </row>
    <row r="120" spans="1:16" s="22" customFormat="1" ht="14.25" hidden="1" customHeight="1">
      <c r="A120" s="111"/>
      <c r="B120" s="78"/>
      <c r="C120" s="111"/>
      <c r="D120" s="111"/>
      <c r="E120" s="77">
        <f t="shared" ref="E120:M120" si="11">+E119-E7</f>
        <v>1286</v>
      </c>
      <c r="F120" s="77">
        <f t="shared" si="11"/>
        <v>13642799084</v>
      </c>
      <c r="G120" s="77">
        <f t="shared" si="11"/>
        <v>984662257</v>
      </c>
      <c r="H120" s="77">
        <f t="shared" si="11"/>
        <v>52434900</v>
      </c>
      <c r="I120" s="77">
        <f t="shared" si="11"/>
        <v>15709951</v>
      </c>
      <c r="J120" s="77">
        <f t="shared" si="11"/>
        <v>568500</v>
      </c>
      <c r="K120" s="77">
        <f t="shared" si="11"/>
        <v>3199861</v>
      </c>
      <c r="L120" s="77">
        <f t="shared" si="11"/>
        <v>12586223615</v>
      </c>
      <c r="M120" s="77">
        <f t="shared" si="11"/>
        <v>1153117083.7944925</v>
      </c>
    </row>
    <row r="121" spans="1:16" s="22" customFormat="1" ht="14.25" hidden="1" customHeight="1">
      <c r="A121" s="111"/>
      <c r="B121" s="78"/>
      <c r="C121" s="156"/>
      <c r="D121" s="156"/>
      <c r="E121" s="77">
        <f t="shared" ref="E121:L121" si="12">+E119-E7-E120</f>
        <v>0</v>
      </c>
      <c r="F121" s="77">
        <f t="shared" si="12"/>
        <v>0</v>
      </c>
      <c r="G121" s="77">
        <f t="shared" si="12"/>
        <v>0</v>
      </c>
      <c r="H121" s="77">
        <f t="shared" si="12"/>
        <v>0</v>
      </c>
      <c r="I121" s="77">
        <f t="shared" si="12"/>
        <v>0</v>
      </c>
      <c r="J121" s="77">
        <f t="shared" si="12"/>
        <v>0</v>
      </c>
      <c r="K121" s="77">
        <f t="shared" si="12"/>
        <v>0</v>
      </c>
      <c r="L121" s="105">
        <f t="shared" si="12"/>
        <v>0</v>
      </c>
      <c r="M121" s="77"/>
    </row>
    <row r="122" spans="1:16" s="22" customFormat="1" ht="18" customHeight="1">
      <c r="A122" s="111"/>
      <c r="B122" s="78"/>
      <c r="C122" s="19"/>
      <c r="D122" s="156"/>
      <c r="E122" s="77"/>
      <c r="F122" s="77"/>
      <c r="G122" s="77"/>
      <c r="H122" s="77"/>
      <c r="I122" s="77"/>
      <c r="J122" s="77"/>
      <c r="K122" s="77"/>
      <c r="L122" s="105"/>
      <c r="M122" s="77"/>
      <c r="P122" s="578"/>
    </row>
    <row r="123" spans="1:16">
      <c r="K123" s="470" t="s">
        <v>5718</v>
      </c>
    </row>
    <row r="124" spans="1:16" s="159" customFormat="1" ht="21" customHeight="1">
      <c r="B124" s="159" t="s">
        <v>35</v>
      </c>
      <c r="C124" s="19"/>
      <c r="F124" s="160"/>
      <c r="G124" s="159" t="s">
        <v>222</v>
      </c>
      <c r="K124" s="161" t="s">
        <v>223</v>
      </c>
      <c r="L124" s="756"/>
      <c r="M124" s="161"/>
    </row>
    <row r="125" spans="1:16" s="159" customFormat="1" ht="21.6" customHeight="1">
      <c r="F125" s="160"/>
      <c r="K125" s="161"/>
      <c r="L125" s="756"/>
      <c r="M125" s="161"/>
    </row>
    <row r="126" spans="1:16" s="159" customFormat="1">
      <c r="F126" s="160"/>
      <c r="K126" s="161"/>
      <c r="L126" s="756"/>
      <c r="M126" s="161"/>
      <c r="P126" s="1303"/>
    </row>
    <row r="127" spans="1:16" s="159" customFormat="1">
      <c r="F127" s="160"/>
      <c r="K127" s="161"/>
      <c r="L127" s="756"/>
      <c r="M127" s="161"/>
      <c r="P127" s="1303"/>
    </row>
    <row r="128" spans="1:16" s="159" customFormat="1">
      <c r="F128" s="160"/>
      <c r="K128" s="161"/>
      <c r="L128" s="756"/>
      <c r="M128" s="161"/>
    </row>
    <row r="129" spans="1:13" s="159" customFormat="1">
      <c r="F129" s="160"/>
      <c r="K129" s="161"/>
      <c r="L129" s="756"/>
      <c r="M129" s="161"/>
    </row>
    <row r="130" spans="1:13" s="162" customFormat="1">
      <c r="A130" s="159"/>
      <c r="B130" s="159"/>
      <c r="C130" s="159"/>
      <c r="D130" s="159"/>
      <c r="E130" s="159"/>
      <c r="F130" s="159"/>
      <c r="G130" s="159"/>
      <c r="K130" s="161"/>
      <c r="L130" s="756"/>
      <c r="M130" s="163"/>
    </row>
    <row r="131" spans="1:13" s="159" customFormat="1">
      <c r="F131" s="160"/>
      <c r="K131" s="161"/>
      <c r="L131" s="756"/>
      <c r="M131" s="161"/>
    </row>
    <row r="132" spans="1:13" s="159" customFormat="1">
      <c r="B132" s="159" t="s">
        <v>182</v>
      </c>
      <c r="F132" s="160"/>
      <c r="G132" s="159" t="s">
        <v>161</v>
      </c>
      <c r="K132" s="161" t="s">
        <v>224</v>
      </c>
      <c r="L132" s="756"/>
      <c r="M132" s="161"/>
    </row>
    <row r="133" spans="1:13" s="130" customFormat="1" ht="12.75">
      <c r="F133" s="129"/>
      <c r="G133" s="129"/>
      <c r="L133" s="860"/>
      <c r="M133" s="128"/>
    </row>
  </sheetData>
  <sortState xmlns:xlrd2="http://schemas.microsoft.com/office/spreadsheetml/2017/richdata2" ref="A8:M120">
    <sortCondition ref="C8:C120"/>
  </sortState>
  <mergeCells count="2">
    <mergeCell ref="A3:L3"/>
    <mergeCell ref="A4:L4"/>
  </mergeCells>
  <phoneticPr fontId="61" type="noConversion"/>
  <conditionalFormatting sqref="C1:C1048576">
    <cfRule type="duplicateValues" dxfId="131" priority="1"/>
    <cfRule type="duplicateValues" dxfId="130" priority="3"/>
  </conditionalFormatting>
  <conditionalFormatting sqref="C7:C118">
    <cfRule type="duplicateValues" dxfId="129" priority="206"/>
  </conditionalFormatting>
  <pageMargins left="0.23622047244094491" right="0.23622047244094491" top="0.27559055118110237" bottom="0.19685039370078741" header="0.27559055118110237" footer="0.15748031496062992"/>
  <pageSetup paperSize="8" scale="66" fitToHeight="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Y32"/>
  <sheetViews>
    <sheetView zoomScale="85" zoomScaleNormal="85" zoomScaleSheetLayoutView="90" workbookViewId="0">
      <selection activeCell="G9" sqref="G9"/>
    </sheetView>
  </sheetViews>
  <sheetFormatPr defaultRowHeight="12.75"/>
  <cols>
    <col min="1" max="1" width="6" style="130" customWidth="1"/>
    <col min="2" max="2" width="17.85546875" style="130" customWidth="1"/>
    <col min="3" max="3" width="24.28515625" style="130" hidden="1" customWidth="1"/>
    <col min="4" max="4" width="11.7109375" style="130" customWidth="1"/>
    <col min="5" max="5" width="13" style="130" customWidth="1"/>
    <col min="6" max="6" width="18" style="129" customWidth="1"/>
    <col min="7" max="7" width="16.85546875" style="129" customWidth="1"/>
    <col min="8" max="8" width="11.42578125" style="130" customWidth="1"/>
    <col min="9" max="9" width="17.42578125" style="130" customWidth="1"/>
    <col min="10" max="10" width="11.85546875" style="130" hidden="1" customWidth="1"/>
    <col min="11" max="11" width="15.140625" style="130" hidden="1" customWidth="1"/>
    <col min="12" max="12" width="18.5703125" style="128" customWidth="1"/>
    <col min="13" max="13" width="14.28515625" style="128" customWidth="1"/>
    <col min="14" max="14" width="12.28515625" style="128" hidden="1" customWidth="1"/>
    <col min="15" max="15" width="14.140625" style="128" customWidth="1"/>
    <col min="16" max="16" width="15" style="128" customWidth="1"/>
    <col min="17" max="17" width="13.140625" style="128" hidden="1" customWidth="1"/>
    <col min="18" max="18" width="15.85546875" style="128" customWidth="1"/>
    <col min="19" max="19" width="12.7109375" style="131" bestFit="1" customWidth="1"/>
    <col min="20" max="20" width="19.5703125" style="131" hidden="1" customWidth="1"/>
    <col min="21" max="21" width="15.42578125" style="131" customWidth="1"/>
    <col min="22" max="22" width="13" style="291" customWidth="1"/>
    <col min="23" max="23" width="13.28515625" style="130" customWidth="1"/>
    <col min="24" max="24" width="14.5703125" style="130" customWidth="1"/>
    <col min="25" max="25" width="12.5703125" style="130" bestFit="1" customWidth="1"/>
    <col min="26" max="252" width="9.140625" style="130"/>
    <col min="253" max="253" width="4.28515625" style="130" customWidth="1"/>
    <col min="254" max="254" width="18.42578125" style="130" customWidth="1"/>
    <col min="255" max="255" width="19" style="130" customWidth="1"/>
    <col min="256" max="256" width="13.42578125" style="130" customWidth="1"/>
    <col min="257" max="257" width="9.85546875" style="130" customWidth="1"/>
    <col min="258" max="258" width="15.28515625" style="130" customWidth="1"/>
    <col min="259" max="259" width="11.7109375" style="130" customWidth="1"/>
    <col min="260" max="261" width="0" style="130" hidden="1" customWidth="1"/>
    <col min="262" max="262" width="15.7109375" style="130" customWidth="1"/>
    <col min="263" max="263" width="15.85546875" style="130" customWidth="1"/>
    <col min="264" max="264" width="15.28515625" style="130" customWidth="1"/>
    <col min="265" max="265" width="0" style="130" hidden="1" customWidth="1"/>
    <col min="266" max="508" width="9.140625" style="130"/>
    <col min="509" max="509" width="4.28515625" style="130" customWidth="1"/>
    <col min="510" max="510" width="18.42578125" style="130" customWidth="1"/>
    <col min="511" max="511" width="19" style="130" customWidth="1"/>
    <col min="512" max="512" width="13.42578125" style="130" customWidth="1"/>
    <col min="513" max="513" width="9.85546875" style="130" customWidth="1"/>
    <col min="514" max="514" width="15.28515625" style="130" customWidth="1"/>
    <col min="515" max="515" width="11.7109375" style="130" customWidth="1"/>
    <col min="516" max="517" width="0" style="130" hidden="1" customWidth="1"/>
    <col min="518" max="518" width="15.7109375" style="130" customWidth="1"/>
    <col min="519" max="519" width="15.85546875" style="130" customWidth="1"/>
    <col min="520" max="520" width="15.28515625" style="130" customWidth="1"/>
    <col min="521" max="521" width="0" style="130" hidden="1" customWidth="1"/>
    <col min="522" max="764" width="9.140625" style="130"/>
    <col min="765" max="765" width="4.28515625" style="130" customWidth="1"/>
    <col min="766" max="766" width="18.42578125" style="130" customWidth="1"/>
    <col min="767" max="767" width="19" style="130" customWidth="1"/>
    <col min="768" max="768" width="13.42578125" style="130" customWidth="1"/>
    <col min="769" max="769" width="9.85546875" style="130" customWidth="1"/>
    <col min="770" max="770" width="15.28515625" style="130" customWidth="1"/>
    <col min="771" max="771" width="11.7109375" style="130" customWidth="1"/>
    <col min="772" max="773" width="0" style="130" hidden="1" customWidth="1"/>
    <col min="774" max="774" width="15.7109375" style="130" customWidth="1"/>
    <col min="775" max="775" width="15.85546875" style="130" customWidth="1"/>
    <col min="776" max="776" width="15.28515625" style="130" customWidth="1"/>
    <col min="777" max="777" width="0" style="130" hidden="1" customWidth="1"/>
    <col min="778" max="1020" width="9.140625" style="130"/>
    <col min="1021" max="1021" width="4.28515625" style="130" customWidth="1"/>
    <col min="1022" max="1022" width="18.42578125" style="130" customWidth="1"/>
    <col min="1023" max="1023" width="19" style="130" customWidth="1"/>
    <col min="1024" max="1024" width="13.42578125" style="130" customWidth="1"/>
    <col min="1025" max="1025" width="9.85546875" style="130" customWidth="1"/>
    <col min="1026" max="1026" width="15.28515625" style="130" customWidth="1"/>
    <col min="1027" max="1027" width="11.7109375" style="130" customWidth="1"/>
    <col min="1028" max="1029" width="0" style="130" hidden="1" customWidth="1"/>
    <col min="1030" max="1030" width="15.7109375" style="130" customWidth="1"/>
    <col min="1031" max="1031" width="15.85546875" style="130" customWidth="1"/>
    <col min="1032" max="1032" width="15.28515625" style="130" customWidth="1"/>
    <col min="1033" max="1033" width="0" style="130" hidden="1" customWidth="1"/>
    <col min="1034" max="1276" width="9.140625" style="130"/>
    <col min="1277" max="1277" width="4.28515625" style="130" customWidth="1"/>
    <col min="1278" max="1278" width="18.42578125" style="130" customWidth="1"/>
    <col min="1279" max="1279" width="19" style="130" customWidth="1"/>
    <col min="1280" max="1280" width="13.42578125" style="130" customWidth="1"/>
    <col min="1281" max="1281" width="9.85546875" style="130" customWidth="1"/>
    <col min="1282" max="1282" width="15.28515625" style="130" customWidth="1"/>
    <col min="1283" max="1283" width="11.7109375" style="130" customWidth="1"/>
    <col min="1284" max="1285" width="0" style="130" hidden="1" customWidth="1"/>
    <col min="1286" max="1286" width="15.7109375" style="130" customWidth="1"/>
    <col min="1287" max="1287" width="15.85546875" style="130" customWidth="1"/>
    <col min="1288" max="1288" width="15.28515625" style="130" customWidth="1"/>
    <col min="1289" max="1289" width="0" style="130" hidden="1" customWidth="1"/>
    <col min="1290" max="1532" width="9.140625" style="130"/>
    <col min="1533" max="1533" width="4.28515625" style="130" customWidth="1"/>
    <col min="1534" max="1534" width="18.42578125" style="130" customWidth="1"/>
    <col min="1535" max="1535" width="19" style="130" customWidth="1"/>
    <col min="1536" max="1536" width="13.42578125" style="130" customWidth="1"/>
    <col min="1537" max="1537" width="9.85546875" style="130" customWidth="1"/>
    <col min="1538" max="1538" width="15.28515625" style="130" customWidth="1"/>
    <col min="1539" max="1539" width="11.7109375" style="130" customWidth="1"/>
    <col min="1540" max="1541" width="0" style="130" hidden="1" customWidth="1"/>
    <col min="1542" max="1542" width="15.7109375" style="130" customWidth="1"/>
    <col min="1543" max="1543" width="15.85546875" style="130" customWidth="1"/>
    <col min="1544" max="1544" width="15.28515625" style="130" customWidth="1"/>
    <col min="1545" max="1545" width="0" style="130" hidden="1" customWidth="1"/>
    <col min="1546" max="1788" width="9.140625" style="130"/>
    <col min="1789" max="1789" width="4.28515625" style="130" customWidth="1"/>
    <col min="1790" max="1790" width="18.42578125" style="130" customWidth="1"/>
    <col min="1791" max="1791" width="19" style="130" customWidth="1"/>
    <col min="1792" max="1792" width="13.42578125" style="130" customWidth="1"/>
    <col min="1793" max="1793" width="9.85546875" style="130" customWidth="1"/>
    <col min="1794" max="1794" width="15.28515625" style="130" customWidth="1"/>
    <col min="1795" max="1795" width="11.7109375" style="130" customWidth="1"/>
    <col min="1796" max="1797" width="0" style="130" hidden="1" customWidth="1"/>
    <col min="1798" max="1798" width="15.7109375" style="130" customWidth="1"/>
    <col min="1799" max="1799" width="15.85546875" style="130" customWidth="1"/>
    <col min="1800" max="1800" width="15.28515625" style="130" customWidth="1"/>
    <col min="1801" max="1801" width="0" style="130" hidden="1" customWidth="1"/>
    <col min="1802" max="2044" width="9.140625" style="130"/>
    <col min="2045" max="2045" width="4.28515625" style="130" customWidth="1"/>
    <col min="2046" max="2046" width="18.42578125" style="130" customWidth="1"/>
    <col min="2047" max="2047" width="19" style="130" customWidth="1"/>
    <col min="2048" max="2048" width="13.42578125" style="130" customWidth="1"/>
    <col min="2049" max="2049" width="9.85546875" style="130" customWidth="1"/>
    <col min="2050" max="2050" width="15.28515625" style="130" customWidth="1"/>
    <col min="2051" max="2051" width="11.7109375" style="130" customWidth="1"/>
    <col min="2052" max="2053" width="0" style="130" hidden="1" customWidth="1"/>
    <col min="2054" max="2054" width="15.7109375" style="130" customWidth="1"/>
    <col min="2055" max="2055" width="15.85546875" style="130" customWidth="1"/>
    <col min="2056" max="2056" width="15.28515625" style="130" customWidth="1"/>
    <col min="2057" max="2057" width="0" style="130" hidden="1" customWidth="1"/>
    <col min="2058" max="2300" width="9.140625" style="130"/>
    <col min="2301" max="2301" width="4.28515625" style="130" customWidth="1"/>
    <col min="2302" max="2302" width="18.42578125" style="130" customWidth="1"/>
    <col min="2303" max="2303" width="19" style="130" customWidth="1"/>
    <col min="2304" max="2304" width="13.42578125" style="130" customWidth="1"/>
    <col min="2305" max="2305" width="9.85546875" style="130" customWidth="1"/>
    <col min="2306" max="2306" width="15.28515625" style="130" customWidth="1"/>
    <col min="2307" max="2307" width="11.7109375" style="130" customWidth="1"/>
    <col min="2308" max="2309" width="0" style="130" hidden="1" customWidth="1"/>
    <col min="2310" max="2310" width="15.7109375" style="130" customWidth="1"/>
    <col min="2311" max="2311" width="15.85546875" style="130" customWidth="1"/>
    <col min="2312" max="2312" width="15.28515625" style="130" customWidth="1"/>
    <col min="2313" max="2313" width="0" style="130" hidden="1" customWidth="1"/>
    <col min="2314" max="2556" width="9.140625" style="130"/>
    <col min="2557" max="2557" width="4.28515625" style="130" customWidth="1"/>
    <col min="2558" max="2558" width="18.42578125" style="130" customWidth="1"/>
    <col min="2559" max="2559" width="19" style="130" customWidth="1"/>
    <col min="2560" max="2560" width="13.42578125" style="130" customWidth="1"/>
    <col min="2561" max="2561" width="9.85546875" style="130" customWidth="1"/>
    <col min="2562" max="2562" width="15.28515625" style="130" customWidth="1"/>
    <col min="2563" max="2563" width="11.7109375" style="130" customWidth="1"/>
    <col min="2564" max="2565" width="0" style="130" hidden="1" customWidth="1"/>
    <col min="2566" max="2566" width="15.7109375" style="130" customWidth="1"/>
    <col min="2567" max="2567" width="15.85546875" style="130" customWidth="1"/>
    <col min="2568" max="2568" width="15.28515625" style="130" customWidth="1"/>
    <col min="2569" max="2569" width="0" style="130" hidden="1" customWidth="1"/>
    <col min="2570" max="2812" width="9.140625" style="130"/>
    <col min="2813" max="2813" width="4.28515625" style="130" customWidth="1"/>
    <col min="2814" max="2814" width="18.42578125" style="130" customWidth="1"/>
    <col min="2815" max="2815" width="19" style="130" customWidth="1"/>
    <col min="2816" max="2816" width="13.42578125" style="130" customWidth="1"/>
    <col min="2817" max="2817" width="9.85546875" style="130" customWidth="1"/>
    <col min="2818" max="2818" width="15.28515625" style="130" customWidth="1"/>
    <col min="2819" max="2819" width="11.7109375" style="130" customWidth="1"/>
    <col min="2820" max="2821" width="0" style="130" hidden="1" customWidth="1"/>
    <col min="2822" max="2822" width="15.7109375" style="130" customWidth="1"/>
    <col min="2823" max="2823" width="15.85546875" style="130" customWidth="1"/>
    <col min="2824" max="2824" width="15.28515625" style="130" customWidth="1"/>
    <col min="2825" max="2825" width="0" style="130" hidden="1" customWidth="1"/>
    <col min="2826" max="3068" width="9.140625" style="130"/>
    <col min="3069" max="3069" width="4.28515625" style="130" customWidth="1"/>
    <col min="3070" max="3070" width="18.42578125" style="130" customWidth="1"/>
    <col min="3071" max="3071" width="19" style="130" customWidth="1"/>
    <col min="3072" max="3072" width="13.42578125" style="130" customWidth="1"/>
    <col min="3073" max="3073" width="9.85546875" style="130" customWidth="1"/>
    <col min="3074" max="3074" width="15.28515625" style="130" customWidth="1"/>
    <col min="3075" max="3075" width="11.7109375" style="130" customWidth="1"/>
    <col min="3076" max="3077" width="0" style="130" hidden="1" customWidth="1"/>
    <col min="3078" max="3078" width="15.7109375" style="130" customWidth="1"/>
    <col min="3079" max="3079" width="15.85546875" style="130" customWidth="1"/>
    <col min="3080" max="3080" width="15.28515625" style="130" customWidth="1"/>
    <col min="3081" max="3081" width="0" style="130" hidden="1" customWidth="1"/>
    <col min="3082" max="3324" width="9.140625" style="130"/>
    <col min="3325" max="3325" width="4.28515625" style="130" customWidth="1"/>
    <col min="3326" max="3326" width="18.42578125" style="130" customWidth="1"/>
    <col min="3327" max="3327" width="19" style="130" customWidth="1"/>
    <col min="3328" max="3328" width="13.42578125" style="130" customWidth="1"/>
    <col min="3329" max="3329" width="9.85546875" style="130" customWidth="1"/>
    <col min="3330" max="3330" width="15.28515625" style="130" customWidth="1"/>
    <col min="3331" max="3331" width="11.7109375" style="130" customWidth="1"/>
    <col min="3332" max="3333" width="0" style="130" hidden="1" customWidth="1"/>
    <col min="3334" max="3334" width="15.7109375" style="130" customWidth="1"/>
    <col min="3335" max="3335" width="15.85546875" style="130" customWidth="1"/>
    <col min="3336" max="3336" width="15.28515625" style="130" customWidth="1"/>
    <col min="3337" max="3337" width="0" style="130" hidden="1" customWidth="1"/>
    <col min="3338" max="3580" width="9.140625" style="130"/>
    <col min="3581" max="3581" width="4.28515625" style="130" customWidth="1"/>
    <col min="3582" max="3582" width="18.42578125" style="130" customWidth="1"/>
    <col min="3583" max="3583" width="19" style="130" customWidth="1"/>
    <col min="3584" max="3584" width="13.42578125" style="130" customWidth="1"/>
    <col min="3585" max="3585" width="9.85546875" style="130" customWidth="1"/>
    <col min="3586" max="3586" width="15.28515625" style="130" customWidth="1"/>
    <col min="3587" max="3587" width="11.7109375" style="130" customWidth="1"/>
    <col min="3588" max="3589" width="0" style="130" hidden="1" customWidth="1"/>
    <col min="3590" max="3590" width="15.7109375" style="130" customWidth="1"/>
    <col min="3591" max="3591" width="15.85546875" style="130" customWidth="1"/>
    <col min="3592" max="3592" width="15.28515625" style="130" customWidth="1"/>
    <col min="3593" max="3593" width="0" style="130" hidden="1" customWidth="1"/>
    <col min="3594" max="3836" width="9.140625" style="130"/>
    <col min="3837" max="3837" width="4.28515625" style="130" customWidth="1"/>
    <col min="3838" max="3838" width="18.42578125" style="130" customWidth="1"/>
    <col min="3839" max="3839" width="19" style="130" customWidth="1"/>
    <col min="3840" max="3840" width="13.42578125" style="130" customWidth="1"/>
    <col min="3841" max="3841" width="9.85546875" style="130" customWidth="1"/>
    <col min="3842" max="3842" width="15.28515625" style="130" customWidth="1"/>
    <col min="3843" max="3843" width="11.7109375" style="130" customWidth="1"/>
    <col min="3844" max="3845" width="0" style="130" hidden="1" customWidth="1"/>
    <col min="3846" max="3846" width="15.7109375" style="130" customWidth="1"/>
    <col min="3847" max="3847" width="15.85546875" style="130" customWidth="1"/>
    <col min="3848" max="3848" width="15.28515625" style="130" customWidth="1"/>
    <col min="3849" max="3849" width="0" style="130" hidden="1" customWidth="1"/>
    <col min="3850" max="4092" width="9.140625" style="130"/>
    <col min="4093" max="4093" width="4.28515625" style="130" customWidth="1"/>
    <col min="4094" max="4094" width="18.42578125" style="130" customWidth="1"/>
    <col min="4095" max="4095" width="19" style="130" customWidth="1"/>
    <col min="4096" max="4096" width="13.42578125" style="130" customWidth="1"/>
    <col min="4097" max="4097" width="9.85546875" style="130" customWidth="1"/>
    <col min="4098" max="4098" width="15.28515625" style="130" customWidth="1"/>
    <col min="4099" max="4099" width="11.7109375" style="130" customWidth="1"/>
    <col min="4100" max="4101" width="0" style="130" hidden="1" customWidth="1"/>
    <col min="4102" max="4102" width="15.7109375" style="130" customWidth="1"/>
    <col min="4103" max="4103" width="15.85546875" style="130" customWidth="1"/>
    <col min="4104" max="4104" width="15.28515625" style="130" customWidth="1"/>
    <col min="4105" max="4105" width="0" style="130" hidden="1" customWidth="1"/>
    <col min="4106" max="4348" width="9.140625" style="130"/>
    <col min="4349" max="4349" width="4.28515625" style="130" customWidth="1"/>
    <col min="4350" max="4350" width="18.42578125" style="130" customWidth="1"/>
    <col min="4351" max="4351" width="19" style="130" customWidth="1"/>
    <col min="4352" max="4352" width="13.42578125" style="130" customWidth="1"/>
    <col min="4353" max="4353" width="9.85546875" style="130" customWidth="1"/>
    <col min="4354" max="4354" width="15.28515625" style="130" customWidth="1"/>
    <col min="4355" max="4355" width="11.7109375" style="130" customWidth="1"/>
    <col min="4356" max="4357" width="0" style="130" hidden="1" customWidth="1"/>
    <col min="4358" max="4358" width="15.7109375" style="130" customWidth="1"/>
    <col min="4359" max="4359" width="15.85546875" style="130" customWidth="1"/>
    <col min="4360" max="4360" width="15.28515625" style="130" customWidth="1"/>
    <col min="4361" max="4361" width="0" style="130" hidden="1" customWidth="1"/>
    <col min="4362" max="4604" width="9.140625" style="130"/>
    <col min="4605" max="4605" width="4.28515625" style="130" customWidth="1"/>
    <col min="4606" max="4606" width="18.42578125" style="130" customWidth="1"/>
    <col min="4607" max="4607" width="19" style="130" customWidth="1"/>
    <col min="4608" max="4608" width="13.42578125" style="130" customWidth="1"/>
    <col min="4609" max="4609" width="9.85546875" style="130" customWidth="1"/>
    <col min="4610" max="4610" width="15.28515625" style="130" customWidth="1"/>
    <col min="4611" max="4611" width="11.7109375" style="130" customWidth="1"/>
    <col min="4612" max="4613" width="0" style="130" hidden="1" customWidth="1"/>
    <col min="4614" max="4614" width="15.7109375" style="130" customWidth="1"/>
    <col min="4615" max="4615" width="15.85546875" style="130" customWidth="1"/>
    <col min="4616" max="4616" width="15.28515625" style="130" customWidth="1"/>
    <col min="4617" max="4617" width="0" style="130" hidden="1" customWidth="1"/>
    <col min="4618" max="4860" width="9.140625" style="130"/>
    <col min="4861" max="4861" width="4.28515625" style="130" customWidth="1"/>
    <col min="4862" max="4862" width="18.42578125" style="130" customWidth="1"/>
    <col min="4863" max="4863" width="19" style="130" customWidth="1"/>
    <col min="4864" max="4864" width="13.42578125" style="130" customWidth="1"/>
    <col min="4865" max="4865" width="9.85546875" style="130" customWidth="1"/>
    <col min="4866" max="4866" width="15.28515625" style="130" customWidth="1"/>
    <col min="4867" max="4867" width="11.7109375" style="130" customWidth="1"/>
    <col min="4868" max="4869" width="0" style="130" hidden="1" customWidth="1"/>
    <col min="4870" max="4870" width="15.7109375" style="130" customWidth="1"/>
    <col min="4871" max="4871" width="15.85546875" style="130" customWidth="1"/>
    <col min="4872" max="4872" width="15.28515625" style="130" customWidth="1"/>
    <col min="4873" max="4873" width="0" style="130" hidden="1" customWidth="1"/>
    <col min="4874" max="5116" width="9.140625" style="130"/>
    <col min="5117" max="5117" width="4.28515625" style="130" customWidth="1"/>
    <col min="5118" max="5118" width="18.42578125" style="130" customWidth="1"/>
    <col min="5119" max="5119" width="19" style="130" customWidth="1"/>
    <col min="5120" max="5120" width="13.42578125" style="130" customWidth="1"/>
    <col min="5121" max="5121" width="9.85546875" style="130" customWidth="1"/>
    <col min="5122" max="5122" width="15.28515625" style="130" customWidth="1"/>
    <col min="5123" max="5123" width="11.7109375" style="130" customWidth="1"/>
    <col min="5124" max="5125" width="0" style="130" hidden="1" customWidth="1"/>
    <col min="5126" max="5126" width="15.7109375" style="130" customWidth="1"/>
    <col min="5127" max="5127" width="15.85546875" style="130" customWidth="1"/>
    <col min="5128" max="5128" width="15.28515625" style="130" customWidth="1"/>
    <col min="5129" max="5129" width="0" style="130" hidden="1" customWidth="1"/>
    <col min="5130" max="5372" width="9.140625" style="130"/>
    <col min="5373" max="5373" width="4.28515625" style="130" customWidth="1"/>
    <col min="5374" max="5374" width="18.42578125" style="130" customWidth="1"/>
    <col min="5375" max="5375" width="19" style="130" customWidth="1"/>
    <col min="5376" max="5376" width="13.42578125" style="130" customWidth="1"/>
    <col min="5377" max="5377" width="9.85546875" style="130" customWidth="1"/>
    <col min="5378" max="5378" width="15.28515625" style="130" customWidth="1"/>
    <col min="5379" max="5379" width="11.7109375" style="130" customWidth="1"/>
    <col min="5380" max="5381" width="0" style="130" hidden="1" customWidth="1"/>
    <col min="5382" max="5382" width="15.7109375" style="130" customWidth="1"/>
    <col min="5383" max="5383" width="15.85546875" style="130" customWidth="1"/>
    <col min="5384" max="5384" width="15.28515625" style="130" customWidth="1"/>
    <col min="5385" max="5385" width="0" style="130" hidden="1" customWidth="1"/>
    <col min="5386" max="5628" width="9.140625" style="130"/>
    <col min="5629" max="5629" width="4.28515625" style="130" customWidth="1"/>
    <col min="5630" max="5630" width="18.42578125" style="130" customWidth="1"/>
    <col min="5631" max="5631" width="19" style="130" customWidth="1"/>
    <col min="5632" max="5632" width="13.42578125" style="130" customWidth="1"/>
    <col min="5633" max="5633" width="9.85546875" style="130" customWidth="1"/>
    <col min="5634" max="5634" width="15.28515625" style="130" customWidth="1"/>
    <col min="5635" max="5635" width="11.7109375" style="130" customWidth="1"/>
    <col min="5636" max="5637" width="0" style="130" hidden="1" customWidth="1"/>
    <col min="5638" max="5638" width="15.7109375" style="130" customWidth="1"/>
    <col min="5639" max="5639" width="15.85546875" style="130" customWidth="1"/>
    <col min="5640" max="5640" width="15.28515625" style="130" customWidth="1"/>
    <col min="5641" max="5641" width="0" style="130" hidden="1" customWidth="1"/>
    <col min="5642" max="5884" width="9.140625" style="130"/>
    <col min="5885" max="5885" width="4.28515625" style="130" customWidth="1"/>
    <col min="5886" max="5886" width="18.42578125" style="130" customWidth="1"/>
    <col min="5887" max="5887" width="19" style="130" customWidth="1"/>
    <col min="5888" max="5888" width="13.42578125" style="130" customWidth="1"/>
    <col min="5889" max="5889" width="9.85546875" style="130" customWidth="1"/>
    <col min="5890" max="5890" width="15.28515625" style="130" customWidth="1"/>
    <col min="5891" max="5891" width="11.7109375" style="130" customWidth="1"/>
    <col min="5892" max="5893" width="0" style="130" hidden="1" customWidth="1"/>
    <col min="5894" max="5894" width="15.7109375" style="130" customWidth="1"/>
    <col min="5895" max="5895" width="15.85546875" style="130" customWidth="1"/>
    <col min="5896" max="5896" width="15.28515625" style="130" customWidth="1"/>
    <col min="5897" max="5897" width="0" style="130" hidden="1" customWidth="1"/>
    <col min="5898" max="6140" width="9.140625" style="130"/>
    <col min="6141" max="6141" width="4.28515625" style="130" customWidth="1"/>
    <col min="6142" max="6142" width="18.42578125" style="130" customWidth="1"/>
    <col min="6143" max="6143" width="19" style="130" customWidth="1"/>
    <col min="6144" max="6144" width="13.42578125" style="130" customWidth="1"/>
    <col min="6145" max="6145" width="9.85546875" style="130" customWidth="1"/>
    <col min="6146" max="6146" width="15.28515625" style="130" customWidth="1"/>
    <col min="6147" max="6147" width="11.7109375" style="130" customWidth="1"/>
    <col min="6148" max="6149" width="0" style="130" hidden="1" customWidth="1"/>
    <col min="6150" max="6150" width="15.7109375" style="130" customWidth="1"/>
    <col min="6151" max="6151" width="15.85546875" style="130" customWidth="1"/>
    <col min="6152" max="6152" width="15.28515625" style="130" customWidth="1"/>
    <col min="6153" max="6153" width="0" style="130" hidden="1" customWidth="1"/>
    <col min="6154" max="6396" width="9.140625" style="130"/>
    <col min="6397" max="6397" width="4.28515625" style="130" customWidth="1"/>
    <col min="6398" max="6398" width="18.42578125" style="130" customWidth="1"/>
    <col min="6399" max="6399" width="19" style="130" customWidth="1"/>
    <col min="6400" max="6400" width="13.42578125" style="130" customWidth="1"/>
    <col min="6401" max="6401" width="9.85546875" style="130" customWidth="1"/>
    <col min="6402" max="6402" width="15.28515625" style="130" customWidth="1"/>
    <col min="6403" max="6403" width="11.7109375" style="130" customWidth="1"/>
    <col min="6404" max="6405" width="0" style="130" hidden="1" customWidth="1"/>
    <col min="6406" max="6406" width="15.7109375" style="130" customWidth="1"/>
    <col min="6407" max="6407" width="15.85546875" style="130" customWidth="1"/>
    <col min="6408" max="6408" width="15.28515625" style="130" customWidth="1"/>
    <col min="6409" max="6409" width="0" style="130" hidden="1" customWidth="1"/>
    <col min="6410" max="6652" width="9.140625" style="130"/>
    <col min="6653" max="6653" width="4.28515625" style="130" customWidth="1"/>
    <col min="6654" max="6654" width="18.42578125" style="130" customWidth="1"/>
    <col min="6655" max="6655" width="19" style="130" customWidth="1"/>
    <col min="6656" max="6656" width="13.42578125" style="130" customWidth="1"/>
    <col min="6657" max="6657" width="9.85546875" style="130" customWidth="1"/>
    <col min="6658" max="6658" width="15.28515625" style="130" customWidth="1"/>
    <col min="6659" max="6659" width="11.7109375" style="130" customWidth="1"/>
    <col min="6660" max="6661" width="0" style="130" hidden="1" customWidth="1"/>
    <col min="6662" max="6662" width="15.7109375" style="130" customWidth="1"/>
    <col min="6663" max="6663" width="15.85546875" style="130" customWidth="1"/>
    <col min="6664" max="6664" width="15.28515625" style="130" customWidth="1"/>
    <col min="6665" max="6665" width="0" style="130" hidden="1" customWidth="1"/>
    <col min="6666" max="6908" width="9.140625" style="130"/>
    <col min="6909" max="6909" width="4.28515625" style="130" customWidth="1"/>
    <col min="6910" max="6910" width="18.42578125" style="130" customWidth="1"/>
    <col min="6911" max="6911" width="19" style="130" customWidth="1"/>
    <col min="6912" max="6912" width="13.42578125" style="130" customWidth="1"/>
    <col min="6913" max="6913" width="9.85546875" style="130" customWidth="1"/>
    <col min="6914" max="6914" width="15.28515625" style="130" customWidth="1"/>
    <col min="6915" max="6915" width="11.7109375" style="130" customWidth="1"/>
    <col min="6916" max="6917" width="0" style="130" hidden="1" customWidth="1"/>
    <col min="6918" max="6918" width="15.7109375" style="130" customWidth="1"/>
    <col min="6919" max="6919" width="15.85546875" style="130" customWidth="1"/>
    <col min="6920" max="6920" width="15.28515625" style="130" customWidth="1"/>
    <col min="6921" max="6921" width="0" style="130" hidden="1" customWidth="1"/>
    <col min="6922" max="7164" width="9.140625" style="130"/>
    <col min="7165" max="7165" width="4.28515625" style="130" customWidth="1"/>
    <col min="7166" max="7166" width="18.42578125" style="130" customWidth="1"/>
    <col min="7167" max="7167" width="19" style="130" customWidth="1"/>
    <col min="7168" max="7168" width="13.42578125" style="130" customWidth="1"/>
    <col min="7169" max="7169" width="9.85546875" style="130" customWidth="1"/>
    <col min="7170" max="7170" width="15.28515625" style="130" customWidth="1"/>
    <col min="7171" max="7171" width="11.7109375" style="130" customWidth="1"/>
    <col min="7172" max="7173" width="0" style="130" hidden="1" customWidth="1"/>
    <col min="7174" max="7174" width="15.7109375" style="130" customWidth="1"/>
    <col min="7175" max="7175" width="15.85546875" style="130" customWidth="1"/>
    <col min="7176" max="7176" width="15.28515625" style="130" customWidth="1"/>
    <col min="7177" max="7177" width="0" style="130" hidden="1" customWidth="1"/>
    <col min="7178" max="7420" width="9.140625" style="130"/>
    <col min="7421" max="7421" width="4.28515625" style="130" customWidth="1"/>
    <col min="7422" max="7422" width="18.42578125" style="130" customWidth="1"/>
    <col min="7423" max="7423" width="19" style="130" customWidth="1"/>
    <col min="7424" max="7424" width="13.42578125" style="130" customWidth="1"/>
    <col min="7425" max="7425" width="9.85546875" style="130" customWidth="1"/>
    <col min="7426" max="7426" width="15.28515625" style="130" customWidth="1"/>
    <col min="7427" max="7427" width="11.7109375" style="130" customWidth="1"/>
    <col min="7428" max="7429" width="0" style="130" hidden="1" customWidth="1"/>
    <col min="7430" max="7430" width="15.7109375" style="130" customWidth="1"/>
    <col min="7431" max="7431" width="15.85546875" style="130" customWidth="1"/>
    <col min="7432" max="7432" width="15.28515625" style="130" customWidth="1"/>
    <col min="7433" max="7433" width="0" style="130" hidden="1" customWidth="1"/>
    <col min="7434" max="7676" width="9.140625" style="130"/>
    <col min="7677" max="7677" width="4.28515625" style="130" customWidth="1"/>
    <col min="7678" max="7678" width="18.42578125" style="130" customWidth="1"/>
    <col min="7679" max="7679" width="19" style="130" customWidth="1"/>
    <col min="7680" max="7680" width="13.42578125" style="130" customWidth="1"/>
    <col min="7681" max="7681" width="9.85546875" style="130" customWidth="1"/>
    <col min="7682" max="7682" width="15.28515625" style="130" customWidth="1"/>
    <col min="7683" max="7683" width="11.7109375" style="130" customWidth="1"/>
    <col min="7684" max="7685" width="0" style="130" hidden="1" customWidth="1"/>
    <col min="7686" max="7686" width="15.7109375" style="130" customWidth="1"/>
    <col min="7687" max="7687" width="15.85546875" style="130" customWidth="1"/>
    <col min="7688" max="7688" width="15.28515625" style="130" customWidth="1"/>
    <col min="7689" max="7689" width="0" style="130" hidden="1" customWidth="1"/>
    <col min="7690" max="7932" width="9.140625" style="130"/>
    <col min="7933" max="7933" width="4.28515625" style="130" customWidth="1"/>
    <col min="7934" max="7934" width="18.42578125" style="130" customWidth="1"/>
    <col min="7935" max="7935" width="19" style="130" customWidth="1"/>
    <col min="7936" max="7936" width="13.42578125" style="130" customWidth="1"/>
    <col min="7937" max="7937" width="9.85546875" style="130" customWidth="1"/>
    <col min="7938" max="7938" width="15.28515625" style="130" customWidth="1"/>
    <col min="7939" max="7939" width="11.7109375" style="130" customWidth="1"/>
    <col min="7940" max="7941" width="0" style="130" hidden="1" customWidth="1"/>
    <col min="7942" max="7942" width="15.7109375" style="130" customWidth="1"/>
    <col min="7943" max="7943" width="15.85546875" style="130" customWidth="1"/>
    <col min="7944" max="7944" width="15.28515625" style="130" customWidth="1"/>
    <col min="7945" max="7945" width="0" style="130" hidden="1" customWidth="1"/>
    <col min="7946" max="8188" width="9.140625" style="130"/>
    <col min="8189" max="8189" width="4.28515625" style="130" customWidth="1"/>
    <col min="8190" max="8190" width="18.42578125" style="130" customWidth="1"/>
    <col min="8191" max="8191" width="19" style="130" customWidth="1"/>
    <col min="8192" max="8192" width="13.42578125" style="130" customWidth="1"/>
    <col min="8193" max="8193" width="9.85546875" style="130" customWidth="1"/>
    <col min="8194" max="8194" width="15.28515625" style="130" customWidth="1"/>
    <col min="8195" max="8195" width="11.7109375" style="130" customWidth="1"/>
    <col min="8196" max="8197" width="0" style="130" hidden="1" customWidth="1"/>
    <col min="8198" max="8198" width="15.7109375" style="130" customWidth="1"/>
    <col min="8199" max="8199" width="15.85546875" style="130" customWidth="1"/>
    <col min="8200" max="8200" width="15.28515625" style="130" customWidth="1"/>
    <col min="8201" max="8201" width="0" style="130" hidden="1" customWidth="1"/>
    <col min="8202" max="8444" width="9.140625" style="130"/>
    <col min="8445" max="8445" width="4.28515625" style="130" customWidth="1"/>
    <col min="8446" max="8446" width="18.42578125" style="130" customWidth="1"/>
    <col min="8447" max="8447" width="19" style="130" customWidth="1"/>
    <col min="8448" max="8448" width="13.42578125" style="130" customWidth="1"/>
    <col min="8449" max="8449" width="9.85546875" style="130" customWidth="1"/>
    <col min="8450" max="8450" width="15.28515625" style="130" customWidth="1"/>
    <col min="8451" max="8451" width="11.7109375" style="130" customWidth="1"/>
    <col min="8452" max="8453" width="0" style="130" hidden="1" customWidth="1"/>
    <col min="8454" max="8454" width="15.7109375" style="130" customWidth="1"/>
    <col min="8455" max="8455" width="15.85546875" style="130" customWidth="1"/>
    <col min="8456" max="8456" width="15.28515625" style="130" customWidth="1"/>
    <col min="8457" max="8457" width="0" style="130" hidden="1" customWidth="1"/>
    <col min="8458" max="8700" width="9.140625" style="130"/>
    <col min="8701" max="8701" width="4.28515625" style="130" customWidth="1"/>
    <col min="8702" max="8702" width="18.42578125" style="130" customWidth="1"/>
    <col min="8703" max="8703" width="19" style="130" customWidth="1"/>
    <col min="8704" max="8704" width="13.42578125" style="130" customWidth="1"/>
    <col min="8705" max="8705" width="9.85546875" style="130" customWidth="1"/>
    <col min="8706" max="8706" width="15.28515625" style="130" customWidth="1"/>
    <col min="8707" max="8707" width="11.7109375" style="130" customWidth="1"/>
    <col min="8708" max="8709" width="0" style="130" hidden="1" customWidth="1"/>
    <col min="8710" max="8710" width="15.7109375" style="130" customWidth="1"/>
    <col min="8711" max="8711" width="15.85546875" style="130" customWidth="1"/>
    <col min="8712" max="8712" width="15.28515625" style="130" customWidth="1"/>
    <col min="8713" max="8713" width="0" style="130" hidden="1" customWidth="1"/>
    <col min="8714" max="8956" width="9.140625" style="130"/>
    <col min="8957" max="8957" width="4.28515625" style="130" customWidth="1"/>
    <col min="8958" max="8958" width="18.42578125" style="130" customWidth="1"/>
    <col min="8959" max="8959" width="19" style="130" customWidth="1"/>
    <col min="8960" max="8960" width="13.42578125" style="130" customWidth="1"/>
    <col min="8961" max="8961" width="9.85546875" style="130" customWidth="1"/>
    <col min="8962" max="8962" width="15.28515625" style="130" customWidth="1"/>
    <col min="8963" max="8963" width="11.7109375" style="130" customWidth="1"/>
    <col min="8964" max="8965" width="0" style="130" hidden="1" customWidth="1"/>
    <col min="8966" max="8966" width="15.7109375" style="130" customWidth="1"/>
    <col min="8967" max="8967" width="15.85546875" style="130" customWidth="1"/>
    <col min="8968" max="8968" width="15.28515625" style="130" customWidth="1"/>
    <col min="8969" max="8969" width="0" style="130" hidden="1" customWidth="1"/>
    <col min="8970" max="9212" width="9.140625" style="130"/>
    <col min="9213" max="9213" width="4.28515625" style="130" customWidth="1"/>
    <col min="9214" max="9214" width="18.42578125" style="130" customWidth="1"/>
    <col min="9215" max="9215" width="19" style="130" customWidth="1"/>
    <col min="9216" max="9216" width="13.42578125" style="130" customWidth="1"/>
    <col min="9217" max="9217" width="9.85546875" style="130" customWidth="1"/>
    <col min="9218" max="9218" width="15.28515625" style="130" customWidth="1"/>
    <col min="9219" max="9219" width="11.7109375" style="130" customWidth="1"/>
    <col min="9220" max="9221" width="0" style="130" hidden="1" customWidth="1"/>
    <col min="9222" max="9222" width="15.7109375" style="130" customWidth="1"/>
    <col min="9223" max="9223" width="15.85546875" style="130" customWidth="1"/>
    <col min="9224" max="9224" width="15.28515625" style="130" customWidth="1"/>
    <col min="9225" max="9225" width="0" style="130" hidden="1" customWidth="1"/>
    <col min="9226" max="9468" width="9.140625" style="130"/>
    <col min="9469" max="9469" width="4.28515625" style="130" customWidth="1"/>
    <col min="9470" max="9470" width="18.42578125" style="130" customWidth="1"/>
    <col min="9471" max="9471" width="19" style="130" customWidth="1"/>
    <col min="9472" max="9472" width="13.42578125" style="130" customWidth="1"/>
    <col min="9473" max="9473" width="9.85546875" style="130" customWidth="1"/>
    <col min="9474" max="9474" width="15.28515625" style="130" customWidth="1"/>
    <col min="9475" max="9475" width="11.7109375" style="130" customWidth="1"/>
    <col min="9476" max="9477" width="0" style="130" hidden="1" customWidth="1"/>
    <col min="9478" max="9478" width="15.7109375" style="130" customWidth="1"/>
    <col min="9479" max="9479" width="15.85546875" style="130" customWidth="1"/>
    <col min="9480" max="9480" width="15.28515625" style="130" customWidth="1"/>
    <col min="9481" max="9481" width="0" style="130" hidden="1" customWidth="1"/>
    <col min="9482" max="9724" width="9.140625" style="130"/>
    <col min="9725" max="9725" width="4.28515625" style="130" customWidth="1"/>
    <col min="9726" max="9726" width="18.42578125" style="130" customWidth="1"/>
    <col min="9727" max="9727" width="19" style="130" customWidth="1"/>
    <col min="9728" max="9728" width="13.42578125" style="130" customWidth="1"/>
    <col min="9729" max="9729" width="9.85546875" style="130" customWidth="1"/>
    <col min="9730" max="9730" width="15.28515625" style="130" customWidth="1"/>
    <col min="9731" max="9731" width="11.7109375" style="130" customWidth="1"/>
    <col min="9732" max="9733" width="0" style="130" hidden="1" customWidth="1"/>
    <col min="9734" max="9734" width="15.7109375" style="130" customWidth="1"/>
    <col min="9735" max="9735" width="15.85546875" style="130" customWidth="1"/>
    <col min="9736" max="9736" width="15.28515625" style="130" customWidth="1"/>
    <col min="9737" max="9737" width="0" style="130" hidden="1" customWidth="1"/>
    <col min="9738" max="9980" width="9.140625" style="130"/>
    <col min="9981" max="9981" width="4.28515625" style="130" customWidth="1"/>
    <col min="9982" max="9982" width="18.42578125" style="130" customWidth="1"/>
    <col min="9983" max="9983" width="19" style="130" customWidth="1"/>
    <col min="9984" max="9984" width="13.42578125" style="130" customWidth="1"/>
    <col min="9985" max="9985" width="9.85546875" style="130" customWidth="1"/>
    <col min="9986" max="9986" width="15.28515625" style="130" customWidth="1"/>
    <col min="9987" max="9987" width="11.7109375" style="130" customWidth="1"/>
    <col min="9988" max="9989" width="0" style="130" hidden="1" customWidth="1"/>
    <col min="9990" max="9990" width="15.7109375" style="130" customWidth="1"/>
    <col min="9991" max="9991" width="15.85546875" style="130" customWidth="1"/>
    <col min="9992" max="9992" width="15.28515625" style="130" customWidth="1"/>
    <col min="9993" max="9993" width="0" style="130" hidden="1" customWidth="1"/>
    <col min="9994" max="10236" width="9.140625" style="130"/>
    <col min="10237" max="10237" width="4.28515625" style="130" customWidth="1"/>
    <col min="10238" max="10238" width="18.42578125" style="130" customWidth="1"/>
    <col min="10239" max="10239" width="19" style="130" customWidth="1"/>
    <col min="10240" max="10240" width="13.42578125" style="130" customWidth="1"/>
    <col min="10241" max="10241" width="9.85546875" style="130" customWidth="1"/>
    <col min="10242" max="10242" width="15.28515625" style="130" customWidth="1"/>
    <col min="10243" max="10243" width="11.7109375" style="130" customWidth="1"/>
    <col min="10244" max="10245" width="0" style="130" hidden="1" customWidth="1"/>
    <col min="10246" max="10246" width="15.7109375" style="130" customWidth="1"/>
    <col min="10247" max="10247" width="15.85546875" style="130" customWidth="1"/>
    <col min="10248" max="10248" width="15.28515625" style="130" customWidth="1"/>
    <col min="10249" max="10249" width="0" style="130" hidden="1" customWidth="1"/>
    <col min="10250" max="10492" width="9.140625" style="130"/>
    <col min="10493" max="10493" width="4.28515625" style="130" customWidth="1"/>
    <col min="10494" max="10494" width="18.42578125" style="130" customWidth="1"/>
    <col min="10495" max="10495" width="19" style="130" customWidth="1"/>
    <col min="10496" max="10496" width="13.42578125" style="130" customWidth="1"/>
    <col min="10497" max="10497" width="9.85546875" style="130" customWidth="1"/>
    <col min="10498" max="10498" width="15.28515625" style="130" customWidth="1"/>
    <col min="10499" max="10499" width="11.7109375" style="130" customWidth="1"/>
    <col min="10500" max="10501" width="0" style="130" hidden="1" customWidth="1"/>
    <col min="10502" max="10502" width="15.7109375" style="130" customWidth="1"/>
    <col min="10503" max="10503" width="15.85546875" style="130" customWidth="1"/>
    <col min="10504" max="10504" width="15.28515625" style="130" customWidth="1"/>
    <col min="10505" max="10505" width="0" style="130" hidden="1" customWidth="1"/>
    <col min="10506" max="10748" width="9.140625" style="130"/>
    <col min="10749" max="10749" width="4.28515625" style="130" customWidth="1"/>
    <col min="10750" max="10750" width="18.42578125" style="130" customWidth="1"/>
    <col min="10751" max="10751" width="19" style="130" customWidth="1"/>
    <col min="10752" max="10752" width="13.42578125" style="130" customWidth="1"/>
    <col min="10753" max="10753" width="9.85546875" style="130" customWidth="1"/>
    <col min="10754" max="10754" width="15.28515625" style="130" customWidth="1"/>
    <col min="10755" max="10755" width="11.7109375" style="130" customWidth="1"/>
    <col min="10756" max="10757" width="0" style="130" hidden="1" customWidth="1"/>
    <col min="10758" max="10758" width="15.7109375" style="130" customWidth="1"/>
    <col min="10759" max="10759" width="15.85546875" style="130" customWidth="1"/>
    <col min="10760" max="10760" width="15.28515625" style="130" customWidth="1"/>
    <col min="10761" max="10761" width="0" style="130" hidden="1" customWidth="1"/>
    <col min="10762" max="11004" width="9.140625" style="130"/>
    <col min="11005" max="11005" width="4.28515625" style="130" customWidth="1"/>
    <col min="11006" max="11006" width="18.42578125" style="130" customWidth="1"/>
    <col min="11007" max="11007" width="19" style="130" customWidth="1"/>
    <col min="11008" max="11008" width="13.42578125" style="130" customWidth="1"/>
    <col min="11009" max="11009" width="9.85546875" style="130" customWidth="1"/>
    <col min="11010" max="11010" width="15.28515625" style="130" customWidth="1"/>
    <col min="11011" max="11011" width="11.7109375" style="130" customWidth="1"/>
    <col min="11012" max="11013" width="0" style="130" hidden="1" customWidth="1"/>
    <col min="11014" max="11014" width="15.7109375" style="130" customWidth="1"/>
    <col min="11015" max="11015" width="15.85546875" style="130" customWidth="1"/>
    <col min="11016" max="11016" width="15.28515625" style="130" customWidth="1"/>
    <col min="11017" max="11017" width="0" style="130" hidden="1" customWidth="1"/>
    <col min="11018" max="11260" width="9.140625" style="130"/>
    <col min="11261" max="11261" width="4.28515625" style="130" customWidth="1"/>
    <col min="11262" max="11262" width="18.42578125" style="130" customWidth="1"/>
    <col min="11263" max="11263" width="19" style="130" customWidth="1"/>
    <col min="11264" max="11264" width="13.42578125" style="130" customWidth="1"/>
    <col min="11265" max="11265" width="9.85546875" style="130" customWidth="1"/>
    <col min="11266" max="11266" width="15.28515625" style="130" customWidth="1"/>
    <col min="11267" max="11267" width="11.7109375" style="130" customWidth="1"/>
    <col min="11268" max="11269" width="0" style="130" hidden="1" customWidth="1"/>
    <col min="11270" max="11270" width="15.7109375" style="130" customWidth="1"/>
    <col min="11271" max="11271" width="15.85546875" style="130" customWidth="1"/>
    <col min="11272" max="11272" width="15.28515625" style="130" customWidth="1"/>
    <col min="11273" max="11273" width="0" style="130" hidden="1" customWidth="1"/>
    <col min="11274" max="11516" width="9.140625" style="130"/>
    <col min="11517" max="11517" width="4.28515625" style="130" customWidth="1"/>
    <col min="11518" max="11518" width="18.42578125" style="130" customWidth="1"/>
    <col min="11519" max="11519" width="19" style="130" customWidth="1"/>
    <col min="11520" max="11520" width="13.42578125" style="130" customWidth="1"/>
    <col min="11521" max="11521" width="9.85546875" style="130" customWidth="1"/>
    <col min="11522" max="11522" width="15.28515625" style="130" customWidth="1"/>
    <col min="11523" max="11523" width="11.7109375" style="130" customWidth="1"/>
    <col min="11524" max="11525" width="0" style="130" hidden="1" customWidth="1"/>
    <col min="11526" max="11526" width="15.7109375" style="130" customWidth="1"/>
    <col min="11527" max="11527" width="15.85546875" style="130" customWidth="1"/>
    <col min="11528" max="11528" width="15.28515625" style="130" customWidth="1"/>
    <col min="11529" max="11529" width="0" style="130" hidden="1" customWidth="1"/>
    <col min="11530" max="11772" width="9.140625" style="130"/>
    <col min="11773" max="11773" width="4.28515625" style="130" customWidth="1"/>
    <col min="11774" max="11774" width="18.42578125" style="130" customWidth="1"/>
    <col min="11775" max="11775" width="19" style="130" customWidth="1"/>
    <col min="11776" max="11776" width="13.42578125" style="130" customWidth="1"/>
    <col min="11777" max="11777" width="9.85546875" style="130" customWidth="1"/>
    <col min="11778" max="11778" width="15.28515625" style="130" customWidth="1"/>
    <col min="11779" max="11779" width="11.7109375" style="130" customWidth="1"/>
    <col min="11780" max="11781" width="0" style="130" hidden="1" customWidth="1"/>
    <col min="11782" max="11782" width="15.7109375" style="130" customWidth="1"/>
    <col min="11783" max="11783" width="15.85546875" style="130" customWidth="1"/>
    <col min="11784" max="11784" width="15.28515625" style="130" customWidth="1"/>
    <col min="11785" max="11785" width="0" style="130" hidden="1" customWidth="1"/>
    <col min="11786" max="12028" width="9.140625" style="130"/>
    <col min="12029" max="12029" width="4.28515625" style="130" customWidth="1"/>
    <col min="12030" max="12030" width="18.42578125" style="130" customWidth="1"/>
    <col min="12031" max="12031" width="19" style="130" customWidth="1"/>
    <col min="12032" max="12032" width="13.42578125" style="130" customWidth="1"/>
    <col min="12033" max="12033" width="9.85546875" style="130" customWidth="1"/>
    <col min="12034" max="12034" width="15.28515625" style="130" customWidth="1"/>
    <col min="12035" max="12035" width="11.7109375" style="130" customWidth="1"/>
    <col min="12036" max="12037" width="0" style="130" hidden="1" customWidth="1"/>
    <col min="12038" max="12038" width="15.7109375" style="130" customWidth="1"/>
    <col min="12039" max="12039" width="15.85546875" style="130" customWidth="1"/>
    <col min="12040" max="12040" width="15.28515625" style="130" customWidth="1"/>
    <col min="12041" max="12041" width="0" style="130" hidden="1" customWidth="1"/>
    <col min="12042" max="12284" width="9.140625" style="130"/>
    <col min="12285" max="12285" width="4.28515625" style="130" customWidth="1"/>
    <col min="12286" max="12286" width="18.42578125" style="130" customWidth="1"/>
    <col min="12287" max="12287" width="19" style="130" customWidth="1"/>
    <col min="12288" max="12288" width="13.42578125" style="130" customWidth="1"/>
    <col min="12289" max="12289" width="9.85546875" style="130" customWidth="1"/>
    <col min="12290" max="12290" width="15.28515625" style="130" customWidth="1"/>
    <col min="12291" max="12291" width="11.7109375" style="130" customWidth="1"/>
    <col min="12292" max="12293" width="0" style="130" hidden="1" customWidth="1"/>
    <col min="12294" max="12294" width="15.7109375" style="130" customWidth="1"/>
    <col min="12295" max="12295" width="15.85546875" style="130" customWidth="1"/>
    <col min="12296" max="12296" width="15.28515625" style="130" customWidth="1"/>
    <col min="12297" max="12297" width="0" style="130" hidden="1" customWidth="1"/>
    <col min="12298" max="12540" width="9.140625" style="130"/>
    <col min="12541" max="12541" width="4.28515625" style="130" customWidth="1"/>
    <col min="12542" max="12542" width="18.42578125" style="130" customWidth="1"/>
    <col min="12543" max="12543" width="19" style="130" customWidth="1"/>
    <col min="12544" max="12544" width="13.42578125" style="130" customWidth="1"/>
    <col min="12545" max="12545" width="9.85546875" style="130" customWidth="1"/>
    <col min="12546" max="12546" width="15.28515625" style="130" customWidth="1"/>
    <col min="12547" max="12547" width="11.7109375" style="130" customWidth="1"/>
    <col min="12548" max="12549" width="0" style="130" hidden="1" customWidth="1"/>
    <col min="12550" max="12550" width="15.7109375" style="130" customWidth="1"/>
    <col min="12551" max="12551" width="15.85546875" style="130" customWidth="1"/>
    <col min="12552" max="12552" width="15.28515625" style="130" customWidth="1"/>
    <col min="12553" max="12553" width="0" style="130" hidden="1" customWidth="1"/>
    <col min="12554" max="12796" width="9.140625" style="130"/>
    <col min="12797" max="12797" width="4.28515625" style="130" customWidth="1"/>
    <col min="12798" max="12798" width="18.42578125" style="130" customWidth="1"/>
    <col min="12799" max="12799" width="19" style="130" customWidth="1"/>
    <col min="12800" max="12800" width="13.42578125" style="130" customWidth="1"/>
    <col min="12801" max="12801" width="9.85546875" style="130" customWidth="1"/>
    <col min="12802" max="12802" width="15.28515625" style="130" customWidth="1"/>
    <col min="12803" max="12803" width="11.7109375" style="130" customWidth="1"/>
    <col min="12804" max="12805" width="0" style="130" hidden="1" customWidth="1"/>
    <col min="12806" max="12806" width="15.7109375" style="130" customWidth="1"/>
    <col min="12807" max="12807" width="15.85546875" style="130" customWidth="1"/>
    <col min="12808" max="12808" width="15.28515625" style="130" customWidth="1"/>
    <col min="12809" max="12809" width="0" style="130" hidden="1" customWidth="1"/>
    <col min="12810" max="13052" width="9.140625" style="130"/>
    <col min="13053" max="13053" width="4.28515625" style="130" customWidth="1"/>
    <col min="13054" max="13054" width="18.42578125" style="130" customWidth="1"/>
    <col min="13055" max="13055" width="19" style="130" customWidth="1"/>
    <col min="13056" max="13056" width="13.42578125" style="130" customWidth="1"/>
    <col min="13057" max="13057" width="9.85546875" style="130" customWidth="1"/>
    <col min="13058" max="13058" width="15.28515625" style="130" customWidth="1"/>
    <col min="13059" max="13059" width="11.7109375" style="130" customWidth="1"/>
    <col min="13060" max="13061" width="0" style="130" hidden="1" customWidth="1"/>
    <col min="13062" max="13062" width="15.7109375" style="130" customWidth="1"/>
    <col min="13063" max="13063" width="15.85546875" style="130" customWidth="1"/>
    <col min="13064" max="13064" width="15.28515625" style="130" customWidth="1"/>
    <col min="13065" max="13065" width="0" style="130" hidden="1" customWidth="1"/>
    <col min="13066" max="13308" width="9.140625" style="130"/>
    <col min="13309" max="13309" width="4.28515625" style="130" customWidth="1"/>
    <col min="13310" max="13310" width="18.42578125" style="130" customWidth="1"/>
    <col min="13311" max="13311" width="19" style="130" customWidth="1"/>
    <col min="13312" max="13312" width="13.42578125" style="130" customWidth="1"/>
    <col min="13313" max="13313" width="9.85546875" style="130" customWidth="1"/>
    <col min="13314" max="13314" width="15.28515625" style="130" customWidth="1"/>
    <col min="13315" max="13315" width="11.7109375" style="130" customWidth="1"/>
    <col min="13316" max="13317" width="0" style="130" hidden="1" customWidth="1"/>
    <col min="13318" max="13318" width="15.7109375" style="130" customWidth="1"/>
    <col min="13319" max="13319" width="15.85546875" style="130" customWidth="1"/>
    <col min="13320" max="13320" width="15.28515625" style="130" customWidth="1"/>
    <col min="13321" max="13321" width="0" style="130" hidden="1" customWidth="1"/>
    <col min="13322" max="13564" width="9.140625" style="130"/>
    <col min="13565" max="13565" width="4.28515625" style="130" customWidth="1"/>
    <col min="13566" max="13566" width="18.42578125" style="130" customWidth="1"/>
    <col min="13567" max="13567" width="19" style="130" customWidth="1"/>
    <col min="13568" max="13568" width="13.42578125" style="130" customWidth="1"/>
    <col min="13569" max="13569" width="9.85546875" style="130" customWidth="1"/>
    <col min="13570" max="13570" width="15.28515625" style="130" customWidth="1"/>
    <col min="13571" max="13571" width="11.7109375" style="130" customWidth="1"/>
    <col min="13572" max="13573" width="0" style="130" hidden="1" customWidth="1"/>
    <col min="13574" max="13574" width="15.7109375" style="130" customWidth="1"/>
    <col min="13575" max="13575" width="15.85546875" style="130" customWidth="1"/>
    <col min="13576" max="13576" width="15.28515625" style="130" customWidth="1"/>
    <col min="13577" max="13577" width="0" style="130" hidden="1" customWidth="1"/>
    <col min="13578" max="13820" width="9.140625" style="130"/>
    <col min="13821" max="13821" width="4.28515625" style="130" customWidth="1"/>
    <col min="13822" max="13822" width="18.42578125" style="130" customWidth="1"/>
    <col min="13823" max="13823" width="19" style="130" customWidth="1"/>
    <col min="13824" max="13824" width="13.42578125" style="130" customWidth="1"/>
    <col min="13825" max="13825" width="9.85546875" style="130" customWidth="1"/>
    <col min="13826" max="13826" width="15.28515625" style="130" customWidth="1"/>
    <col min="13827" max="13827" width="11.7109375" style="130" customWidth="1"/>
    <col min="13828" max="13829" width="0" style="130" hidden="1" customWidth="1"/>
    <col min="13830" max="13830" width="15.7109375" style="130" customWidth="1"/>
    <col min="13831" max="13831" width="15.85546875" style="130" customWidth="1"/>
    <col min="13832" max="13832" width="15.28515625" style="130" customWidth="1"/>
    <col min="13833" max="13833" width="0" style="130" hidden="1" customWidth="1"/>
    <col min="13834" max="14076" width="9.140625" style="130"/>
    <col min="14077" max="14077" width="4.28515625" style="130" customWidth="1"/>
    <col min="14078" max="14078" width="18.42578125" style="130" customWidth="1"/>
    <col min="14079" max="14079" width="19" style="130" customWidth="1"/>
    <col min="14080" max="14080" width="13.42578125" style="130" customWidth="1"/>
    <col min="14081" max="14081" width="9.85546875" style="130" customWidth="1"/>
    <col min="14082" max="14082" width="15.28515625" style="130" customWidth="1"/>
    <col min="14083" max="14083" width="11.7109375" style="130" customWidth="1"/>
    <col min="14084" max="14085" width="0" style="130" hidden="1" customWidth="1"/>
    <col min="14086" max="14086" width="15.7109375" style="130" customWidth="1"/>
    <col min="14087" max="14087" width="15.85546875" style="130" customWidth="1"/>
    <col min="14088" max="14088" width="15.28515625" style="130" customWidth="1"/>
    <col min="14089" max="14089" width="0" style="130" hidden="1" customWidth="1"/>
    <col min="14090" max="14332" width="9.140625" style="130"/>
    <col min="14333" max="14333" width="4.28515625" style="130" customWidth="1"/>
    <col min="14334" max="14334" width="18.42578125" style="130" customWidth="1"/>
    <col min="14335" max="14335" width="19" style="130" customWidth="1"/>
    <col min="14336" max="14336" width="13.42578125" style="130" customWidth="1"/>
    <col min="14337" max="14337" width="9.85546875" style="130" customWidth="1"/>
    <col min="14338" max="14338" width="15.28515625" style="130" customWidth="1"/>
    <col min="14339" max="14339" width="11.7109375" style="130" customWidth="1"/>
    <col min="14340" max="14341" width="0" style="130" hidden="1" customWidth="1"/>
    <col min="14342" max="14342" width="15.7109375" style="130" customWidth="1"/>
    <col min="14343" max="14343" width="15.85546875" style="130" customWidth="1"/>
    <col min="14344" max="14344" width="15.28515625" style="130" customWidth="1"/>
    <col min="14345" max="14345" width="0" style="130" hidden="1" customWidth="1"/>
    <col min="14346" max="14588" width="9.140625" style="130"/>
    <col min="14589" max="14589" width="4.28515625" style="130" customWidth="1"/>
    <col min="14590" max="14590" width="18.42578125" style="130" customWidth="1"/>
    <col min="14591" max="14591" width="19" style="130" customWidth="1"/>
    <col min="14592" max="14592" width="13.42578125" style="130" customWidth="1"/>
    <col min="14593" max="14593" width="9.85546875" style="130" customWidth="1"/>
    <col min="14594" max="14594" width="15.28515625" style="130" customWidth="1"/>
    <col min="14595" max="14595" width="11.7109375" style="130" customWidth="1"/>
    <col min="14596" max="14597" width="0" style="130" hidden="1" customWidth="1"/>
    <col min="14598" max="14598" width="15.7109375" style="130" customWidth="1"/>
    <col min="14599" max="14599" width="15.85546875" style="130" customWidth="1"/>
    <col min="14600" max="14600" width="15.28515625" style="130" customWidth="1"/>
    <col min="14601" max="14601" width="0" style="130" hidden="1" customWidth="1"/>
    <col min="14602" max="14844" width="9.140625" style="130"/>
    <col min="14845" max="14845" width="4.28515625" style="130" customWidth="1"/>
    <col min="14846" max="14846" width="18.42578125" style="130" customWidth="1"/>
    <col min="14847" max="14847" width="19" style="130" customWidth="1"/>
    <col min="14848" max="14848" width="13.42578125" style="130" customWidth="1"/>
    <col min="14849" max="14849" width="9.85546875" style="130" customWidth="1"/>
    <col min="14850" max="14850" width="15.28515625" style="130" customWidth="1"/>
    <col min="14851" max="14851" width="11.7109375" style="130" customWidth="1"/>
    <col min="14852" max="14853" width="0" style="130" hidden="1" customWidth="1"/>
    <col min="14854" max="14854" width="15.7109375" style="130" customWidth="1"/>
    <col min="14855" max="14855" width="15.85546875" style="130" customWidth="1"/>
    <col min="14856" max="14856" width="15.28515625" style="130" customWidth="1"/>
    <col min="14857" max="14857" width="0" style="130" hidden="1" customWidth="1"/>
    <col min="14858" max="15100" width="9.140625" style="130"/>
    <col min="15101" max="15101" width="4.28515625" style="130" customWidth="1"/>
    <col min="15102" max="15102" width="18.42578125" style="130" customWidth="1"/>
    <col min="15103" max="15103" width="19" style="130" customWidth="1"/>
    <col min="15104" max="15104" width="13.42578125" style="130" customWidth="1"/>
    <col min="15105" max="15105" width="9.85546875" style="130" customWidth="1"/>
    <col min="15106" max="15106" width="15.28515625" style="130" customWidth="1"/>
    <col min="15107" max="15107" width="11.7109375" style="130" customWidth="1"/>
    <col min="15108" max="15109" width="0" style="130" hidden="1" customWidth="1"/>
    <col min="15110" max="15110" width="15.7109375" style="130" customWidth="1"/>
    <col min="15111" max="15111" width="15.85546875" style="130" customWidth="1"/>
    <col min="15112" max="15112" width="15.28515625" style="130" customWidth="1"/>
    <col min="15113" max="15113" width="0" style="130" hidden="1" customWidth="1"/>
    <col min="15114" max="15356" width="9.140625" style="130"/>
    <col min="15357" max="15357" width="4.28515625" style="130" customWidth="1"/>
    <col min="15358" max="15358" width="18.42578125" style="130" customWidth="1"/>
    <col min="15359" max="15359" width="19" style="130" customWidth="1"/>
    <col min="15360" max="15360" width="13.42578125" style="130" customWidth="1"/>
    <col min="15361" max="15361" width="9.85546875" style="130" customWidth="1"/>
    <col min="15362" max="15362" width="15.28515625" style="130" customWidth="1"/>
    <col min="15363" max="15363" width="11.7109375" style="130" customWidth="1"/>
    <col min="15364" max="15365" width="0" style="130" hidden="1" customWidth="1"/>
    <col min="15366" max="15366" width="15.7109375" style="130" customWidth="1"/>
    <col min="15367" max="15367" width="15.85546875" style="130" customWidth="1"/>
    <col min="15368" max="15368" width="15.28515625" style="130" customWidth="1"/>
    <col min="15369" max="15369" width="0" style="130" hidden="1" customWidth="1"/>
    <col min="15370" max="15612" width="9.140625" style="130"/>
    <col min="15613" max="15613" width="4.28515625" style="130" customWidth="1"/>
    <col min="15614" max="15614" width="18.42578125" style="130" customWidth="1"/>
    <col min="15615" max="15615" width="19" style="130" customWidth="1"/>
    <col min="15616" max="15616" width="13.42578125" style="130" customWidth="1"/>
    <col min="15617" max="15617" width="9.85546875" style="130" customWidth="1"/>
    <col min="15618" max="15618" width="15.28515625" style="130" customWidth="1"/>
    <col min="15619" max="15619" width="11.7109375" style="130" customWidth="1"/>
    <col min="15620" max="15621" width="0" style="130" hidden="1" customWidth="1"/>
    <col min="15622" max="15622" width="15.7109375" style="130" customWidth="1"/>
    <col min="15623" max="15623" width="15.85546875" style="130" customWidth="1"/>
    <col min="15624" max="15624" width="15.28515625" style="130" customWidth="1"/>
    <col min="15625" max="15625" width="0" style="130" hidden="1" customWidth="1"/>
    <col min="15626" max="15868" width="9.140625" style="130"/>
    <col min="15869" max="15869" width="4.28515625" style="130" customWidth="1"/>
    <col min="15870" max="15870" width="18.42578125" style="130" customWidth="1"/>
    <col min="15871" max="15871" width="19" style="130" customWidth="1"/>
    <col min="15872" max="15872" width="13.42578125" style="130" customWidth="1"/>
    <col min="15873" max="15873" width="9.85546875" style="130" customWidth="1"/>
    <col min="15874" max="15874" width="15.28515625" style="130" customWidth="1"/>
    <col min="15875" max="15875" width="11.7109375" style="130" customWidth="1"/>
    <col min="15876" max="15877" width="0" style="130" hidden="1" customWidth="1"/>
    <col min="15878" max="15878" width="15.7109375" style="130" customWidth="1"/>
    <col min="15879" max="15879" width="15.85546875" style="130" customWidth="1"/>
    <col min="15880" max="15880" width="15.28515625" style="130" customWidth="1"/>
    <col min="15881" max="15881" width="0" style="130" hidden="1" customWidth="1"/>
    <col min="15882" max="16124" width="9.140625" style="130"/>
    <col min="16125" max="16125" width="4.28515625" style="130" customWidth="1"/>
    <col min="16126" max="16126" width="18.42578125" style="130" customWidth="1"/>
    <col min="16127" max="16127" width="19" style="130" customWidth="1"/>
    <col min="16128" max="16128" width="13.42578125" style="130" customWidth="1"/>
    <col min="16129" max="16129" width="9.85546875" style="130" customWidth="1"/>
    <col min="16130" max="16130" width="15.28515625" style="130" customWidth="1"/>
    <col min="16131" max="16131" width="11.7109375" style="130" customWidth="1"/>
    <col min="16132" max="16133" width="0" style="130" hidden="1" customWidth="1"/>
    <col min="16134" max="16134" width="15.7109375" style="130" customWidth="1"/>
    <col min="16135" max="16135" width="15.85546875" style="130" customWidth="1"/>
    <col min="16136" max="16136" width="15.28515625" style="130" customWidth="1"/>
    <col min="16137" max="16137" width="0" style="130" hidden="1" customWidth="1"/>
    <col min="16138" max="16384" width="9.140625" style="130"/>
  </cols>
  <sheetData>
    <row r="1" spans="1:25">
      <c r="A1" s="838" t="s">
        <v>25</v>
      </c>
      <c r="B1" s="838"/>
      <c r="C1" s="838"/>
      <c r="D1" s="546"/>
      <c r="E1" s="546"/>
      <c r="F1" s="546"/>
      <c r="G1" s="546"/>
      <c r="H1" s="1055">
        <v>26</v>
      </c>
    </row>
    <row r="2" spans="1:25">
      <c r="A2" s="130" t="s">
        <v>26</v>
      </c>
      <c r="D2" s="547"/>
      <c r="E2" s="547"/>
      <c r="F2" s="547"/>
      <c r="G2" s="547"/>
      <c r="V2" s="291" t="s">
        <v>287</v>
      </c>
      <c r="W2" s="746">
        <f>ROUND(R8/2,0)+ROUND(R9/2,0)</f>
        <v>181751969</v>
      </c>
    </row>
    <row r="3" spans="1:25">
      <c r="A3" s="130" t="s">
        <v>27</v>
      </c>
      <c r="D3" s="547"/>
      <c r="E3" s="547"/>
      <c r="F3" s="547"/>
      <c r="G3" s="547"/>
      <c r="V3" s="291" t="s">
        <v>288</v>
      </c>
      <c r="W3" s="746">
        <f>+(R9+R8)-W2</f>
        <v>181751968</v>
      </c>
    </row>
    <row r="4" spans="1:25">
      <c r="A4" s="547"/>
      <c r="B4" s="547"/>
      <c r="C4" s="547"/>
      <c r="D4" s="547"/>
      <c r="E4" s="547"/>
      <c r="V4" s="291" t="s">
        <v>221</v>
      </c>
      <c r="W4" s="746">
        <f>+R10</f>
        <v>116993364</v>
      </c>
    </row>
    <row r="5" spans="1:25" ht="50.1" customHeight="1">
      <c r="A5" s="1428" t="s">
        <v>5717</v>
      </c>
      <c r="B5" s="1428"/>
      <c r="C5" s="1428"/>
      <c r="D5" s="1428"/>
      <c r="E5" s="1428"/>
      <c r="F5" s="1428"/>
      <c r="G5" s="1428"/>
      <c r="H5" s="1428"/>
      <c r="I5" s="1428"/>
      <c r="J5" s="1428"/>
      <c r="K5" s="1428"/>
      <c r="L5" s="1428"/>
      <c r="M5" s="1428"/>
      <c r="N5" s="1428"/>
      <c r="O5" s="1428"/>
      <c r="P5" s="1428"/>
      <c r="Q5" s="1428"/>
      <c r="R5" s="1428"/>
      <c r="S5" s="1428"/>
      <c r="T5" s="548"/>
      <c r="U5" s="548"/>
      <c r="W5" s="746">
        <f>+W4+W2+W3</f>
        <v>480497301</v>
      </c>
    </row>
    <row r="6" spans="1:25" ht="28.5" customHeight="1" thickBot="1">
      <c r="A6" s="26" t="s">
        <v>5716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2">
        <v>26115</v>
      </c>
      <c r="M6" s="32"/>
      <c r="N6" s="32"/>
      <c r="O6" s="32"/>
      <c r="P6" s="32"/>
      <c r="Q6" s="32"/>
      <c r="R6" s="32"/>
      <c r="S6" s="33"/>
      <c r="T6" s="33"/>
      <c r="U6" s="291"/>
      <c r="V6" s="130"/>
    </row>
    <row r="7" spans="1:25" ht="91.5" customHeight="1" thickBot="1">
      <c r="A7" s="539" t="s">
        <v>28</v>
      </c>
      <c r="B7" s="540" t="s">
        <v>11</v>
      </c>
      <c r="C7" s="540" t="s">
        <v>29</v>
      </c>
      <c r="D7" s="540" t="s">
        <v>299</v>
      </c>
      <c r="E7" s="540" t="s">
        <v>215</v>
      </c>
      <c r="F7" s="541" t="s">
        <v>30</v>
      </c>
      <c r="G7" s="541" t="s">
        <v>181</v>
      </c>
      <c r="H7" s="540" t="s">
        <v>31</v>
      </c>
      <c r="I7" s="541" t="s">
        <v>30</v>
      </c>
      <c r="J7" s="541" t="s">
        <v>417</v>
      </c>
      <c r="K7" s="541" t="s">
        <v>652</v>
      </c>
      <c r="L7" s="542" t="s">
        <v>229</v>
      </c>
      <c r="M7" s="542" t="s">
        <v>386</v>
      </c>
      <c r="N7" s="542" t="s">
        <v>32</v>
      </c>
      <c r="O7" s="542" t="s">
        <v>33</v>
      </c>
      <c r="P7" s="542" t="s">
        <v>34</v>
      </c>
      <c r="Q7" s="542" t="s">
        <v>295</v>
      </c>
      <c r="R7" s="543" t="s">
        <v>230</v>
      </c>
      <c r="S7" s="543" t="s">
        <v>280</v>
      </c>
      <c r="T7" s="543" t="s">
        <v>300</v>
      </c>
      <c r="U7" s="543" t="s">
        <v>301</v>
      </c>
    </row>
    <row r="8" spans="1:25" ht="57.75" customHeight="1">
      <c r="A8" s="314">
        <v>1</v>
      </c>
      <c r="B8" s="24" t="s">
        <v>24</v>
      </c>
      <c r="C8" s="24" t="s">
        <v>24</v>
      </c>
      <c r="D8" s="24" t="s">
        <v>296</v>
      </c>
      <c r="E8" s="24" t="s">
        <v>220</v>
      </c>
      <c r="F8" s="132">
        <v>10300</v>
      </c>
      <c r="G8" s="135">
        <f t="shared" ref="G8:G10" si="0">+F8*$L$6</f>
        <v>268984500</v>
      </c>
      <c r="H8" s="687">
        <v>26</v>
      </c>
      <c r="I8" s="132">
        <f>+F8/$H$1*H8</f>
        <v>10300</v>
      </c>
      <c r="J8" s="283"/>
      <c r="K8" s="744"/>
      <c r="L8" s="114">
        <f>ROUND((((K8+I8)*$L$6)),0)</f>
        <v>268984500</v>
      </c>
      <c r="M8" s="114">
        <f>2340000*20*9.5%</f>
        <v>4446000</v>
      </c>
      <c r="N8" s="25"/>
      <c r="O8" s="23">
        <f>L8+N8-M8-11000000</f>
        <v>253538500</v>
      </c>
      <c r="P8" s="25">
        <f>ROUND(35%*O8-9850000,0)</f>
        <v>78888475</v>
      </c>
      <c r="Q8" s="25"/>
      <c r="R8" s="854">
        <f>ROUND(L8-P8-M8-Q8,0)</f>
        <v>185650025</v>
      </c>
      <c r="S8" s="745">
        <f>ROUND(R8/$L$6,2)</f>
        <v>7108.94</v>
      </c>
      <c r="T8" s="346"/>
      <c r="U8" s="346" t="s">
        <v>314</v>
      </c>
      <c r="W8" s="544"/>
      <c r="Y8" s="1368"/>
    </row>
    <row r="9" spans="1:25" ht="57.75" customHeight="1">
      <c r="A9" s="314">
        <v>2</v>
      </c>
      <c r="B9" s="24" t="s">
        <v>115</v>
      </c>
      <c r="C9" s="24" t="s">
        <v>115</v>
      </c>
      <c r="D9" s="24" t="s">
        <v>297</v>
      </c>
      <c r="E9" s="24" t="s">
        <v>220</v>
      </c>
      <c r="F9" s="132">
        <v>9750</v>
      </c>
      <c r="G9" s="135">
        <f t="shared" si="0"/>
        <v>254621250</v>
      </c>
      <c r="H9" s="687">
        <v>26</v>
      </c>
      <c r="I9" s="132">
        <f t="shared" ref="I9" si="1">+F9/$H$1*H9</f>
        <v>9750</v>
      </c>
      <c r="J9" s="283"/>
      <c r="K9" s="744"/>
      <c r="L9" s="114">
        <f t="shared" ref="L9:L10" si="2">ROUND((((K9+I9)*$L$6)),0)</f>
        <v>254621250</v>
      </c>
      <c r="M9" s="114">
        <f t="shared" ref="M9:M10" si="3">2340000*20*9.5%</f>
        <v>4446000</v>
      </c>
      <c r="N9" s="25"/>
      <c r="O9" s="23">
        <f>L9+N9-M9-11000000-4400000</f>
        <v>234775250</v>
      </c>
      <c r="P9" s="25">
        <f t="shared" ref="P9:P10" si="4">ROUND(35%*O9-9850000,0)</f>
        <v>72321338</v>
      </c>
      <c r="Q9" s="25"/>
      <c r="R9" s="854">
        <f>ROUND(L9-P9-M9-Q9,0)</f>
        <v>177853912</v>
      </c>
      <c r="S9" s="745">
        <f t="shared" ref="S9:S10" si="5">ROUND(R9/$L$6,2)</f>
        <v>6810.41</v>
      </c>
      <c r="T9" s="346"/>
      <c r="U9" s="346" t="s">
        <v>314</v>
      </c>
      <c r="V9" s="291" t="s">
        <v>724</v>
      </c>
      <c r="W9" s="544"/>
    </row>
    <row r="10" spans="1:25" ht="57.75" customHeight="1">
      <c r="A10" s="314">
        <v>3</v>
      </c>
      <c r="B10" s="134" t="s">
        <v>204</v>
      </c>
      <c r="C10" s="24" t="s">
        <v>204</v>
      </c>
      <c r="D10" s="24" t="s">
        <v>298</v>
      </c>
      <c r="E10" s="24" t="s">
        <v>219</v>
      </c>
      <c r="F10" s="132">
        <v>6505.58</v>
      </c>
      <c r="G10" s="135">
        <f t="shared" si="0"/>
        <v>169893221.69999999</v>
      </c>
      <c r="H10" s="687">
        <v>25</v>
      </c>
      <c r="I10" s="132">
        <f>+F10/$H$1*H10</f>
        <v>6255.3653846153838</v>
      </c>
      <c r="J10" s="283"/>
      <c r="K10" s="744"/>
      <c r="L10" s="114">
        <f t="shared" si="2"/>
        <v>163358867</v>
      </c>
      <c r="M10" s="114">
        <f t="shared" si="3"/>
        <v>4446000</v>
      </c>
      <c r="N10" s="135"/>
      <c r="O10" s="23">
        <f>L10+N10-M10-11000000</f>
        <v>147912867</v>
      </c>
      <c r="P10" s="25">
        <f t="shared" si="4"/>
        <v>41919503</v>
      </c>
      <c r="Q10" s="25"/>
      <c r="R10" s="854">
        <f>ROUND(L10-P10-M10-Q10,0)</f>
        <v>116993364</v>
      </c>
      <c r="S10" s="745">
        <f t="shared" si="5"/>
        <v>4479.93</v>
      </c>
      <c r="T10" s="346"/>
      <c r="U10" s="346" t="s">
        <v>221</v>
      </c>
      <c r="W10" s="860"/>
      <c r="X10" s="860"/>
    </row>
    <row r="11" spans="1:25" ht="42.75" customHeight="1" thickBot="1">
      <c r="A11" s="1429" t="s">
        <v>6</v>
      </c>
      <c r="B11" s="1430"/>
      <c r="C11" s="549"/>
      <c r="D11" s="549"/>
      <c r="E11" s="549"/>
      <c r="F11" s="310">
        <f>SUM(F8:F10)</f>
        <v>26555.58</v>
      </c>
      <c r="G11" s="311">
        <f t="shared" ref="G11:R11" si="6">SUM(G8:G10)</f>
        <v>693498971.70000005</v>
      </c>
      <c r="H11" s="312">
        <f t="shared" si="6"/>
        <v>77</v>
      </c>
      <c r="I11" s="310">
        <f t="shared" si="6"/>
        <v>26305.365384615383</v>
      </c>
      <c r="J11" s="312">
        <f t="shared" si="6"/>
        <v>0</v>
      </c>
      <c r="K11" s="310">
        <f t="shared" si="6"/>
        <v>0</v>
      </c>
      <c r="L11" s="311">
        <f t="shared" si="6"/>
        <v>686964617</v>
      </c>
      <c r="M11" s="311">
        <f t="shared" si="6"/>
        <v>13338000</v>
      </c>
      <c r="N11" s="311">
        <f t="shared" si="6"/>
        <v>0</v>
      </c>
      <c r="O11" s="311">
        <f t="shared" si="6"/>
        <v>636226617</v>
      </c>
      <c r="P11" s="311">
        <f t="shared" si="6"/>
        <v>193129316</v>
      </c>
      <c r="Q11" s="311">
        <f t="shared" si="6"/>
        <v>0</v>
      </c>
      <c r="R11" s="855">
        <f t="shared" si="6"/>
        <v>480497301</v>
      </c>
      <c r="S11" s="310">
        <f>SUM(S8:S10)</f>
        <v>18399.28</v>
      </c>
      <c r="T11" s="310"/>
      <c r="U11" s="311"/>
      <c r="W11" s="544"/>
    </row>
    <row r="12" spans="1:25" ht="26.25" customHeight="1">
      <c r="R12" s="968"/>
      <c r="S12" s="968"/>
      <c r="T12" s="128"/>
      <c r="U12" s="128"/>
    </row>
    <row r="13" spans="1:25">
      <c r="S13" s="128"/>
    </row>
    <row r="14" spans="1:25" s="159" customFormat="1" ht="18">
      <c r="F14" s="160"/>
      <c r="G14" s="160"/>
      <c r="L14" s="161"/>
      <c r="M14" s="161"/>
      <c r="N14" s="161"/>
      <c r="O14" s="161"/>
      <c r="P14" s="161" t="str">
        <f>+'TOTAL(payment)'!K123</f>
        <v>Bình Phước, Ngày 30 tháng 04 năm 2025</v>
      </c>
      <c r="Q14" s="161"/>
      <c r="R14" s="161"/>
      <c r="S14" s="162"/>
      <c r="T14" s="162"/>
      <c r="U14" s="162"/>
      <c r="V14" s="291"/>
    </row>
    <row r="15" spans="1:25" s="159" customFormat="1" ht="21" customHeight="1">
      <c r="B15" s="159" t="s">
        <v>35</v>
      </c>
      <c r="F15" s="160"/>
      <c r="G15" s="160"/>
      <c r="H15" s="159" t="s">
        <v>222</v>
      </c>
      <c r="L15" s="161"/>
      <c r="M15" s="161"/>
      <c r="N15" s="161"/>
      <c r="O15" s="161"/>
      <c r="P15" s="161" t="s">
        <v>223</v>
      </c>
      <c r="Q15" s="161"/>
      <c r="R15" s="161"/>
      <c r="S15" s="161"/>
      <c r="T15" s="469"/>
      <c r="U15" s="161"/>
      <c r="V15" s="469"/>
      <c r="W15" s="313"/>
    </row>
    <row r="16" spans="1:25" s="159" customFormat="1" ht="21.6" customHeight="1">
      <c r="F16" s="160"/>
      <c r="G16" s="160"/>
      <c r="L16" s="161"/>
      <c r="M16" s="161"/>
      <c r="N16" s="161"/>
      <c r="O16" s="161"/>
      <c r="P16" s="161"/>
      <c r="Q16" s="161"/>
      <c r="R16" s="161"/>
      <c r="S16" s="161"/>
      <c r="T16" s="469"/>
      <c r="U16" s="161"/>
      <c r="V16" s="469"/>
      <c r="W16" s="280"/>
    </row>
    <row r="17" spans="1:23" s="159" customFormat="1" ht="18">
      <c r="E17" s="545"/>
      <c r="F17" s="160"/>
      <c r="G17" s="160"/>
      <c r="L17" s="161"/>
      <c r="M17" s="161"/>
      <c r="N17" s="161"/>
      <c r="O17" s="161"/>
      <c r="P17" s="161"/>
      <c r="Q17" s="161"/>
      <c r="R17" s="161"/>
      <c r="S17" s="162"/>
      <c r="T17" s="162"/>
      <c r="U17" s="162"/>
      <c r="V17" s="469"/>
      <c r="W17" s="280"/>
    </row>
    <row r="18" spans="1:23" s="159" customFormat="1" ht="18">
      <c r="E18" s="545"/>
      <c r="F18" s="160"/>
      <c r="G18" s="160"/>
      <c r="L18" s="161"/>
      <c r="M18" s="161"/>
      <c r="N18" s="161"/>
      <c r="O18" s="161"/>
      <c r="P18" s="161"/>
      <c r="Q18" s="161"/>
      <c r="R18" s="161"/>
      <c r="S18" s="162"/>
      <c r="T18" s="162"/>
      <c r="U18" s="162"/>
      <c r="V18" s="469"/>
      <c r="W18" s="280"/>
    </row>
    <row r="19" spans="1:23" s="159" customFormat="1" ht="18">
      <c r="E19" s="545"/>
      <c r="F19" s="160"/>
      <c r="G19" s="160"/>
      <c r="L19" s="161"/>
      <c r="M19" s="161"/>
      <c r="N19" s="161"/>
      <c r="O19" s="161"/>
      <c r="P19" s="161"/>
      <c r="Q19" s="161"/>
      <c r="R19" s="161"/>
      <c r="S19" s="162"/>
      <c r="T19" s="162"/>
      <c r="U19" s="162"/>
      <c r="V19" s="469"/>
      <c r="W19" s="280"/>
    </row>
    <row r="20" spans="1:23" s="159" customFormat="1" ht="18">
      <c r="F20" s="160"/>
      <c r="G20" s="160"/>
      <c r="L20" s="161"/>
      <c r="M20" s="161"/>
      <c r="N20" s="161"/>
      <c r="O20" s="161"/>
      <c r="P20" s="161"/>
      <c r="Q20" s="161"/>
      <c r="R20" s="161"/>
      <c r="S20" s="162"/>
      <c r="T20" s="162"/>
      <c r="U20" s="162"/>
      <c r="V20" s="469"/>
      <c r="W20" s="280"/>
    </row>
    <row r="21" spans="1:23" s="162" customFormat="1" ht="18">
      <c r="A21" s="159"/>
      <c r="B21" s="159"/>
      <c r="C21" s="159"/>
      <c r="D21" s="159"/>
      <c r="E21" s="159"/>
      <c r="F21" s="159"/>
      <c r="G21" s="159"/>
      <c r="H21" s="159"/>
      <c r="L21" s="163"/>
      <c r="M21" s="163"/>
      <c r="N21" s="163"/>
      <c r="O21" s="161"/>
      <c r="P21" s="161"/>
      <c r="Q21" s="161"/>
      <c r="R21" s="161"/>
      <c r="V21" s="469"/>
      <c r="W21" s="280"/>
    </row>
    <row r="22" spans="1:23" s="159" customFormat="1" ht="18">
      <c r="F22" s="160"/>
      <c r="G22" s="160"/>
      <c r="L22" s="161"/>
      <c r="M22" s="161"/>
      <c r="N22" s="161"/>
      <c r="O22" s="161"/>
      <c r="P22" s="161"/>
      <c r="Q22" s="161"/>
      <c r="R22" s="161"/>
      <c r="S22" s="162"/>
      <c r="T22" s="162"/>
      <c r="U22" s="162"/>
      <c r="V22" s="469"/>
    </row>
    <row r="23" spans="1:23" s="159" customFormat="1" ht="18">
      <c r="B23" s="159" t="s">
        <v>182</v>
      </c>
      <c r="F23" s="160"/>
      <c r="G23" s="160"/>
      <c r="H23" s="159" t="s">
        <v>161</v>
      </c>
      <c r="L23" s="161"/>
      <c r="M23" s="161"/>
      <c r="N23" s="161"/>
      <c r="O23" s="161"/>
      <c r="P23" s="161" t="s">
        <v>224</v>
      </c>
      <c r="Q23" s="161"/>
      <c r="R23" s="161"/>
      <c r="S23" s="162"/>
      <c r="T23" s="162"/>
      <c r="U23" s="162"/>
      <c r="V23" s="469"/>
    </row>
    <row r="24" spans="1:23" ht="18">
      <c r="S24" s="162"/>
      <c r="T24" s="162"/>
    </row>
    <row r="25" spans="1:23" ht="18">
      <c r="S25" s="162"/>
      <c r="T25" s="162"/>
    </row>
    <row r="26" spans="1:23" ht="18">
      <c r="S26" s="162"/>
      <c r="T26" s="162"/>
    </row>
    <row r="27" spans="1:23" ht="18">
      <c r="S27" s="162"/>
      <c r="T27" s="162"/>
    </row>
    <row r="28" spans="1:23" ht="18">
      <c r="S28" s="162"/>
      <c r="T28" s="162"/>
    </row>
    <row r="29" spans="1:23" ht="18">
      <c r="S29" s="162"/>
      <c r="T29" s="162"/>
    </row>
    <row r="30" spans="1:23" ht="18">
      <c r="S30" s="162"/>
      <c r="T30" s="162"/>
    </row>
    <row r="31" spans="1:23" ht="18">
      <c r="S31" s="162"/>
    </row>
    <row r="32" spans="1:23" ht="18">
      <c r="S32" s="162"/>
    </row>
  </sheetData>
  <mergeCells count="2">
    <mergeCell ref="A5:S5"/>
    <mergeCell ref="A11:B11"/>
  </mergeCells>
  <phoneticPr fontId="61" type="noConversion"/>
  <pageMargins left="0.17" right="0.17" top="0.75" bottom="0.75" header="0.3" footer="0.3"/>
  <pageSetup paperSize="9" scale="62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BW1428"/>
  <sheetViews>
    <sheetView tabSelected="1" topLeftCell="A2" zoomScale="85" zoomScaleNormal="85" zoomScaleSheetLayoutView="85" workbookViewId="0">
      <pane xSplit="3" ySplit="4" topLeftCell="AI1276" activePane="bottomRight" state="frozen"/>
      <selection activeCell="A2" sqref="A2"/>
      <selection pane="topRight" activeCell="D2" sqref="D2"/>
      <selection pane="bottomLeft" activeCell="A6" sqref="A6"/>
      <selection pane="bottomRight" activeCell="AN1280" sqref="AN1280"/>
    </sheetView>
  </sheetViews>
  <sheetFormatPr defaultColWidth="9.140625" defaultRowHeight="15"/>
  <cols>
    <col min="1" max="1" width="5.85546875" style="22" customWidth="1"/>
    <col min="2" max="2" width="8.7109375" style="22" customWidth="1"/>
    <col min="3" max="3" width="22.28515625" style="22" customWidth="1"/>
    <col min="4" max="4" width="11.42578125" style="104" customWidth="1"/>
    <col min="5" max="5" width="14.42578125" style="104" customWidth="1"/>
    <col min="6" max="6" width="21" style="104" customWidth="1"/>
    <col min="7" max="7" width="21.28515625" style="104" customWidth="1"/>
    <col min="8" max="8" width="14.7109375" style="3" customWidth="1"/>
    <col min="9" max="9" width="14.85546875" style="3" customWidth="1"/>
    <col min="10" max="10" width="13.5703125" style="3" customWidth="1"/>
    <col min="11" max="11" width="13.7109375" style="3" customWidth="1"/>
    <col min="12" max="12" width="20.85546875" style="3" customWidth="1"/>
    <col min="13" max="13" width="10.28515625" style="117" customWidth="1"/>
    <col min="14" max="14" width="17.28515625" style="3" customWidth="1"/>
    <col min="15" max="15" width="9.5703125" style="116" customWidth="1"/>
    <col min="16" max="16" width="16" style="3" customWidth="1"/>
    <col min="17" max="17" width="8.42578125" style="106" customWidth="1"/>
    <col min="18" max="18" width="12.85546875" style="3" customWidth="1"/>
    <col min="19" max="19" width="16" style="3" customWidth="1"/>
    <col min="20" max="20" width="13" style="3" customWidth="1"/>
    <col min="21" max="21" width="13.5703125" style="3" customWidth="1"/>
    <col min="22" max="22" width="14.85546875" style="3" customWidth="1"/>
    <col min="23" max="23" width="14.28515625" style="3" customWidth="1"/>
    <col min="24" max="24" width="13.7109375" style="3" customWidth="1"/>
    <col min="25" max="25" width="19" style="3" customWidth="1"/>
    <col min="26" max="26" width="16.28515625" style="3" customWidth="1"/>
    <col min="27" max="27" width="16.28515625" style="2" hidden="1" customWidth="1"/>
    <col min="28" max="28" width="16.28515625" style="3" hidden="1" customWidth="1"/>
    <col min="29" max="29" width="16.28515625" style="3" customWidth="1"/>
    <col min="30" max="30" width="16" style="3" customWidth="1"/>
    <col min="31" max="31" width="14" style="3" customWidth="1"/>
    <col min="32" max="32" width="19.28515625" style="3" hidden="1" customWidth="1"/>
    <col min="33" max="33" width="19.5703125" style="107" customWidth="1"/>
    <col min="34" max="34" width="11.85546875" style="108" customWidth="1"/>
    <col min="35" max="35" width="11.5703125" style="109" customWidth="1"/>
    <col min="36" max="36" width="8.5703125" style="106" customWidth="1"/>
    <col min="37" max="37" width="10.5703125" style="106" customWidth="1"/>
    <col min="38" max="38" width="9.140625" style="106" customWidth="1"/>
    <col min="39" max="39" width="17.28515625" style="107" customWidth="1"/>
    <col min="40" max="40" width="18" style="107" customWidth="1"/>
    <col min="41" max="42" width="15.28515625" style="107" customWidth="1"/>
    <col min="43" max="43" width="14.140625" style="107" customWidth="1"/>
    <col min="44" max="44" width="13.5703125" style="2" customWidth="1"/>
    <col min="45" max="45" width="13" style="2" customWidth="1"/>
    <col min="46" max="46" width="17.140625" style="107" customWidth="1"/>
    <col min="47" max="47" width="18.42578125" style="110" customWidth="1"/>
    <col min="48" max="48" width="17.42578125" style="601" customWidth="1"/>
    <col min="49" max="49" width="24.5703125" style="317" customWidth="1"/>
    <col min="50" max="50" width="22.85546875" style="320" customWidth="1"/>
    <col min="51" max="51" width="16.7109375" style="320" customWidth="1"/>
    <col min="52" max="52" width="8.42578125" style="317" customWidth="1"/>
    <col min="53" max="53" width="17.5703125" style="317" customWidth="1"/>
    <col min="54" max="54" width="15.85546875" style="22" customWidth="1"/>
    <col min="55" max="55" width="17.85546875" style="22" customWidth="1"/>
    <col min="56" max="56" width="15.140625" style="22" customWidth="1"/>
    <col min="57" max="57" width="9.140625" style="22" customWidth="1"/>
    <col min="58" max="58" width="15.42578125" style="22" customWidth="1"/>
    <col min="59" max="59" width="9.140625" style="22" customWidth="1"/>
    <col min="60" max="60" width="14.28515625" style="22" customWidth="1"/>
    <col min="61" max="61" width="15.140625" style="22" customWidth="1"/>
    <col min="62" max="62" width="16.5703125" style="22" customWidth="1"/>
    <col min="63" max="63" width="12.28515625" style="22" customWidth="1"/>
    <col min="64" max="64" width="9.140625" style="22" customWidth="1"/>
    <col min="65" max="16384" width="9.140625" style="22"/>
  </cols>
  <sheetData>
    <row r="1" spans="1:56">
      <c r="AW1" s="559"/>
      <c r="AX1" s="322"/>
      <c r="AY1" s="322"/>
      <c r="AZ1" s="315"/>
    </row>
    <row r="2" spans="1:56" s="26" customFormat="1" ht="36.75" customHeight="1" thickBot="1">
      <c r="B2" s="93"/>
      <c r="D2" s="94"/>
      <c r="E2" s="94"/>
      <c r="F2" s="95"/>
      <c r="G2" s="95"/>
      <c r="H2" s="96"/>
      <c r="I2" s="96"/>
      <c r="J2" s="96"/>
      <c r="K2" s="96"/>
      <c r="L2" s="475"/>
      <c r="M2" s="115">
        <v>26</v>
      </c>
      <c r="N2" s="82"/>
      <c r="O2" s="95"/>
      <c r="P2" s="82"/>
      <c r="Q2" s="96"/>
      <c r="R2" s="96"/>
      <c r="S2" s="97"/>
      <c r="T2" s="97"/>
      <c r="U2" s="97"/>
      <c r="V2" s="97"/>
      <c r="W2" s="97"/>
      <c r="X2" s="97"/>
      <c r="Y2" s="97"/>
      <c r="Z2" s="97"/>
      <c r="AA2" s="886"/>
      <c r="AB2" s="97"/>
      <c r="AC2" s="97"/>
      <c r="AD2" s="97"/>
      <c r="AE2" s="97"/>
      <c r="AF2" s="97"/>
      <c r="AG2" s="98"/>
      <c r="AH2" s="99"/>
      <c r="AI2" s="99"/>
      <c r="AJ2" s="99"/>
      <c r="AK2" s="99"/>
      <c r="AL2" s="99"/>
      <c r="AM2" s="99"/>
      <c r="AN2" s="2"/>
      <c r="AO2" s="99"/>
      <c r="AP2" s="99"/>
      <c r="AQ2" s="99"/>
      <c r="AR2" s="2"/>
      <c r="AS2" s="2"/>
      <c r="AT2" s="101"/>
      <c r="AU2" s="102"/>
      <c r="AV2" s="602"/>
      <c r="AW2" s="560"/>
      <c r="AX2" s="323"/>
      <c r="AY2" s="323"/>
      <c r="AZ2" s="316"/>
      <c r="BA2" s="315"/>
    </row>
    <row r="3" spans="1:56" s="31" customFormat="1" ht="87" hidden="1" customHeight="1" thickBot="1">
      <c r="A3" s="1440" t="s">
        <v>5725</v>
      </c>
      <c r="B3" s="1440"/>
      <c r="C3" s="1440"/>
      <c r="D3" s="1440"/>
      <c r="E3" s="1440"/>
      <c r="F3" s="1440"/>
      <c r="G3" s="1440"/>
      <c r="H3" s="1440"/>
      <c r="I3" s="1440"/>
      <c r="J3" s="1440"/>
      <c r="K3" s="1440"/>
      <c r="L3" s="1440"/>
      <c r="M3" s="1440"/>
      <c r="N3" s="1440"/>
      <c r="O3" s="1440"/>
      <c r="P3" s="1440"/>
      <c r="Q3" s="1440"/>
      <c r="R3" s="1440"/>
      <c r="S3" s="1440"/>
      <c r="T3" s="1440"/>
      <c r="U3" s="1440"/>
      <c r="V3" s="1440"/>
      <c r="W3" s="1440"/>
      <c r="X3" s="1440"/>
      <c r="Y3" s="1440"/>
      <c r="Z3" s="1440"/>
      <c r="AA3" s="1440"/>
      <c r="AB3" s="1440"/>
      <c r="AC3" s="1440"/>
      <c r="AD3" s="1440"/>
      <c r="AE3" s="1440"/>
      <c r="AF3" s="1440"/>
      <c r="AG3" s="1440"/>
      <c r="AH3" s="1440"/>
      <c r="AI3" s="1440"/>
      <c r="AJ3" s="1440"/>
      <c r="AK3" s="1440"/>
      <c r="AL3" s="1440"/>
      <c r="AM3" s="1440"/>
      <c r="AN3" s="1440"/>
      <c r="AO3" s="1440"/>
      <c r="AP3" s="1440"/>
      <c r="AQ3" s="1440"/>
      <c r="AR3" s="1440"/>
      <c r="AS3" s="1440"/>
      <c r="AT3" s="1440"/>
      <c r="AU3" s="1440"/>
      <c r="AV3" s="603"/>
      <c r="AW3" s="561"/>
      <c r="AX3" s="561"/>
      <c r="AY3" s="320"/>
      <c r="AZ3" s="317"/>
      <c r="BA3" s="316"/>
    </row>
    <row r="4" spans="1:56" s="79" customFormat="1" ht="39" customHeight="1">
      <c r="A4" s="1441" t="s">
        <v>10</v>
      </c>
      <c r="B4" s="1445" t="s">
        <v>12</v>
      </c>
      <c r="C4" s="1445" t="s">
        <v>11</v>
      </c>
      <c r="D4" s="1445" t="s">
        <v>13</v>
      </c>
      <c r="E4" s="238"/>
      <c r="F4" s="1453" t="s">
        <v>148</v>
      </c>
      <c r="G4" s="1453" t="s">
        <v>195</v>
      </c>
      <c r="H4" s="1447" t="s">
        <v>37</v>
      </c>
      <c r="I4" s="1447"/>
      <c r="J4" s="1447"/>
      <c r="K4" s="1447"/>
      <c r="L4" s="1447"/>
      <c r="M4" s="1448" t="s">
        <v>762</v>
      </c>
      <c r="N4" s="1447"/>
      <c r="O4" s="1448" t="s">
        <v>39</v>
      </c>
      <c r="P4" s="1447"/>
      <c r="Q4" s="1449" t="s">
        <v>40</v>
      </c>
      <c r="R4" s="1450"/>
      <c r="S4" s="1447" t="s">
        <v>41</v>
      </c>
      <c r="T4" s="1447"/>
      <c r="U4" s="1447"/>
      <c r="V4" s="1447"/>
      <c r="W4" s="1447"/>
      <c r="X4" s="1447"/>
      <c r="Y4" s="1447"/>
      <c r="Z4" s="1447"/>
      <c r="AA4" s="1447"/>
      <c r="AB4" s="1447"/>
      <c r="AC4" s="1447"/>
      <c r="AD4" s="1447"/>
      <c r="AE4" s="1447"/>
      <c r="AF4" s="1447"/>
      <c r="AG4" s="1445" t="s">
        <v>15</v>
      </c>
      <c r="AH4" s="1451" t="s">
        <v>16</v>
      </c>
      <c r="AI4" s="1451"/>
      <c r="AJ4" s="1451"/>
      <c r="AK4" s="1451"/>
      <c r="AL4" s="1451"/>
      <c r="AM4" s="1452"/>
      <c r="AN4" s="1443" t="s">
        <v>225</v>
      </c>
      <c r="AO4" s="1455" t="s">
        <v>17</v>
      </c>
      <c r="AP4" s="1456"/>
      <c r="AQ4" s="1456"/>
      <c r="AR4" s="1456"/>
      <c r="AS4" s="1456"/>
      <c r="AT4" s="1432" t="s">
        <v>226</v>
      </c>
      <c r="AU4" s="1438" t="s">
        <v>18</v>
      </c>
      <c r="AV4" s="603"/>
      <c r="AW4" s="1436" t="s">
        <v>302</v>
      </c>
      <c r="AX4" s="1434" t="s">
        <v>303</v>
      </c>
      <c r="AY4" s="562"/>
      <c r="AZ4" s="563"/>
      <c r="BA4" s="318"/>
    </row>
    <row r="5" spans="1:56" s="79" customFormat="1" ht="111" customHeight="1">
      <c r="A5" s="1442"/>
      <c r="B5" s="1446"/>
      <c r="C5" s="1446"/>
      <c r="D5" s="1446"/>
      <c r="E5" s="200" t="s">
        <v>215</v>
      </c>
      <c r="F5" s="1454"/>
      <c r="G5" s="1454"/>
      <c r="H5" s="271" t="s">
        <v>183</v>
      </c>
      <c r="I5" s="271" t="s">
        <v>145</v>
      </c>
      <c r="J5" s="271" t="s">
        <v>140</v>
      </c>
      <c r="K5" s="271" t="s">
        <v>196</v>
      </c>
      <c r="L5" s="271" t="s">
        <v>15</v>
      </c>
      <c r="M5" s="272" t="s">
        <v>38</v>
      </c>
      <c r="N5" s="154" t="s">
        <v>50</v>
      </c>
      <c r="O5" s="273" t="s">
        <v>38</v>
      </c>
      <c r="P5" s="154" t="s">
        <v>50</v>
      </c>
      <c r="Q5" s="273" t="s">
        <v>51</v>
      </c>
      <c r="R5" s="154" t="s">
        <v>50</v>
      </c>
      <c r="S5" s="154" t="s">
        <v>42</v>
      </c>
      <c r="T5" s="154" t="s">
        <v>49</v>
      </c>
      <c r="U5" s="154" t="s">
        <v>197</v>
      </c>
      <c r="V5" s="154" t="s">
        <v>198</v>
      </c>
      <c r="W5" s="154" t="s">
        <v>43</v>
      </c>
      <c r="X5" s="1030" t="s">
        <v>149</v>
      </c>
      <c r="Y5" s="154" t="s">
        <v>44</v>
      </c>
      <c r="Z5" s="154" t="s">
        <v>45</v>
      </c>
      <c r="AA5" s="887" t="s">
        <v>120</v>
      </c>
      <c r="AB5" s="154" t="s">
        <v>738</v>
      </c>
      <c r="AC5" s="154" t="s">
        <v>174</v>
      </c>
      <c r="AD5" s="1030" t="s">
        <v>175</v>
      </c>
      <c r="AE5" s="154" t="s">
        <v>171</v>
      </c>
      <c r="AF5" s="200" t="s">
        <v>653</v>
      </c>
      <c r="AG5" s="1446"/>
      <c r="AH5" s="275">
        <v>1.5</v>
      </c>
      <c r="AI5" s="275">
        <v>2</v>
      </c>
      <c r="AJ5" s="275">
        <v>2.1</v>
      </c>
      <c r="AK5" s="275">
        <v>2.7</v>
      </c>
      <c r="AL5" s="275">
        <v>3</v>
      </c>
      <c r="AM5" s="276" t="s">
        <v>46</v>
      </c>
      <c r="AN5" s="1444"/>
      <c r="AO5" s="276" t="s">
        <v>48</v>
      </c>
      <c r="AP5" s="277" t="s">
        <v>19</v>
      </c>
      <c r="AQ5" s="276" t="s">
        <v>20</v>
      </c>
      <c r="AR5" s="644" t="s">
        <v>47</v>
      </c>
      <c r="AS5" s="644" t="s">
        <v>654</v>
      </c>
      <c r="AT5" s="1433"/>
      <c r="AU5" s="1439"/>
      <c r="AV5" s="870"/>
      <c r="AW5" s="1437"/>
      <c r="AX5" s="1435"/>
      <c r="AY5" s="1056" t="str">
        <f>+IF(B5="SK2","SK2",IF(B5="FACTORY A","SK1 Box",IF(B5="FACTORY D","SK1 Bag","Chia")))</f>
        <v>Chia</v>
      </c>
      <c r="AZ5" s="563"/>
      <c r="BA5" s="347" t="str">
        <f>+IF(AY5="SK1 Box","Box",IF(AY5="Seaman","Seaman","Bag"))</f>
        <v>Bag</v>
      </c>
    </row>
    <row r="6" spans="1:56" s="1010" customFormat="1" ht="36.75" customHeight="1">
      <c r="A6" s="779">
        <f>SUBTOTAL(3,B$6:B6)</f>
        <v>1</v>
      </c>
      <c r="B6" s="779" t="s">
        <v>784</v>
      </c>
      <c r="C6" s="780" t="s">
        <v>785</v>
      </c>
      <c r="D6" s="997">
        <v>39707</v>
      </c>
      <c r="E6" s="997" t="s">
        <v>216</v>
      </c>
      <c r="F6" s="786" t="s">
        <v>691</v>
      </c>
      <c r="G6" s="996" t="s">
        <v>786</v>
      </c>
      <c r="H6" s="998">
        <v>5931000</v>
      </c>
      <c r="I6" s="998">
        <v>200000</v>
      </c>
      <c r="J6" s="998">
        <v>0</v>
      </c>
      <c r="K6" s="998">
        <v>0</v>
      </c>
      <c r="L6" s="999">
        <f t="shared" ref="L6:L747" si="0">SUM(H6:K6)</f>
        <v>6131000</v>
      </c>
      <c r="M6" s="1000">
        <v>24</v>
      </c>
      <c r="N6" s="999">
        <f>ROUND((H6+I6+J6+K6)/IF($M$2&gt;26,26,$M$2)*M6,0)</f>
        <v>5659385</v>
      </c>
      <c r="O6" s="1001">
        <v>2</v>
      </c>
      <c r="P6" s="999">
        <f>ROUND((H6+I6+J6+K6)/IF($M$2&gt;26,26,$M$2)*O6,0)</f>
        <v>471615</v>
      </c>
      <c r="Q6" s="1002">
        <v>0</v>
      </c>
      <c r="R6" s="999">
        <f>IF(M6&gt;0,ROUND(N6/IF(M6&gt;26,26,M6)/8*Q6*30%,0),0)</f>
        <v>0</v>
      </c>
      <c r="S6" s="999">
        <f>N6+P6+R6</f>
        <v>6131000</v>
      </c>
      <c r="T6" s="1003">
        <v>0</v>
      </c>
      <c r="U6" s="781">
        <v>0</v>
      </c>
      <c r="V6" s="781">
        <v>200000</v>
      </c>
      <c r="W6" s="1003">
        <v>500000</v>
      </c>
      <c r="X6" s="1003">
        <v>0</v>
      </c>
      <c r="Y6" s="1003">
        <v>0</v>
      </c>
      <c r="Z6" s="1003">
        <v>188548</v>
      </c>
      <c r="AA6" s="1004"/>
      <c r="AB6" s="999"/>
      <c r="AC6" s="1003">
        <v>0</v>
      </c>
      <c r="AD6" s="1003">
        <v>0</v>
      </c>
      <c r="AE6" s="999">
        <v>44213.9453125</v>
      </c>
      <c r="AF6" s="1005"/>
      <c r="AG6" s="1005">
        <f t="shared" ref="AG6:AG337" si="1">ROUND(SUM(S6:AF6)-AA6,0)</f>
        <v>7063762</v>
      </c>
      <c r="AH6" s="1000">
        <v>48</v>
      </c>
      <c r="AI6" s="1000">
        <v>0</v>
      </c>
      <c r="AJ6" s="1000">
        <v>0</v>
      </c>
      <c r="AK6" s="1004">
        <v>0</v>
      </c>
      <c r="AL6" s="1006">
        <v>0</v>
      </c>
      <c r="AM6" s="999">
        <f t="shared" ref="AM6" si="2">ROUND((N6/IF(M6&gt;26,26,M6)/8*(AH6*$AH$5+AI6*$AI$5+AJ6*$AJ$5+AK6*$AK$5+AL6*$AL$5)),0)</f>
        <v>2122269</v>
      </c>
      <c r="AN6" s="1044">
        <f t="shared" ref="AN6:AN337" si="3">ROUND(AG6+AM6,0)</f>
        <v>9186031</v>
      </c>
      <c r="AO6" s="999">
        <v>643755</v>
      </c>
      <c r="AP6" s="999">
        <v>44100</v>
      </c>
      <c r="AQ6" s="999">
        <v>0</v>
      </c>
      <c r="AR6" s="999">
        <v>0</v>
      </c>
      <c r="AS6" s="999">
        <v>0</v>
      </c>
      <c r="AT6" s="1045">
        <f t="shared" ref="AT6:AT173" si="4">+ROUND(SUM(AN6:AN6)-SUM(AO6:AS6),0)</f>
        <v>8498176</v>
      </c>
      <c r="AU6" s="1004"/>
      <c r="AV6" s="870"/>
      <c r="AW6" s="782" t="s">
        <v>3325</v>
      </c>
      <c r="AX6" s="782" t="s">
        <v>3326</v>
      </c>
      <c r="AY6" s="1007" t="s">
        <v>287</v>
      </c>
      <c r="AZ6" s="1007">
        <v>622</v>
      </c>
      <c r="BA6" s="347" t="str">
        <f>+IF(AY6="SK1 Box","Box",IF(AY6="Seaman","Seaman","Bag"))</f>
        <v>Box</v>
      </c>
      <c r="BB6" s="1008"/>
      <c r="BC6" s="1009"/>
      <c r="BD6" s="1009"/>
    </row>
    <row r="7" spans="1:56" s="1010" customFormat="1" ht="36.75" customHeight="1">
      <c r="A7" s="661">
        <f>SUBTOTAL(3,B$6:B7)</f>
        <v>2</v>
      </c>
      <c r="B7" s="661" t="s">
        <v>787</v>
      </c>
      <c r="C7" s="662" t="s">
        <v>788</v>
      </c>
      <c r="D7" s="1011">
        <v>39707</v>
      </c>
      <c r="E7" s="1011" t="s">
        <v>216</v>
      </c>
      <c r="F7" s="787" t="s">
        <v>691</v>
      </c>
      <c r="G7" s="996" t="s">
        <v>786</v>
      </c>
      <c r="H7" s="1012">
        <v>5931000</v>
      </c>
      <c r="I7" s="1012">
        <v>200000</v>
      </c>
      <c r="J7" s="1012">
        <v>0</v>
      </c>
      <c r="K7" s="1012">
        <v>300000</v>
      </c>
      <c r="L7" s="1013">
        <f t="shared" ref="L7:L110" si="5">SUM(H7:K7)</f>
        <v>6431000</v>
      </c>
      <c r="M7" s="1014">
        <v>23.8</v>
      </c>
      <c r="N7" s="1013">
        <f t="shared" ref="N7:N70" si="6">ROUND((H7+I7+J7+K7)/IF($M$2&gt;26,26,$M$2)*M7,0)</f>
        <v>5886838</v>
      </c>
      <c r="O7" s="1015">
        <v>2</v>
      </c>
      <c r="P7" s="1013">
        <f t="shared" ref="P7:P70" si="7">ROUND((H7+I7+J7+K7)/IF($M$2&gt;26,26,$M$2)*O7,0)</f>
        <v>494692</v>
      </c>
      <c r="Q7" s="1016">
        <v>0</v>
      </c>
      <c r="R7" s="1013">
        <f t="shared" ref="R7:R70" si="8">IF(M7&gt;0,ROUND(N7/IF(M7&gt;26,26,M7)/8*Q7*30%,0),0)</f>
        <v>0</v>
      </c>
      <c r="S7" s="1013">
        <f t="shared" ref="S7:S70" si="9">N7+P7+R7</f>
        <v>6381530</v>
      </c>
      <c r="T7" s="1017">
        <v>0</v>
      </c>
      <c r="U7" s="785">
        <v>0</v>
      </c>
      <c r="V7" s="785">
        <v>200000</v>
      </c>
      <c r="W7" s="1017">
        <v>500000</v>
      </c>
      <c r="X7" s="1017">
        <v>0</v>
      </c>
      <c r="Y7" s="1017">
        <v>400000</v>
      </c>
      <c r="Z7" s="1017">
        <v>603480</v>
      </c>
      <c r="AA7" s="1018"/>
      <c r="AB7" s="1013"/>
      <c r="AC7" s="1017">
        <v>0</v>
      </c>
      <c r="AD7" s="1017">
        <v>0</v>
      </c>
      <c r="AE7" s="1013">
        <v>46377.40021008403</v>
      </c>
      <c r="AF7" s="1019"/>
      <c r="AG7" s="1019">
        <f t="shared" ref="AG7:AG110" si="10">ROUND(SUM(S7:AF7)-AA7,0)</f>
        <v>8131387</v>
      </c>
      <c r="AH7" s="1014">
        <v>52</v>
      </c>
      <c r="AI7" s="1014">
        <v>0</v>
      </c>
      <c r="AJ7" s="1014">
        <v>0</v>
      </c>
      <c r="AK7" s="1018">
        <v>0</v>
      </c>
      <c r="AL7" s="1020">
        <v>0</v>
      </c>
      <c r="AM7" s="1013">
        <f t="shared" ref="AM7:AM70" si="11">ROUND((N7/IF(M7&gt;26,26,M7)/8*(AH7*$AH$5+AI7*$AI$5+AJ7*$AJ$5+AK7*$AK$5+AL7*$AL$5)),0)</f>
        <v>2411625</v>
      </c>
      <c r="AN7" s="1045">
        <f t="shared" ref="AN7:AN12" si="12">ROUND(AG7+AM7,0)</f>
        <v>10543012</v>
      </c>
      <c r="AO7" s="1013">
        <v>675255</v>
      </c>
      <c r="AP7" s="1013">
        <v>44100</v>
      </c>
      <c r="AQ7" s="1013">
        <v>0</v>
      </c>
      <c r="AR7" s="1013">
        <v>0</v>
      </c>
      <c r="AS7" s="1013">
        <v>0</v>
      </c>
      <c r="AT7" s="1045">
        <f t="shared" ref="AT7:AT69" si="13">+ROUND(SUM(AN7:AN7)-SUM(AO7:AS7),0)</f>
        <v>9823657</v>
      </c>
      <c r="AU7" s="1004"/>
      <c r="AV7" s="870"/>
      <c r="AW7" s="782" t="s">
        <v>3327</v>
      </c>
      <c r="AX7" s="782" t="s">
        <v>3328</v>
      </c>
      <c r="AY7" s="1007" t="s">
        <v>287</v>
      </c>
      <c r="AZ7" s="1007">
        <v>622</v>
      </c>
      <c r="BA7" s="347" t="str">
        <f t="shared" ref="BA7:BA70" si="14">+IF(AY7="SK1 Box","Box",IF(AY7="Seaman","Seaman","Bag"))</f>
        <v>Box</v>
      </c>
      <c r="BB7" s="1008"/>
      <c r="BC7" s="1009"/>
      <c r="BD7" s="1009"/>
    </row>
    <row r="8" spans="1:56" s="1010" customFormat="1" ht="36.75" customHeight="1">
      <c r="A8" s="661">
        <f>SUBTOTAL(3,B$6:B8)</f>
        <v>3</v>
      </c>
      <c r="B8" s="661" t="s">
        <v>789</v>
      </c>
      <c r="C8" s="662" t="s">
        <v>790</v>
      </c>
      <c r="D8" s="1011">
        <v>39707</v>
      </c>
      <c r="E8" s="1011" t="s">
        <v>216</v>
      </c>
      <c r="F8" s="787" t="s">
        <v>691</v>
      </c>
      <c r="G8" s="996" t="s">
        <v>786</v>
      </c>
      <c r="H8" s="1012">
        <v>5931000</v>
      </c>
      <c r="I8" s="1012">
        <v>200000</v>
      </c>
      <c r="J8" s="1012">
        <v>0</v>
      </c>
      <c r="K8" s="1012">
        <v>0</v>
      </c>
      <c r="L8" s="1013">
        <f t="shared" si="5"/>
        <v>6131000</v>
      </c>
      <c r="M8" s="1014">
        <v>24</v>
      </c>
      <c r="N8" s="1013">
        <f t="shared" si="6"/>
        <v>5659385</v>
      </c>
      <c r="O8" s="1015">
        <v>2</v>
      </c>
      <c r="P8" s="1013">
        <f t="shared" si="7"/>
        <v>471615</v>
      </c>
      <c r="Q8" s="1016">
        <v>0</v>
      </c>
      <c r="R8" s="1013">
        <f t="shared" si="8"/>
        <v>0</v>
      </c>
      <c r="S8" s="1013">
        <f t="shared" si="9"/>
        <v>6131000</v>
      </c>
      <c r="T8" s="1017">
        <v>0</v>
      </c>
      <c r="U8" s="785">
        <v>0</v>
      </c>
      <c r="V8" s="785">
        <v>200000</v>
      </c>
      <c r="W8" s="1017">
        <v>500000</v>
      </c>
      <c r="X8" s="1017">
        <v>0</v>
      </c>
      <c r="Y8" s="1017">
        <v>400000</v>
      </c>
      <c r="Z8" s="1017">
        <v>600597</v>
      </c>
      <c r="AA8" s="1018"/>
      <c r="AB8" s="1013"/>
      <c r="AC8" s="1017">
        <v>0</v>
      </c>
      <c r="AD8" s="1017">
        <v>0</v>
      </c>
      <c r="AE8" s="1013">
        <v>44213.9453125</v>
      </c>
      <c r="AF8" s="1019"/>
      <c r="AG8" s="1019">
        <f t="shared" si="10"/>
        <v>7875811</v>
      </c>
      <c r="AH8" s="1014">
        <v>52</v>
      </c>
      <c r="AI8" s="1014">
        <v>0</v>
      </c>
      <c r="AJ8" s="1014">
        <v>0</v>
      </c>
      <c r="AK8" s="1018">
        <v>0</v>
      </c>
      <c r="AL8" s="1020">
        <v>0</v>
      </c>
      <c r="AM8" s="1013">
        <f t="shared" si="11"/>
        <v>2299125</v>
      </c>
      <c r="AN8" s="1045">
        <f t="shared" si="12"/>
        <v>10174936</v>
      </c>
      <c r="AO8" s="1013">
        <v>643755</v>
      </c>
      <c r="AP8" s="1013">
        <v>44100</v>
      </c>
      <c r="AQ8" s="1013">
        <v>0</v>
      </c>
      <c r="AR8" s="1013">
        <v>0</v>
      </c>
      <c r="AS8" s="1013">
        <v>0</v>
      </c>
      <c r="AT8" s="1045">
        <f t="shared" si="13"/>
        <v>9487081</v>
      </c>
      <c r="AU8" s="1004"/>
      <c r="AV8" s="870"/>
      <c r="AW8" s="782" t="s">
        <v>3329</v>
      </c>
      <c r="AX8" s="782" t="s">
        <v>3330</v>
      </c>
      <c r="AY8" s="1007" t="s">
        <v>287</v>
      </c>
      <c r="AZ8" s="1007">
        <v>622</v>
      </c>
      <c r="BA8" s="347" t="str">
        <f t="shared" si="14"/>
        <v>Box</v>
      </c>
      <c r="BB8" s="1008"/>
      <c r="BC8" s="1009"/>
      <c r="BD8" s="1009"/>
    </row>
    <row r="9" spans="1:56" s="1010" customFormat="1" ht="36.75" customHeight="1">
      <c r="A9" s="661">
        <f>SUBTOTAL(3,B$6:B9)</f>
        <v>4</v>
      </c>
      <c r="B9" s="661" t="s">
        <v>791</v>
      </c>
      <c r="C9" s="662" t="s">
        <v>792</v>
      </c>
      <c r="D9" s="1011">
        <v>43556</v>
      </c>
      <c r="E9" s="1011" t="s">
        <v>216</v>
      </c>
      <c r="F9" s="787" t="s">
        <v>691</v>
      </c>
      <c r="G9" s="996" t="s">
        <v>786</v>
      </c>
      <c r="H9" s="1012">
        <v>5931000</v>
      </c>
      <c r="I9" s="1012">
        <v>200000</v>
      </c>
      <c r="J9" s="1012">
        <v>0</v>
      </c>
      <c r="K9" s="1012">
        <v>0</v>
      </c>
      <c r="L9" s="1013">
        <f t="shared" si="5"/>
        <v>6131000</v>
      </c>
      <c r="M9" s="1014">
        <v>24</v>
      </c>
      <c r="N9" s="1013">
        <f t="shared" si="6"/>
        <v>5659385</v>
      </c>
      <c r="O9" s="1015">
        <v>2</v>
      </c>
      <c r="P9" s="1013">
        <f t="shared" si="7"/>
        <v>471615</v>
      </c>
      <c r="Q9" s="1016">
        <v>0</v>
      </c>
      <c r="R9" s="1013">
        <f t="shared" si="8"/>
        <v>0</v>
      </c>
      <c r="S9" s="1013">
        <f t="shared" si="9"/>
        <v>6131000</v>
      </c>
      <c r="T9" s="1017">
        <v>0</v>
      </c>
      <c r="U9" s="785">
        <v>0</v>
      </c>
      <c r="V9" s="785">
        <v>200000</v>
      </c>
      <c r="W9" s="1017">
        <v>500000</v>
      </c>
      <c r="X9" s="1017">
        <v>0</v>
      </c>
      <c r="Y9" s="1017">
        <v>400000</v>
      </c>
      <c r="Z9" s="1017">
        <v>606304</v>
      </c>
      <c r="AA9" s="1018"/>
      <c r="AB9" s="1013"/>
      <c r="AC9" s="1017">
        <v>0</v>
      </c>
      <c r="AD9" s="1017">
        <v>0</v>
      </c>
      <c r="AE9" s="1013">
        <v>44213.9453125</v>
      </c>
      <c r="AF9" s="1019"/>
      <c r="AG9" s="1019">
        <f t="shared" si="10"/>
        <v>7881518</v>
      </c>
      <c r="AH9" s="1014">
        <v>48</v>
      </c>
      <c r="AI9" s="1014">
        <v>0</v>
      </c>
      <c r="AJ9" s="1014">
        <v>0</v>
      </c>
      <c r="AK9" s="1018">
        <v>0</v>
      </c>
      <c r="AL9" s="1020">
        <v>0</v>
      </c>
      <c r="AM9" s="1013">
        <f t="shared" si="11"/>
        <v>2122269</v>
      </c>
      <c r="AN9" s="1045">
        <f t="shared" si="12"/>
        <v>10003787</v>
      </c>
      <c r="AO9" s="1013">
        <v>643755</v>
      </c>
      <c r="AP9" s="1013">
        <v>44100</v>
      </c>
      <c r="AQ9" s="1013">
        <v>0</v>
      </c>
      <c r="AR9" s="1013">
        <v>0</v>
      </c>
      <c r="AS9" s="1013">
        <v>0</v>
      </c>
      <c r="AT9" s="1045">
        <f t="shared" si="13"/>
        <v>9315932</v>
      </c>
      <c r="AU9" s="1004"/>
      <c r="AV9" s="870"/>
      <c r="AW9" s="782" t="s">
        <v>3331</v>
      </c>
      <c r="AX9" s="782" t="s">
        <v>3332</v>
      </c>
      <c r="AY9" s="1007" t="s">
        <v>287</v>
      </c>
      <c r="AZ9" s="1007">
        <v>622</v>
      </c>
      <c r="BA9" s="347" t="str">
        <f t="shared" si="14"/>
        <v>Box</v>
      </c>
      <c r="BB9" s="1008"/>
      <c r="BC9" s="1009"/>
      <c r="BD9" s="1009"/>
    </row>
    <row r="10" spans="1:56" s="1010" customFormat="1" ht="36.75" customHeight="1">
      <c r="A10" s="661">
        <f>SUBTOTAL(3,B$6:B10)</f>
        <v>5</v>
      </c>
      <c r="B10" s="661" t="s">
        <v>793</v>
      </c>
      <c r="C10" s="662" t="s">
        <v>794</v>
      </c>
      <c r="D10" s="1011">
        <v>43595</v>
      </c>
      <c r="E10" s="1011" t="s">
        <v>216</v>
      </c>
      <c r="F10" s="787" t="s">
        <v>691</v>
      </c>
      <c r="G10" s="996" t="s">
        <v>786</v>
      </c>
      <c r="H10" s="1012">
        <v>5931000</v>
      </c>
      <c r="I10" s="1012">
        <v>200000</v>
      </c>
      <c r="J10" s="1012">
        <v>0</v>
      </c>
      <c r="K10" s="1012">
        <v>0</v>
      </c>
      <c r="L10" s="1013">
        <f t="shared" si="5"/>
        <v>6131000</v>
      </c>
      <c r="M10" s="1014">
        <v>23.7</v>
      </c>
      <c r="N10" s="1013">
        <f t="shared" si="6"/>
        <v>5588642</v>
      </c>
      <c r="O10" s="1015">
        <v>2</v>
      </c>
      <c r="P10" s="1013">
        <f t="shared" si="7"/>
        <v>471615</v>
      </c>
      <c r="Q10" s="1016">
        <v>0</v>
      </c>
      <c r="R10" s="1013">
        <f t="shared" si="8"/>
        <v>0</v>
      </c>
      <c r="S10" s="1013">
        <f t="shared" si="9"/>
        <v>6060257</v>
      </c>
      <c r="T10" s="1017">
        <v>0</v>
      </c>
      <c r="U10" s="785">
        <v>0</v>
      </c>
      <c r="V10" s="785">
        <v>200000</v>
      </c>
      <c r="W10" s="1017">
        <v>500000</v>
      </c>
      <c r="X10" s="1017">
        <v>0</v>
      </c>
      <c r="Y10" s="1017">
        <v>400000</v>
      </c>
      <c r="Z10" s="1017">
        <v>603480</v>
      </c>
      <c r="AA10" s="1018"/>
      <c r="AB10" s="1013"/>
      <c r="AC10" s="1017">
        <v>0</v>
      </c>
      <c r="AD10" s="1017">
        <v>0</v>
      </c>
      <c r="AE10" s="1013">
        <v>0</v>
      </c>
      <c r="AF10" s="1019"/>
      <c r="AG10" s="1019">
        <f t="shared" si="10"/>
        <v>7763737</v>
      </c>
      <c r="AH10" s="1014">
        <v>52</v>
      </c>
      <c r="AI10" s="1014">
        <v>0</v>
      </c>
      <c r="AJ10" s="1014">
        <v>0</v>
      </c>
      <c r="AK10" s="1018">
        <v>0</v>
      </c>
      <c r="AL10" s="1020">
        <v>0</v>
      </c>
      <c r="AM10" s="1013">
        <f t="shared" si="11"/>
        <v>2299125</v>
      </c>
      <c r="AN10" s="1045">
        <f t="shared" si="12"/>
        <v>10062862</v>
      </c>
      <c r="AO10" s="1013">
        <v>643755</v>
      </c>
      <c r="AP10" s="1013">
        <v>44100</v>
      </c>
      <c r="AQ10" s="1013">
        <v>0</v>
      </c>
      <c r="AR10" s="1013">
        <v>0</v>
      </c>
      <c r="AS10" s="1013">
        <v>0</v>
      </c>
      <c r="AT10" s="1045">
        <f t="shared" si="13"/>
        <v>9375007</v>
      </c>
      <c r="AU10" s="1004"/>
      <c r="AV10" s="870"/>
      <c r="AW10" s="782" t="s">
        <v>3333</v>
      </c>
      <c r="AX10" s="782" t="s">
        <v>3334</v>
      </c>
      <c r="AY10" s="1007" t="s">
        <v>287</v>
      </c>
      <c r="AZ10" s="1007">
        <v>622</v>
      </c>
      <c r="BA10" s="347" t="str">
        <f t="shared" si="14"/>
        <v>Box</v>
      </c>
      <c r="BB10" s="1008"/>
      <c r="BC10" s="1009"/>
      <c r="BD10" s="1009"/>
    </row>
    <row r="11" spans="1:56" s="1010" customFormat="1" ht="36.75" customHeight="1">
      <c r="A11" s="661">
        <f>SUBTOTAL(3,B$6:B11)</f>
        <v>6</v>
      </c>
      <c r="B11" s="661" t="s">
        <v>795</v>
      </c>
      <c r="C11" s="662" t="s">
        <v>796</v>
      </c>
      <c r="D11" s="1011">
        <v>43595</v>
      </c>
      <c r="E11" s="1011" t="s">
        <v>216</v>
      </c>
      <c r="F11" s="787" t="s">
        <v>691</v>
      </c>
      <c r="G11" s="996" t="s">
        <v>797</v>
      </c>
      <c r="H11" s="1012">
        <v>5931000</v>
      </c>
      <c r="I11" s="1012">
        <v>0</v>
      </c>
      <c r="J11" s="1012">
        <v>0</v>
      </c>
      <c r="K11" s="1012">
        <v>0</v>
      </c>
      <c r="L11" s="1013">
        <f t="shared" si="5"/>
        <v>5931000</v>
      </c>
      <c r="M11" s="1014">
        <v>24</v>
      </c>
      <c r="N11" s="1013">
        <f t="shared" si="6"/>
        <v>5474769</v>
      </c>
      <c r="O11" s="1015">
        <v>2</v>
      </c>
      <c r="P11" s="1013">
        <f t="shared" si="7"/>
        <v>456231</v>
      </c>
      <c r="Q11" s="1016">
        <v>0</v>
      </c>
      <c r="R11" s="1013">
        <f t="shared" si="8"/>
        <v>0</v>
      </c>
      <c r="S11" s="1013">
        <f t="shared" si="9"/>
        <v>5931000</v>
      </c>
      <c r="T11" s="1017">
        <v>0</v>
      </c>
      <c r="U11" s="785">
        <v>0</v>
      </c>
      <c r="V11" s="785">
        <v>200000</v>
      </c>
      <c r="W11" s="1017">
        <v>500000</v>
      </c>
      <c r="X11" s="1017">
        <v>0</v>
      </c>
      <c r="Y11" s="1017">
        <v>300000</v>
      </c>
      <c r="Z11" s="1017">
        <v>606304</v>
      </c>
      <c r="AA11" s="1018"/>
      <c r="AB11" s="1013"/>
      <c r="AC11" s="1017">
        <v>0</v>
      </c>
      <c r="AD11" s="1017">
        <v>0</v>
      </c>
      <c r="AE11" s="1013">
        <v>42771.6328125</v>
      </c>
      <c r="AF11" s="1019"/>
      <c r="AG11" s="1019">
        <f t="shared" si="10"/>
        <v>7580076</v>
      </c>
      <c r="AH11" s="1014">
        <v>40</v>
      </c>
      <c r="AI11" s="1014">
        <v>0</v>
      </c>
      <c r="AJ11" s="1014">
        <v>0</v>
      </c>
      <c r="AK11" s="1018">
        <v>0</v>
      </c>
      <c r="AL11" s="1020">
        <v>0</v>
      </c>
      <c r="AM11" s="1013">
        <f t="shared" si="11"/>
        <v>1710865</v>
      </c>
      <c r="AN11" s="1045">
        <f t="shared" si="12"/>
        <v>9290941</v>
      </c>
      <c r="AO11" s="1013">
        <v>622755</v>
      </c>
      <c r="AP11" s="1013">
        <v>44100</v>
      </c>
      <c r="AQ11" s="1013">
        <v>0</v>
      </c>
      <c r="AR11" s="1013">
        <v>0</v>
      </c>
      <c r="AS11" s="1013">
        <v>0</v>
      </c>
      <c r="AT11" s="1045">
        <f t="shared" si="13"/>
        <v>8624086</v>
      </c>
      <c r="AU11" s="1004"/>
      <c r="AV11" s="870"/>
      <c r="AW11" s="782" t="s">
        <v>3335</v>
      </c>
      <c r="AX11" s="782" t="s">
        <v>3336</v>
      </c>
      <c r="AY11" s="1007" t="s">
        <v>287</v>
      </c>
      <c r="AZ11" s="1007">
        <v>622</v>
      </c>
      <c r="BA11" s="347" t="str">
        <f t="shared" si="14"/>
        <v>Box</v>
      </c>
      <c r="BB11" s="1008"/>
      <c r="BC11" s="1009"/>
      <c r="BD11" s="1009"/>
    </row>
    <row r="12" spans="1:56" s="1010" customFormat="1" ht="36.75" customHeight="1">
      <c r="A12" s="661">
        <f>SUBTOTAL(3,B$6:B12)</f>
        <v>7</v>
      </c>
      <c r="B12" s="661" t="s">
        <v>798</v>
      </c>
      <c r="C12" s="662" t="s">
        <v>799</v>
      </c>
      <c r="D12" s="1011">
        <v>39715</v>
      </c>
      <c r="E12" s="1011" t="s">
        <v>216</v>
      </c>
      <c r="F12" s="787" t="s">
        <v>691</v>
      </c>
      <c r="G12" s="996" t="s">
        <v>786</v>
      </c>
      <c r="H12" s="1012">
        <v>5931000</v>
      </c>
      <c r="I12" s="1012">
        <v>200000</v>
      </c>
      <c r="J12" s="1012">
        <v>0</v>
      </c>
      <c r="K12" s="1012">
        <v>0</v>
      </c>
      <c r="L12" s="1013">
        <f t="shared" si="5"/>
        <v>6131000</v>
      </c>
      <c r="M12" s="1014">
        <v>23.9</v>
      </c>
      <c r="N12" s="1013">
        <f t="shared" si="6"/>
        <v>5635804</v>
      </c>
      <c r="O12" s="1015">
        <v>2</v>
      </c>
      <c r="P12" s="1013">
        <f t="shared" si="7"/>
        <v>471615</v>
      </c>
      <c r="Q12" s="1016">
        <v>0</v>
      </c>
      <c r="R12" s="1013">
        <f t="shared" si="8"/>
        <v>0</v>
      </c>
      <c r="S12" s="1013">
        <f t="shared" si="9"/>
        <v>6107419</v>
      </c>
      <c r="T12" s="1017">
        <v>0</v>
      </c>
      <c r="U12" s="785">
        <v>0</v>
      </c>
      <c r="V12" s="785">
        <v>200000</v>
      </c>
      <c r="W12" s="1017">
        <v>500000</v>
      </c>
      <c r="X12" s="1017">
        <v>0</v>
      </c>
      <c r="Y12" s="1017">
        <v>400000</v>
      </c>
      <c r="Z12" s="1017">
        <v>590658</v>
      </c>
      <c r="AA12" s="1018"/>
      <c r="AB12" s="1013"/>
      <c r="AC12" s="1017">
        <v>100000</v>
      </c>
      <c r="AD12" s="1017">
        <v>0</v>
      </c>
      <c r="AE12" s="1013">
        <v>44213.94351464435</v>
      </c>
      <c r="AF12" s="1019"/>
      <c r="AG12" s="1019">
        <f t="shared" si="10"/>
        <v>7942291</v>
      </c>
      <c r="AH12" s="1014">
        <v>52</v>
      </c>
      <c r="AI12" s="1014">
        <v>0</v>
      </c>
      <c r="AJ12" s="1014">
        <v>0</v>
      </c>
      <c r="AK12" s="1018">
        <v>0</v>
      </c>
      <c r="AL12" s="1020">
        <v>0</v>
      </c>
      <c r="AM12" s="1013">
        <f t="shared" si="11"/>
        <v>2299125</v>
      </c>
      <c r="AN12" s="1045">
        <f t="shared" si="12"/>
        <v>10241416</v>
      </c>
      <c r="AO12" s="1013">
        <v>643755</v>
      </c>
      <c r="AP12" s="1013">
        <v>44100</v>
      </c>
      <c r="AQ12" s="1013">
        <v>0</v>
      </c>
      <c r="AR12" s="1013">
        <v>0</v>
      </c>
      <c r="AS12" s="1013">
        <v>0</v>
      </c>
      <c r="AT12" s="1045">
        <f t="shared" si="13"/>
        <v>9553561</v>
      </c>
      <c r="AU12" s="1004"/>
      <c r="AV12" s="870"/>
      <c r="AW12" s="782" t="s">
        <v>3337</v>
      </c>
      <c r="AX12" s="782" t="s">
        <v>3338</v>
      </c>
      <c r="AY12" s="1007" t="s">
        <v>287</v>
      </c>
      <c r="AZ12" s="1007">
        <v>622</v>
      </c>
      <c r="BA12" s="347" t="str">
        <f t="shared" si="14"/>
        <v>Box</v>
      </c>
      <c r="BB12" s="1008"/>
      <c r="BC12" s="1009"/>
      <c r="BD12" s="1009"/>
    </row>
    <row r="13" spans="1:56" s="1010" customFormat="1" ht="36.75" customHeight="1">
      <c r="A13" s="661">
        <f>SUBTOTAL(3,B$6:B13)</f>
        <v>8</v>
      </c>
      <c r="B13" s="661" t="s">
        <v>800</v>
      </c>
      <c r="C13" s="662" t="s">
        <v>801</v>
      </c>
      <c r="D13" s="1011">
        <v>43684</v>
      </c>
      <c r="E13" s="1011" t="s">
        <v>216</v>
      </c>
      <c r="F13" s="787" t="s">
        <v>691</v>
      </c>
      <c r="G13" s="996" t="s">
        <v>786</v>
      </c>
      <c r="H13" s="1012">
        <v>5931000</v>
      </c>
      <c r="I13" s="1012">
        <v>200000</v>
      </c>
      <c r="J13" s="1012">
        <v>0</v>
      </c>
      <c r="K13" s="1012">
        <v>0</v>
      </c>
      <c r="L13" s="1013">
        <f t="shared" si="5"/>
        <v>6131000</v>
      </c>
      <c r="M13" s="1014">
        <v>22.6</v>
      </c>
      <c r="N13" s="1013">
        <f t="shared" si="6"/>
        <v>5329254</v>
      </c>
      <c r="O13" s="1015">
        <v>3</v>
      </c>
      <c r="P13" s="1013">
        <f t="shared" si="7"/>
        <v>707423</v>
      </c>
      <c r="Q13" s="1016">
        <v>0</v>
      </c>
      <c r="R13" s="1013">
        <f t="shared" si="8"/>
        <v>0</v>
      </c>
      <c r="S13" s="1013">
        <f t="shared" si="9"/>
        <v>6036677</v>
      </c>
      <c r="T13" s="1017">
        <v>0</v>
      </c>
      <c r="U13" s="785">
        <v>0</v>
      </c>
      <c r="V13" s="785">
        <v>200000</v>
      </c>
      <c r="W13" s="1017">
        <v>500000</v>
      </c>
      <c r="X13" s="1017">
        <v>0</v>
      </c>
      <c r="Y13" s="1017">
        <v>400000</v>
      </c>
      <c r="Z13" s="1017">
        <v>558491</v>
      </c>
      <c r="AA13" s="1018"/>
      <c r="AB13" s="1013"/>
      <c r="AC13" s="1017">
        <v>0</v>
      </c>
      <c r="AD13" s="1017">
        <v>0</v>
      </c>
      <c r="AE13" s="1013">
        <v>44213.943584070796</v>
      </c>
      <c r="AF13" s="1019"/>
      <c r="AG13" s="1019">
        <f t="shared" si="10"/>
        <v>7739382</v>
      </c>
      <c r="AH13" s="1014">
        <v>48</v>
      </c>
      <c r="AI13" s="1014">
        <v>0</v>
      </c>
      <c r="AJ13" s="1014">
        <v>0</v>
      </c>
      <c r="AK13" s="1018">
        <v>0</v>
      </c>
      <c r="AL13" s="1020">
        <v>0</v>
      </c>
      <c r="AM13" s="1013">
        <f t="shared" si="11"/>
        <v>2122269</v>
      </c>
      <c r="AN13" s="1045">
        <f>ROUND(AG13+AM13,0)</f>
        <v>9861651</v>
      </c>
      <c r="AO13" s="1013">
        <v>643755</v>
      </c>
      <c r="AP13" s="1013">
        <v>44100</v>
      </c>
      <c r="AQ13" s="1013">
        <v>0</v>
      </c>
      <c r="AR13" s="1013">
        <v>0</v>
      </c>
      <c r="AS13" s="1013">
        <v>0</v>
      </c>
      <c r="AT13" s="1045">
        <f t="shared" si="13"/>
        <v>9173796</v>
      </c>
      <c r="AU13" s="1004"/>
      <c r="AV13" s="870"/>
      <c r="AW13" s="782" t="s">
        <v>3339</v>
      </c>
      <c r="AX13" s="782" t="s">
        <v>3340</v>
      </c>
      <c r="AY13" s="1007" t="s">
        <v>287</v>
      </c>
      <c r="AZ13" s="1007">
        <v>622</v>
      </c>
      <c r="BA13" s="347" t="str">
        <f t="shared" si="14"/>
        <v>Box</v>
      </c>
      <c r="BB13" s="1008"/>
      <c r="BC13" s="1009"/>
      <c r="BD13" s="1009"/>
    </row>
    <row r="14" spans="1:56" s="1010" customFormat="1" ht="36.75" customHeight="1">
      <c r="A14" s="661">
        <f>SUBTOTAL(3,B$6:B14)</f>
        <v>9</v>
      </c>
      <c r="B14" s="661" t="s">
        <v>802</v>
      </c>
      <c r="C14" s="662" t="s">
        <v>803</v>
      </c>
      <c r="D14" s="1011">
        <v>43874</v>
      </c>
      <c r="E14" s="1011" t="s">
        <v>216</v>
      </c>
      <c r="F14" s="787" t="s">
        <v>691</v>
      </c>
      <c r="G14" s="996" t="s">
        <v>804</v>
      </c>
      <c r="H14" s="1012">
        <v>5931000</v>
      </c>
      <c r="I14" s="1012">
        <v>200000</v>
      </c>
      <c r="J14" s="1012">
        <v>0</v>
      </c>
      <c r="K14" s="1012">
        <v>0</v>
      </c>
      <c r="L14" s="1013">
        <f t="shared" si="5"/>
        <v>6131000</v>
      </c>
      <c r="M14" s="1014">
        <v>24</v>
      </c>
      <c r="N14" s="1013">
        <f t="shared" si="6"/>
        <v>5659385</v>
      </c>
      <c r="O14" s="1015">
        <v>2</v>
      </c>
      <c r="P14" s="1013">
        <f t="shared" si="7"/>
        <v>471615</v>
      </c>
      <c r="Q14" s="1016">
        <v>0</v>
      </c>
      <c r="R14" s="1013">
        <f t="shared" si="8"/>
        <v>0</v>
      </c>
      <c r="S14" s="1013">
        <f t="shared" si="9"/>
        <v>6131000</v>
      </c>
      <c r="T14" s="1017">
        <v>0</v>
      </c>
      <c r="U14" s="785">
        <v>0</v>
      </c>
      <c r="V14" s="785">
        <v>200000</v>
      </c>
      <c r="W14" s="1017">
        <v>500000</v>
      </c>
      <c r="X14" s="1017">
        <v>0</v>
      </c>
      <c r="Y14" s="1017">
        <v>400000</v>
      </c>
      <c r="Z14" s="1017">
        <v>906304</v>
      </c>
      <c r="AA14" s="1018"/>
      <c r="AB14" s="1013"/>
      <c r="AC14" s="1017">
        <v>0</v>
      </c>
      <c r="AD14" s="1017">
        <v>0</v>
      </c>
      <c r="AE14" s="1013">
        <v>0</v>
      </c>
      <c r="AF14" s="1019"/>
      <c r="AG14" s="1019">
        <f t="shared" si="10"/>
        <v>8137304</v>
      </c>
      <c r="AH14" s="1014">
        <v>52</v>
      </c>
      <c r="AI14" s="1014">
        <v>0</v>
      </c>
      <c r="AJ14" s="1014">
        <v>0</v>
      </c>
      <c r="AK14" s="1018">
        <v>0</v>
      </c>
      <c r="AL14" s="1020">
        <v>0</v>
      </c>
      <c r="AM14" s="1013">
        <f t="shared" si="11"/>
        <v>2299125</v>
      </c>
      <c r="AN14" s="1045">
        <f t="shared" ref="AN14:AN21" si="15">ROUND(AG14+AM14,0)</f>
        <v>10436429</v>
      </c>
      <c r="AO14" s="1013">
        <v>643755</v>
      </c>
      <c r="AP14" s="1013">
        <v>44100</v>
      </c>
      <c r="AQ14" s="1013">
        <v>0</v>
      </c>
      <c r="AR14" s="1013">
        <v>0</v>
      </c>
      <c r="AS14" s="1013">
        <v>0</v>
      </c>
      <c r="AT14" s="1045">
        <f t="shared" si="13"/>
        <v>9748574</v>
      </c>
      <c r="AU14" s="1004"/>
      <c r="AV14" s="870"/>
      <c r="AW14" s="782" t="s">
        <v>3341</v>
      </c>
      <c r="AX14" s="782" t="s">
        <v>3342</v>
      </c>
      <c r="AY14" s="1007" t="s">
        <v>287</v>
      </c>
      <c r="AZ14" s="1007">
        <v>622</v>
      </c>
      <c r="BA14" s="347" t="str">
        <f t="shared" si="14"/>
        <v>Box</v>
      </c>
      <c r="BB14" s="1008"/>
      <c r="BC14" s="1009"/>
      <c r="BD14" s="1009"/>
    </row>
    <row r="15" spans="1:56" s="1010" customFormat="1" ht="36.75" customHeight="1">
      <c r="A15" s="661">
        <f>SUBTOTAL(3,B$6:B15)</f>
        <v>10</v>
      </c>
      <c r="B15" s="661" t="s">
        <v>805</v>
      </c>
      <c r="C15" s="662" t="s">
        <v>790</v>
      </c>
      <c r="D15" s="1011">
        <v>39766</v>
      </c>
      <c r="E15" s="1011" t="s">
        <v>216</v>
      </c>
      <c r="F15" s="787" t="s">
        <v>691</v>
      </c>
      <c r="G15" s="996" t="s">
        <v>786</v>
      </c>
      <c r="H15" s="1012">
        <v>5931000</v>
      </c>
      <c r="I15" s="1012">
        <v>200000</v>
      </c>
      <c r="J15" s="1012">
        <v>0</v>
      </c>
      <c r="K15" s="1012">
        <v>0</v>
      </c>
      <c r="L15" s="1013">
        <f t="shared" si="5"/>
        <v>6131000</v>
      </c>
      <c r="M15" s="1014">
        <v>24</v>
      </c>
      <c r="N15" s="1013">
        <f t="shared" si="6"/>
        <v>5659385</v>
      </c>
      <c r="O15" s="1015">
        <v>2</v>
      </c>
      <c r="P15" s="1013">
        <f t="shared" si="7"/>
        <v>471615</v>
      </c>
      <c r="Q15" s="1016">
        <v>0</v>
      </c>
      <c r="R15" s="1013">
        <f t="shared" si="8"/>
        <v>0</v>
      </c>
      <c r="S15" s="1013">
        <f t="shared" si="9"/>
        <v>6131000</v>
      </c>
      <c r="T15" s="1017">
        <v>0</v>
      </c>
      <c r="U15" s="785">
        <v>0</v>
      </c>
      <c r="V15" s="785">
        <v>200000</v>
      </c>
      <c r="W15" s="1017">
        <v>500000</v>
      </c>
      <c r="X15" s="1017">
        <v>0</v>
      </c>
      <c r="Y15" s="1017">
        <v>0</v>
      </c>
      <c r="Z15" s="1017">
        <v>181391</v>
      </c>
      <c r="AA15" s="1018"/>
      <c r="AB15" s="1013"/>
      <c r="AC15" s="1017">
        <v>0</v>
      </c>
      <c r="AD15" s="1017">
        <v>0</v>
      </c>
      <c r="AE15" s="1013">
        <v>44213.9453125</v>
      </c>
      <c r="AF15" s="1019"/>
      <c r="AG15" s="1019">
        <f t="shared" si="10"/>
        <v>7056605</v>
      </c>
      <c r="AH15" s="1014">
        <v>48</v>
      </c>
      <c r="AI15" s="1014">
        <v>0</v>
      </c>
      <c r="AJ15" s="1014">
        <v>0</v>
      </c>
      <c r="AK15" s="1018">
        <v>0</v>
      </c>
      <c r="AL15" s="1020">
        <v>0</v>
      </c>
      <c r="AM15" s="1013">
        <f t="shared" si="11"/>
        <v>2122269</v>
      </c>
      <c r="AN15" s="1045">
        <f t="shared" si="15"/>
        <v>9178874</v>
      </c>
      <c r="AO15" s="1013">
        <v>643755</v>
      </c>
      <c r="AP15" s="1013">
        <v>44100</v>
      </c>
      <c r="AQ15" s="1013">
        <v>0</v>
      </c>
      <c r="AR15" s="1013">
        <v>0</v>
      </c>
      <c r="AS15" s="1013">
        <v>0</v>
      </c>
      <c r="AT15" s="1045">
        <f t="shared" si="13"/>
        <v>8491019</v>
      </c>
      <c r="AU15" s="1004"/>
      <c r="AV15" s="870"/>
      <c r="AW15" s="782" t="s">
        <v>3329</v>
      </c>
      <c r="AX15" s="782" t="s">
        <v>3343</v>
      </c>
      <c r="AY15" s="1007" t="s">
        <v>287</v>
      </c>
      <c r="AZ15" s="1007">
        <v>622</v>
      </c>
      <c r="BA15" s="347" t="str">
        <f t="shared" si="14"/>
        <v>Box</v>
      </c>
      <c r="BB15" s="1008"/>
      <c r="BC15" s="1009"/>
      <c r="BD15" s="1009"/>
    </row>
    <row r="16" spans="1:56" s="1010" customFormat="1" ht="36.75" customHeight="1">
      <c r="A16" s="661">
        <f>SUBTOTAL(3,B$6:B16)</f>
        <v>11</v>
      </c>
      <c r="B16" s="661" t="s">
        <v>806</v>
      </c>
      <c r="C16" s="662" t="s">
        <v>807</v>
      </c>
      <c r="D16" s="1011">
        <v>44064</v>
      </c>
      <c r="E16" s="1011" t="s">
        <v>216</v>
      </c>
      <c r="F16" s="787" t="s">
        <v>691</v>
      </c>
      <c r="G16" s="996" t="s">
        <v>786</v>
      </c>
      <c r="H16" s="1012">
        <v>5931000</v>
      </c>
      <c r="I16" s="1012">
        <v>200000</v>
      </c>
      <c r="J16" s="1012">
        <v>0</v>
      </c>
      <c r="K16" s="1012">
        <v>0</v>
      </c>
      <c r="L16" s="1013">
        <f t="shared" si="5"/>
        <v>6131000</v>
      </c>
      <c r="M16" s="1014">
        <v>24</v>
      </c>
      <c r="N16" s="1013">
        <f t="shared" si="6"/>
        <v>5659385</v>
      </c>
      <c r="O16" s="1015">
        <v>2</v>
      </c>
      <c r="P16" s="1013">
        <f t="shared" si="7"/>
        <v>471615</v>
      </c>
      <c r="Q16" s="1016">
        <v>0</v>
      </c>
      <c r="R16" s="1013">
        <f t="shared" si="8"/>
        <v>0</v>
      </c>
      <c r="S16" s="1013">
        <f t="shared" si="9"/>
        <v>6131000</v>
      </c>
      <c r="T16" s="1017">
        <v>0</v>
      </c>
      <c r="U16" s="785">
        <v>0</v>
      </c>
      <c r="V16" s="785">
        <v>200000</v>
      </c>
      <c r="W16" s="1017">
        <v>500000</v>
      </c>
      <c r="X16" s="1017">
        <v>0</v>
      </c>
      <c r="Y16" s="1017">
        <v>400000</v>
      </c>
      <c r="Z16" s="1017">
        <v>603480</v>
      </c>
      <c r="AA16" s="1018"/>
      <c r="AB16" s="1013"/>
      <c r="AC16" s="1017">
        <v>200000</v>
      </c>
      <c r="AD16" s="1017">
        <v>0</v>
      </c>
      <c r="AE16" s="1013">
        <v>44213.9453125</v>
      </c>
      <c r="AF16" s="1019"/>
      <c r="AG16" s="1019">
        <f t="shared" si="10"/>
        <v>8078694</v>
      </c>
      <c r="AH16" s="1014">
        <v>52</v>
      </c>
      <c r="AI16" s="1014">
        <v>0</v>
      </c>
      <c r="AJ16" s="1014">
        <v>0</v>
      </c>
      <c r="AK16" s="1018">
        <v>0</v>
      </c>
      <c r="AL16" s="1020">
        <v>0</v>
      </c>
      <c r="AM16" s="1013">
        <f t="shared" si="11"/>
        <v>2299125</v>
      </c>
      <c r="AN16" s="1045">
        <f t="shared" si="15"/>
        <v>10377819</v>
      </c>
      <c r="AO16" s="1013">
        <v>643755</v>
      </c>
      <c r="AP16" s="1013">
        <v>44100</v>
      </c>
      <c r="AQ16" s="1013">
        <v>0</v>
      </c>
      <c r="AR16" s="1013">
        <v>0</v>
      </c>
      <c r="AS16" s="1013">
        <v>0</v>
      </c>
      <c r="AT16" s="1045">
        <f t="shared" si="13"/>
        <v>9689964</v>
      </c>
      <c r="AU16" s="1004"/>
      <c r="AV16" s="870"/>
      <c r="AW16" s="782" t="s">
        <v>3344</v>
      </c>
      <c r="AX16" s="782" t="s">
        <v>3345</v>
      </c>
      <c r="AY16" s="1007" t="s">
        <v>287</v>
      </c>
      <c r="AZ16" s="1007">
        <v>622</v>
      </c>
      <c r="BA16" s="347" t="str">
        <f t="shared" si="14"/>
        <v>Box</v>
      </c>
      <c r="BB16" s="1008"/>
      <c r="BC16" s="1009"/>
      <c r="BD16" s="1009"/>
    </row>
    <row r="17" spans="1:56" s="1010" customFormat="1" ht="36.75" customHeight="1">
      <c r="A17" s="661">
        <f>SUBTOTAL(3,B$6:B17)</f>
        <v>12</v>
      </c>
      <c r="B17" s="661" t="s">
        <v>808</v>
      </c>
      <c r="C17" s="662" t="s">
        <v>809</v>
      </c>
      <c r="D17" s="1011">
        <v>44069</v>
      </c>
      <c r="E17" s="1011" t="s">
        <v>216</v>
      </c>
      <c r="F17" s="787" t="s">
        <v>691</v>
      </c>
      <c r="G17" s="996" t="s">
        <v>810</v>
      </c>
      <c r="H17" s="1012">
        <v>5931000</v>
      </c>
      <c r="I17" s="1012">
        <v>1100000</v>
      </c>
      <c r="J17" s="1012">
        <v>0</v>
      </c>
      <c r="K17" s="1012">
        <v>0</v>
      </c>
      <c r="L17" s="1013">
        <f t="shared" si="5"/>
        <v>7031000</v>
      </c>
      <c r="M17" s="1014">
        <v>23.7</v>
      </c>
      <c r="N17" s="1013">
        <f t="shared" si="6"/>
        <v>6409027</v>
      </c>
      <c r="O17" s="1015">
        <v>2</v>
      </c>
      <c r="P17" s="1013">
        <f t="shared" si="7"/>
        <v>540846</v>
      </c>
      <c r="Q17" s="1016">
        <v>0</v>
      </c>
      <c r="R17" s="1013">
        <f t="shared" si="8"/>
        <v>0</v>
      </c>
      <c r="S17" s="1013">
        <f t="shared" si="9"/>
        <v>6949873</v>
      </c>
      <c r="T17" s="1017">
        <v>0</v>
      </c>
      <c r="U17" s="785">
        <v>0</v>
      </c>
      <c r="V17" s="785">
        <v>200000</v>
      </c>
      <c r="W17" s="1017">
        <v>500000</v>
      </c>
      <c r="X17" s="1017">
        <v>0</v>
      </c>
      <c r="Y17" s="1017">
        <v>400000</v>
      </c>
      <c r="Z17" s="1017">
        <v>585715</v>
      </c>
      <c r="AA17" s="1018"/>
      <c r="AB17" s="1013"/>
      <c r="AC17" s="1017">
        <v>100000</v>
      </c>
      <c r="AD17" s="1017">
        <v>0</v>
      </c>
      <c r="AE17" s="1013">
        <v>50704.327531645569</v>
      </c>
      <c r="AF17" s="1019"/>
      <c r="AG17" s="1019">
        <f t="shared" si="10"/>
        <v>8786292</v>
      </c>
      <c r="AH17" s="1014">
        <v>51.5</v>
      </c>
      <c r="AI17" s="1014">
        <v>0</v>
      </c>
      <c r="AJ17" s="1014">
        <v>0</v>
      </c>
      <c r="AK17" s="1018">
        <v>0</v>
      </c>
      <c r="AL17" s="1020">
        <v>0</v>
      </c>
      <c r="AM17" s="1013">
        <f t="shared" si="11"/>
        <v>2611273</v>
      </c>
      <c r="AN17" s="1045">
        <f t="shared" si="15"/>
        <v>11397565</v>
      </c>
      <c r="AO17" s="1013">
        <v>738255</v>
      </c>
      <c r="AP17" s="1013">
        <v>44100</v>
      </c>
      <c r="AQ17" s="1013">
        <v>0</v>
      </c>
      <c r="AR17" s="1013">
        <v>0</v>
      </c>
      <c r="AS17" s="1013">
        <v>0</v>
      </c>
      <c r="AT17" s="1045">
        <f t="shared" si="13"/>
        <v>10615210</v>
      </c>
      <c r="AU17" s="1004"/>
      <c r="AV17" s="870"/>
      <c r="AW17" s="782" t="s">
        <v>3346</v>
      </c>
      <c r="AX17" s="782" t="s">
        <v>3347</v>
      </c>
      <c r="AY17" s="1007" t="s">
        <v>287</v>
      </c>
      <c r="AZ17" s="1007">
        <v>622</v>
      </c>
      <c r="BA17" s="347" t="str">
        <f t="shared" si="14"/>
        <v>Box</v>
      </c>
      <c r="BB17" s="1008"/>
      <c r="BC17" s="1009"/>
      <c r="BD17" s="1009"/>
    </row>
    <row r="18" spans="1:56" s="1010" customFormat="1" ht="36.75" customHeight="1">
      <c r="A18" s="661">
        <f>SUBTOTAL(3,B$6:B18)</f>
        <v>13</v>
      </c>
      <c r="B18" s="661" t="s">
        <v>811</v>
      </c>
      <c r="C18" s="662" t="s">
        <v>812</v>
      </c>
      <c r="D18" s="1011">
        <v>44123</v>
      </c>
      <c r="E18" s="1011" t="s">
        <v>216</v>
      </c>
      <c r="F18" s="787" t="s">
        <v>691</v>
      </c>
      <c r="G18" s="996" t="s">
        <v>786</v>
      </c>
      <c r="H18" s="1012">
        <v>5931000</v>
      </c>
      <c r="I18" s="1012">
        <v>200000</v>
      </c>
      <c r="J18" s="1012">
        <v>0</v>
      </c>
      <c r="K18" s="1012">
        <v>0</v>
      </c>
      <c r="L18" s="1013">
        <f t="shared" si="5"/>
        <v>6131000</v>
      </c>
      <c r="M18" s="1014">
        <v>24</v>
      </c>
      <c r="N18" s="1013">
        <f t="shared" si="6"/>
        <v>5659385</v>
      </c>
      <c r="O18" s="1015">
        <v>2</v>
      </c>
      <c r="P18" s="1013">
        <f t="shared" si="7"/>
        <v>471615</v>
      </c>
      <c r="Q18" s="1016">
        <v>0</v>
      </c>
      <c r="R18" s="1013">
        <f t="shared" si="8"/>
        <v>0</v>
      </c>
      <c r="S18" s="1013">
        <f t="shared" si="9"/>
        <v>6131000</v>
      </c>
      <c r="T18" s="1017">
        <v>0</v>
      </c>
      <c r="U18" s="785">
        <v>0</v>
      </c>
      <c r="V18" s="785">
        <v>200000</v>
      </c>
      <c r="W18" s="1017">
        <v>500000</v>
      </c>
      <c r="X18" s="1017">
        <v>0</v>
      </c>
      <c r="Y18" s="1017">
        <v>400000</v>
      </c>
      <c r="Z18" s="1017">
        <v>603480</v>
      </c>
      <c r="AA18" s="1018"/>
      <c r="AB18" s="1013"/>
      <c r="AC18" s="1017">
        <v>0</v>
      </c>
      <c r="AD18" s="1017">
        <v>0</v>
      </c>
      <c r="AE18" s="1013">
        <v>44213.9453125</v>
      </c>
      <c r="AF18" s="1019"/>
      <c r="AG18" s="1019">
        <f t="shared" si="10"/>
        <v>7878694</v>
      </c>
      <c r="AH18" s="1014">
        <v>52</v>
      </c>
      <c r="AI18" s="1014">
        <v>0</v>
      </c>
      <c r="AJ18" s="1014">
        <v>0</v>
      </c>
      <c r="AK18" s="1018">
        <v>0</v>
      </c>
      <c r="AL18" s="1020">
        <v>0</v>
      </c>
      <c r="AM18" s="1013">
        <f t="shared" si="11"/>
        <v>2299125</v>
      </c>
      <c r="AN18" s="1045">
        <f t="shared" si="15"/>
        <v>10177819</v>
      </c>
      <c r="AO18" s="1013">
        <v>643755</v>
      </c>
      <c r="AP18" s="1013">
        <v>44100</v>
      </c>
      <c r="AQ18" s="1013">
        <v>0</v>
      </c>
      <c r="AR18" s="1013">
        <v>0</v>
      </c>
      <c r="AS18" s="1013">
        <v>0</v>
      </c>
      <c r="AT18" s="1045">
        <f t="shared" si="13"/>
        <v>9489964</v>
      </c>
      <c r="AU18" s="1004"/>
      <c r="AV18" s="870"/>
      <c r="AW18" s="782" t="s">
        <v>3348</v>
      </c>
      <c r="AX18" s="782" t="s">
        <v>3349</v>
      </c>
      <c r="AY18" s="1007" t="s">
        <v>287</v>
      </c>
      <c r="AZ18" s="1007">
        <v>622</v>
      </c>
      <c r="BA18" s="347" t="str">
        <f t="shared" si="14"/>
        <v>Box</v>
      </c>
      <c r="BB18" s="1008"/>
      <c r="BC18" s="1009"/>
      <c r="BD18" s="1009"/>
    </row>
    <row r="19" spans="1:56" s="1010" customFormat="1" ht="36.75" customHeight="1">
      <c r="A19" s="661">
        <f>SUBTOTAL(3,B$6:B19)</f>
        <v>14</v>
      </c>
      <c r="B19" s="661" t="s">
        <v>813</v>
      </c>
      <c r="C19" s="662" t="s">
        <v>814</v>
      </c>
      <c r="D19" s="1011">
        <v>44249</v>
      </c>
      <c r="E19" s="1011" t="s">
        <v>216</v>
      </c>
      <c r="F19" s="787" t="s">
        <v>691</v>
      </c>
      <c r="G19" s="996" t="s">
        <v>786</v>
      </c>
      <c r="H19" s="1012">
        <v>5931000</v>
      </c>
      <c r="I19" s="1012">
        <v>200000</v>
      </c>
      <c r="J19" s="1012">
        <v>0</v>
      </c>
      <c r="K19" s="1012">
        <v>0</v>
      </c>
      <c r="L19" s="1013">
        <f t="shared" si="5"/>
        <v>6131000</v>
      </c>
      <c r="M19" s="1014">
        <v>24</v>
      </c>
      <c r="N19" s="1013">
        <f t="shared" si="6"/>
        <v>5659385</v>
      </c>
      <c r="O19" s="1015">
        <v>2</v>
      </c>
      <c r="P19" s="1013">
        <f t="shared" si="7"/>
        <v>471615</v>
      </c>
      <c r="Q19" s="1016">
        <v>0</v>
      </c>
      <c r="R19" s="1013">
        <f t="shared" si="8"/>
        <v>0</v>
      </c>
      <c r="S19" s="1013">
        <f t="shared" si="9"/>
        <v>6131000</v>
      </c>
      <c r="T19" s="1017">
        <v>0</v>
      </c>
      <c r="U19" s="785">
        <v>0</v>
      </c>
      <c r="V19" s="785">
        <v>200000</v>
      </c>
      <c r="W19" s="1017">
        <v>500000</v>
      </c>
      <c r="X19" s="1017">
        <v>0</v>
      </c>
      <c r="Y19" s="1017">
        <v>400000</v>
      </c>
      <c r="Z19" s="1017">
        <v>593130</v>
      </c>
      <c r="AA19" s="1018"/>
      <c r="AB19" s="1013"/>
      <c r="AC19" s="1017">
        <v>100000</v>
      </c>
      <c r="AD19" s="1017">
        <v>0</v>
      </c>
      <c r="AE19" s="1013">
        <v>44213.9453125</v>
      </c>
      <c r="AF19" s="1019"/>
      <c r="AG19" s="1019">
        <f t="shared" si="10"/>
        <v>7968344</v>
      </c>
      <c r="AH19" s="1014">
        <v>52</v>
      </c>
      <c r="AI19" s="1014">
        <v>0</v>
      </c>
      <c r="AJ19" s="1014">
        <v>0</v>
      </c>
      <c r="AK19" s="1018">
        <v>0</v>
      </c>
      <c r="AL19" s="1020">
        <v>0</v>
      </c>
      <c r="AM19" s="1013">
        <f t="shared" si="11"/>
        <v>2299125</v>
      </c>
      <c r="AN19" s="1045">
        <f t="shared" si="15"/>
        <v>10267469</v>
      </c>
      <c r="AO19" s="1013">
        <v>643755</v>
      </c>
      <c r="AP19" s="1013">
        <v>44100</v>
      </c>
      <c r="AQ19" s="1013">
        <v>0</v>
      </c>
      <c r="AR19" s="1013">
        <v>0</v>
      </c>
      <c r="AS19" s="1013">
        <v>0</v>
      </c>
      <c r="AT19" s="1045">
        <f t="shared" si="13"/>
        <v>9579614</v>
      </c>
      <c r="AU19" s="1004"/>
      <c r="AV19" s="870"/>
      <c r="AW19" s="782" t="s">
        <v>3350</v>
      </c>
      <c r="AX19" s="782" t="s">
        <v>3351</v>
      </c>
      <c r="AY19" s="1007" t="s">
        <v>287</v>
      </c>
      <c r="AZ19" s="1007">
        <v>622</v>
      </c>
      <c r="BA19" s="347" t="str">
        <f t="shared" si="14"/>
        <v>Box</v>
      </c>
      <c r="BB19" s="1008"/>
      <c r="BC19" s="1009"/>
      <c r="BD19" s="1009"/>
    </row>
    <row r="20" spans="1:56" s="1010" customFormat="1" ht="36.75" customHeight="1">
      <c r="A20" s="661">
        <f>SUBTOTAL(3,B$6:B20)</f>
        <v>15</v>
      </c>
      <c r="B20" s="661" t="s">
        <v>815</v>
      </c>
      <c r="C20" s="662" t="s">
        <v>816</v>
      </c>
      <c r="D20" s="1011">
        <v>44273</v>
      </c>
      <c r="E20" s="1011" t="s">
        <v>216</v>
      </c>
      <c r="F20" s="787" t="s">
        <v>691</v>
      </c>
      <c r="G20" s="996" t="s">
        <v>786</v>
      </c>
      <c r="H20" s="1012">
        <v>5931000</v>
      </c>
      <c r="I20" s="1012">
        <v>200000</v>
      </c>
      <c r="J20" s="1012">
        <v>0</v>
      </c>
      <c r="K20" s="1012">
        <v>0</v>
      </c>
      <c r="L20" s="1013">
        <f t="shared" si="5"/>
        <v>6131000</v>
      </c>
      <c r="M20" s="1014">
        <v>22.6</v>
      </c>
      <c r="N20" s="1013">
        <f t="shared" si="6"/>
        <v>5329254</v>
      </c>
      <c r="O20" s="1015">
        <v>3</v>
      </c>
      <c r="P20" s="1013">
        <f t="shared" si="7"/>
        <v>707423</v>
      </c>
      <c r="Q20" s="1016">
        <v>0</v>
      </c>
      <c r="R20" s="1013">
        <f t="shared" si="8"/>
        <v>0</v>
      </c>
      <c r="S20" s="1013">
        <f t="shared" si="9"/>
        <v>6036677</v>
      </c>
      <c r="T20" s="1017">
        <v>0</v>
      </c>
      <c r="U20" s="785">
        <v>0</v>
      </c>
      <c r="V20" s="785">
        <v>200000</v>
      </c>
      <c r="W20" s="1017">
        <v>500000</v>
      </c>
      <c r="X20" s="1017">
        <v>0</v>
      </c>
      <c r="Y20" s="1017">
        <v>400000</v>
      </c>
      <c r="Z20" s="1017">
        <v>557803</v>
      </c>
      <c r="AA20" s="1018"/>
      <c r="AB20" s="1013"/>
      <c r="AC20" s="1017">
        <v>0</v>
      </c>
      <c r="AD20" s="1017">
        <v>0</v>
      </c>
      <c r="AE20" s="1013">
        <v>44213.943584070796</v>
      </c>
      <c r="AF20" s="1019"/>
      <c r="AG20" s="1019">
        <f t="shared" si="10"/>
        <v>7738694</v>
      </c>
      <c r="AH20" s="1014">
        <v>44</v>
      </c>
      <c r="AI20" s="1014">
        <v>0</v>
      </c>
      <c r="AJ20" s="1014">
        <v>0</v>
      </c>
      <c r="AK20" s="1018">
        <v>0</v>
      </c>
      <c r="AL20" s="1020">
        <v>0</v>
      </c>
      <c r="AM20" s="1013">
        <f t="shared" si="11"/>
        <v>1945414</v>
      </c>
      <c r="AN20" s="1045">
        <f t="shared" si="15"/>
        <v>9684108</v>
      </c>
      <c r="AO20" s="1013">
        <v>643755</v>
      </c>
      <c r="AP20" s="1013">
        <v>44100</v>
      </c>
      <c r="AQ20" s="1013">
        <v>0</v>
      </c>
      <c r="AR20" s="1013">
        <v>0</v>
      </c>
      <c r="AS20" s="1013">
        <v>0</v>
      </c>
      <c r="AT20" s="1045">
        <f t="shared" si="13"/>
        <v>8996253</v>
      </c>
      <c r="AU20" s="1004"/>
      <c r="AV20" s="870"/>
      <c r="AW20" s="782" t="s">
        <v>3352</v>
      </c>
      <c r="AX20" s="782" t="s">
        <v>3353</v>
      </c>
      <c r="AY20" s="1007" t="s">
        <v>287</v>
      </c>
      <c r="AZ20" s="1007">
        <v>622</v>
      </c>
      <c r="BA20" s="347" t="str">
        <f t="shared" si="14"/>
        <v>Box</v>
      </c>
      <c r="BB20" s="1008"/>
      <c r="BC20" s="1009"/>
      <c r="BD20" s="1009"/>
    </row>
    <row r="21" spans="1:56" s="1010" customFormat="1" ht="36.75" customHeight="1">
      <c r="A21" s="661">
        <f>SUBTOTAL(3,B$6:B21)</f>
        <v>16</v>
      </c>
      <c r="B21" s="661" t="s">
        <v>817</v>
      </c>
      <c r="C21" s="662" t="s">
        <v>818</v>
      </c>
      <c r="D21" s="1011">
        <v>44322</v>
      </c>
      <c r="E21" s="1011" t="s">
        <v>216</v>
      </c>
      <c r="F21" s="787" t="s">
        <v>691</v>
      </c>
      <c r="G21" s="996" t="s">
        <v>797</v>
      </c>
      <c r="H21" s="1012">
        <v>5931000</v>
      </c>
      <c r="I21" s="1012">
        <v>0</v>
      </c>
      <c r="J21" s="1012">
        <v>0</v>
      </c>
      <c r="K21" s="1012">
        <v>0</v>
      </c>
      <c r="L21" s="1013">
        <f t="shared" si="5"/>
        <v>5931000</v>
      </c>
      <c r="M21" s="1014">
        <v>23</v>
      </c>
      <c r="N21" s="1013">
        <f t="shared" si="6"/>
        <v>5246654</v>
      </c>
      <c r="O21" s="1015">
        <v>3</v>
      </c>
      <c r="P21" s="1013">
        <f t="shared" si="7"/>
        <v>684346</v>
      </c>
      <c r="Q21" s="1016">
        <v>0</v>
      </c>
      <c r="R21" s="1013">
        <f t="shared" si="8"/>
        <v>0</v>
      </c>
      <c r="S21" s="1013">
        <f t="shared" si="9"/>
        <v>5931000</v>
      </c>
      <c r="T21" s="1017">
        <v>0</v>
      </c>
      <c r="U21" s="785">
        <v>0</v>
      </c>
      <c r="V21" s="785">
        <v>200000</v>
      </c>
      <c r="W21" s="1017">
        <v>500000</v>
      </c>
      <c r="X21" s="1017">
        <v>0</v>
      </c>
      <c r="Y21" s="1017">
        <v>300000</v>
      </c>
      <c r="Z21" s="1017">
        <v>566694</v>
      </c>
      <c r="AA21" s="1018"/>
      <c r="AB21" s="1013"/>
      <c r="AC21" s="1017">
        <v>100000</v>
      </c>
      <c r="AD21" s="1017">
        <v>0</v>
      </c>
      <c r="AE21" s="1013">
        <v>42771.635869565216</v>
      </c>
      <c r="AF21" s="1019"/>
      <c r="AG21" s="1019">
        <f t="shared" si="10"/>
        <v>7640466</v>
      </c>
      <c r="AH21" s="1014">
        <v>0</v>
      </c>
      <c r="AI21" s="1014">
        <v>0</v>
      </c>
      <c r="AJ21" s="1014">
        <v>0</v>
      </c>
      <c r="AK21" s="1018">
        <v>0</v>
      </c>
      <c r="AL21" s="1020">
        <v>0</v>
      </c>
      <c r="AM21" s="1013">
        <f t="shared" si="11"/>
        <v>0</v>
      </c>
      <c r="AN21" s="1045">
        <f t="shared" si="15"/>
        <v>7640466</v>
      </c>
      <c r="AO21" s="1013">
        <v>622755</v>
      </c>
      <c r="AP21" s="1013">
        <v>44100</v>
      </c>
      <c r="AQ21" s="1013">
        <v>0</v>
      </c>
      <c r="AR21" s="1013">
        <v>0</v>
      </c>
      <c r="AS21" s="1013">
        <v>0</v>
      </c>
      <c r="AT21" s="1045">
        <f t="shared" si="13"/>
        <v>6973611</v>
      </c>
      <c r="AU21" s="1004"/>
      <c r="AV21" s="870"/>
      <c r="AW21" s="782" t="s">
        <v>3354</v>
      </c>
      <c r="AX21" s="782" t="s">
        <v>3355</v>
      </c>
      <c r="AY21" s="1007" t="s">
        <v>287</v>
      </c>
      <c r="AZ21" s="1007">
        <v>622</v>
      </c>
      <c r="BA21" s="347" t="str">
        <f t="shared" si="14"/>
        <v>Box</v>
      </c>
      <c r="BB21" s="1008"/>
      <c r="BC21" s="1009"/>
      <c r="BD21" s="1009"/>
    </row>
    <row r="22" spans="1:56" s="1010" customFormat="1" ht="36.75" customHeight="1">
      <c r="A22" s="661">
        <f>SUBTOTAL(3,B$6:B22)</f>
        <v>17</v>
      </c>
      <c r="B22" s="661" t="s">
        <v>819</v>
      </c>
      <c r="C22" s="662" t="s">
        <v>820</v>
      </c>
      <c r="D22" s="1011">
        <v>44328</v>
      </c>
      <c r="E22" s="1011" t="s">
        <v>216</v>
      </c>
      <c r="F22" s="787" t="s">
        <v>691</v>
      </c>
      <c r="G22" s="996" t="s">
        <v>786</v>
      </c>
      <c r="H22" s="1012">
        <v>5931000</v>
      </c>
      <c r="I22" s="1012">
        <v>200000</v>
      </c>
      <c r="J22" s="1012">
        <v>0</v>
      </c>
      <c r="K22" s="1012">
        <v>0</v>
      </c>
      <c r="L22" s="1013">
        <f t="shared" si="5"/>
        <v>6131000</v>
      </c>
      <c r="M22" s="1014">
        <v>7.6</v>
      </c>
      <c r="N22" s="1013">
        <f t="shared" si="6"/>
        <v>1792138</v>
      </c>
      <c r="O22" s="1015">
        <v>2</v>
      </c>
      <c r="P22" s="1013">
        <f t="shared" si="7"/>
        <v>471615</v>
      </c>
      <c r="Q22" s="1016">
        <v>0</v>
      </c>
      <c r="R22" s="1013">
        <f t="shared" si="8"/>
        <v>0</v>
      </c>
      <c r="S22" s="1013">
        <f t="shared" si="9"/>
        <v>2263753</v>
      </c>
      <c r="T22" s="1017">
        <v>0</v>
      </c>
      <c r="U22" s="785">
        <v>0</v>
      </c>
      <c r="V22" s="785">
        <v>0</v>
      </c>
      <c r="W22" s="1017">
        <v>0</v>
      </c>
      <c r="X22" s="1017">
        <v>0</v>
      </c>
      <c r="Y22" s="1017">
        <v>0</v>
      </c>
      <c r="Z22" s="1017">
        <v>0</v>
      </c>
      <c r="AA22" s="1018"/>
      <c r="AB22" s="1013"/>
      <c r="AC22" s="1017">
        <v>0</v>
      </c>
      <c r="AD22" s="1017">
        <v>0</v>
      </c>
      <c r="AE22" s="1013">
        <v>0</v>
      </c>
      <c r="AF22" s="1019"/>
      <c r="AG22" s="1019">
        <f t="shared" si="10"/>
        <v>2263753</v>
      </c>
      <c r="AH22" s="1014">
        <v>8</v>
      </c>
      <c r="AI22" s="1014">
        <v>0</v>
      </c>
      <c r="AJ22" s="1014">
        <v>0</v>
      </c>
      <c r="AK22" s="1018">
        <v>0</v>
      </c>
      <c r="AL22" s="1020">
        <v>0</v>
      </c>
      <c r="AM22" s="1013">
        <f t="shared" si="11"/>
        <v>353711</v>
      </c>
      <c r="AN22" s="1045">
        <f>ROUND(AG22+AM22,0)</f>
        <v>2617464</v>
      </c>
      <c r="AO22" s="1013">
        <v>0</v>
      </c>
      <c r="AP22" s="1013">
        <v>44100</v>
      </c>
      <c r="AQ22" s="1013">
        <v>0</v>
      </c>
      <c r="AR22" s="1013">
        <v>0</v>
      </c>
      <c r="AS22" s="1013">
        <v>0</v>
      </c>
      <c r="AT22" s="1045">
        <f t="shared" si="13"/>
        <v>2573364</v>
      </c>
      <c r="AU22" s="1004"/>
      <c r="AV22" s="870"/>
      <c r="AW22" s="782" t="s">
        <v>3356</v>
      </c>
      <c r="AX22" s="782" t="s">
        <v>3357</v>
      </c>
      <c r="AY22" s="1007" t="s">
        <v>287</v>
      </c>
      <c r="AZ22" s="1007">
        <v>622</v>
      </c>
      <c r="BA22" s="347" t="str">
        <f t="shared" si="14"/>
        <v>Box</v>
      </c>
      <c r="BB22" s="1008"/>
      <c r="BC22" s="1009"/>
      <c r="BD22" s="1009"/>
    </row>
    <row r="23" spans="1:56" s="1010" customFormat="1" ht="36.75" customHeight="1">
      <c r="A23" s="661">
        <f>SUBTOTAL(3,B$6:B23)</f>
        <v>18</v>
      </c>
      <c r="B23" s="661" t="s">
        <v>821</v>
      </c>
      <c r="C23" s="662" t="s">
        <v>822</v>
      </c>
      <c r="D23" s="1011">
        <v>44648</v>
      </c>
      <c r="E23" s="1011" t="s">
        <v>216</v>
      </c>
      <c r="F23" s="787" t="s">
        <v>691</v>
      </c>
      <c r="G23" s="996" t="s">
        <v>786</v>
      </c>
      <c r="H23" s="1012">
        <v>5931000</v>
      </c>
      <c r="I23" s="1012">
        <v>200000</v>
      </c>
      <c r="J23" s="1012">
        <v>0</v>
      </c>
      <c r="K23" s="1012">
        <v>0</v>
      </c>
      <c r="L23" s="1013">
        <f t="shared" si="5"/>
        <v>6131000</v>
      </c>
      <c r="M23" s="1014">
        <v>24</v>
      </c>
      <c r="N23" s="1013">
        <f t="shared" si="6"/>
        <v>5659385</v>
      </c>
      <c r="O23" s="1015">
        <v>2</v>
      </c>
      <c r="P23" s="1013">
        <f t="shared" si="7"/>
        <v>471615</v>
      </c>
      <c r="Q23" s="1016">
        <v>0</v>
      </c>
      <c r="R23" s="1013">
        <f t="shared" si="8"/>
        <v>0</v>
      </c>
      <c r="S23" s="1013">
        <f t="shared" si="9"/>
        <v>6131000</v>
      </c>
      <c r="T23" s="1017">
        <v>0</v>
      </c>
      <c r="U23" s="785">
        <v>0</v>
      </c>
      <c r="V23" s="785">
        <v>200000</v>
      </c>
      <c r="W23" s="1017">
        <v>500000</v>
      </c>
      <c r="X23" s="1017">
        <v>0</v>
      </c>
      <c r="Y23" s="1017">
        <v>400000</v>
      </c>
      <c r="Z23" s="1017">
        <v>604380</v>
      </c>
      <c r="AA23" s="1018"/>
      <c r="AB23" s="1013"/>
      <c r="AC23" s="1017">
        <v>0</v>
      </c>
      <c r="AD23" s="1017">
        <v>200000</v>
      </c>
      <c r="AE23" s="1013">
        <v>44213.9453125</v>
      </c>
      <c r="AF23" s="1019"/>
      <c r="AG23" s="1019">
        <f t="shared" si="10"/>
        <v>8079594</v>
      </c>
      <c r="AH23" s="1014">
        <v>52</v>
      </c>
      <c r="AI23" s="1014">
        <v>0</v>
      </c>
      <c r="AJ23" s="1014">
        <v>0</v>
      </c>
      <c r="AK23" s="1018">
        <v>0</v>
      </c>
      <c r="AL23" s="1020">
        <v>0</v>
      </c>
      <c r="AM23" s="1013">
        <f t="shared" si="11"/>
        <v>2299125</v>
      </c>
      <c r="AN23" s="1045">
        <f t="shared" ref="AN23:AN30" si="16">ROUND(AG23+AM23,0)</f>
        <v>10378719</v>
      </c>
      <c r="AO23" s="1013">
        <v>643755</v>
      </c>
      <c r="AP23" s="1013">
        <v>44100</v>
      </c>
      <c r="AQ23" s="1013">
        <v>0</v>
      </c>
      <c r="AR23" s="1013">
        <v>0</v>
      </c>
      <c r="AS23" s="1013">
        <v>0</v>
      </c>
      <c r="AT23" s="1045">
        <f t="shared" si="13"/>
        <v>9690864</v>
      </c>
      <c r="AU23" s="1004"/>
      <c r="AV23" s="870"/>
      <c r="AW23" s="782" t="s">
        <v>3358</v>
      </c>
      <c r="AX23" s="782" t="s">
        <v>3359</v>
      </c>
      <c r="AY23" s="1007" t="s">
        <v>287</v>
      </c>
      <c r="AZ23" s="1007">
        <v>622</v>
      </c>
      <c r="BA23" s="347" t="str">
        <f t="shared" si="14"/>
        <v>Box</v>
      </c>
      <c r="BB23" s="1008"/>
      <c r="BC23" s="1009"/>
      <c r="BD23" s="1009"/>
    </row>
    <row r="24" spans="1:56" s="1010" customFormat="1" ht="36.75" customHeight="1">
      <c r="A24" s="661">
        <f>SUBTOTAL(3,B$6:B24)</f>
        <v>19</v>
      </c>
      <c r="B24" s="661" t="s">
        <v>823</v>
      </c>
      <c r="C24" s="662" t="s">
        <v>824</v>
      </c>
      <c r="D24" s="1011">
        <v>44658</v>
      </c>
      <c r="E24" s="1011" t="s">
        <v>216</v>
      </c>
      <c r="F24" s="787" t="s">
        <v>691</v>
      </c>
      <c r="G24" s="996" t="s">
        <v>786</v>
      </c>
      <c r="H24" s="1012">
        <v>5931000</v>
      </c>
      <c r="I24" s="1012">
        <v>200000</v>
      </c>
      <c r="J24" s="1012">
        <v>0</v>
      </c>
      <c r="K24" s="1012">
        <v>0</v>
      </c>
      <c r="L24" s="1013">
        <f t="shared" si="5"/>
        <v>6131000</v>
      </c>
      <c r="M24" s="1014">
        <v>21.9</v>
      </c>
      <c r="N24" s="1013">
        <f t="shared" si="6"/>
        <v>5164188</v>
      </c>
      <c r="O24" s="1015">
        <v>3</v>
      </c>
      <c r="P24" s="1013">
        <f t="shared" si="7"/>
        <v>707423</v>
      </c>
      <c r="Q24" s="1016">
        <v>0</v>
      </c>
      <c r="R24" s="1013">
        <f t="shared" si="8"/>
        <v>0</v>
      </c>
      <c r="S24" s="1013">
        <f t="shared" si="9"/>
        <v>5871611</v>
      </c>
      <c r="T24" s="1017">
        <v>0</v>
      </c>
      <c r="U24" s="785">
        <v>0</v>
      </c>
      <c r="V24" s="785">
        <v>200000</v>
      </c>
      <c r="W24" s="1017">
        <v>500000</v>
      </c>
      <c r="X24" s="1017">
        <v>0</v>
      </c>
      <c r="Y24" s="1017">
        <v>400000</v>
      </c>
      <c r="Z24" s="1017">
        <v>530848</v>
      </c>
      <c r="AA24" s="1018"/>
      <c r="AB24" s="1013"/>
      <c r="AC24" s="1017">
        <v>100000</v>
      </c>
      <c r="AD24" s="1017">
        <v>0</v>
      </c>
      <c r="AE24" s="1013">
        <v>44213.938356164384</v>
      </c>
      <c r="AF24" s="1019"/>
      <c r="AG24" s="1019">
        <f t="shared" si="10"/>
        <v>7646673</v>
      </c>
      <c r="AH24" s="1014">
        <v>15</v>
      </c>
      <c r="AI24" s="1014">
        <v>0</v>
      </c>
      <c r="AJ24" s="1014">
        <v>0</v>
      </c>
      <c r="AK24" s="1018">
        <v>0</v>
      </c>
      <c r="AL24" s="1020">
        <v>0</v>
      </c>
      <c r="AM24" s="1013">
        <f t="shared" si="11"/>
        <v>663209</v>
      </c>
      <c r="AN24" s="1045">
        <f t="shared" si="16"/>
        <v>8309882</v>
      </c>
      <c r="AO24" s="1013">
        <v>643755</v>
      </c>
      <c r="AP24" s="1013">
        <v>44100</v>
      </c>
      <c r="AQ24" s="1013">
        <v>0</v>
      </c>
      <c r="AR24" s="1013">
        <v>0</v>
      </c>
      <c r="AS24" s="1013">
        <v>0</v>
      </c>
      <c r="AT24" s="1045">
        <f t="shared" si="13"/>
        <v>7622027</v>
      </c>
      <c r="AU24" s="1004"/>
      <c r="AV24" s="870"/>
      <c r="AW24" s="782" t="s">
        <v>3360</v>
      </c>
      <c r="AX24" s="782" t="s">
        <v>3361</v>
      </c>
      <c r="AY24" s="1007" t="s">
        <v>287</v>
      </c>
      <c r="AZ24" s="1007">
        <v>622</v>
      </c>
      <c r="BA24" s="347" t="str">
        <f t="shared" si="14"/>
        <v>Box</v>
      </c>
      <c r="BB24" s="1008"/>
      <c r="BC24" s="1009"/>
      <c r="BD24" s="1009"/>
    </row>
    <row r="25" spans="1:56" s="1010" customFormat="1" ht="36.75" customHeight="1">
      <c r="A25" s="661">
        <f>SUBTOTAL(3,B$6:B25)</f>
        <v>20</v>
      </c>
      <c r="B25" s="661" t="s">
        <v>825</v>
      </c>
      <c r="C25" s="662" t="s">
        <v>826</v>
      </c>
      <c r="D25" s="1011">
        <v>44711</v>
      </c>
      <c r="E25" s="1011" t="s">
        <v>216</v>
      </c>
      <c r="F25" s="787" t="s">
        <v>691</v>
      </c>
      <c r="G25" s="996" t="s">
        <v>786</v>
      </c>
      <c r="H25" s="1012">
        <v>5815000</v>
      </c>
      <c r="I25" s="1012">
        <v>200000</v>
      </c>
      <c r="J25" s="1012">
        <v>0</v>
      </c>
      <c r="K25" s="1012">
        <v>0</v>
      </c>
      <c r="L25" s="1013">
        <f t="shared" si="5"/>
        <v>6015000</v>
      </c>
      <c r="M25" s="1014">
        <v>22.6</v>
      </c>
      <c r="N25" s="1013">
        <f t="shared" si="6"/>
        <v>5228423</v>
      </c>
      <c r="O25" s="1015">
        <v>3</v>
      </c>
      <c r="P25" s="1013">
        <f t="shared" si="7"/>
        <v>694038</v>
      </c>
      <c r="Q25" s="1016">
        <v>0</v>
      </c>
      <c r="R25" s="1013">
        <f t="shared" si="8"/>
        <v>0</v>
      </c>
      <c r="S25" s="1013">
        <f t="shared" si="9"/>
        <v>5922461</v>
      </c>
      <c r="T25" s="1017">
        <v>0</v>
      </c>
      <c r="U25" s="785">
        <v>0</v>
      </c>
      <c r="V25" s="785">
        <v>200000</v>
      </c>
      <c r="W25" s="1017">
        <v>500000</v>
      </c>
      <c r="X25" s="1017">
        <v>0</v>
      </c>
      <c r="Y25" s="1017">
        <v>400000</v>
      </c>
      <c r="Z25" s="1017">
        <v>584080</v>
      </c>
      <c r="AA25" s="1018"/>
      <c r="AB25" s="1013"/>
      <c r="AC25" s="1017">
        <v>0</v>
      </c>
      <c r="AD25" s="1017">
        <v>0</v>
      </c>
      <c r="AE25" s="1013">
        <v>43377.403207964599</v>
      </c>
      <c r="AF25" s="1019"/>
      <c r="AG25" s="1019">
        <f t="shared" si="10"/>
        <v>7649918</v>
      </c>
      <c r="AH25" s="1014">
        <v>48</v>
      </c>
      <c r="AI25" s="1014">
        <v>0</v>
      </c>
      <c r="AJ25" s="1014">
        <v>0</v>
      </c>
      <c r="AK25" s="1018">
        <v>0</v>
      </c>
      <c r="AL25" s="1020">
        <v>0</v>
      </c>
      <c r="AM25" s="1013">
        <f t="shared" si="11"/>
        <v>2082115</v>
      </c>
      <c r="AN25" s="1045">
        <f t="shared" si="16"/>
        <v>9732033</v>
      </c>
      <c r="AO25" s="1013">
        <v>631575</v>
      </c>
      <c r="AP25" s="1013">
        <v>44100</v>
      </c>
      <c r="AQ25" s="1013">
        <v>0</v>
      </c>
      <c r="AR25" s="1013">
        <v>0</v>
      </c>
      <c r="AS25" s="1013">
        <v>0</v>
      </c>
      <c r="AT25" s="1045">
        <f t="shared" si="13"/>
        <v>9056358</v>
      </c>
      <c r="AU25" s="1004"/>
      <c r="AV25" s="870"/>
      <c r="AW25" s="782" t="s">
        <v>3362</v>
      </c>
      <c r="AX25" s="782" t="s">
        <v>3363</v>
      </c>
      <c r="AY25" s="1007" t="s">
        <v>287</v>
      </c>
      <c r="AZ25" s="1007">
        <v>622</v>
      </c>
      <c r="BA25" s="347" t="str">
        <f t="shared" si="14"/>
        <v>Box</v>
      </c>
      <c r="BB25" s="1008"/>
      <c r="BC25" s="1009"/>
      <c r="BD25" s="1009"/>
    </row>
    <row r="26" spans="1:56" s="1010" customFormat="1" ht="36.75" customHeight="1">
      <c r="A26" s="661">
        <f>SUBTOTAL(3,B$6:B26)</f>
        <v>21</v>
      </c>
      <c r="B26" s="661" t="s">
        <v>827</v>
      </c>
      <c r="C26" s="662" t="s">
        <v>828</v>
      </c>
      <c r="D26" s="1011">
        <v>44726</v>
      </c>
      <c r="E26" s="1011" t="s">
        <v>216</v>
      </c>
      <c r="F26" s="787" t="s">
        <v>691</v>
      </c>
      <c r="G26" s="996" t="s">
        <v>797</v>
      </c>
      <c r="H26" s="1012">
        <v>5815000</v>
      </c>
      <c r="I26" s="1012">
        <v>0</v>
      </c>
      <c r="J26" s="1012">
        <v>0</v>
      </c>
      <c r="K26" s="1012">
        <v>0</v>
      </c>
      <c r="L26" s="1013">
        <f t="shared" si="5"/>
        <v>5815000</v>
      </c>
      <c r="M26" s="1014">
        <v>24</v>
      </c>
      <c r="N26" s="1013">
        <f t="shared" si="6"/>
        <v>5367692</v>
      </c>
      <c r="O26" s="1015">
        <v>2</v>
      </c>
      <c r="P26" s="1013">
        <f t="shared" si="7"/>
        <v>447308</v>
      </c>
      <c r="Q26" s="1016">
        <v>0</v>
      </c>
      <c r="R26" s="1013">
        <f t="shared" si="8"/>
        <v>0</v>
      </c>
      <c r="S26" s="1013">
        <f t="shared" si="9"/>
        <v>5815000</v>
      </c>
      <c r="T26" s="1017">
        <v>0</v>
      </c>
      <c r="U26" s="785">
        <v>0</v>
      </c>
      <c r="V26" s="785">
        <v>200000</v>
      </c>
      <c r="W26" s="1017">
        <v>500000</v>
      </c>
      <c r="X26" s="1017">
        <v>0</v>
      </c>
      <c r="Y26" s="1017">
        <v>400000</v>
      </c>
      <c r="Z26" s="1017">
        <v>606304</v>
      </c>
      <c r="AA26" s="1018"/>
      <c r="AB26" s="1013"/>
      <c r="AC26" s="1017">
        <v>0</v>
      </c>
      <c r="AD26" s="1017">
        <v>0</v>
      </c>
      <c r="AE26" s="1013">
        <v>41935.09375</v>
      </c>
      <c r="AF26" s="1019"/>
      <c r="AG26" s="1019">
        <f t="shared" si="10"/>
        <v>7563239</v>
      </c>
      <c r="AH26" s="1014">
        <v>40</v>
      </c>
      <c r="AI26" s="1014">
        <v>0</v>
      </c>
      <c r="AJ26" s="1014">
        <v>0</v>
      </c>
      <c r="AK26" s="1018">
        <v>0</v>
      </c>
      <c r="AL26" s="1020">
        <v>0</v>
      </c>
      <c r="AM26" s="1013">
        <f t="shared" si="11"/>
        <v>1677404</v>
      </c>
      <c r="AN26" s="1045">
        <f t="shared" si="16"/>
        <v>9240643</v>
      </c>
      <c r="AO26" s="1013">
        <v>610575</v>
      </c>
      <c r="AP26" s="1013">
        <v>44100</v>
      </c>
      <c r="AQ26" s="1013">
        <v>0</v>
      </c>
      <c r="AR26" s="1013">
        <v>0</v>
      </c>
      <c r="AS26" s="1013">
        <v>0</v>
      </c>
      <c r="AT26" s="1045">
        <f t="shared" si="13"/>
        <v>8585968</v>
      </c>
      <c r="AU26" s="1004"/>
      <c r="AV26" s="870"/>
      <c r="AW26" s="782" t="s">
        <v>3364</v>
      </c>
      <c r="AX26" s="782" t="s">
        <v>3365</v>
      </c>
      <c r="AY26" s="1007" t="s">
        <v>287</v>
      </c>
      <c r="AZ26" s="1007">
        <v>622</v>
      </c>
      <c r="BA26" s="347" t="str">
        <f t="shared" si="14"/>
        <v>Box</v>
      </c>
      <c r="BB26" s="1008"/>
      <c r="BC26" s="1009"/>
      <c r="BD26" s="1009"/>
    </row>
    <row r="27" spans="1:56" s="1010" customFormat="1" ht="36.75" customHeight="1">
      <c r="A27" s="661">
        <f>SUBTOTAL(3,B$6:B27)</f>
        <v>22</v>
      </c>
      <c r="B27" s="661" t="s">
        <v>829</v>
      </c>
      <c r="C27" s="662" t="s">
        <v>830</v>
      </c>
      <c r="D27" s="1011">
        <v>45000</v>
      </c>
      <c r="E27" s="1011" t="s">
        <v>216</v>
      </c>
      <c r="F27" s="787" t="s">
        <v>691</v>
      </c>
      <c r="G27" s="996" t="s">
        <v>797</v>
      </c>
      <c r="H27" s="1012">
        <v>5815000</v>
      </c>
      <c r="I27" s="1012">
        <v>0</v>
      </c>
      <c r="J27" s="1012">
        <v>0</v>
      </c>
      <c r="K27" s="1012">
        <v>500000</v>
      </c>
      <c r="L27" s="1013">
        <f t="shared" si="5"/>
        <v>6315000</v>
      </c>
      <c r="M27" s="1014">
        <v>23.6</v>
      </c>
      <c r="N27" s="1013">
        <f t="shared" si="6"/>
        <v>5732077</v>
      </c>
      <c r="O27" s="1015">
        <v>2</v>
      </c>
      <c r="P27" s="1013">
        <f t="shared" si="7"/>
        <v>485769</v>
      </c>
      <c r="Q27" s="1016">
        <v>0</v>
      </c>
      <c r="R27" s="1013">
        <f t="shared" si="8"/>
        <v>0</v>
      </c>
      <c r="S27" s="1013">
        <f t="shared" si="9"/>
        <v>6217846</v>
      </c>
      <c r="T27" s="1017">
        <v>0</v>
      </c>
      <c r="U27" s="785">
        <v>0</v>
      </c>
      <c r="V27" s="785">
        <v>200000</v>
      </c>
      <c r="W27" s="1017">
        <v>500000</v>
      </c>
      <c r="X27" s="1017">
        <v>0</v>
      </c>
      <c r="Y27" s="1017">
        <v>400000</v>
      </c>
      <c r="Z27" s="1017">
        <v>603480</v>
      </c>
      <c r="AA27" s="1018"/>
      <c r="AB27" s="1013"/>
      <c r="AC27" s="1017">
        <v>100000</v>
      </c>
      <c r="AD27" s="1017">
        <v>0</v>
      </c>
      <c r="AE27" s="1013">
        <v>45540.86599576271</v>
      </c>
      <c r="AF27" s="1019"/>
      <c r="AG27" s="1019">
        <f t="shared" si="10"/>
        <v>8066867</v>
      </c>
      <c r="AH27" s="1014">
        <v>40</v>
      </c>
      <c r="AI27" s="1014">
        <v>0</v>
      </c>
      <c r="AJ27" s="1014">
        <v>0</v>
      </c>
      <c r="AK27" s="1018">
        <v>0</v>
      </c>
      <c r="AL27" s="1020">
        <v>0</v>
      </c>
      <c r="AM27" s="1013">
        <f t="shared" si="11"/>
        <v>1821635</v>
      </c>
      <c r="AN27" s="1045">
        <f t="shared" si="16"/>
        <v>9888502</v>
      </c>
      <c r="AO27" s="1013">
        <v>663075</v>
      </c>
      <c r="AP27" s="1013">
        <v>44100</v>
      </c>
      <c r="AQ27" s="1013">
        <v>0</v>
      </c>
      <c r="AR27" s="1013">
        <v>0</v>
      </c>
      <c r="AS27" s="1013">
        <v>0</v>
      </c>
      <c r="AT27" s="1045">
        <f t="shared" si="13"/>
        <v>9181327</v>
      </c>
      <c r="AU27" s="1004"/>
      <c r="AV27" s="870"/>
      <c r="AW27" s="782" t="s">
        <v>3366</v>
      </c>
      <c r="AX27" s="782" t="s">
        <v>3367</v>
      </c>
      <c r="AY27" s="1007" t="s">
        <v>287</v>
      </c>
      <c r="AZ27" s="1007">
        <v>622</v>
      </c>
      <c r="BA27" s="347" t="str">
        <f t="shared" si="14"/>
        <v>Box</v>
      </c>
      <c r="BB27" s="1008"/>
      <c r="BC27" s="1009"/>
      <c r="BD27" s="1009"/>
    </row>
    <row r="28" spans="1:56" s="1010" customFormat="1" ht="36.75" customHeight="1">
      <c r="A28" s="661">
        <f>SUBTOTAL(3,B$6:B28)</f>
        <v>23</v>
      </c>
      <c r="B28" s="661" t="s">
        <v>831</v>
      </c>
      <c r="C28" s="662" t="s">
        <v>832</v>
      </c>
      <c r="D28" s="1011">
        <v>45164</v>
      </c>
      <c r="E28" s="1011" t="s">
        <v>216</v>
      </c>
      <c r="F28" s="787" t="s">
        <v>691</v>
      </c>
      <c r="G28" s="996" t="s">
        <v>786</v>
      </c>
      <c r="H28" s="1012">
        <v>5538000</v>
      </c>
      <c r="I28" s="1012">
        <v>200000</v>
      </c>
      <c r="J28" s="1012">
        <v>0</v>
      </c>
      <c r="K28" s="1012">
        <v>0</v>
      </c>
      <c r="L28" s="1013">
        <f t="shared" si="5"/>
        <v>5738000</v>
      </c>
      <c r="M28" s="1014">
        <v>16.3</v>
      </c>
      <c r="N28" s="1013">
        <f t="shared" si="6"/>
        <v>3597285</v>
      </c>
      <c r="O28" s="1015">
        <v>2</v>
      </c>
      <c r="P28" s="1013">
        <f t="shared" si="7"/>
        <v>441385</v>
      </c>
      <c r="Q28" s="1016">
        <v>0</v>
      </c>
      <c r="R28" s="1013">
        <f t="shared" si="8"/>
        <v>0</v>
      </c>
      <c r="S28" s="1013">
        <f t="shared" si="9"/>
        <v>4038670</v>
      </c>
      <c r="T28" s="1017">
        <v>0</v>
      </c>
      <c r="U28" s="785">
        <v>0</v>
      </c>
      <c r="V28" s="785">
        <v>200000</v>
      </c>
      <c r="W28" s="1017">
        <v>0</v>
      </c>
      <c r="X28" s="1017">
        <v>0</v>
      </c>
      <c r="Y28" s="1017">
        <v>0</v>
      </c>
      <c r="Z28" s="1017">
        <v>402834</v>
      </c>
      <c r="AA28" s="1018"/>
      <c r="AB28" s="1013"/>
      <c r="AC28" s="1017">
        <v>0</v>
      </c>
      <c r="AD28" s="1017">
        <v>0</v>
      </c>
      <c r="AE28" s="1013">
        <v>41379.812116564419</v>
      </c>
      <c r="AF28" s="1019"/>
      <c r="AG28" s="1019">
        <f t="shared" si="10"/>
        <v>4682884</v>
      </c>
      <c r="AH28" s="1014">
        <v>40</v>
      </c>
      <c r="AI28" s="1014">
        <v>0</v>
      </c>
      <c r="AJ28" s="1014">
        <v>0</v>
      </c>
      <c r="AK28" s="1018">
        <v>0</v>
      </c>
      <c r="AL28" s="1020">
        <v>0</v>
      </c>
      <c r="AM28" s="1013">
        <f t="shared" si="11"/>
        <v>1655192</v>
      </c>
      <c r="AN28" s="1045">
        <f t="shared" si="16"/>
        <v>6338076</v>
      </c>
      <c r="AO28" s="1013">
        <v>602490</v>
      </c>
      <c r="AP28" s="1013">
        <v>44100</v>
      </c>
      <c r="AQ28" s="1013">
        <v>0</v>
      </c>
      <c r="AR28" s="1013">
        <v>0</v>
      </c>
      <c r="AS28" s="1013">
        <v>0</v>
      </c>
      <c r="AT28" s="1045">
        <f t="shared" si="13"/>
        <v>5691486</v>
      </c>
      <c r="AU28" s="1004"/>
      <c r="AV28" s="870"/>
      <c r="AW28" s="782" t="s">
        <v>3368</v>
      </c>
      <c r="AX28" s="782" t="s">
        <v>3369</v>
      </c>
      <c r="AY28" s="1007" t="s">
        <v>287</v>
      </c>
      <c r="AZ28" s="1007">
        <v>622</v>
      </c>
      <c r="BA28" s="347" t="str">
        <f t="shared" si="14"/>
        <v>Box</v>
      </c>
      <c r="BB28" s="1008"/>
      <c r="BC28" s="1009"/>
      <c r="BD28" s="1009"/>
    </row>
    <row r="29" spans="1:56" s="1010" customFormat="1" ht="36.75" customHeight="1">
      <c r="A29" s="661">
        <f>SUBTOTAL(3,B$6:B29)</f>
        <v>24</v>
      </c>
      <c r="B29" s="661" t="s">
        <v>833</v>
      </c>
      <c r="C29" s="662" t="s">
        <v>834</v>
      </c>
      <c r="D29" s="1011">
        <v>45269</v>
      </c>
      <c r="E29" s="1011" t="s">
        <v>216</v>
      </c>
      <c r="F29" s="787" t="s">
        <v>691</v>
      </c>
      <c r="G29" s="996" t="s">
        <v>797</v>
      </c>
      <c r="H29" s="1012">
        <v>5538000</v>
      </c>
      <c r="I29" s="1012">
        <v>0</v>
      </c>
      <c r="J29" s="1012">
        <v>0</v>
      </c>
      <c r="K29" s="1012">
        <v>0</v>
      </c>
      <c r="L29" s="1013">
        <f t="shared" si="5"/>
        <v>5538000</v>
      </c>
      <c r="M29" s="1014">
        <v>24</v>
      </c>
      <c r="N29" s="1013">
        <f t="shared" si="6"/>
        <v>5112000</v>
      </c>
      <c r="O29" s="1015">
        <v>2</v>
      </c>
      <c r="P29" s="1013">
        <f t="shared" si="7"/>
        <v>426000</v>
      </c>
      <c r="Q29" s="1016">
        <v>0</v>
      </c>
      <c r="R29" s="1013">
        <f t="shared" si="8"/>
        <v>0</v>
      </c>
      <c r="S29" s="1013">
        <f t="shared" si="9"/>
        <v>5538000</v>
      </c>
      <c r="T29" s="1017">
        <v>0</v>
      </c>
      <c r="U29" s="785">
        <v>0</v>
      </c>
      <c r="V29" s="785">
        <v>200000</v>
      </c>
      <c r="W29" s="1017">
        <v>500000</v>
      </c>
      <c r="X29" s="1017">
        <v>0</v>
      </c>
      <c r="Y29" s="1017">
        <v>400000</v>
      </c>
      <c r="Z29" s="1017">
        <v>906304</v>
      </c>
      <c r="AA29" s="1018"/>
      <c r="AB29" s="1013"/>
      <c r="AC29" s="1017">
        <v>0</v>
      </c>
      <c r="AD29" s="1017">
        <v>0</v>
      </c>
      <c r="AE29" s="1013">
        <v>39937.5</v>
      </c>
      <c r="AF29" s="1019"/>
      <c r="AG29" s="1019">
        <f t="shared" si="10"/>
        <v>7584242</v>
      </c>
      <c r="AH29" s="1014">
        <v>52</v>
      </c>
      <c r="AI29" s="1014">
        <v>0</v>
      </c>
      <c r="AJ29" s="1014">
        <v>0</v>
      </c>
      <c r="AK29" s="1018">
        <v>0</v>
      </c>
      <c r="AL29" s="1020">
        <v>0</v>
      </c>
      <c r="AM29" s="1013">
        <f t="shared" si="11"/>
        <v>2076750</v>
      </c>
      <c r="AN29" s="1045">
        <f t="shared" si="16"/>
        <v>9660992</v>
      </c>
      <c r="AO29" s="1013">
        <v>581490</v>
      </c>
      <c r="AP29" s="1013">
        <v>44100</v>
      </c>
      <c r="AQ29" s="1013">
        <v>0</v>
      </c>
      <c r="AR29" s="1013">
        <v>0</v>
      </c>
      <c r="AS29" s="1013">
        <v>0</v>
      </c>
      <c r="AT29" s="1045">
        <f t="shared" si="13"/>
        <v>9035402</v>
      </c>
      <c r="AU29" s="1004"/>
      <c r="AV29" s="870"/>
      <c r="AW29" s="782" t="s">
        <v>3370</v>
      </c>
      <c r="AX29" s="782" t="s">
        <v>3371</v>
      </c>
      <c r="AY29" s="1007" t="s">
        <v>287</v>
      </c>
      <c r="AZ29" s="1007">
        <v>622</v>
      </c>
      <c r="BA29" s="347" t="str">
        <f t="shared" si="14"/>
        <v>Box</v>
      </c>
      <c r="BB29" s="1008"/>
      <c r="BC29" s="1009"/>
      <c r="BD29" s="1009"/>
    </row>
    <row r="30" spans="1:56" s="1010" customFormat="1" ht="36.75" customHeight="1">
      <c r="A30" s="661">
        <f>SUBTOTAL(3,B$6:B30)</f>
        <v>25</v>
      </c>
      <c r="B30" s="661" t="s">
        <v>835</v>
      </c>
      <c r="C30" s="662" t="s">
        <v>166</v>
      </c>
      <c r="D30" s="1011">
        <v>45391</v>
      </c>
      <c r="E30" s="1011" t="s">
        <v>216</v>
      </c>
      <c r="F30" s="787" t="s">
        <v>691</v>
      </c>
      <c r="G30" s="996" t="s">
        <v>797</v>
      </c>
      <c r="H30" s="1012">
        <v>5538000</v>
      </c>
      <c r="I30" s="1012">
        <v>0</v>
      </c>
      <c r="J30" s="1012">
        <v>0</v>
      </c>
      <c r="K30" s="1012">
        <v>0</v>
      </c>
      <c r="L30" s="1013">
        <f t="shared" si="5"/>
        <v>5538000</v>
      </c>
      <c r="M30" s="1014">
        <v>24</v>
      </c>
      <c r="N30" s="1013">
        <f t="shared" si="6"/>
        <v>5112000</v>
      </c>
      <c r="O30" s="1015">
        <v>2</v>
      </c>
      <c r="P30" s="1013">
        <f t="shared" si="7"/>
        <v>426000</v>
      </c>
      <c r="Q30" s="1016">
        <v>0</v>
      </c>
      <c r="R30" s="1013">
        <f t="shared" si="8"/>
        <v>0</v>
      </c>
      <c r="S30" s="1013">
        <f t="shared" si="9"/>
        <v>5538000</v>
      </c>
      <c r="T30" s="1017">
        <v>0</v>
      </c>
      <c r="U30" s="785">
        <v>0</v>
      </c>
      <c r="V30" s="785">
        <v>200000</v>
      </c>
      <c r="W30" s="1017">
        <v>500000</v>
      </c>
      <c r="X30" s="1017">
        <v>0</v>
      </c>
      <c r="Y30" s="1017">
        <v>400000</v>
      </c>
      <c r="Z30" s="1017">
        <v>606304</v>
      </c>
      <c r="AA30" s="1018"/>
      <c r="AB30" s="1013"/>
      <c r="AC30" s="1017">
        <v>0</v>
      </c>
      <c r="AD30" s="1017">
        <v>0</v>
      </c>
      <c r="AE30" s="1013">
        <v>0</v>
      </c>
      <c r="AF30" s="1019"/>
      <c r="AG30" s="1019">
        <f t="shared" si="10"/>
        <v>7244304</v>
      </c>
      <c r="AH30" s="1014">
        <v>48</v>
      </c>
      <c r="AI30" s="1014">
        <v>0</v>
      </c>
      <c r="AJ30" s="1014">
        <v>0</v>
      </c>
      <c r="AK30" s="1018">
        <v>0</v>
      </c>
      <c r="AL30" s="1020">
        <v>0</v>
      </c>
      <c r="AM30" s="1013">
        <f t="shared" si="11"/>
        <v>1917000</v>
      </c>
      <c r="AN30" s="1045">
        <f t="shared" si="16"/>
        <v>9161304</v>
      </c>
      <c r="AO30" s="1013">
        <v>581490</v>
      </c>
      <c r="AP30" s="1013">
        <v>44100</v>
      </c>
      <c r="AQ30" s="1013">
        <v>0</v>
      </c>
      <c r="AR30" s="1013">
        <v>0</v>
      </c>
      <c r="AS30" s="1013">
        <v>0</v>
      </c>
      <c r="AT30" s="1045">
        <f t="shared" si="13"/>
        <v>8535714</v>
      </c>
      <c r="AU30" s="1004"/>
      <c r="AV30" s="870"/>
      <c r="AW30" s="782" t="s">
        <v>3372</v>
      </c>
      <c r="AX30" s="782" t="s">
        <v>3373</v>
      </c>
      <c r="AY30" s="1007" t="s">
        <v>287</v>
      </c>
      <c r="AZ30" s="1007">
        <v>622</v>
      </c>
      <c r="BA30" s="347" t="str">
        <f t="shared" si="14"/>
        <v>Box</v>
      </c>
      <c r="BB30" s="1008"/>
      <c r="BC30" s="1009"/>
      <c r="BD30" s="1009"/>
    </row>
    <row r="31" spans="1:56" s="1010" customFormat="1" ht="36.75" customHeight="1">
      <c r="A31" s="661">
        <f>SUBTOTAL(3,B$6:B31)</f>
        <v>26</v>
      </c>
      <c r="B31" s="661" t="s">
        <v>836</v>
      </c>
      <c r="C31" s="662" t="s">
        <v>837</v>
      </c>
      <c r="D31" s="1011">
        <v>45563</v>
      </c>
      <c r="E31" s="1011" t="s">
        <v>216</v>
      </c>
      <c r="F31" s="787" t="s">
        <v>691</v>
      </c>
      <c r="G31" s="996" t="s">
        <v>797</v>
      </c>
      <c r="H31" s="1012">
        <v>5274000</v>
      </c>
      <c r="I31" s="1012">
        <v>0</v>
      </c>
      <c r="J31" s="1012">
        <v>0</v>
      </c>
      <c r="K31" s="1012">
        <v>0</v>
      </c>
      <c r="L31" s="1013">
        <f t="shared" si="5"/>
        <v>5274000</v>
      </c>
      <c r="M31" s="1014">
        <v>24</v>
      </c>
      <c r="N31" s="1013">
        <f t="shared" si="6"/>
        <v>4868308</v>
      </c>
      <c r="O31" s="1015">
        <v>2</v>
      </c>
      <c r="P31" s="1013">
        <f t="shared" si="7"/>
        <v>405692</v>
      </c>
      <c r="Q31" s="1016">
        <v>0</v>
      </c>
      <c r="R31" s="1013">
        <f t="shared" si="8"/>
        <v>0</v>
      </c>
      <c r="S31" s="1013">
        <f t="shared" si="9"/>
        <v>5274000</v>
      </c>
      <c r="T31" s="1017">
        <v>0</v>
      </c>
      <c r="U31" s="785">
        <v>0</v>
      </c>
      <c r="V31" s="785">
        <v>200000</v>
      </c>
      <c r="W31" s="1017">
        <v>500000</v>
      </c>
      <c r="X31" s="1017">
        <v>0</v>
      </c>
      <c r="Y31" s="1017">
        <v>400000</v>
      </c>
      <c r="Z31" s="1017">
        <v>601046</v>
      </c>
      <c r="AA31" s="1018"/>
      <c r="AB31" s="1013"/>
      <c r="AC31" s="1017">
        <v>0</v>
      </c>
      <c r="AD31" s="1017">
        <v>0</v>
      </c>
      <c r="AE31" s="1013">
        <v>38033.65625</v>
      </c>
      <c r="AF31" s="1019"/>
      <c r="AG31" s="1019">
        <f t="shared" si="10"/>
        <v>7013080</v>
      </c>
      <c r="AH31" s="1014">
        <v>46</v>
      </c>
      <c r="AI31" s="1014">
        <v>0</v>
      </c>
      <c r="AJ31" s="1014">
        <v>0</v>
      </c>
      <c r="AK31" s="1018">
        <v>0</v>
      </c>
      <c r="AL31" s="1020">
        <v>0</v>
      </c>
      <c r="AM31" s="1013">
        <f t="shared" si="11"/>
        <v>1749548</v>
      </c>
      <c r="AN31" s="1045">
        <f>ROUND(AG31+AM31,0)</f>
        <v>8762628</v>
      </c>
      <c r="AO31" s="1013">
        <v>553770</v>
      </c>
      <c r="AP31" s="1013">
        <v>44100</v>
      </c>
      <c r="AQ31" s="1013">
        <v>0</v>
      </c>
      <c r="AR31" s="1013">
        <v>0</v>
      </c>
      <c r="AS31" s="1013">
        <v>0</v>
      </c>
      <c r="AT31" s="1045">
        <f t="shared" si="13"/>
        <v>8164758</v>
      </c>
      <c r="AU31" s="1004"/>
      <c r="AV31" s="870"/>
      <c r="AW31" s="782" t="s">
        <v>3374</v>
      </c>
      <c r="AX31" s="782" t="s">
        <v>3375</v>
      </c>
      <c r="AY31" s="1007" t="s">
        <v>287</v>
      </c>
      <c r="AZ31" s="1007">
        <v>622</v>
      </c>
      <c r="BA31" s="347" t="str">
        <f t="shared" si="14"/>
        <v>Box</v>
      </c>
      <c r="BB31" s="1008"/>
      <c r="BC31" s="1009"/>
      <c r="BD31" s="1009"/>
    </row>
    <row r="32" spans="1:56" s="1010" customFormat="1" ht="36.75" customHeight="1">
      <c r="A32" s="661">
        <f>SUBTOTAL(3,B$6:B32)</f>
        <v>27</v>
      </c>
      <c r="B32" s="661" t="s">
        <v>838</v>
      </c>
      <c r="C32" s="662" t="s">
        <v>839</v>
      </c>
      <c r="D32" s="1011">
        <v>45566</v>
      </c>
      <c r="E32" s="1011" t="s">
        <v>216</v>
      </c>
      <c r="F32" s="787" t="s">
        <v>691</v>
      </c>
      <c r="G32" s="996" t="s">
        <v>797</v>
      </c>
      <c r="H32" s="1012">
        <v>5274000</v>
      </c>
      <c r="I32" s="1012">
        <v>0</v>
      </c>
      <c r="J32" s="1012">
        <v>0</v>
      </c>
      <c r="K32" s="1012">
        <v>0</v>
      </c>
      <c r="L32" s="1013">
        <f t="shared" si="5"/>
        <v>5274000</v>
      </c>
      <c r="M32" s="1014">
        <v>24</v>
      </c>
      <c r="N32" s="1013">
        <f t="shared" si="6"/>
        <v>4868308</v>
      </c>
      <c r="O32" s="1015">
        <v>2</v>
      </c>
      <c r="P32" s="1013">
        <f t="shared" si="7"/>
        <v>405692</v>
      </c>
      <c r="Q32" s="1016">
        <v>0</v>
      </c>
      <c r="R32" s="1013">
        <f t="shared" si="8"/>
        <v>0</v>
      </c>
      <c r="S32" s="1013">
        <f t="shared" si="9"/>
        <v>5274000</v>
      </c>
      <c r="T32" s="1017">
        <v>0</v>
      </c>
      <c r="U32" s="785">
        <v>0</v>
      </c>
      <c r="V32" s="785">
        <v>200000</v>
      </c>
      <c r="W32" s="1017">
        <v>500000</v>
      </c>
      <c r="X32" s="1017">
        <v>0</v>
      </c>
      <c r="Y32" s="1017">
        <v>400000</v>
      </c>
      <c r="Z32" s="1017">
        <v>603480</v>
      </c>
      <c r="AA32" s="1018"/>
      <c r="AB32" s="1013"/>
      <c r="AC32" s="1017">
        <v>0</v>
      </c>
      <c r="AD32" s="1017">
        <v>0</v>
      </c>
      <c r="AE32" s="1013">
        <v>38033.65625</v>
      </c>
      <c r="AF32" s="1019"/>
      <c r="AG32" s="1019">
        <f t="shared" si="10"/>
        <v>7015514</v>
      </c>
      <c r="AH32" s="1014">
        <v>52</v>
      </c>
      <c r="AI32" s="1014">
        <v>0</v>
      </c>
      <c r="AJ32" s="1014">
        <v>0</v>
      </c>
      <c r="AK32" s="1018">
        <v>0</v>
      </c>
      <c r="AL32" s="1020">
        <v>0</v>
      </c>
      <c r="AM32" s="1013">
        <f t="shared" si="11"/>
        <v>1977750</v>
      </c>
      <c r="AN32" s="1045">
        <f t="shared" ref="AN32:AN39" si="17">ROUND(AG32+AM32,0)</f>
        <v>8993264</v>
      </c>
      <c r="AO32" s="1013">
        <v>553770</v>
      </c>
      <c r="AP32" s="1013">
        <v>44100</v>
      </c>
      <c r="AQ32" s="1013">
        <v>0</v>
      </c>
      <c r="AR32" s="1013">
        <v>0</v>
      </c>
      <c r="AS32" s="1013">
        <v>0</v>
      </c>
      <c r="AT32" s="1045">
        <f t="shared" si="13"/>
        <v>8395394</v>
      </c>
      <c r="AU32" s="1004"/>
      <c r="AV32" s="870"/>
      <c r="AW32" s="782" t="s">
        <v>3376</v>
      </c>
      <c r="AX32" s="782" t="s">
        <v>3377</v>
      </c>
      <c r="AY32" s="1007" t="s">
        <v>287</v>
      </c>
      <c r="AZ32" s="1007">
        <v>622</v>
      </c>
      <c r="BA32" s="347" t="str">
        <f t="shared" si="14"/>
        <v>Box</v>
      </c>
      <c r="BB32" s="1008"/>
      <c r="BC32" s="1009"/>
      <c r="BD32" s="1009"/>
    </row>
    <row r="33" spans="1:56" s="1010" customFormat="1" ht="36.75" customHeight="1">
      <c r="A33" s="661">
        <f>SUBTOTAL(3,B$6:B33)</f>
        <v>28</v>
      </c>
      <c r="B33" s="661" t="s">
        <v>840</v>
      </c>
      <c r="C33" s="662" t="s">
        <v>841</v>
      </c>
      <c r="D33" s="1011">
        <v>45579</v>
      </c>
      <c r="E33" s="1011" t="s">
        <v>216</v>
      </c>
      <c r="F33" s="787" t="s">
        <v>691</v>
      </c>
      <c r="G33" s="996" t="s">
        <v>797</v>
      </c>
      <c r="H33" s="1012">
        <v>5274000</v>
      </c>
      <c r="I33" s="1012">
        <v>0</v>
      </c>
      <c r="J33" s="1012">
        <v>0</v>
      </c>
      <c r="K33" s="1012">
        <v>0</v>
      </c>
      <c r="L33" s="1013">
        <f t="shared" si="5"/>
        <v>5274000</v>
      </c>
      <c r="M33" s="1014">
        <v>23.6</v>
      </c>
      <c r="N33" s="1013">
        <f t="shared" si="6"/>
        <v>4787169</v>
      </c>
      <c r="O33" s="1015">
        <v>2</v>
      </c>
      <c r="P33" s="1013">
        <f t="shared" si="7"/>
        <v>405692</v>
      </c>
      <c r="Q33" s="1016">
        <v>0</v>
      </c>
      <c r="R33" s="1013">
        <f t="shared" si="8"/>
        <v>0</v>
      </c>
      <c r="S33" s="1013">
        <f t="shared" si="9"/>
        <v>5192861</v>
      </c>
      <c r="T33" s="1017">
        <v>0</v>
      </c>
      <c r="U33" s="785">
        <v>0</v>
      </c>
      <c r="V33" s="785">
        <v>200000</v>
      </c>
      <c r="W33" s="1017">
        <v>500000</v>
      </c>
      <c r="X33" s="1017">
        <v>0</v>
      </c>
      <c r="Y33" s="1017">
        <v>400000</v>
      </c>
      <c r="Z33" s="1017">
        <v>580121</v>
      </c>
      <c r="AA33" s="1018"/>
      <c r="AB33" s="1013"/>
      <c r="AC33" s="1017">
        <v>0</v>
      </c>
      <c r="AD33" s="1017">
        <v>0</v>
      </c>
      <c r="AE33" s="1013">
        <v>38033.652012711857</v>
      </c>
      <c r="AF33" s="1019"/>
      <c r="AG33" s="1019">
        <f t="shared" si="10"/>
        <v>6911016</v>
      </c>
      <c r="AH33" s="1014">
        <v>36</v>
      </c>
      <c r="AI33" s="1014">
        <v>0</v>
      </c>
      <c r="AJ33" s="1014">
        <v>0</v>
      </c>
      <c r="AK33" s="1018">
        <v>0</v>
      </c>
      <c r="AL33" s="1020">
        <v>0</v>
      </c>
      <c r="AM33" s="1013">
        <f t="shared" si="11"/>
        <v>1369211</v>
      </c>
      <c r="AN33" s="1045">
        <f t="shared" si="17"/>
        <v>8280227</v>
      </c>
      <c r="AO33" s="1013">
        <v>553770</v>
      </c>
      <c r="AP33" s="1013">
        <v>44100</v>
      </c>
      <c r="AQ33" s="1013">
        <v>0</v>
      </c>
      <c r="AR33" s="1013">
        <v>0</v>
      </c>
      <c r="AS33" s="1013">
        <v>0</v>
      </c>
      <c r="AT33" s="1045">
        <f t="shared" si="13"/>
        <v>7682357</v>
      </c>
      <c r="AU33" s="1004"/>
      <c r="AV33" s="870"/>
      <c r="AW33" s="782" t="s">
        <v>3378</v>
      </c>
      <c r="AX33" s="782" t="s">
        <v>3379</v>
      </c>
      <c r="AY33" s="1007" t="s">
        <v>287</v>
      </c>
      <c r="AZ33" s="1007">
        <v>622</v>
      </c>
      <c r="BA33" s="347" t="str">
        <f t="shared" si="14"/>
        <v>Box</v>
      </c>
      <c r="BB33" s="1008"/>
      <c r="BC33" s="1009"/>
      <c r="BD33" s="1009"/>
    </row>
    <row r="34" spans="1:56" s="1010" customFormat="1" ht="36.75" customHeight="1">
      <c r="A34" s="661">
        <f>SUBTOTAL(3,B$6:B34)</f>
        <v>29</v>
      </c>
      <c r="B34" s="661" t="s">
        <v>842</v>
      </c>
      <c r="C34" s="662" t="s">
        <v>843</v>
      </c>
      <c r="D34" s="1011">
        <v>45579</v>
      </c>
      <c r="E34" s="1011" t="s">
        <v>216</v>
      </c>
      <c r="F34" s="787" t="s">
        <v>691</v>
      </c>
      <c r="G34" s="996" t="s">
        <v>797</v>
      </c>
      <c r="H34" s="1012">
        <v>5274000</v>
      </c>
      <c r="I34" s="1012">
        <v>0</v>
      </c>
      <c r="J34" s="1012">
        <v>0</v>
      </c>
      <c r="K34" s="1012">
        <v>0</v>
      </c>
      <c r="L34" s="1013">
        <f t="shared" si="5"/>
        <v>5274000</v>
      </c>
      <c r="M34" s="1014">
        <v>22.9</v>
      </c>
      <c r="N34" s="1013">
        <f t="shared" si="6"/>
        <v>4645177</v>
      </c>
      <c r="O34" s="1015">
        <v>3</v>
      </c>
      <c r="P34" s="1013">
        <f t="shared" si="7"/>
        <v>608538</v>
      </c>
      <c r="Q34" s="1016">
        <v>0</v>
      </c>
      <c r="R34" s="1013">
        <f t="shared" si="8"/>
        <v>0</v>
      </c>
      <c r="S34" s="1013">
        <f t="shared" si="9"/>
        <v>5253715</v>
      </c>
      <c r="T34" s="1017">
        <v>0</v>
      </c>
      <c r="U34" s="785">
        <v>0</v>
      </c>
      <c r="V34" s="785">
        <v>200000</v>
      </c>
      <c r="W34" s="1017">
        <v>500000</v>
      </c>
      <c r="X34" s="1017">
        <v>0</v>
      </c>
      <c r="Y34" s="1017">
        <v>400000</v>
      </c>
      <c r="Z34" s="1017">
        <v>579061</v>
      </c>
      <c r="AA34" s="1018"/>
      <c r="AB34" s="1013"/>
      <c r="AC34" s="1017">
        <v>0</v>
      </c>
      <c r="AD34" s="1017">
        <v>0</v>
      </c>
      <c r="AE34" s="1013">
        <v>38033.654475982534</v>
      </c>
      <c r="AF34" s="1019"/>
      <c r="AG34" s="1019">
        <f t="shared" si="10"/>
        <v>6970810</v>
      </c>
      <c r="AH34" s="1014">
        <v>52</v>
      </c>
      <c r="AI34" s="1014">
        <v>0</v>
      </c>
      <c r="AJ34" s="1014">
        <v>0</v>
      </c>
      <c r="AK34" s="1018">
        <v>0</v>
      </c>
      <c r="AL34" s="1020">
        <v>0</v>
      </c>
      <c r="AM34" s="1013">
        <f t="shared" si="11"/>
        <v>1977750</v>
      </c>
      <c r="AN34" s="1045">
        <f t="shared" si="17"/>
        <v>8948560</v>
      </c>
      <c r="AO34" s="1013">
        <v>553770</v>
      </c>
      <c r="AP34" s="1013">
        <v>44100</v>
      </c>
      <c r="AQ34" s="1013">
        <v>0</v>
      </c>
      <c r="AR34" s="1013">
        <v>0</v>
      </c>
      <c r="AS34" s="1013">
        <v>0</v>
      </c>
      <c r="AT34" s="1045">
        <f t="shared" si="13"/>
        <v>8350690</v>
      </c>
      <c r="AU34" s="1004"/>
      <c r="AV34" s="870"/>
      <c r="AW34" s="782" t="s">
        <v>3380</v>
      </c>
      <c r="AX34" s="782" t="s">
        <v>3381</v>
      </c>
      <c r="AY34" s="1007" t="s">
        <v>287</v>
      </c>
      <c r="AZ34" s="1007">
        <v>622</v>
      </c>
      <c r="BA34" s="347" t="str">
        <f t="shared" si="14"/>
        <v>Box</v>
      </c>
      <c r="BB34" s="1008"/>
      <c r="BC34" s="1009"/>
      <c r="BD34" s="1009"/>
    </row>
    <row r="35" spans="1:56" s="1010" customFormat="1" ht="36.75" customHeight="1">
      <c r="A35" s="661">
        <f>SUBTOTAL(3,B$6:B35)</f>
        <v>30</v>
      </c>
      <c r="B35" s="661" t="s">
        <v>844</v>
      </c>
      <c r="C35" s="662" t="s">
        <v>845</v>
      </c>
      <c r="D35" s="1011">
        <v>45701</v>
      </c>
      <c r="E35" s="1011" t="s">
        <v>216</v>
      </c>
      <c r="F35" s="787" t="s">
        <v>691</v>
      </c>
      <c r="G35" s="996" t="s">
        <v>797</v>
      </c>
      <c r="H35" s="1012">
        <v>5023000</v>
      </c>
      <c r="I35" s="1012">
        <v>0</v>
      </c>
      <c r="J35" s="1012">
        <v>0</v>
      </c>
      <c r="K35" s="1012">
        <v>0</v>
      </c>
      <c r="L35" s="1013">
        <f t="shared" si="5"/>
        <v>5023000</v>
      </c>
      <c r="M35" s="1014">
        <v>22</v>
      </c>
      <c r="N35" s="1013">
        <f t="shared" si="6"/>
        <v>4250231</v>
      </c>
      <c r="O35" s="1015">
        <v>4</v>
      </c>
      <c r="P35" s="1013">
        <f t="shared" si="7"/>
        <v>772769</v>
      </c>
      <c r="Q35" s="1016">
        <v>0</v>
      </c>
      <c r="R35" s="1013">
        <f t="shared" si="8"/>
        <v>0</v>
      </c>
      <c r="S35" s="1013">
        <f t="shared" si="9"/>
        <v>5023000</v>
      </c>
      <c r="T35" s="1017">
        <v>0</v>
      </c>
      <c r="U35" s="785">
        <v>0</v>
      </c>
      <c r="V35" s="785">
        <v>200000</v>
      </c>
      <c r="W35" s="1017">
        <v>500000</v>
      </c>
      <c r="X35" s="1017">
        <v>0</v>
      </c>
      <c r="Y35" s="1017">
        <v>400000</v>
      </c>
      <c r="Z35" s="1017">
        <v>553593</v>
      </c>
      <c r="AA35" s="1018"/>
      <c r="AB35" s="1013"/>
      <c r="AC35" s="1017">
        <v>0</v>
      </c>
      <c r="AD35" s="1017">
        <v>0</v>
      </c>
      <c r="AE35" s="1013">
        <v>36223.559659090912</v>
      </c>
      <c r="AF35" s="1019"/>
      <c r="AG35" s="1019">
        <f t="shared" si="10"/>
        <v>6712817</v>
      </c>
      <c r="AH35" s="1014">
        <v>48</v>
      </c>
      <c r="AI35" s="1014">
        <v>0</v>
      </c>
      <c r="AJ35" s="1014">
        <v>0</v>
      </c>
      <c r="AK35" s="1018">
        <v>0</v>
      </c>
      <c r="AL35" s="1020">
        <v>0</v>
      </c>
      <c r="AM35" s="1013">
        <f t="shared" si="11"/>
        <v>1738731</v>
      </c>
      <c r="AN35" s="1045">
        <f t="shared" si="17"/>
        <v>8451548</v>
      </c>
      <c r="AO35" s="1013">
        <v>527415</v>
      </c>
      <c r="AP35" s="1013">
        <v>44100</v>
      </c>
      <c r="AQ35" s="1013">
        <v>0</v>
      </c>
      <c r="AR35" s="1013">
        <v>0</v>
      </c>
      <c r="AS35" s="1013">
        <v>0</v>
      </c>
      <c r="AT35" s="1045">
        <f t="shared" si="13"/>
        <v>7880033</v>
      </c>
      <c r="AU35" s="1004"/>
      <c r="AV35" s="870"/>
      <c r="AW35" s="782" t="s">
        <v>3382</v>
      </c>
      <c r="AX35" s="782" t="s">
        <v>3383</v>
      </c>
      <c r="AY35" s="1007" t="s">
        <v>287</v>
      </c>
      <c r="AZ35" s="1007">
        <v>622</v>
      </c>
      <c r="BA35" s="347" t="str">
        <f t="shared" si="14"/>
        <v>Box</v>
      </c>
      <c r="BB35" s="1008"/>
      <c r="BC35" s="1009"/>
      <c r="BD35" s="1009"/>
    </row>
    <row r="36" spans="1:56" s="1010" customFormat="1" ht="36.75" customHeight="1">
      <c r="A36" s="661">
        <f>SUBTOTAL(3,B$6:B36)</f>
        <v>31</v>
      </c>
      <c r="B36" s="661" t="s">
        <v>846</v>
      </c>
      <c r="C36" s="662" t="s">
        <v>847</v>
      </c>
      <c r="D36" s="1011">
        <v>45720</v>
      </c>
      <c r="E36" s="1011" t="s">
        <v>216</v>
      </c>
      <c r="F36" s="787" t="s">
        <v>691</v>
      </c>
      <c r="G36" s="996" t="s">
        <v>797</v>
      </c>
      <c r="H36" s="1012">
        <v>5023000</v>
      </c>
      <c r="I36" s="1012">
        <v>0</v>
      </c>
      <c r="J36" s="1012">
        <v>0</v>
      </c>
      <c r="K36" s="1012">
        <v>0</v>
      </c>
      <c r="L36" s="1013">
        <f t="shared" si="5"/>
        <v>5023000</v>
      </c>
      <c r="M36" s="1014">
        <v>24</v>
      </c>
      <c r="N36" s="1013">
        <f t="shared" si="6"/>
        <v>4636615</v>
      </c>
      <c r="O36" s="1015">
        <v>2</v>
      </c>
      <c r="P36" s="1013">
        <f t="shared" si="7"/>
        <v>386385</v>
      </c>
      <c r="Q36" s="1016">
        <v>0</v>
      </c>
      <c r="R36" s="1013">
        <f t="shared" si="8"/>
        <v>0</v>
      </c>
      <c r="S36" s="1013">
        <f t="shared" si="9"/>
        <v>5023000</v>
      </c>
      <c r="T36" s="1017">
        <v>0</v>
      </c>
      <c r="U36" s="785">
        <v>0</v>
      </c>
      <c r="V36" s="785">
        <v>200000</v>
      </c>
      <c r="W36" s="1017">
        <v>500000</v>
      </c>
      <c r="X36" s="1017">
        <v>0</v>
      </c>
      <c r="Y36" s="1017">
        <v>400000</v>
      </c>
      <c r="Z36" s="1017">
        <v>906304</v>
      </c>
      <c r="AA36" s="1018"/>
      <c r="AB36" s="1013"/>
      <c r="AC36" s="1017">
        <v>0</v>
      </c>
      <c r="AD36" s="1017">
        <v>0</v>
      </c>
      <c r="AE36" s="1013">
        <v>0</v>
      </c>
      <c r="AF36" s="1019"/>
      <c r="AG36" s="1019">
        <f t="shared" si="10"/>
        <v>7029304</v>
      </c>
      <c r="AH36" s="1014">
        <v>52</v>
      </c>
      <c r="AI36" s="1014">
        <v>0</v>
      </c>
      <c r="AJ36" s="1014">
        <v>0</v>
      </c>
      <c r="AK36" s="1018">
        <v>0</v>
      </c>
      <c r="AL36" s="1020">
        <v>0</v>
      </c>
      <c r="AM36" s="1013">
        <f t="shared" si="11"/>
        <v>1883625</v>
      </c>
      <c r="AN36" s="1045">
        <f t="shared" si="17"/>
        <v>8912929</v>
      </c>
      <c r="AO36" s="1013">
        <v>527415</v>
      </c>
      <c r="AP36" s="1013">
        <v>44100</v>
      </c>
      <c r="AQ36" s="1013">
        <v>0</v>
      </c>
      <c r="AR36" s="1013">
        <v>0</v>
      </c>
      <c r="AS36" s="1013">
        <v>56943</v>
      </c>
      <c r="AT36" s="1045">
        <f t="shared" si="13"/>
        <v>8284471</v>
      </c>
      <c r="AU36" s="1004"/>
      <c r="AV36" s="870"/>
      <c r="AW36" s="782" t="s">
        <v>3384</v>
      </c>
      <c r="AX36" s="782" t="s">
        <v>3385</v>
      </c>
      <c r="AY36" s="1007" t="s">
        <v>287</v>
      </c>
      <c r="AZ36" s="1007">
        <v>622</v>
      </c>
      <c r="BA36" s="347" t="str">
        <f t="shared" si="14"/>
        <v>Box</v>
      </c>
      <c r="BB36" s="1008"/>
      <c r="BC36" s="1009"/>
      <c r="BD36" s="1009"/>
    </row>
    <row r="37" spans="1:56" s="1010" customFormat="1" ht="36.75" customHeight="1">
      <c r="A37" s="661">
        <f>SUBTOTAL(3,B$6:B37)</f>
        <v>32</v>
      </c>
      <c r="B37" s="661" t="s">
        <v>848</v>
      </c>
      <c r="C37" s="662" t="s">
        <v>849</v>
      </c>
      <c r="D37" s="1011">
        <v>40233</v>
      </c>
      <c r="E37" s="1011" t="s">
        <v>216</v>
      </c>
      <c r="F37" s="787" t="s">
        <v>691</v>
      </c>
      <c r="G37" s="996" t="s">
        <v>850</v>
      </c>
      <c r="H37" s="1012">
        <v>5931000</v>
      </c>
      <c r="I37" s="1012">
        <v>2300000</v>
      </c>
      <c r="J37" s="1012">
        <v>0</v>
      </c>
      <c r="K37" s="1012">
        <v>700000</v>
      </c>
      <c r="L37" s="1013">
        <f t="shared" si="5"/>
        <v>8931000</v>
      </c>
      <c r="M37" s="1014">
        <v>24</v>
      </c>
      <c r="N37" s="1013">
        <f t="shared" si="6"/>
        <v>8244000</v>
      </c>
      <c r="O37" s="1015">
        <v>2</v>
      </c>
      <c r="P37" s="1013">
        <f t="shared" si="7"/>
        <v>687000</v>
      </c>
      <c r="Q37" s="1016">
        <v>0</v>
      </c>
      <c r="R37" s="1013">
        <f t="shared" si="8"/>
        <v>0</v>
      </c>
      <c r="S37" s="1013">
        <f t="shared" si="9"/>
        <v>8931000</v>
      </c>
      <c r="T37" s="1017">
        <v>0</v>
      </c>
      <c r="U37" s="785">
        <v>0</v>
      </c>
      <c r="V37" s="785">
        <v>200000</v>
      </c>
      <c r="W37" s="1017">
        <v>500000</v>
      </c>
      <c r="X37" s="1017">
        <v>0</v>
      </c>
      <c r="Y37" s="1017">
        <v>400000</v>
      </c>
      <c r="Z37" s="1017">
        <v>893130</v>
      </c>
      <c r="AA37" s="1018"/>
      <c r="AB37" s="1013"/>
      <c r="AC37" s="1017">
        <v>0</v>
      </c>
      <c r="AD37" s="1017">
        <v>0</v>
      </c>
      <c r="AE37" s="1013">
        <v>64406.25</v>
      </c>
      <c r="AF37" s="1019"/>
      <c r="AG37" s="1019">
        <f t="shared" si="10"/>
        <v>10988536</v>
      </c>
      <c r="AH37" s="1014">
        <v>48</v>
      </c>
      <c r="AI37" s="1014">
        <v>0</v>
      </c>
      <c r="AJ37" s="1014">
        <v>0</v>
      </c>
      <c r="AK37" s="1018">
        <v>0</v>
      </c>
      <c r="AL37" s="1020">
        <v>0</v>
      </c>
      <c r="AM37" s="1013">
        <f t="shared" si="11"/>
        <v>3091500</v>
      </c>
      <c r="AN37" s="1045">
        <f t="shared" si="17"/>
        <v>14080036</v>
      </c>
      <c r="AO37" s="1013">
        <v>937755</v>
      </c>
      <c r="AP37" s="1013">
        <v>44100</v>
      </c>
      <c r="AQ37" s="1013">
        <v>0</v>
      </c>
      <c r="AR37" s="1013">
        <v>0</v>
      </c>
      <c r="AS37" s="1013">
        <v>0</v>
      </c>
      <c r="AT37" s="1045">
        <f t="shared" si="13"/>
        <v>13098181</v>
      </c>
      <c r="AU37" s="1004"/>
      <c r="AV37" s="870"/>
      <c r="AW37" s="782" t="s">
        <v>3386</v>
      </c>
      <c r="AX37" s="782" t="s">
        <v>3387</v>
      </c>
      <c r="AY37" s="1007" t="s">
        <v>287</v>
      </c>
      <c r="AZ37" s="1007">
        <v>622</v>
      </c>
      <c r="BA37" s="347" t="str">
        <f t="shared" si="14"/>
        <v>Box</v>
      </c>
      <c r="BB37" s="1008"/>
      <c r="BC37" s="1009"/>
      <c r="BD37" s="1009"/>
    </row>
    <row r="38" spans="1:56" s="1010" customFormat="1" ht="36.75" customHeight="1">
      <c r="A38" s="661">
        <f>SUBTOTAL(3,B$6:B38)</f>
        <v>33</v>
      </c>
      <c r="B38" s="661" t="s">
        <v>851</v>
      </c>
      <c r="C38" s="662" t="s">
        <v>852</v>
      </c>
      <c r="D38" s="1011">
        <v>39916</v>
      </c>
      <c r="E38" s="1011" t="s">
        <v>216</v>
      </c>
      <c r="F38" s="787" t="s">
        <v>691</v>
      </c>
      <c r="G38" s="996" t="s">
        <v>786</v>
      </c>
      <c r="H38" s="1012">
        <v>5931000</v>
      </c>
      <c r="I38" s="1012">
        <v>200000</v>
      </c>
      <c r="J38" s="1012">
        <v>0</v>
      </c>
      <c r="K38" s="1012">
        <v>300000</v>
      </c>
      <c r="L38" s="1013">
        <f t="shared" si="5"/>
        <v>6431000</v>
      </c>
      <c r="M38" s="1014">
        <v>24</v>
      </c>
      <c r="N38" s="1013">
        <f t="shared" si="6"/>
        <v>5936308</v>
      </c>
      <c r="O38" s="1015">
        <v>2</v>
      </c>
      <c r="P38" s="1013">
        <f t="shared" si="7"/>
        <v>494692</v>
      </c>
      <c r="Q38" s="1016">
        <v>0</v>
      </c>
      <c r="R38" s="1013">
        <f t="shared" si="8"/>
        <v>0</v>
      </c>
      <c r="S38" s="1013">
        <f t="shared" si="9"/>
        <v>6431000</v>
      </c>
      <c r="T38" s="1017">
        <v>0</v>
      </c>
      <c r="U38" s="785">
        <v>0</v>
      </c>
      <c r="V38" s="785">
        <v>200000</v>
      </c>
      <c r="W38" s="1017">
        <v>500000</v>
      </c>
      <c r="X38" s="1017">
        <v>0</v>
      </c>
      <c r="Y38" s="1017">
        <v>400000</v>
      </c>
      <c r="Z38" s="1017">
        <v>603480</v>
      </c>
      <c r="AA38" s="1018"/>
      <c r="AB38" s="1013"/>
      <c r="AC38" s="1017">
        <v>100000</v>
      </c>
      <c r="AD38" s="1017">
        <v>0</v>
      </c>
      <c r="AE38" s="1013">
        <v>46377.40625</v>
      </c>
      <c r="AF38" s="1019"/>
      <c r="AG38" s="1019">
        <f t="shared" si="10"/>
        <v>8280857</v>
      </c>
      <c r="AH38" s="1014">
        <v>52</v>
      </c>
      <c r="AI38" s="1014">
        <v>0</v>
      </c>
      <c r="AJ38" s="1014">
        <v>0</v>
      </c>
      <c r="AK38" s="1018">
        <v>0</v>
      </c>
      <c r="AL38" s="1020">
        <v>0</v>
      </c>
      <c r="AM38" s="1013">
        <f t="shared" si="11"/>
        <v>2411625</v>
      </c>
      <c r="AN38" s="1045">
        <f t="shared" si="17"/>
        <v>10692482</v>
      </c>
      <c r="AO38" s="1013">
        <v>675255</v>
      </c>
      <c r="AP38" s="1013">
        <v>44100</v>
      </c>
      <c r="AQ38" s="1013">
        <v>0</v>
      </c>
      <c r="AR38" s="1013">
        <v>0</v>
      </c>
      <c r="AS38" s="1013">
        <v>0</v>
      </c>
      <c r="AT38" s="1045">
        <f t="shared" si="13"/>
        <v>9973127</v>
      </c>
      <c r="AU38" s="1004"/>
      <c r="AV38" s="870"/>
      <c r="AW38" s="782" t="s">
        <v>3388</v>
      </c>
      <c r="AX38" s="782" t="s">
        <v>3389</v>
      </c>
      <c r="AY38" s="1007" t="s">
        <v>287</v>
      </c>
      <c r="AZ38" s="1007">
        <v>622</v>
      </c>
      <c r="BA38" s="347" t="str">
        <f t="shared" si="14"/>
        <v>Box</v>
      </c>
      <c r="BB38" s="1008"/>
      <c r="BC38" s="1009"/>
      <c r="BD38" s="1009"/>
    </row>
    <row r="39" spans="1:56" s="1010" customFormat="1" ht="36.75" customHeight="1">
      <c r="A39" s="661">
        <f>SUBTOTAL(3,B$6:B39)</f>
        <v>34</v>
      </c>
      <c r="B39" s="661" t="s">
        <v>853</v>
      </c>
      <c r="C39" s="662" t="s">
        <v>854</v>
      </c>
      <c r="D39" s="1011">
        <v>40584</v>
      </c>
      <c r="E39" s="1011" t="s">
        <v>216</v>
      </c>
      <c r="F39" s="787" t="s">
        <v>691</v>
      </c>
      <c r="G39" s="996" t="s">
        <v>810</v>
      </c>
      <c r="H39" s="1012">
        <v>5931000</v>
      </c>
      <c r="I39" s="1012">
        <v>1100000</v>
      </c>
      <c r="J39" s="1012">
        <v>0</v>
      </c>
      <c r="K39" s="1012">
        <v>0</v>
      </c>
      <c r="L39" s="1013">
        <f t="shared" si="5"/>
        <v>7031000</v>
      </c>
      <c r="M39" s="1014">
        <v>22.9</v>
      </c>
      <c r="N39" s="1013">
        <f t="shared" si="6"/>
        <v>6192688</v>
      </c>
      <c r="O39" s="1015">
        <v>3</v>
      </c>
      <c r="P39" s="1013">
        <f t="shared" si="7"/>
        <v>811269</v>
      </c>
      <c r="Q39" s="1016">
        <v>0</v>
      </c>
      <c r="R39" s="1013">
        <f t="shared" si="8"/>
        <v>0</v>
      </c>
      <c r="S39" s="1013">
        <f t="shared" si="9"/>
        <v>7003957</v>
      </c>
      <c r="T39" s="1017">
        <v>0</v>
      </c>
      <c r="U39" s="785">
        <v>0</v>
      </c>
      <c r="V39" s="785">
        <v>200000</v>
      </c>
      <c r="W39" s="1017">
        <v>500000</v>
      </c>
      <c r="X39" s="1017">
        <v>0</v>
      </c>
      <c r="Y39" s="1017">
        <v>400000</v>
      </c>
      <c r="Z39" s="1017">
        <v>565944</v>
      </c>
      <c r="AA39" s="1018"/>
      <c r="AB39" s="1013"/>
      <c r="AC39" s="1017">
        <v>0</v>
      </c>
      <c r="AD39" s="1017">
        <v>0</v>
      </c>
      <c r="AE39" s="1013">
        <v>0</v>
      </c>
      <c r="AF39" s="1019"/>
      <c r="AG39" s="1019">
        <f t="shared" si="10"/>
        <v>8669901</v>
      </c>
      <c r="AH39" s="1014">
        <v>48</v>
      </c>
      <c r="AI39" s="1014">
        <v>0</v>
      </c>
      <c r="AJ39" s="1014">
        <v>0</v>
      </c>
      <c r="AK39" s="1018">
        <v>0</v>
      </c>
      <c r="AL39" s="1020">
        <v>0</v>
      </c>
      <c r="AM39" s="1013">
        <f t="shared" si="11"/>
        <v>2433808</v>
      </c>
      <c r="AN39" s="1045">
        <f t="shared" si="17"/>
        <v>11103709</v>
      </c>
      <c r="AO39" s="1013">
        <v>738255</v>
      </c>
      <c r="AP39" s="1013">
        <v>44100</v>
      </c>
      <c r="AQ39" s="1013">
        <v>0</v>
      </c>
      <c r="AR39" s="1013">
        <v>0</v>
      </c>
      <c r="AS39" s="1013">
        <v>0</v>
      </c>
      <c r="AT39" s="1045">
        <f t="shared" si="13"/>
        <v>10321354</v>
      </c>
      <c r="AU39" s="1004"/>
      <c r="AV39" s="870"/>
      <c r="AW39" s="782" t="s">
        <v>3390</v>
      </c>
      <c r="AX39" s="782" t="s">
        <v>3391</v>
      </c>
      <c r="AY39" s="1007" t="s">
        <v>287</v>
      </c>
      <c r="AZ39" s="1007">
        <v>622</v>
      </c>
      <c r="BA39" s="347" t="str">
        <f t="shared" si="14"/>
        <v>Box</v>
      </c>
      <c r="BB39" s="1008"/>
      <c r="BC39" s="1009"/>
      <c r="BD39" s="1009"/>
    </row>
    <row r="40" spans="1:56" s="1010" customFormat="1" ht="36.75" customHeight="1">
      <c r="A40" s="661">
        <f>SUBTOTAL(3,B$6:B40)</f>
        <v>35</v>
      </c>
      <c r="B40" s="661" t="s">
        <v>855</v>
      </c>
      <c r="C40" s="662" t="s">
        <v>856</v>
      </c>
      <c r="D40" s="1011">
        <v>40990</v>
      </c>
      <c r="E40" s="1011" t="s">
        <v>216</v>
      </c>
      <c r="F40" s="787" t="s">
        <v>691</v>
      </c>
      <c r="G40" s="996" t="s">
        <v>786</v>
      </c>
      <c r="H40" s="1012">
        <v>5931000</v>
      </c>
      <c r="I40" s="1012">
        <v>200000</v>
      </c>
      <c r="J40" s="1012">
        <v>0</v>
      </c>
      <c r="K40" s="1012">
        <v>300000</v>
      </c>
      <c r="L40" s="1013">
        <f t="shared" si="5"/>
        <v>6431000</v>
      </c>
      <c r="M40" s="1014">
        <v>24</v>
      </c>
      <c r="N40" s="1013">
        <f t="shared" si="6"/>
        <v>5936308</v>
      </c>
      <c r="O40" s="1015">
        <v>2</v>
      </c>
      <c r="P40" s="1013">
        <f t="shared" si="7"/>
        <v>494692</v>
      </c>
      <c r="Q40" s="1016">
        <v>0</v>
      </c>
      <c r="R40" s="1013">
        <f t="shared" si="8"/>
        <v>0</v>
      </c>
      <c r="S40" s="1013">
        <f t="shared" si="9"/>
        <v>6431000</v>
      </c>
      <c r="T40" s="1017">
        <v>0</v>
      </c>
      <c r="U40" s="785">
        <v>0</v>
      </c>
      <c r="V40" s="785">
        <v>200000</v>
      </c>
      <c r="W40" s="1017">
        <v>500000</v>
      </c>
      <c r="X40" s="1017">
        <v>0</v>
      </c>
      <c r="Y40" s="1017">
        <v>400000</v>
      </c>
      <c r="Z40" s="1017">
        <v>603480</v>
      </c>
      <c r="AA40" s="1018"/>
      <c r="AB40" s="1013"/>
      <c r="AC40" s="1017">
        <v>0</v>
      </c>
      <c r="AD40" s="1017">
        <v>0</v>
      </c>
      <c r="AE40" s="1013">
        <v>46377.40625</v>
      </c>
      <c r="AF40" s="1019"/>
      <c r="AG40" s="1019">
        <f t="shared" si="10"/>
        <v>8180857</v>
      </c>
      <c r="AH40" s="1014">
        <v>52</v>
      </c>
      <c r="AI40" s="1014">
        <v>0</v>
      </c>
      <c r="AJ40" s="1014">
        <v>0</v>
      </c>
      <c r="AK40" s="1018">
        <v>0</v>
      </c>
      <c r="AL40" s="1020">
        <v>0</v>
      </c>
      <c r="AM40" s="1013">
        <f t="shared" si="11"/>
        <v>2411625</v>
      </c>
      <c r="AN40" s="1045">
        <f>ROUND(AG40+AM40,0)</f>
        <v>10592482</v>
      </c>
      <c r="AO40" s="1013">
        <v>675255</v>
      </c>
      <c r="AP40" s="1013">
        <v>44100</v>
      </c>
      <c r="AQ40" s="1013">
        <v>0</v>
      </c>
      <c r="AR40" s="1013">
        <v>0</v>
      </c>
      <c r="AS40" s="1013">
        <v>0</v>
      </c>
      <c r="AT40" s="1045">
        <f t="shared" si="13"/>
        <v>9873127</v>
      </c>
      <c r="AU40" s="1004"/>
      <c r="AV40" s="870"/>
      <c r="AW40" s="782" t="s">
        <v>3392</v>
      </c>
      <c r="AX40" s="782" t="s">
        <v>3393</v>
      </c>
      <c r="AY40" s="1007" t="s">
        <v>287</v>
      </c>
      <c r="AZ40" s="1007">
        <v>622</v>
      </c>
      <c r="BA40" s="347" t="str">
        <f t="shared" si="14"/>
        <v>Box</v>
      </c>
      <c r="BB40" s="1008"/>
      <c r="BC40" s="1009"/>
      <c r="BD40" s="1009"/>
    </row>
    <row r="41" spans="1:56" s="1010" customFormat="1" ht="36.75" customHeight="1">
      <c r="A41" s="661">
        <f>SUBTOTAL(3,B$6:B41)</f>
        <v>36</v>
      </c>
      <c r="B41" s="661" t="s">
        <v>857</v>
      </c>
      <c r="C41" s="662" t="s">
        <v>858</v>
      </c>
      <c r="D41" s="1011">
        <v>41750</v>
      </c>
      <c r="E41" s="1011" t="s">
        <v>216</v>
      </c>
      <c r="F41" s="787" t="s">
        <v>691</v>
      </c>
      <c r="G41" s="996" t="s">
        <v>786</v>
      </c>
      <c r="H41" s="1012">
        <v>5931000</v>
      </c>
      <c r="I41" s="1012">
        <v>200000</v>
      </c>
      <c r="J41" s="1012">
        <v>0</v>
      </c>
      <c r="K41" s="1012">
        <v>300000</v>
      </c>
      <c r="L41" s="1013">
        <f t="shared" si="5"/>
        <v>6431000</v>
      </c>
      <c r="M41" s="1014">
        <v>24</v>
      </c>
      <c r="N41" s="1013">
        <f t="shared" si="6"/>
        <v>5936308</v>
      </c>
      <c r="O41" s="1015">
        <v>2</v>
      </c>
      <c r="P41" s="1013">
        <f t="shared" si="7"/>
        <v>494692</v>
      </c>
      <c r="Q41" s="1016">
        <v>0</v>
      </c>
      <c r="R41" s="1013">
        <f t="shared" si="8"/>
        <v>0</v>
      </c>
      <c r="S41" s="1013">
        <f t="shared" si="9"/>
        <v>6431000</v>
      </c>
      <c r="T41" s="1017">
        <v>0</v>
      </c>
      <c r="U41" s="785">
        <v>0</v>
      </c>
      <c r="V41" s="785">
        <v>200000</v>
      </c>
      <c r="W41" s="1017">
        <v>500000</v>
      </c>
      <c r="X41" s="1017">
        <v>0</v>
      </c>
      <c r="Y41" s="1017">
        <v>400000</v>
      </c>
      <c r="Z41" s="1017">
        <v>906304</v>
      </c>
      <c r="AA41" s="1018"/>
      <c r="AB41" s="1013"/>
      <c r="AC41" s="1017">
        <v>0</v>
      </c>
      <c r="AD41" s="1017">
        <v>0</v>
      </c>
      <c r="AE41" s="1013">
        <v>46377.40625</v>
      </c>
      <c r="AF41" s="1019"/>
      <c r="AG41" s="1019">
        <f t="shared" si="10"/>
        <v>8483681</v>
      </c>
      <c r="AH41" s="1014">
        <v>52</v>
      </c>
      <c r="AI41" s="1014">
        <v>0</v>
      </c>
      <c r="AJ41" s="1014">
        <v>0</v>
      </c>
      <c r="AK41" s="1018">
        <v>0</v>
      </c>
      <c r="AL41" s="1020">
        <v>0</v>
      </c>
      <c r="AM41" s="1013">
        <f t="shared" si="11"/>
        <v>2411625</v>
      </c>
      <c r="AN41" s="1045">
        <f t="shared" ref="AN41:AN57" si="18">ROUND(AG41+AM41,0)</f>
        <v>10895306</v>
      </c>
      <c r="AO41" s="1013">
        <v>675255</v>
      </c>
      <c r="AP41" s="1013">
        <v>44100</v>
      </c>
      <c r="AQ41" s="1013">
        <v>0</v>
      </c>
      <c r="AR41" s="1013">
        <v>0</v>
      </c>
      <c r="AS41" s="1013">
        <v>0</v>
      </c>
      <c r="AT41" s="1045">
        <f t="shared" si="13"/>
        <v>10175951</v>
      </c>
      <c r="AU41" s="1004"/>
      <c r="AV41" s="870"/>
      <c r="AW41" s="782" t="s">
        <v>3394</v>
      </c>
      <c r="AX41" s="782" t="s">
        <v>3395</v>
      </c>
      <c r="AY41" s="1007" t="s">
        <v>287</v>
      </c>
      <c r="AZ41" s="1007">
        <v>622</v>
      </c>
      <c r="BA41" s="347" t="str">
        <f t="shared" si="14"/>
        <v>Box</v>
      </c>
      <c r="BB41" s="1008"/>
      <c r="BC41" s="1009"/>
      <c r="BD41" s="1009"/>
    </row>
    <row r="42" spans="1:56" s="1010" customFormat="1" ht="36.75" customHeight="1">
      <c r="A42" s="661">
        <f>SUBTOTAL(3,B$6:B42)</f>
        <v>37</v>
      </c>
      <c r="B42" s="661" t="s">
        <v>859</v>
      </c>
      <c r="C42" s="662" t="s">
        <v>161</v>
      </c>
      <c r="D42" s="1011">
        <v>42608</v>
      </c>
      <c r="E42" s="1011" t="s">
        <v>216</v>
      </c>
      <c r="F42" s="787" t="s">
        <v>691</v>
      </c>
      <c r="G42" s="996" t="s">
        <v>786</v>
      </c>
      <c r="H42" s="1012">
        <v>5931000</v>
      </c>
      <c r="I42" s="1012">
        <v>200000</v>
      </c>
      <c r="J42" s="1012">
        <v>0</v>
      </c>
      <c r="K42" s="1012">
        <v>0</v>
      </c>
      <c r="L42" s="1013">
        <f t="shared" si="5"/>
        <v>6131000</v>
      </c>
      <c r="M42" s="1014">
        <v>22.7</v>
      </c>
      <c r="N42" s="1013">
        <f t="shared" si="6"/>
        <v>5352835</v>
      </c>
      <c r="O42" s="1015">
        <v>3</v>
      </c>
      <c r="P42" s="1013">
        <f t="shared" si="7"/>
        <v>707423</v>
      </c>
      <c r="Q42" s="1016">
        <v>0</v>
      </c>
      <c r="R42" s="1013">
        <f t="shared" si="8"/>
        <v>0</v>
      </c>
      <c r="S42" s="1013">
        <f t="shared" si="9"/>
        <v>6060258</v>
      </c>
      <c r="T42" s="1017">
        <v>0</v>
      </c>
      <c r="U42" s="785">
        <v>0</v>
      </c>
      <c r="V42" s="785">
        <v>200000</v>
      </c>
      <c r="W42" s="1017">
        <v>500000</v>
      </c>
      <c r="X42" s="1017">
        <v>0</v>
      </c>
      <c r="Y42" s="1017">
        <v>400000</v>
      </c>
      <c r="Z42" s="1017">
        <v>584894</v>
      </c>
      <c r="AA42" s="1018"/>
      <c r="AB42" s="1013"/>
      <c r="AC42" s="1017">
        <v>100000</v>
      </c>
      <c r="AD42" s="1017">
        <v>0</v>
      </c>
      <c r="AE42" s="1013">
        <v>44213.945484581498</v>
      </c>
      <c r="AF42" s="1019"/>
      <c r="AG42" s="1019">
        <f t="shared" si="10"/>
        <v>7889366</v>
      </c>
      <c r="AH42" s="1014">
        <v>48</v>
      </c>
      <c r="AI42" s="1014">
        <v>0</v>
      </c>
      <c r="AJ42" s="1014">
        <v>0</v>
      </c>
      <c r="AK42" s="1018">
        <v>0</v>
      </c>
      <c r="AL42" s="1020">
        <v>0</v>
      </c>
      <c r="AM42" s="1013">
        <f t="shared" si="11"/>
        <v>2122269</v>
      </c>
      <c r="AN42" s="1045">
        <f t="shared" si="18"/>
        <v>10011635</v>
      </c>
      <c r="AO42" s="1013">
        <v>643755</v>
      </c>
      <c r="AP42" s="1013">
        <v>44100</v>
      </c>
      <c r="AQ42" s="1013">
        <v>0</v>
      </c>
      <c r="AR42" s="1013">
        <v>0</v>
      </c>
      <c r="AS42" s="1013">
        <v>0</v>
      </c>
      <c r="AT42" s="1045">
        <f t="shared" si="13"/>
        <v>9323780</v>
      </c>
      <c r="AU42" s="1004"/>
      <c r="AV42" s="870"/>
      <c r="AW42" s="782" t="s">
        <v>3396</v>
      </c>
      <c r="AX42" s="782" t="s">
        <v>3397</v>
      </c>
      <c r="AY42" s="1007" t="s">
        <v>287</v>
      </c>
      <c r="AZ42" s="1007">
        <v>622</v>
      </c>
      <c r="BA42" s="347" t="str">
        <f t="shared" si="14"/>
        <v>Box</v>
      </c>
      <c r="BB42" s="1008"/>
      <c r="BC42" s="1009"/>
      <c r="BD42" s="1009"/>
    </row>
    <row r="43" spans="1:56" s="1010" customFormat="1" ht="36.75" customHeight="1">
      <c r="A43" s="661">
        <f>SUBTOTAL(3,B$6:B43)</f>
        <v>38</v>
      </c>
      <c r="B43" s="661" t="s">
        <v>860</v>
      </c>
      <c r="C43" s="662" t="s">
        <v>861</v>
      </c>
      <c r="D43" s="1011">
        <v>43201</v>
      </c>
      <c r="E43" s="1011" t="s">
        <v>216</v>
      </c>
      <c r="F43" s="787" t="s">
        <v>691</v>
      </c>
      <c r="G43" s="996" t="s">
        <v>786</v>
      </c>
      <c r="H43" s="1012">
        <v>5931000</v>
      </c>
      <c r="I43" s="1012">
        <v>200000</v>
      </c>
      <c r="J43" s="1012">
        <v>0</v>
      </c>
      <c r="K43" s="1012">
        <v>0</v>
      </c>
      <c r="L43" s="1013">
        <f t="shared" si="5"/>
        <v>6131000</v>
      </c>
      <c r="M43" s="1014">
        <v>24</v>
      </c>
      <c r="N43" s="1013">
        <f t="shared" si="6"/>
        <v>5659385</v>
      </c>
      <c r="O43" s="1015">
        <v>2</v>
      </c>
      <c r="P43" s="1013">
        <f t="shared" si="7"/>
        <v>471615</v>
      </c>
      <c r="Q43" s="1016">
        <v>0</v>
      </c>
      <c r="R43" s="1013">
        <f t="shared" si="8"/>
        <v>0</v>
      </c>
      <c r="S43" s="1013">
        <f t="shared" si="9"/>
        <v>6131000</v>
      </c>
      <c r="T43" s="1017">
        <v>0</v>
      </c>
      <c r="U43" s="785">
        <v>0</v>
      </c>
      <c r="V43" s="785">
        <v>200000</v>
      </c>
      <c r="W43" s="1017">
        <v>500000</v>
      </c>
      <c r="X43" s="1017">
        <v>0</v>
      </c>
      <c r="Y43" s="1017">
        <v>400000</v>
      </c>
      <c r="Z43" s="1017">
        <v>603480</v>
      </c>
      <c r="AA43" s="1018"/>
      <c r="AB43" s="1013"/>
      <c r="AC43" s="1017">
        <v>0</v>
      </c>
      <c r="AD43" s="1017">
        <v>0</v>
      </c>
      <c r="AE43" s="1013">
        <v>44213.9453125</v>
      </c>
      <c r="AF43" s="1019"/>
      <c r="AG43" s="1019">
        <f t="shared" si="10"/>
        <v>7878694</v>
      </c>
      <c r="AH43" s="1014">
        <v>52</v>
      </c>
      <c r="AI43" s="1014">
        <v>0</v>
      </c>
      <c r="AJ43" s="1014">
        <v>0</v>
      </c>
      <c r="AK43" s="1018">
        <v>0</v>
      </c>
      <c r="AL43" s="1020">
        <v>0</v>
      </c>
      <c r="AM43" s="1013">
        <f t="shared" si="11"/>
        <v>2299125</v>
      </c>
      <c r="AN43" s="1045">
        <f t="shared" si="18"/>
        <v>10177819</v>
      </c>
      <c r="AO43" s="1013">
        <v>643755</v>
      </c>
      <c r="AP43" s="1013">
        <v>44100</v>
      </c>
      <c r="AQ43" s="1013">
        <v>0</v>
      </c>
      <c r="AR43" s="1013">
        <v>0</v>
      </c>
      <c r="AS43" s="1013">
        <v>0</v>
      </c>
      <c r="AT43" s="1045">
        <f t="shared" si="13"/>
        <v>9489964</v>
      </c>
      <c r="AU43" s="1004"/>
      <c r="AV43" s="870"/>
      <c r="AW43" s="782" t="s">
        <v>3398</v>
      </c>
      <c r="AX43" s="782" t="s">
        <v>3399</v>
      </c>
      <c r="AY43" s="1007" t="s">
        <v>287</v>
      </c>
      <c r="AZ43" s="1007">
        <v>622</v>
      </c>
      <c r="BA43" s="347" t="str">
        <f t="shared" si="14"/>
        <v>Box</v>
      </c>
      <c r="BB43" s="1008"/>
      <c r="BC43" s="1009"/>
      <c r="BD43" s="1009"/>
    </row>
    <row r="44" spans="1:56" s="1010" customFormat="1" ht="36.75" customHeight="1">
      <c r="A44" s="661">
        <f>SUBTOTAL(3,B$6:B44)</f>
        <v>39</v>
      </c>
      <c r="B44" s="661" t="s">
        <v>862</v>
      </c>
      <c r="C44" s="662" t="s">
        <v>863</v>
      </c>
      <c r="D44" s="1011">
        <v>43456</v>
      </c>
      <c r="E44" s="1011" t="s">
        <v>216</v>
      </c>
      <c r="F44" s="787" t="s">
        <v>691</v>
      </c>
      <c r="G44" s="996" t="s">
        <v>797</v>
      </c>
      <c r="H44" s="1012">
        <v>5931000</v>
      </c>
      <c r="I44" s="1012">
        <v>0</v>
      </c>
      <c r="J44" s="1012">
        <v>0</v>
      </c>
      <c r="K44" s="1012">
        <v>0</v>
      </c>
      <c r="L44" s="1013">
        <f t="shared" si="5"/>
        <v>5931000</v>
      </c>
      <c r="M44" s="1014">
        <v>23.6</v>
      </c>
      <c r="N44" s="1013">
        <f t="shared" si="6"/>
        <v>5383523</v>
      </c>
      <c r="O44" s="1015">
        <v>2</v>
      </c>
      <c r="P44" s="1013">
        <f t="shared" si="7"/>
        <v>456231</v>
      </c>
      <c r="Q44" s="1016">
        <v>0</v>
      </c>
      <c r="R44" s="1013">
        <f t="shared" si="8"/>
        <v>0</v>
      </c>
      <c r="S44" s="1013">
        <f t="shared" si="9"/>
        <v>5839754</v>
      </c>
      <c r="T44" s="1017">
        <v>0</v>
      </c>
      <c r="U44" s="785">
        <v>0</v>
      </c>
      <c r="V44" s="785">
        <v>200000</v>
      </c>
      <c r="W44" s="1017">
        <v>500000</v>
      </c>
      <c r="X44" s="1017">
        <v>0</v>
      </c>
      <c r="Y44" s="1017">
        <v>400000</v>
      </c>
      <c r="Z44" s="1017">
        <v>603480</v>
      </c>
      <c r="AA44" s="1018"/>
      <c r="AB44" s="1013"/>
      <c r="AC44" s="1017">
        <v>0</v>
      </c>
      <c r="AD44" s="1017">
        <v>0</v>
      </c>
      <c r="AE44" s="1013">
        <v>42771.634004237283</v>
      </c>
      <c r="AF44" s="1019"/>
      <c r="AG44" s="1019">
        <f t="shared" si="10"/>
        <v>7586006</v>
      </c>
      <c r="AH44" s="1014">
        <v>52</v>
      </c>
      <c r="AI44" s="1014">
        <v>0</v>
      </c>
      <c r="AJ44" s="1014">
        <v>0</v>
      </c>
      <c r="AK44" s="1018">
        <v>0</v>
      </c>
      <c r="AL44" s="1020">
        <v>0</v>
      </c>
      <c r="AM44" s="1013">
        <f t="shared" si="11"/>
        <v>2224125</v>
      </c>
      <c r="AN44" s="1045">
        <f t="shared" si="18"/>
        <v>9810131</v>
      </c>
      <c r="AO44" s="1013">
        <v>622755</v>
      </c>
      <c r="AP44" s="1013">
        <v>44100</v>
      </c>
      <c r="AQ44" s="1013">
        <v>0</v>
      </c>
      <c r="AR44" s="1013">
        <v>0</v>
      </c>
      <c r="AS44" s="1013">
        <v>0</v>
      </c>
      <c r="AT44" s="1045">
        <f t="shared" si="13"/>
        <v>9143276</v>
      </c>
      <c r="AU44" s="1004"/>
      <c r="AV44" s="870"/>
      <c r="AW44" s="782" t="s">
        <v>3400</v>
      </c>
      <c r="AX44" s="782" t="s">
        <v>3401</v>
      </c>
      <c r="AY44" s="1007" t="s">
        <v>287</v>
      </c>
      <c r="AZ44" s="1007">
        <v>622</v>
      </c>
      <c r="BA44" s="347" t="str">
        <f t="shared" si="14"/>
        <v>Box</v>
      </c>
      <c r="BB44" s="1008"/>
      <c r="BC44" s="1009"/>
      <c r="BD44" s="1009"/>
    </row>
    <row r="45" spans="1:56" s="1010" customFormat="1" ht="36.75" customHeight="1">
      <c r="A45" s="661">
        <f>SUBTOTAL(3,B$6:B45)</f>
        <v>40</v>
      </c>
      <c r="B45" s="661" t="s">
        <v>864</v>
      </c>
      <c r="C45" s="662" t="s">
        <v>865</v>
      </c>
      <c r="D45" s="1011">
        <v>43522</v>
      </c>
      <c r="E45" s="1011" t="s">
        <v>216</v>
      </c>
      <c r="F45" s="787" t="s">
        <v>691</v>
      </c>
      <c r="G45" s="996" t="s">
        <v>786</v>
      </c>
      <c r="H45" s="1012">
        <v>5931000</v>
      </c>
      <c r="I45" s="1012">
        <v>200000</v>
      </c>
      <c r="J45" s="1012">
        <v>0</v>
      </c>
      <c r="K45" s="1012">
        <v>300000</v>
      </c>
      <c r="L45" s="1013">
        <f t="shared" si="5"/>
        <v>6431000</v>
      </c>
      <c r="M45" s="1014">
        <v>24</v>
      </c>
      <c r="N45" s="1013">
        <f t="shared" si="6"/>
        <v>5936308</v>
      </c>
      <c r="O45" s="1015">
        <v>2</v>
      </c>
      <c r="P45" s="1013">
        <f t="shared" si="7"/>
        <v>494692</v>
      </c>
      <c r="Q45" s="1016">
        <v>0</v>
      </c>
      <c r="R45" s="1013">
        <f t="shared" si="8"/>
        <v>0</v>
      </c>
      <c r="S45" s="1013">
        <f t="shared" si="9"/>
        <v>6431000</v>
      </c>
      <c r="T45" s="1017">
        <v>0</v>
      </c>
      <c r="U45" s="785">
        <v>0</v>
      </c>
      <c r="V45" s="785">
        <v>200000</v>
      </c>
      <c r="W45" s="1017">
        <v>500000</v>
      </c>
      <c r="X45" s="1017">
        <v>0</v>
      </c>
      <c r="Y45" s="1017">
        <v>400000</v>
      </c>
      <c r="Z45" s="1017">
        <v>906304</v>
      </c>
      <c r="AA45" s="1018"/>
      <c r="AB45" s="1013"/>
      <c r="AC45" s="1017">
        <v>0</v>
      </c>
      <c r="AD45" s="1017">
        <v>0</v>
      </c>
      <c r="AE45" s="1013">
        <v>46377.40625</v>
      </c>
      <c r="AF45" s="1019"/>
      <c r="AG45" s="1019">
        <f t="shared" si="10"/>
        <v>8483681</v>
      </c>
      <c r="AH45" s="1014">
        <v>52</v>
      </c>
      <c r="AI45" s="1014">
        <v>0</v>
      </c>
      <c r="AJ45" s="1014">
        <v>0</v>
      </c>
      <c r="AK45" s="1018">
        <v>0</v>
      </c>
      <c r="AL45" s="1020">
        <v>0</v>
      </c>
      <c r="AM45" s="1013">
        <f t="shared" si="11"/>
        <v>2411625</v>
      </c>
      <c r="AN45" s="1045">
        <f t="shared" si="18"/>
        <v>10895306</v>
      </c>
      <c r="AO45" s="1013">
        <v>675255</v>
      </c>
      <c r="AP45" s="1013">
        <v>44100</v>
      </c>
      <c r="AQ45" s="1013">
        <v>0</v>
      </c>
      <c r="AR45" s="1013">
        <v>0</v>
      </c>
      <c r="AS45" s="1013">
        <v>0</v>
      </c>
      <c r="AT45" s="1045">
        <f t="shared" si="13"/>
        <v>10175951</v>
      </c>
      <c r="AU45" s="1004"/>
      <c r="AV45" s="870"/>
      <c r="AW45" s="782" t="s">
        <v>3402</v>
      </c>
      <c r="AX45" s="782" t="s">
        <v>3403</v>
      </c>
      <c r="AY45" s="1007" t="s">
        <v>287</v>
      </c>
      <c r="AZ45" s="1007">
        <v>622</v>
      </c>
      <c r="BA45" s="347" t="str">
        <f t="shared" si="14"/>
        <v>Box</v>
      </c>
      <c r="BB45" s="1008"/>
      <c r="BC45" s="1009"/>
      <c r="BD45" s="1009"/>
    </row>
    <row r="46" spans="1:56" s="1010" customFormat="1" ht="36.75" customHeight="1">
      <c r="A46" s="661">
        <f>SUBTOTAL(3,B$6:B46)</f>
        <v>41</v>
      </c>
      <c r="B46" s="661" t="s">
        <v>866</v>
      </c>
      <c r="C46" s="662" t="s">
        <v>867</v>
      </c>
      <c r="D46" s="1011">
        <v>43543</v>
      </c>
      <c r="E46" s="1011" t="s">
        <v>216</v>
      </c>
      <c r="F46" s="787" t="s">
        <v>691</v>
      </c>
      <c r="G46" s="996" t="s">
        <v>797</v>
      </c>
      <c r="H46" s="1012">
        <v>5931000</v>
      </c>
      <c r="I46" s="1012">
        <v>0</v>
      </c>
      <c r="J46" s="1012">
        <v>0</v>
      </c>
      <c r="K46" s="1012">
        <v>0</v>
      </c>
      <c r="L46" s="1013">
        <f t="shared" si="5"/>
        <v>5931000</v>
      </c>
      <c r="M46" s="1014">
        <v>24</v>
      </c>
      <c r="N46" s="1013">
        <f t="shared" si="6"/>
        <v>5474769</v>
      </c>
      <c r="O46" s="1015">
        <v>2</v>
      </c>
      <c r="P46" s="1013">
        <f t="shared" si="7"/>
        <v>456231</v>
      </c>
      <c r="Q46" s="1016">
        <v>0</v>
      </c>
      <c r="R46" s="1013">
        <f t="shared" si="8"/>
        <v>0</v>
      </c>
      <c r="S46" s="1013">
        <f t="shared" si="9"/>
        <v>5931000</v>
      </c>
      <c r="T46" s="1017">
        <v>0</v>
      </c>
      <c r="U46" s="785">
        <v>0</v>
      </c>
      <c r="V46" s="785">
        <v>200000</v>
      </c>
      <c r="W46" s="1017">
        <v>500000</v>
      </c>
      <c r="X46" s="1017">
        <v>0</v>
      </c>
      <c r="Y46" s="1017">
        <v>400000</v>
      </c>
      <c r="Z46" s="1017">
        <v>603480</v>
      </c>
      <c r="AA46" s="1018"/>
      <c r="AB46" s="1013"/>
      <c r="AC46" s="1017">
        <v>0</v>
      </c>
      <c r="AD46" s="1017">
        <v>0</v>
      </c>
      <c r="AE46" s="1013">
        <v>42771.6328125</v>
      </c>
      <c r="AF46" s="1019"/>
      <c r="AG46" s="1019">
        <f t="shared" si="10"/>
        <v>7677252</v>
      </c>
      <c r="AH46" s="1014">
        <v>52</v>
      </c>
      <c r="AI46" s="1014">
        <v>0</v>
      </c>
      <c r="AJ46" s="1014">
        <v>0</v>
      </c>
      <c r="AK46" s="1018">
        <v>0</v>
      </c>
      <c r="AL46" s="1020">
        <v>0</v>
      </c>
      <c r="AM46" s="1013">
        <f t="shared" si="11"/>
        <v>2224125</v>
      </c>
      <c r="AN46" s="1045">
        <f t="shared" si="18"/>
        <v>9901377</v>
      </c>
      <c r="AO46" s="1013">
        <v>622755</v>
      </c>
      <c r="AP46" s="1013">
        <v>44100</v>
      </c>
      <c r="AQ46" s="1013">
        <v>0</v>
      </c>
      <c r="AR46" s="1013">
        <v>0</v>
      </c>
      <c r="AS46" s="1013">
        <v>0</v>
      </c>
      <c r="AT46" s="1045">
        <f t="shared" si="13"/>
        <v>9234522</v>
      </c>
      <c r="AU46" s="1004"/>
      <c r="AV46" s="870"/>
      <c r="AW46" s="782" t="s">
        <v>3404</v>
      </c>
      <c r="AX46" s="782" t="s">
        <v>3405</v>
      </c>
      <c r="AY46" s="1007" t="s">
        <v>287</v>
      </c>
      <c r="AZ46" s="1007">
        <v>622</v>
      </c>
      <c r="BA46" s="347" t="str">
        <f t="shared" si="14"/>
        <v>Box</v>
      </c>
      <c r="BB46" s="1008"/>
      <c r="BC46" s="1009"/>
      <c r="BD46" s="1009"/>
    </row>
    <row r="47" spans="1:56" s="1010" customFormat="1" ht="36.75" customHeight="1">
      <c r="A47" s="661">
        <f>SUBTOTAL(3,B$6:B47)</f>
        <v>42</v>
      </c>
      <c r="B47" s="661" t="s">
        <v>868</v>
      </c>
      <c r="C47" s="662" t="s">
        <v>869</v>
      </c>
      <c r="D47" s="1011">
        <v>42583</v>
      </c>
      <c r="E47" s="1011" t="s">
        <v>216</v>
      </c>
      <c r="F47" s="787" t="s">
        <v>691</v>
      </c>
      <c r="G47" s="996" t="s">
        <v>786</v>
      </c>
      <c r="H47" s="1012">
        <v>5931000</v>
      </c>
      <c r="I47" s="1012">
        <v>200000</v>
      </c>
      <c r="J47" s="1012">
        <v>0</v>
      </c>
      <c r="K47" s="1012">
        <v>300000</v>
      </c>
      <c r="L47" s="1013">
        <f t="shared" si="5"/>
        <v>6431000</v>
      </c>
      <c r="M47" s="1014">
        <v>22.7</v>
      </c>
      <c r="N47" s="1013">
        <f t="shared" si="6"/>
        <v>5614758</v>
      </c>
      <c r="O47" s="1015">
        <v>3</v>
      </c>
      <c r="P47" s="1013">
        <f t="shared" si="7"/>
        <v>742038</v>
      </c>
      <c r="Q47" s="1016">
        <v>0</v>
      </c>
      <c r="R47" s="1013">
        <f t="shared" si="8"/>
        <v>0</v>
      </c>
      <c r="S47" s="1013">
        <f t="shared" si="9"/>
        <v>6356796</v>
      </c>
      <c r="T47" s="1017">
        <v>0</v>
      </c>
      <c r="U47" s="785">
        <v>0</v>
      </c>
      <c r="V47" s="785">
        <v>200000</v>
      </c>
      <c r="W47" s="1017">
        <v>500000</v>
      </c>
      <c r="X47" s="1017">
        <v>0</v>
      </c>
      <c r="Y47" s="1017">
        <v>400000</v>
      </c>
      <c r="Z47" s="1017">
        <v>576504</v>
      </c>
      <c r="AA47" s="1018"/>
      <c r="AB47" s="1013"/>
      <c r="AC47" s="1017">
        <v>0</v>
      </c>
      <c r="AD47" s="1017">
        <v>0</v>
      </c>
      <c r="AE47" s="1013">
        <v>46377.4063876652</v>
      </c>
      <c r="AF47" s="1019"/>
      <c r="AG47" s="1019">
        <f t="shared" si="10"/>
        <v>8079677</v>
      </c>
      <c r="AH47" s="1014">
        <v>44</v>
      </c>
      <c r="AI47" s="1014">
        <v>0</v>
      </c>
      <c r="AJ47" s="1014">
        <v>0</v>
      </c>
      <c r="AK47" s="1018">
        <v>0</v>
      </c>
      <c r="AL47" s="1020">
        <v>0</v>
      </c>
      <c r="AM47" s="1013">
        <f t="shared" si="11"/>
        <v>2040606</v>
      </c>
      <c r="AN47" s="1045">
        <f t="shared" si="18"/>
        <v>10120283</v>
      </c>
      <c r="AO47" s="1013">
        <v>675255</v>
      </c>
      <c r="AP47" s="1013">
        <v>44100</v>
      </c>
      <c r="AQ47" s="1013">
        <v>0</v>
      </c>
      <c r="AR47" s="1013">
        <v>0</v>
      </c>
      <c r="AS47" s="1013">
        <v>0</v>
      </c>
      <c r="AT47" s="1045">
        <f t="shared" si="13"/>
        <v>9400928</v>
      </c>
      <c r="AU47" s="1004"/>
      <c r="AV47" s="870"/>
      <c r="AW47" s="782" t="s">
        <v>3406</v>
      </c>
      <c r="AX47" s="782" t="s">
        <v>3407</v>
      </c>
      <c r="AY47" s="1007" t="s">
        <v>287</v>
      </c>
      <c r="AZ47" s="1007">
        <v>622</v>
      </c>
      <c r="BA47" s="347" t="str">
        <f t="shared" si="14"/>
        <v>Box</v>
      </c>
      <c r="BB47" s="1008"/>
      <c r="BC47" s="1009"/>
      <c r="BD47" s="1009"/>
    </row>
    <row r="48" spans="1:56" s="1010" customFormat="1" ht="36.75" customHeight="1">
      <c r="A48" s="661">
        <f>SUBTOTAL(3,B$6:B48)</f>
        <v>43</v>
      </c>
      <c r="B48" s="661" t="s">
        <v>870</v>
      </c>
      <c r="C48" s="662" t="s">
        <v>871</v>
      </c>
      <c r="D48" s="1011">
        <v>43623</v>
      </c>
      <c r="E48" s="1011" t="s">
        <v>216</v>
      </c>
      <c r="F48" s="787" t="s">
        <v>692</v>
      </c>
      <c r="G48" s="996" t="s">
        <v>872</v>
      </c>
      <c r="H48" s="1012">
        <v>5931000</v>
      </c>
      <c r="I48" s="1012">
        <v>2300000</v>
      </c>
      <c r="J48" s="1012">
        <v>0</v>
      </c>
      <c r="K48" s="1012">
        <v>0</v>
      </c>
      <c r="L48" s="1013">
        <f t="shared" si="5"/>
        <v>8231000</v>
      </c>
      <c r="M48" s="1014">
        <v>24</v>
      </c>
      <c r="N48" s="1013">
        <f t="shared" si="6"/>
        <v>7597846</v>
      </c>
      <c r="O48" s="1015">
        <v>2</v>
      </c>
      <c r="P48" s="1013">
        <f t="shared" si="7"/>
        <v>633154</v>
      </c>
      <c r="Q48" s="1016">
        <v>0</v>
      </c>
      <c r="R48" s="1013">
        <f t="shared" si="8"/>
        <v>0</v>
      </c>
      <c r="S48" s="1013">
        <f t="shared" si="9"/>
        <v>8231000</v>
      </c>
      <c r="T48" s="1017">
        <v>0</v>
      </c>
      <c r="U48" s="785">
        <v>0</v>
      </c>
      <c r="V48" s="785">
        <v>200000</v>
      </c>
      <c r="W48" s="1017">
        <v>500000</v>
      </c>
      <c r="X48" s="1017">
        <v>0</v>
      </c>
      <c r="Y48" s="1017">
        <v>400000</v>
      </c>
      <c r="Z48" s="1017">
        <v>460103</v>
      </c>
      <c r="AA48" s="1018"/>
      <c r="AB48" s="1013"/>
      <c r="AC48" s="1017">
        <v>0</v>
      </c>
      <c r="AD48" s="1017">
        <v>0</v>
      </c>
      <c r="AE48" s="1013">
        <v>0</v>
      </c>
      <c r="AF48" s="1019"/>
      <c r="AG48" s="1019">
        <f t="shared" si="10"/>
        <v>9791103</v>
      </c>
      <c r="AH48" s="1014">
        <v>47.5</v>
      </c>
      <c r="AI48" s="1014">
        <v>0</v>
      </c>
      <c r="AJ48" s="1014">
        <v>0</v>
      </c>
      <c r="AK48" s="1018">
        <v>0</v>
      </c>
      <c r="AL48" s="1020">
        <v>0</v>
      </c>
      <c r="AM48" s="1013">
        <f t="shared" si="11"/>
        <v>2819513</v>
      </c>
      <c r="AN48" s="1045">
        <f t="shared" si="18"/>
        <v>12610616</v>
      </c>
      <c r="AO48" s="1013">
        <v>864255</v>
      </c>
      <c r="AP48" s="1013">
        <v>44100</v>
      </c>
      <c r="AQ48" s="1013">
        <v>0</v>
      </c>
      <c r="AR48" s="1013">
        <v>0</v>
      </c>
      <c r="AS48" s="1013">
        <v>0</v>
      </c>
      <c r="AT48" s="1045">
        <f t="shared" si="13"/>
        <v>11702261</v>
      </c>
      <c r="AU48" s="1004"/>
      <c r="AV48" s="870"/>
      <c r="AW48" s="782" t="s">
        <v>3408</v>
      </c>
      <c r="AX48" s="782" t="s">
        <v>3409</v>
      </c>
      <c r="AY48" s="1007" t="s">
        <v>287</v>
      </c>
      <c r="AZ48" s="1007">
        <v>622</v>
      </c>
      <c r="BA48" s="347" t="str">
        <f t="shared" si="14"/>
        <v>Box</v>
      </c>
      <c r="BB48" s="1008"/>
      <c r="BC48" s="1009"/>
      <c r="BD48" s="1009"/>
    </row>
    <row r="49" spans="1:56" s="1010" customFormat="1" ht="36.75" customHeight="1">
      <c r="A49" s="661">
        <f>SUBTOTAL(3,B$6:B49)</f>
        <v>44</v>
      </c>
      <c r="B49" s="661" t="s">
        <v>873</v>
      </c>
      <c r="C49" s="662" t="s">
        <v>874</v>
      </c>
      <c r="D49" s="1011">
        <v>43762</v>
      </c>
      <c r="E49" s="1011" t="s">
        <v>216</v>
      </c>
      <c r="F49" s="787" t="s">
        <v>692</v>
      </c>
      <c r="G49" s="996" t="s">
        <v>875</v>
      </c>
      <c r="H49" s="1012">
        <v>5931000</v>
      </c>
      <c r="I49" s="1012">
        <v>3600000</v>
      </c>
      <c r="J49" s="1012">
        <v>0</v>
      </c>
      <c r="K49" s="1012">
        <v>800000</v>
      </c>
      <c r="L49" s="1013">
        <f t="shared" si="5"/>
        <v>10331000</v>
      </c>
      <c r="M49" s="1014">
        <v>24</v>
      </c>
      <c r="N49" s="1013">
        <f t="shared" si="6"/>
        <v>9536308</v>
      </c>
      <c r="O49" s="1015">
        <v>2</v>
      </c>
      <c r="P49" s="1013">
        <f t="shared" si="7"/>
        <v>794692</v>
      </c>
      <c r="Q49" s="1016">
        <v>0</v>
      </c>
      <c r="R49" s="1013">
        <f t="shared" si="8"/>
        <v>0</v>
      </c>
      <c r="S49" s="1013">
        <f t="shared" si="9"/>
        <v>10331000</v>
      </c>
      <c r="T49" s="1017">
        <v>0</v>
      </c>
      <c r="U49" s="785">
        <v>0</v>
      </c>
      <c r="V49" s="785">
        <v>200000</v>
      </c>
      <c r="W49" s="1017">
        <v>500000</v>
      </c>
      <c r="X49" s="1017">
        <v>0</v>
      </c>
      <c r="Y49" s="1017">
        <v>400000</v>
      </c>
      <c r="Z49" s="1017">
        <v>378833</v>
      </c>
      <c r="AA49" s="1018"/>
      <c r="AB49" s="1013"/>
      <c r="AC49" s="1017">
        <v>100000</v>
      </c>
      <c r="AD49" s="1017">
        <v>0</v>
      </c>
      <c r="AE49" s="1013">
        <v>0</v>
      </c>
      <c r="AF49" s="1019"/>
      <c r="AG49" s="1019">
        <f t="shared" si="10"/>
        <v>11909833</v>
      </c>
      <c r="AH49" s="1014">
        <v>51</v>
      </c>
      <c r="AI49" s="1014">
        <v>0</v>
      </c>
      <c r="AJ49" s="1014">
        <v>0</v>
      </c>
      <c r="AK49" s="1018">
        <v>0</v>
      </c>
      <c r="AL49" s="1020">
        <v>0</v>
      </c>
      <c r="AM49" s="1013">
        <f t="shared" si="11"/>
        <v>3799623</v>
      </c>
      <c r="AN49" s="1045">
        <f t="shared" si="18"/>
        <v>15709456</v>
      </c>
      <c r="AO49" s="1013">
        <v>1084755</v>
      </c>
      <c r="AP49" s="1013">
        <v>44100</v>
      </c>
      <c r="AQ49" s="1013">
        <v>0</v>
      </c>
      <c r="AR49" s="1013">
        <v>0</v>
      </c>
      <c r="AS49" s="1013">
        <v>0</v>
      </c>
      <c r="AT49" s="1045">
        <f t="shared" si="13"/>
        <v>14580601</v>
      </c>
      <c r="AU49" s="1004"/>
      <c r="AV49" s="870"/>
      <c r="AW49" s="782" t="s">
        <v>3410</v>
      </c>
      <c r="AX49" s="782" t="s">
        <v>3411</v>
      </c>
      <c r="AY49" s="1007" t="s">
        <v>287</v>
      </c>
      <c r="AZ49" s="1007">
        <v>622</v>
      </c>
      <c r="BA49" s="347" t="str">
        <f t="shared" si="14"/>
        <v>Box</v>
      </c>
      <c r="BB49" s="1008"/>
      <c r="BC49" s="1009"/>
      <c r="BD49" s="1009"/>
    </row>
    <row r="50" spans="1:56" s="1010" customFormat="1" ht="36.75" customHeight="1">
      <c r="A50" s="661">
        <f>SUBTOTAL(3,B$6:B50)</f>
        <v>45</v>
      </c>
      <c r="B50" s="661" t="s">
        <v>876</v>
      </c>
      <c r="C50" s="662" t="s">
        <v>877</v>
      </c>
      <c r="D50" s="1011">
        <v>43770</v>
      </c>
      <c r="E50" s="1011" t="s">
        <v>216</v>
      </c>
      <c r="F50" s="787" t="s">
        <v>692</v>
      </c>
      <c r="G50" s="996" t="s">
        <v>878</v>
      </c>
      <c r="H50" s="1012">
        <v>5931000</v>
      </c>
      <c r="I50" s="1012">
        <v>2300000</v>
      </c>
      <c r="J50" s="1012">
        <v>0</v>
      </c>
      <c r="K50" s="1012">
        <v>0</v>
      </c>
      <c r="L50" s="1013">
        <f t="shared" si="5"/>
        <v>8231000</v>
      </c>
      <c r="M50" s="1014">
        <v>23</v>
      </c>
      <c r="N50" s="1013">
        <f t="shared" si="6"/>
        <v>7281269</v>
      </c>
      <c r="O50" s="1015">
        <v>3</v>
      </c>
      <c r="P50" s="1013">
        <f t="shared" si="7"/>
        <v>949731</v>
      </c>
      <c r="Q50" s="1016">
        <v>0</v>
      </c>
      <c r="R50" s="1013">
        <f t="shared" si="8"/>
        <v>0</v>
      </c>
      <c r="S50" s="1013">
        <f t="shared" si="9"/>
        <v>8231000</v>
      </c>
      <c r="T50" s="1017">
        <v>0</v>
      </c>
      <c r="U50" s="785">
        <v>0</v>
      </c>
      <c r="V50" s="785">
        <v>200000</v>
      </c>
      <c r="W50" s="1017">
        <v>500000</v>
      </c>
      <c r="X50" s="1017">
        <v>0</v>
      </c>
      <c r="Y50" s="1017">
        <v>400000</v>
      </c>
      <c r="Z50" s="1017">
        <v>434223</v>
      </c>
      <c r="AA50" s="1018"/>
      <c r="AB50" s="1013"/>
      <c r="AC50" s="1017">
        <v>0</v>
      </c>
      <c r="AD50" s="1017">
        <v>0</v>
      </c>
      <c r="AE50" s="1013">
        <v>0</v>
      </c>
      <c r="AF50" s="1019"/>
      <c r="AG50" s="1019">
        <f t="shared" si="10"/>
        <v>9765223</v>
      </c>
      <c r="AH50" s="1014">
        <v>44</v>
      </c>
      <c r="AI50" s="1014">
        <v>0</v>
      </c>
      <c r="AJ50" s="1014">
        <v>0</v>
      </c>
      <c r="AK50" s="1018">
        <v>0</v>
      </c>
      <c r="AL50" s="1020">
        <v>0</v>
      </c>
      <c r="AM50" s="1013">
        <f t="shared" si="11"/>
        <v>2611760</v>
      </c>
      <c r="AN50" s="1045">
        <f t="shared" si="18"/>
        <v>12376983</v>
      </c>
      <c r="AO50" s="1013">
        <v>864255</v>
      </c>
      <c r="AP50" s="1013">
        <v>44100</v>
      </c>
      <c r="AQ50" s="1013">
        <v>0</v>
      </c>
      <c r="AR50" s="1013">
        <v>0</v>
      </c>
      <c r="AS50" s="1013">
        <v>0</v>
      </c>
      <c r="AT50" s="1045">
        <f t="shared" si="13"/>
        <v>11468628</v>
      </c>
      <c r="AU50" s="1004"/>
      <c r="AV50" s="870"/>
      <c r="AW50" s="782" t="s">
        <v>3412</v>
      </c>
      <c r="AX50" s="782" t="s">
        <v>3413</v>
      </c>
      <c r="AY50" s="1007" t="s">
        <v>287</v>
      </c>
      <c r="AZ50" s="1007">
        <v>622</v>
      </c>
      <c r="BA50" s="347" t="str">
        <f t="shared" si="14"/>
        <v>Box</v>
      </c>
      <c r="BB50" s="1008"/>
      <c r="BC50" s="1009"/>
      <c r="BD50" s="1009"/>
    </row>
    <row r="51" spans="1:56" s="1010" customFormat="1" ht="36.75" customHeight="1">
      <c r="A51" s="661">
        <f>SUBTOTAL(3,B$6:B51)</f>
        <v>46</v>
      </c>
      <c r="B51" s="661" t="s">
        <v>879</v>
      </c>
      <c r="C51" s="662" t="s">
        <v>880</v>
      </c>
      <c r="D51" s="1011">
        <v>44067</v>
      </c>
      <c r="E51" s="1011" t="s">
        <v>216</v>
      </c>
      <c r="F51" s="787" t="s">
        <v>692</v>
      </c>
      <c r="G51" s="996" t="s">
        <v>872</v>
      </c>
      <c r="H51" s="1012">
        <v>5931000</v>
      </c>
      <c r="I51" s="1012">
        <v>2300000</v>
      </c>
      <c r="J51" s="1012">
        <v>0</v>
      </c>
      <c r="K51" s="1012">
        <v>0</v>
      </c>
      <c r="L51" s="1013">
        <f t="shared" si="5"/>
        <v>8231000</v>
      </c>
      <c r="M51" s="1014">
        <v>7.6</v>
      </c>
      <c r="N51" s="1013">
        <f t="shared" si="6"/>
        <v>2405985</v>
      </c>
      <c r="O51" s="1015">
        <v>2</v>
      </c>
      <c r="P51" s="1013">
        <f t="shared" si="7"/>
        <v>633154</v>
      </c>
      <c r="Q51" s="1016">
        <v>0</v>
      </c>
      <c r="R51" s="1013">
        <f t="shared" si="8"/>
        <v>0</v>
      </c>
      <c r="S51" s="1013">
        <f t="shared" si="9"/>
        <v>3039139</v>
      </c>
      <c r="T51" s="1017">
        <v>0</v>
      </c>
      <c r="U51" s="785">
        <v>0</v>
      </c>
      <c r="V51" s="785">
        <v>0</v>
      </c>
      <c r="W51" s="1017">
        <v>0</v>
      </c>
      <c r="X51" s="1017">
        <v>0</v>
      </c>
      <c r="Y51" s="1017">
        <v>0</v>
      </c>
      <c r="Z51" s="1017">
        <v>0</v>
      </c>
      <c r="AA51" s="1018"/>
      <c r="AB51" s="1013"/>
      <c r="AC51" s="1017">
        <v>0</v>
      </c>
      <c r="AD51" s="1017">
        <v>0</v>
      </c>
      <c r="AE51" s="1013">
        <v>0</v>
      </c>
      <c r="AF51" s="1019"/>
      <c r="AG51" s="1019">
        <f t="shared" si="10"/>
        <v>3039139</v>
      </c>
      <c r="AH51" s="1014">
        <v>8</v>
      </c>
      <c r="AI51" s="1014">
        <v>0</v>
      </c>
      <c r="AJ51" s="1014">
        <v>0</v>
      </c>
      <c r="AK51" s="1018">
        <v>0</v>
      </c>
      <c r="AL51" s="1020">
        <v>0</v>
      </c>
      <c r="AM51" s="1013">
        <f t="shared" si="11"/>
        <v>474865</v>
      </c>
      <c r="AN51" s="1045">
        <f t="shared" si="18"/>
        <v>3514004</v>
      </c>
      <c r="AO51" s="1013">
        <v>0</v>
      </c>
      <c r="AP51" s="1013">
        <v>44100</v>
      </c>
      <c r="AQ51" s="1013">
        <v>0</v>
      </c>
      <c r="AR51" s="1013">
        <v>0</v>
      </c>
      <c r="AS51" s="1013">
        <v>0</v>
      </c>
      <c r="AT51" s="1045">
        <f t="shared" si="13"/>
        <v>3469904</v>
      </c>
      <c r="AU51" s="1004"/>
      <c r="AV51" s="870"/>
      <c r="AW51" s="782" t="s">
        <v>3414</v>
      </c>
      <c r="AX51" s="782" t="s">
        <v>3415</v>
      </c>
      <c r="AY51" s="1007" t="s">
        <v>287</v>
      </c>
      <c r="AZ51" s="1007">
        <v>622</v>
      </c>
      <c r="BA51" s="347" t="str">
        <f t="shared" si="14"/>
        <v>Box</v>
      </c>
      <c r="BB51" s="1008"/>
      <c r="BC51" s="1009"/>
      <c r="BD51" s="1009"/>
    </row>
    <row r="52" spans="1:56" s="1010" customFormat="1" ht="36.75" customHeight="1">
      <c r="A52" s="661">
        <f>SUBTOTAL(3,B$6:B52)</f>
        <v>47</v>
      </c>
      <c r="B52" s="661" t="s">
        <v>881</v>
      </c>
      <c r="C52" s="662" t="s">
        <v>882</v>
      </c>
      <c r="D52" s="1011">
        <v>44281</v>
      </c>
      <c r="E52" s="1011" t="s">
        <v>216</v>
      </c>
      <c r="F52" s="787" t="s">
        <v>692</v>
      </c>
      <c r="G52" s="996" t="s">
        <v>872</v>
      </c>
      <c r="H52" s="1012">
        <v>5931000</v>
      </c>
      <c r="I52" s="1012">
        <v>1700000</v>
      </c>
      <c r="J52" s="1012">
        <v>0</v>
      </c>
      <c r="K52" s="1012">
        <v>0</v>
      </c>
      <c r="L52" s="1013">
        <f t="shared" si="5"/>
        <v>7631000</v>
      </c>
      <c r="M52" s="1014">
        <v>23</v>
      </c>
      <c r="N52" s="1013">
        <f t="shared" si="6"/>
        <v>6750500</v>
      </c>
      <c r="O52" s="1015">
        <v>3</v>
      </c>
      <c r="P52" s="1013">
        <f t="shared" si="7"/>
        <v>880500</v>
      </c>
      <c r="Q52" s="1016">
        <v>0</v>
      </c>
      <c r="R52" s="1013">
        <f t="shared" si="8"/>
        <v>0</v>
      </c>
      <c r="S52" s="1013">
        <f t="shared" si="9"/>
        <v>7631000</v>
      </c>
      <c r="T52" s="1017">
        <v>0</v>
      </c>
      <c r="U52" s="785">
        <v>0</v>
      </c>
      <c r="V52" s="785">
        <v>200000</v>
      </c>
      <c r="W52" s="1017">
        <v>500000</v>
      </c>
      <c r="X52" s="1017">
        <v>0</v>
      </c>
      <c r="Y52" s="1017">
        <v>400000</v>
      </c>
      <c r="Z52" s="1017">
        <v>396063</v>
      </c>
      <c r="AA52" s="1018"/>
      <c r="AB52" s="1013"/>
      <c r="AC52" s="1017">
        <v>0</v>
      </c>
      <c r="AD52" s="1017">
        <v>0</v>
      </c>
      <c r="AE52" s="1013">
        <v>0</v>
      </c>
      <c r="AF52" s="1019"/>
      <c r="AG52" s="1019">
        <f t="shared" si="10"/>
        <v>9127063</v>
      </c>
      <c r="AH52" s="1014">
        <v>52</v>
      </c>
      <c r="AI52" s="1014">
        <v>0</v>
      </c>
      <c r="AJ52" s="1014">
        <v>0</v>
      </c>
      <c r="AK52" s="1018">
        <v>0</v>
      </c>
      <c r="AL52" s="1020">
        <v>0</v>
      </c>
      <c r="AM52" s="1013">
        <f t="shared" si="11"/>
        <v>2861625</v>
      </c>
      <c r="AN52" s="1045">
        <f t="shared" si="18"/>
        <v>11988688</v>
      </c>
      <c r="AO52" s="1013">
        <v>801255</v>
      </c>
      <c r="AP52" s="1013">
        <v>44100</v>
      </c>
      <c r="AQ52" s="1013">
        <v>0</v>
      </c>
      <c r="AR52" s="1013">
        <v>0</v>
      </c>
      <c r="AS52" s="1013">
        <v>0</v>
      </c>
      <c r="AT52" s="1045">
        <f t="shared" si="13"/>
        <v>11143333</v>
      </c>
      <c r="AU52" s="1004"/>
      <c r="AV52" s="870"/>
      <c r="AW52" s="782" t="s">
        <v>3416</v>
      </c>
      <c r="AX52" s="782" t="s">
        <v>3417</v>
      </c>
      <c r="AY52" s="1007" t="s">
        <v>287</v>
      </c>
      <c r="AZ52" s="1007">
        <v>622</v>
      </c>
      <c r="BA52" s="347" t="str">
        <f t="shared" si="14"/>
        <v>Box</v>
      </c>
      <c r="BB52" s="1008"/>
      <c r="BC52" s="1009"/>
      <c r="BD52" s="1009"/>
    </row>
    <row r="53" spans="1:56" s="1010" customFormat="1" ht="36.75" customHeight="1">
      <c r="A53" s="661">
        <f>SUBTOTAL(3,B$6:B53)</f>
        <v>48</v>
      </c>
      <c r="B53" s="661" t="s">
        <v>883</v>
      </c>
      <c r="C53" s="662" t="s">
        <v>884</v>
      </c>
      <c r="D53" s="1011">
        <v>44313</v>
      </c>
      <c r="E53" s="1011" t="s">
        <v>216</v>
      </c>
      <c r="F53" s="787" t="s">
        <v>692</v>
      </c>
      <c r="G53" s="996" t="s">
        <v>885</v>
      </c>
      <c r="H53" s="1012">
        <v>5931000</v>
      </c>
      <c r="I53" s="1012">
        <v>1100000</v>
      </c>
      <c r="J53" s="1012">
        <v>0</v>
      </c>
      <c r="K53" s="1012">
        <v>0</v>
      </c>
      <c r="L53" s="1013">
        <f t="shared" si="5"/>
        <v>7031000</v>
      </c>
      <c r="M53" s="1014">
        <v>24</v>
      </c>
      <c r="N53" s="1013">
        <f t="shared" si="6"/>
        <v>6490154</v>
      </c>
      <c r="O53" s="1015">
        <v>2</v>
      </c>
      <c r="P53" s="1013">
        <f t="shared" si="7"/>
        <v>540846</v>
      </c>
      <c r="Q53" s="1016">
        <v>0</v>
      </c>
      <c r="R53" s="1013">
        <f t="shared" si="8"/>
        <v>0</v>
      </c>
      <c r="S53" s="1013">
        <f t="shared" si="9"/>
        <v>7031000</v>
      </c>
      <c r="T53" s="1017">
        <v>0</v>
      </c>
      <c r="U53" s="785">
        <v>0</v>
      </c>
      <c r="V53" s="785">
        <v>200000</v>
      </c>
      <c r="W53" s="1017">
        <v>500000</v>
      </c>
      <c r="X53" s="1017">
        <v>0</v>
      </c>
      <c r="Y53" s="1017">
        <v>400000</v>
      </c>
      <c r="Z53" s="1017">
        <v>489169</v>
      </c>
      <c r="AA53" s="1018"/>
      <c r="AB53" s="1013"/>
      <c r="AC53" s="1017">
        <v>0</v>
      </c>
      <c r="AD53" s="1017">
        <v>0</v>
      </c>
      <c r="AE53" s="1013">
        <v>0</v>
      </c>
      <c r="AF53" s="1019"/>
      <c r="AG53" s="1019">
        <f t="shared" si="10"/>
        <v>8620169</v>
      </c>
      <c r="AH53" s="1014">
        <v>52</v>
      </c>
      <c r="AI53" s="1014">
        <v>0</v>
      </c>
      <c r="AJ53" s="1014">
        <v>0</v>
      </c>
      <c r="AK53" s="1018">
        <v>0</v>
      </c>
      <c r="AL53" s="1020">
        <v>0</v>
      </c>
      <c r="AM53" s="1013">
        <f t="shared" si="11"/>
        <v>2636625</v>
      </c>
      <c r="AN53" s="1045">
        <f t="shared" si="18"/>
        <v>11256794</v>
      </c>
      <c r="AO53" s="1013">
        <v>738255</v>
      </c>
      <c r="AP53" s="1013">
        <v>44100</v>
      </c>
      <c r="AQ53" s="1013">
        <v>0</v>
      </c>
      <c r="AR53" s="1013">
        <v>0</v>
      </c>
      <c r="AS53" s="1013">
        <v>0</v>
      </c>
      <c r="AT53" s="1045">
        <f t="shared" si="13"/>
        <v>10474439</v>
      </c>
      <c r="AU53" s="1004"/>
      <c r="AV53" s="870"/>
      <c r="AW53" s="782" t="s">
        <v>3418</v>
      </c>
      <c r="AX53" s="782" t="s">
        <v>3419</v>
      </c>
      <c r="AY53" s="1007" t="s">
        <v>287</v>
      </c>
      <c r="AZ53" s="1007">
        <v>622</v>
      </c>
      <c r="BA53" s="347" t="str">
        <f t="shared" si="14"/>
        <v>Box</v>
      </c>
      <c r="BB53" s="1008"/>
      <c r="BC53" s="1009"/>
      <c r="BD53" s="1009"/>
    </row>
    <row r="54" spans="1:56" s="1010" customFormat="1" ht="36.75" customHeight="1">
      <c r="A54" s="661">
        <f>SUBTOTAL(3,B$6:B54)</f>
        <v>49</v>
      </c>
      <c r="B54" s="661" t="s">
        <v>886</v>
      </c>
      <c r="C54" s="662" t="s">
        <v>887</v>
      </c>
      <c r="D54" s="1011">
        <v>44340</v>
      </c>
      <c r="E54" s="1011" t="s">
        <v>216</v>
      </c>
      <c r="F54" s="787" t="s">
        <v>692</v>
      </c>
      <c r="G54" s="996" t="s">
        <v>885</v>
      </c>
      <c r="H54" s="1012">
        <v>5931000</v>
      </c>
      <c r="I54" s="1012">
        <v>1900000</v>
      </c>
      <c r="J54" s="1012">
        <v>0</v>
      </c>
      <c r="K54" s="1012">
        <v>0</v>
      </c>
      <c r="L54" s="1013">
        <f t="shared" si="5"/>
        <v>7831000</v>
      </c>
      <c r="M54" s="1014">
        <v>24</v>
      </c>
      <c r="N54" s="1013">
        <f t="shared" si="6"/>
        <v>7228615</v>
      </c>
      <c r="O54" s="1015">
        <v>2</v>
      </c>
      <c r="P54" s="1013">
        <f t="shared" si="7"/>
        <v>602385</v>
      </c>
      <c r="Q54" s="1016">
        <v>0</v>
      </c>
      <c r="R54" s="1013">
        <f t="shared" si="8"/>
        <v>0</v>
      </c>
      <c r="S54" s="1013">
        <f t="shared" si="9"/>
        <v>7831000</v>
      </c>
      <c r="T54" s="1017">
        <v>0</v>
      </c>
      <c r="U54" s="785">
        <v>0</v>
      </c>
      <c r="V54" s="785">
        <v>200000</v>
      </c>
      <c r="W54" s="1017">
        <v>500000</v>
      </c>
      <c r="X54" s="1017">
        <v>0</v>
      </c>
      <c r="Y54" s="1017">
        <v>400000</v>
      </c>
      <c r="Z54" s="1017">
        <v>493450</v>
      </c>
      <c r="AA54" s="1018"/>
      <c r="AB54" s="1013"/>
      <c r="AC54" s="1017">
        <v>0</v>
      </c>
      <c r="AD54" s="1017">
        <v>0</v>
      </c>
      <c r="AE54" s="1013">
        <v>0</v>
      </c>
      <c r="AF54" s="1019"/>
      <c r="AG54" s="1019">
        <f t="shared" si="10"/>
        <v>9424450</v>
      </c>
      <c r="AH54" s="1014">
        <v>52</v>
      </c>
      <c r="AI54" s="1014">
        <v>0</v>
      </c>
      <c r="AJ54" s="1014">
        <v>0</v>
      </c>
      <c r="AK54" s="1018">
        <v>0</v>
      </c>
      <c r="AL54" s="1020">
        <v>0</v>
      </c>
      <c r="AM54" s="1013">
        <f t="shared" si="11"/>
        <v>2936625</v>
      </c>
      <c r="AN54" s="1045">
        <f t="shared" si="18"/>
        <v>12361075</v>
      </c>
      <c r="AO54" s="1013">
        <v>822255</v>
      </c>
      <c r="AP54" s="1013">
        <v>44100</v>
      </c>
      <c r="AQ54" s="1013">
        <v>0</v>
      </c>
      <c r="AR54" s="1013">
        <v>0</v>
      </c>
      <c r="AS54" s="1013">
        <v>0</v>
      </c>
      <c r="AT54" s="1045">
        <f t="shared" si="13"/>
        <v>11494720</v>
      </c>
      <c r="AU54" s="1004"/>
      <c r="AV54" s="870"/>
      <c r="AW54" s="782" t="s">
        <v>3420</v>
      </c>
      <c r="AX54" s="782" t="s">
        <v>3421</v>
      </c>
      <c r="AY54" s="1007" t="s">
        <v>287</v>
      </c>
      <c r="AZ54" s="1007">
        <v>622</v>
      </c>
      <c r="BA54" s="347" t="str">
        <f t="shared" si="14"/>
        <v>Box</v>
      </c>
      <c r="BB54" s="1008"/>
      <c r="BC54" s="1009"/>
      <c r="BD54" s="1009"/>
    </row>
    <row r="55" spans="1:56" s="1010" customFormat="1" ht="36.75" customHeight="1">
      <c r="A55" s="661">
        <f>SUBTOTAL(3,B$6:B55)</f>
        <v>50</v>
      </c>
      <c r="B55" s="661" t="s">
        <v>888</v>
      </c>
      <c r="C55" s="662" t="s">
        <v>889</v>
      </c>
      <c r="D55" s="1011">
        <v>44341</v>
      </c>
      <c r="E55" s="1011" t="s">
        <v>216</v>
      </c>
      <c r="F55" s="787" t="s">
        <v>692</v>
      </c>
      <c r="G55" s="996" t="s">
        <v>786</v>
      </c>
      <c r="H55" s="1012">
        <v>5931000</v>
      </c>
      <c r="I55" s="1012">
        <v>200000</v>
      </c>
      <c r="J55" s="1012">
        <v>0</v>
      </c>
      <c r="K55" s="1012">
        <v>0</v>
      </c>
      <c r="L55" s="1013">
        <f t="shared" si="5"/>
        <v>6131000</v>
      </c>
      <c r="M55" s="1014">
        <v>22.9</v>
      </c>
      <c r="N55" s="1013">
        <f t="shared" si="6"/>
        <v>5399996</v>
      </c>
      <c r="O55" s="1015">
        <v>3</v>
      </c>
      <c r="P55" s="1013">
        <f t="shared" si="7"/>
        <v>707423</v>
      </c>
      <c r="Q55" s="1016">
        <v>0</v>
      </c>
      <c r="R55" s="1013">
        <f t="shared" si="8"/>
        <v>0</v>
      </c>
      <c r="S55" s="1013">
        <f t="shared" si="9"/>
        <v>6107419</v>
      </c>
      <c r="T55" s="1017">
        <v>0</v>
      </c>
      <c r="U55" s="785">
        <v>0</v>
      </c>
      <c r="V55" s="785">
        <v>200000</v>
      </c>
      <c r="W55" s="1017">
        <v>500000</v>
      </c>
      <c r="X55" s="1017">
        <v>0</v>
      </c>
      <c r="Y55" s="1017">
        <v>400000</v>
      </c>
      <c r="Z55" s="1017">
        <v>400399</v>
      </c>
      <c r="AA55" s="1018"/>
      <c r="AB55" s="1013"/>
      <c r="AC55" s="1017">
        <v>0</v>
      </c>
      <c r="AD55" s="1017">
        <v>0</v>
      </c>
      <c r="AE55" s="1013">
        <v>44213.94104803494</v>
      </c>
      <c r="AF55" s="1019"/>
      <c r="AG55" s="1019">
        <f t="shared" si="10"/>
        <v>7652032</v>
      </c>
      <c r="AH55" s="1014">
        <v>48</v>
      </c>
      <c r="AI55" s="1014">
        <v>0</v>
      </c>
      <c r="AJ55" s="1014">
        <v>0</v>
      </c>
      <c r="AK55" s="1018">
        <v>0</v>
      </c>
      <c r="AL55" s="1020">
        <v>0</v>
      </c>
      <c r="AM55" s="1013">
        <f t="shared" si="11"/>
        <v>2122269</v>
      </c>
      <c r="AN55" s="1045">
        <f t="shared" si="18"/>
        <v>9774301</v>
      </c>
      <c r="AO55" s="1013">
        <v>643755</v>
      </c>
      <c r="AP55" s="1013">
        <v>44100</v>
      </c>
      <c r="AQ55" s="1013">
        <v>0</v>
      </c>
      <c r="AR55" s="1013">
        <v>0</v>
      </c>
      <c r="AS55" s="1013">
        <v>0</v>
      </c>
      <c r="AT55" s="1045">
        <f t="shared" si="13"/>
        <v>9086446</v>
      </c>
      <c r="AU55" s="1004"/>
      <c r="AV55" s="870"/>
      <c r="AW55" s="782" t="s">
        <v>3422</v>
      </c>
      <c r="AX55" s="782" t="s">
        <v>3423</v>
      </c>
      <c r="AY55" s="1007" t="s">
        <v>287</v>
      </c>
      <c r="AZ55" s="1007">
        <v>622</v>
      </c>
      <c r="BA55" s="347" t="str">
        <f t="shared" si="14"/>
        <v>Box</v>
      </c>
      <c r="BB55" s="1008"/>
      <c r="BC55" s="1009"/>
      <c r="BD55" s="1009"/>
    </row>
    <row r="56" spans="1:56" s="1010" customFormat="1" ht="36.75" customHeight="1">
      <c r="A56" s="661">
        <f>SUBTOTAL(3,B$6:B56)</f>
        <v>51</v>
      </c>
      <c r="B56" s="661" t="s">
        <v>890</v>
      </c>
      <c r="C56" s="662" t="s">
        <v>891</v>
      </c>
      <c r="D56" s="1011">
        <v>44341</v>
      </c>
      <c r="E56" s="1011" t="s">
        <v>216</v>
      </c>
      <c r="F56" s="787" t="s">
        <v>692</v>
      </c>
      <c r="G56" s="996" t="s">
        <v>885</v>
      </c>
      <c r="H56" s="1012">
        <v>5931000</v>
      </c>
      <c r="I56" s="1012">
        <v>2200000</v>
      </c>
      <c r="J56" s="1012">
        <v>0</v>
      </c>
      <c r="K56" s="1012">
        <v>300000</v>
      </c>
      <c r="L56" s="1013">
        <f t="shared" si="5"/>
        <v>8431000</v>
      </c>
      <c r="M56" s="1014">
        <v>24</v>
      </c>
      <c r="N56" s="1013">
        <f t="shared" si="6"/>
        <v>7782462</v>
      </c>
      <c r="O56" s="1015">
        <v>2</v>
      </c>
      <c r="P56" s="1013">
        <f t="shared" si="7"/>
        <v>648538</v>
      </c>
      <c r="Q56" s="1016">
        <v>0</v>
      </c>
      <c r="R56" s="1013">
        <f t="shared" si="8"/>
        <v>0</v>
      </c>
      <c r="S56" s="1013">
        <f t="shared" si="9"/>
        <v>8431000</v>
      </c>
      <c r="T56" s="1017">
        <v>0</v>
      </c>
      <c r="U56" s="785">
        <v>0</v>
      </c>
      <c r="V56" s="785">
        <v>200000</v>
      </c>
      <c r="W56" s="1017">
        <v>500000</v>
      </c>
      <c r="X56" s="1017">
        <v>0</v>
      </c>
      <c r="Y56" s="1017">
        <v>400000</v>
      </c>
      <c r="Z56" s="1017">
        <v>403507</v>
      </c>
      <c r="AA56" s="1018"/>
      <c r="AB56" s="1013"/>
      <c r="AC56" s="1017">
        <v>0</v>
      </c>
      <c r="AD56" s="1017">
        <v>0</v>
      </c>
      <c r="AE56" s="1013">
        <v>0</v>
      </c>
      <c r="AF56" s="1019"/>
      <c r="AG56" s="1019">
        <f t="shared" si="10"/>
        <v>9934507</v>
      </c>
      <c r="AH56" s="1014">
        <v>52</v>
      </c>
      <c r="AI56" s="1014">
        <v>0</v>
      </c>
      <c r="AJ56" s="1014">
        <v>0</v>
      </c>
      <c r="AK56" s="1018">
        <v>0</v>
      </c>
      <c r="AL56" s="1020">
        <v>0</v>
      </c>
      <c r="AM56" s="1013">
        <f t="shared" si="11"/>
        <v>3161625</v>
      </c>
      <c r="AN56" s="1045">
        <f t="shared" si="18"/>
        <v>13096132</v>
      </c>
      <c r="AO56" s="1013">
        <v>885255</v>
      </c>
      <c r="AP56" s="1013">
        <v>44100</v>
      </c>
      <c r="AQ56" s="1013">
        <v>12850</v>
      </c>
      <c r="AR56" s="1013">
        <v>0</v>
      </c>
      <c r="AS56" s="1013">
        <v>0</v>
      </c>
      <c r="AT56" s="1045">
        <f t="shared" si="13"/>
        <v>12153927</v>
      </c>
      <c r="AU56" s="1004"/>
      <c r="AV56" s="870"/>
      <c r="AW56" s="782" t="s">
        <v>3424</v>
      </c>
      <c r="AX56" s="782" t="s">
        <v>3425</v>
      </c>
      <c r="AY56" s="1007" t="s">
        <v>287</v>
      </c>
      <c r="AZ56" s="1007">
        <v>622</v>
      </c>
      <c r="BA56" s="347" t="str">
        <f t="shared" si="14"/>
        <v>Box</v>
      </c>
      <c r="BB56" s="1008"/>
      <c r="BC56" s="1009"/>
      <c r="BD56" s="1009"/>
    </row>
    <row r="57" spans="1:56" s="1010" customFormat="1" ht="36.75" customHeight="1">
      <c r="A57" s="661">
        <f>SUBTOTAL(3,B$6:B57)</f>
        <v>52</v>
      </c>
      <c r="B57" s="661" t="s">
        <v>892</v>
      </c>
      <c r="C57" s="662" t="s">
        <v>893</v>
      </c>
      <c r="D57" s="1011">
        <v>44649</v>
      </c>
      <c r="E57" s="1011" t="s">
        <v>216</v>
      </c>
      <c r="F57" s="787" t="s">
        <v>692</v>
      </c>
      <c r="G57" s="996" t="s">
        <v>894</v>
      </c>
      <c r="H57" s="1012">
        <v>5931000</v>
      </c>
      <c r="I57" s="1012">
        <v>1000000</v>
      </c>
      <c r="J57" s="1012">
        <v>0</v>
      </c>
      <c r="K57" s="1012">
        <v>0</v>
      </c>
      <c r="L57" s="1013">
        <f t="shared" si="5"/>
        <v>6931000</v>
      </c>
      <c r="M57" s="1014">
        <v>22.8</v>
      </c>
      <c r="N57" s="1013">
        <f t="shared" si="6"/>
        <v>6077954</v>
      </c>
      <c r="O57" s="1015">
        <v>3</v>
      </c>
      <c r="P57" s="1013">
        <f t="shared" si="7"/>
        <v>799731</v>
      </c>
      <c r="Q57" s="1016">
        <v>0</v>
      </c>
      <c r="R57" s="1013">
        <f t="shared" si="8"/>
        <v>0</v>
      </c>
      <c r="S57" s="1013">
        <f t="shared" si="9"/>
        <v>6877685</v>
      </c>
      <c r="T57" s="1017">
        <v>0</v>
      </c>
      <c r="U57" s="785">
        <v>0</v>
      </c>
      <c r="V57" s="785">
        <v>200000</v>
      </c>
      <c r="W57" s="1017">
        <v>500000</v>
      </c>
      <c r="X57" s="1017">
        <v>0</v>
      </c>
      <c r="Y57" s="1017">
        <v>400000</v>
      </c>
      <c r="Z57" s="1017">
        <v>400763</v>
      </c>
      <c r="AA57" s="1018"/>
      <c r="AB57" s="1013"/>
      <c r="AC57" s="1017">
        <v>0</v>
      </c>
      <c r="AD57" s="1017">
        <v>0</v>
      </c>
      <c r="AE57" s="1013">
        <v>0</v>
      </c>
      <c r="AF57" s="1019"/>
      <c r="AG57" s="1019">
        <f t="shared" si="10"/>
        <v>8378448</v>
      </c>
      <c r="AH57" s="1014">
        <v>48</v>
      </c>
      <c r="AI57" s="1014">
        <v>0</v>
      </c>
      <c r="AJ57" s="1014">
        <v>0</v>
      </c>
      <c r="AK57" s="1018">
        <v>0</v>
      </c>
      <c r="AL57" s="1020">
        <v>0</v>
      </c>
      <c r="AM57" s="1013">
        <f t="shared" si="11"/>
        <v>2399192</v>
      </c>
      <c r="AN57" s="1045">
        <f t="shared" si="18"/>
        <v>10777640</v>
      </c>
      <c r="AO57" s="1013">
        <v>727755</v>
      </c>
      <c r="AP57" s="1013">
        <v>44100</v>
      </c>
      <c r="AQ57" s="1013">
        <v>0</v>
      </c>
      <c r="AR57" s="1013">
        <v>0</v>
      </c>
      <c r="AS57" s="1013">
        <v>0</v>
      </c>
      <c r="AT57" s="1045">
        <f t="shared" si="13"/>
        <v>10005785</v>
      </c>
      <c r="AU57" s="1004"/>
      <c r="AV57" s="870"/>
      <c r="AW57" s="782" t="s">
        <v>3426</v>
      </c>
      <c r="AX57" s="782" t="s">
        <v>3427</v>
      </c>
      <c r="AY57" s="1007" t="s">
        <v>287</v>
      </c>
      <c r="AZ57" s="1007">
        <v>622</v>
      </c>
      <c r="BA57" s="347" t="str">
        <f t="shared" si="14"/>
        <v>Box</v>
      </c>
      <c r="BB57" s="1008"/>
      <c r="BC57" s="1009"/>
      <c r="BD57" s="1009"/>
    </row>
    <row r="58" spans="1:56" s="1010" customFormat="1" ht="36.75" customHeight="1">
      <c r="A58" s="661">
        <f>SUBTOTAL(3,B$6:B58)</f>
        <v>53</v>
      </c>
      <c r="B58" s="661" t="s">
        <v>895</v>
      </c>
      <c r="C58" s="662" t="s">
        <v>896</v>
      </c>
      <c r="D58" s="1011">
        <v>45355</v>
      </c>
      <c r="E58" s="1011" t="s">
        <v>216</v>
      </c>
      <c r="F58" s="787" t="s">
        <v>692</v>
      </c>
      <c r="G58" s="996" t="s">
        <v>786</v>
      </c>
      <c r="H58" s="1012">
        <v>5538000</v>
      </c>
      <c r="I58" s="1012">
        <v>200000</v>
      </c>
      <c r="J58" s="1012">
        <v>0</v>
      </c>
      <c r="K58" s="1012">
        <v>0</v>
      </c>
      <c r="L58" s="1013">
        <f t="shared" si="5"/>
        <v>5738000</v>
      </c>
      <c r="M58" s="1014">
        <v>15.2</v>
      </c>
      <c r="N58" s="1013">
        <f t="shared" si="6"/>
        <v>3354523</v>
      </c>
      <c r="O58" s="1015">
        <v>2</v>
      </c>
      <c r="P58" s="1013">
        <f t="shared" si="7"/>
        <v>441385</v>
      </c>
      <c r="Q58" s="1016">
        <v>0</v>
      </c>
      <c r="R58" s="1013">
        <f t="shared" si="8"/>
        <v>0</v>
      </c>
      <c r="S58" s="1013">
        <f t="shared" si="9"/>
        <v>3795908</v>
      </c>
      <c r="T58" s="1017">
        <v>0</v>
      </c>
      <c r="U58" s="785">
        <v>0</v>
      </c>
      <c r="V58" s="785">
        <v>200000</v>
      </c>
      <c r="W58" s="1017">
        <v>0</v>
      </c>
      <c r="X58" s="1017">
        <v>0</v>
      </c>
      <c r="Y58" s="1017">
        <v>0</v>
      </c>
      <c r="Z58" s="1017">
        <v>375747</v>
      </c>
      <c r="AA58" s="1018"/>
      <c r="AB58" s="1013"/>
      <c r="AC58" s="1017">
        <v>0</v>
      </c>
      <c r="AD58" s="1017">
        <v>0</v>
      </c>
      <c r="AE58" s="1013">
        <v>41379.806743421053</v>
      </c>
      <c r="AF58" s="1019"/>
      <c r="AG58" s="1019">
        <f t="shared" si="10"/>
        <v>4413035</v>
      </c>
      <c r="AH58" s="1014">
        <v>28</v>
      </c>
      <c r="AI58" s="1014">
        <v>0</v>
      </c>
      <c r="AJ58" s="1014">
        <v>0</v>
      </c>
      <c r="AK58" s="1018">
        <v>0</v>
      </c>
      <c r="AL58" s="1020">
        <v>0</v>
      </c>
      <c r="AM58" s="1013">
        <f t="shared" si="11"/>
        <v>1158635</v>
      </c>
      <c r="AN58" s="1045">
        <f>ROUND(AG58+AM58,0)</f>
        <v>5571670</v>
      </c>
      <c r="AO58" s="1013">
        <v>602490</v>
      </c>
      <c r="AP58" s="1013">
        <v>44100</v>
      </c>
      <c r="AQ58" s="1013">
        <v>0</v>
      </c>
      <c r="AR58" s="1013">
        <v>0</v>
      </c>
      <c r="AS58" s="1013">
        <v>0</v>
      </c>
      <c r="AT58" s="1045">
        <f t="shared" si="13"/>
        <v>4925080</v>
      </c>
      <c r="AU58" s="1004"/>
      <c r="AV58" s="870"/>
      <c r="AW58" s="782" t="s">
        <v>3428</v>
      </c>
      <c r="AX58" s="782" t="s">
        <v>3429</v>
      </c>
      <c r="AY58" s="1007" t="s">
        <v>287</v>
      </c>
      <c r="AZ58" s="1007">
        <v>622</v>
      </c>
      <c r="BA58" s="347" t="str">
        <f t="shared" si="14"/>
        <v>Box</v>
      </c>
      <c r="BB58" s="1008"/>
      <c r="BC58" s="1009"/>
      <c r="BD58" s="1009"/>
    </row>
    <row r="59" spans="1:56" s="1010" customFormat="1" ht="36.75" customHeight="1">
      <c r="A59" s="661">
        <f>SUBTOTAL(3,B$6:B59)</f>
        <v>54</v>
      </c>
      <c r="B59" s="661" t="s">
        <v>897</v>
      </c>
      <c r="C59" s="662" t="s">
        <v>898</v>
      </c>
      <c r="D59" s="1011">
        <v>45374</v>
      </c>
      <c r="E59" s="1011" t="s">
        <v>216</v>
      </c>
      <c r="F59" s="787" t="s">
        <v>692</v>
      </c>
      <c r="G59" s="996" t="s">
        <v>899</v>
      </c>
      <c r="H59" s="1012">
        <v>5538000</v>
      </c>
      <c r="I59" s="1012">
        <v>600000</v>
      </c>
      <c r="J59" s="1012">
        <v>0</v>
      </c>
      <c r="K59" s="1012">
        <v>0</v>
      </c>
      <c r="L59" s="1013">
        <f t="shared" si="5"/>
        <v>6138000</v>
      </c>
      <c r="M59" s="1014">
        <v>23</v>
      </c>
      <c r="N59" s="1013">
        <f t="shared" si="6"/>
        <v>5429769</v>
      </c>
      <c r="O59" s="1015">
        <v>3</v>
      </c>
      <c r="P59" s="1013">
        <f t="shared" si="7"/>
        <v>708231</v>
      </c>
      <c r="Q59" s="1016">
        <v>0</v>
      </c>
      <c r="R59" s="1013">
        <f t="shared" si="8"/>
        <v>0</v>
      </c>
      <c r="S59" s="1013">
        <f t="shared" si="9"/>
        <v>6138000</v>
      </c>
      <c r="T59" s="1017">
        <v>0</v>
      </c>
      <c r="U59" s="785">
        <v>0</v>
      </c>
      <c r="V59" s="785">
        <v>200000</v>
      </c>
      <c r="W59" s="1017">
        <v>500000</v>
      </c>
      <c r="X59" s="1017">
        <v>0</v>
      </c>
      <c r="Y59" s="1017">
        <v>0</v>
      </c>
      <c r="Z59" s="1017">
        <v>396693</v>
      </c>
      <c r="AA59" s="1018"/>
      <c r="AB59" s="1013"/>
      <c r="AC59" s="1017">
        <v>0</v>
      </c>
      <c r="AD59" s="1017">
        <v>0</v>
      </c>
      <c r="AE59" s="1013">
        <v>0</v>
      </c>
      <c r="AF59" s="1019"/>
      <c r="AG59" s="1019">
        <f t="shared" si="10"/>
        <v>7234693</v>
      </c>
      <c r="AH59" s="1014">
        <v>41</v>
      </c>
      <c r="AI59" s="1014">
        <v>0</v>
      </c>
      <c r="AJ59" s="1014">
        <v>0</v>
      </c>
      <c r="AK59" s="1018">
        <v>0</v>
      </c>
      <c r="AL59" s="1020">
        <v>0</v>
      </c>
      <c r="AM59" s="1013">
        <f t="shared" si="11"/>
        <v>1814841</v>
      </c>
      <c r="AN59" s="1045">
        <f t="shared" ref="AN59:AN66" si="19">ROUND(AG59+AM59,0)</f>
        <v>9049534</v>
      </c>
      <c r="AO59" s="1013">
        <v>644490</v>
      </c>
      <c r="AP59" s="1013">
        <v>44100</v>
      </c>
      <c r="AQ59" s="1013">
        <v>0</v>
      </c>
      <c r="AR59" s="1013">
        <v>0</v>
      </c>
      <c r="AS59" s="1013">
        <v>0</v>
      </c>
      <c r="AT59" s="1045">
        <f t="shared" si="13"/>
        <v>8360944</v>
      </c>
      <c r="AU59" s="1004"/>
      <c r="AV59" s="870"/>
      <c r="AW59" s="782" t="s">
        <v>3430</v>
      </c>
      <c r="AX59" s="782" t="s">
        <v>3431</v>
      </c>
      <c r="AY59" s="1007" t="s">
        <v>287</v>
      </c>
      <c r="AZ59" s="1007">
        <v>622</v>
      </c>
      <c r="BA59" s="347" t="str">
        <f t="shared" si="14"/>
        <v>Box</v>
      </c>
      <c r="BB59" s="1008"/>
      <c r="BC59" s="1009"/>
      <c r="BD59" s="1009"/>
    </row>
    <row r="60" spans="1:56" s="1010" customFormat="1" ht="36.75" customHeight="1">
      <c r="A60" s="661">
        <f>SUBTOTAL(3,B$6:B60)</f>
        <v>55</v>
      </c>
      <c r="B60" s="661" t="s">
        <v>900</v>
      </c>
      <c r="C60" s="662" t="s">
        <v>901</v>
      </c>
      <c r="D60" s="1011">
        <v>45587</v>
      </c>
      <c r="E60" s="1011" t="s">
        <v>216</v>
      </c>
      <c r="F60" s="787" t="s">
        <v>692</v>
      </c>
      <c r="G60" s="996" t="s">
        <v>797</v>
      </c>
      <c r="H60" s="1012">
        <v>5023000</v>
      </c>
      <c r="I60" s="1012">
        <v>0</v>
      </c>
      <c r="J60" s="1012">
        <v>0</v>
      </c>
      <c r="K60" s="1012">
        <v>0</v>
      </c>
      <c r="L60" s="1013">
        <f t="shared" si="5"/>
        <v>5023000</v>
      </c>
      <c r="M60" s="1014">
        <v>24</v>
      </c>
      <c r="N60" s="1013">
        <f t="shared" si="6"/>
        <v>4636615</v>
      </c>
      <c r="O60" s="1015">
        <v>2</v>
      </c>
      <c r="P60" s="1013">
        <f t="shared" si="7"/>
        <v>386385</v>
      </c>
      <c r="Q60" s="1016">
        <v>0</v>
      </c>
      <c r="R60" s="1013">
        <f t="shared" si="8"/>
        <v>0</v>
      </c>
      <c r="S60" s="1013">
        <f t="shared" si="9"/>
        <v>5023000</v>
      </c>
      <c r="T60" s="1017">
        <v>0</v>
      </c>
      <c r="U60" s="785">
        <v>0</v>
      </c>
      <c r="V60" s="785">
        <v>200000</v>
      </c>
      <c r="W60" s="1017">
        <v>500000</v>
      </c>
      <c r="X60" s="1017">
        <v>0</v>
      </c>
      <c r="Y60" s="1017">
        <v>400000</v>
      </c>
      <c r="Z60" s="1017">
        <v>436994</v>
      </c>
      <c r="AA60" s="1018"/>
      <c r="AB60" s="1013"/>
      <c r="AC60" s="1017">
        <v>0</v>
      </c>
      <c r="AD60" s="1017">
        <v>0</v>
      </c>
      <c r="AE60" s="1013">
        <v>36223.5546875</v>
      </c>
      <c r="AF60" s="1019"/>
      <c r="AG60" s="1019">
        <f t="shared" si="10"/>
        <v>6596218</v>
      </c>
      <c r="AH60" s="1014">
        <v>52</v>
      </c>
      <c r="AI60" s="1014">
        <v>0</v>
      </c>
      <c r="AJ60" s="1014">
        <v>0</v>
      </c>
      <c r="AK60" s="1018">
        <v>0</v>
      </c>
      <c r="AL60" s="1020">
        <v>0</v>
      </c>
      <c r="AM60" s="1013">
        <f t="shared" si="11"/>
        <v>1883625</v>
      </c>
      <c r="AN60" s="1045">
        <f t="shared" si="19"/>
        <v>8479843</v>
      </c>
      <c r="AO60" s="1013">
        <v>527415</v>
      </c>
      <c r="AP60" s="1013">
        <v>44100</v>
      </c>
      <c r="AQ60" s="1013">
        <v>0</v>
      </c>
      <c r="AR60" s="1013">
        <v>0</v>
      </c>
      <c r="AS60" s="1013">
        <v>0</v>
      </c>
      <c r="AT60" s="1045">
        <f t="shared" si="13"/>
        <v>7908328</v>
      </c>
      <c r="AU60" s="1004"/>
      <c r="AV60" s="870"/>
      <c r="AW60" s="782" t="s">
        <v>3432</v>
      </c>
      <c r="AX60" s="782" t="s">
        <v>3433</v>
      </c>
      <c r="AY60" s="1007" t="s">
        <v>287</v>
      </c>
      <c r="AZ60" s="1007">
        <v>622</v>
      </c>
      <c r="BA60" s="347" t="str">
        <f t="shared" si="14"/>
        <v>Box</v>
      </c>
      <c r="BB60" s="1008"/>
      <c r="BC60" s="1009"/>
      <c r="BD60" s="1009"/>
    </row>
    <row r="61" spans="1:56" s="1010" customFormat="1" ht="36.75" customHeight="1">
      <c r="A61" s="661">
        <f>SUBTOTAL(3,B$6:B61)</f>
        <v>56</v>
      </c>
      <c r="B61" s="661" t="s">
        <v>902</v>
      </c>
      <c r="C61" s="662" t="s">
        <v>903</v>
      </c>
      <c r="D61" s="1011">
        <v>45638</v>
      </c>
      <c r="E61" s="1011" t="s">
        <v>216</v>
      </c>
      <c r="F61" s="787" t="s">
        <v>692</v>
      </c>
      <c r="G61" s="996" t="s">
        <v>797</v>
      </c>
      <c r="H61" s="1012">
        <v>5023000</v>
      </c>
      <c r="I61" s="1012">
        <v>0</v>
      </c>
      <c r="J61" s="1012">
        <v>0</v>
      </c>
      <c r="K61" s="1012">
        <v>0</v>
      </c>
      <c r="L61" s="1013">
        <f t="shared" si="5"/>
        <v>5023000</v>
      </c>
      <c r="M61" s="1014">
        <v>21</v>
      </c>
      <c r="N61" s="1013">
        <f t="shared" si="6"/>
        <v>4057038</v>
      </c>
      <c r="O61" s="1015">
        <v>3</v>
      </c>
      <c r="P61" s="1013">
        <f t="shared" si="7"/>
        <v>579577</v>
      </c>
      <c r="Q61" s="1016">
        <v>0</v>
      </c>
      <c r="R61" s="1013">
        <f t="shared" si="8"/>
        <v>0</v>
      </c>
      <c r="S61" s="1013">
        <f t="shared" si="9"/>
        <v>4636615</v>
      </c>
      <c r="T61" s="1017">
        <v>0</v>
      </c>
      <c r="U61" s="785">
        <v>0</v>
      </c>
      <c r="V61" s="785">
        <v>200000</v>
      </c>
      <c r="W61" s="1017">
        <v>0</v>
      </c>
      <c r="X61" s="1017">
        <v>0</v>
      </c>
      <c r="Y61" s="1017">
        <v>0</v>
      </c>
      <c r="Z61" s="1017">
        <v>396059</v>
      </c>
      <c r="AA61" s="1018"/>
      <c r="AB61" s="1013"/>
      <c r="AC61" s="1017">
        <v>0</v>
      </c>
      <c r="AD61" s="1017">
        <v>0</v>
      </c>
      <c r="AE61" s="1013">
        <v>36223.553571428572</v>
      </c>
      <c r="AF61" s="1019"/>
      <c r="AG61" s="1019">
        <f t="shared" si="10"/>
        <v>5268898</v>
      </c>
      <c r="AH61" s="1014">
        <v>40</v>
      </c>
      <c r="AI61" s="1014">
        <v>0</v>
      </c>
      <c r="AJ61" s="1014">
        <v>0</v>
      </c>
      <c r="AK61" s="1018">
        <v>0</v>
      </c>
      <c r="AL61" s="1020">
        <v>0</v>
      </c>
      <c r="AM61" s="1013">
        <f t="shared" si="11"/>
        <v>1448942</v>
      </c>
      <c r="AN61" s="1045">
        <f t="shared" si="19"/>
        <v>6717840</v>
      </c>
      <c r="AO61" s="1013">
        <v>527415</v>
      </c>
      <c r="AP61" s="1013">
        <v>44100</v>
      </c>
      <c r="AQ61" s="1013">
        <v>0</v>
      </c>
      <c r="AR61" s="1013">
        <v>0</v>
      </c>
      <c r="AS61" s="1013">
        <v>0</v>
      </c>
      <c r="AT61" s="1045">
        <f t="shared" si="13"/>
        <v>6146325</v>
      </c>
      <c r="AU61" s="1004"/>
      <c r="AV61" s="870"/>
      <c r="AW61" s="782" t="s">
        <v>3434</v>
      </c>
      <c r="AX61" s="782" t="s">
        <v>3435</v>
      </c>
      <c r="AY61" s="1007" t="s">
        <v>287</v>
      </c>
      <c r="AZ61" s="1007">
        <v>622</v>
      </c>
      <c r="BA61" s="347" t="str">
        <f t="shared" si="14"/>
        <v>Box</v>
      </c>
      <c r="BB61" s="1008"/>
      <c r="BC61" s="1009"/>
      <c r="BD61" s="1009"/>
    </row>
    <row r="62" spans="1:56" s="1010" customFormat="1" ht="36.75" customHeight="1">
      <c r="A62" s="661">
        <f>SUBTOTAL(3,B$6:B62)</f>
        <v>57</v>
      </c>
      <c r="B62" s="661" t="s">
        <v>904</v>
      </c>
      <c r="C62" s="662" t="s">
        <v>905</v>
      </c>
      <c r="D62" s="1011">
        <v>45645</v>
      </c>
      <c r="E62" s="1011" t="s">
        <v>216</v>
      </c>
      <c r="F62" s="787" t="s">
        <v>692</v>
      </c>
      <c r="G62" s="996" t="s">
        <v>797</v>
      </c>
      <c r="H62" s="1012">
        <v>5023000</v>
      </c>
      <c r="I62" s="1012">
        <v>0</v>
      </c>
      <c r="J62" s="1012">
        <v>0</v>
      </c>
      <c r="K62" s="1012">
        <v>0</v>
      </c>
      <c r="L62" s="1013">
        <f t="shared" si="5"/>
        <v>5023000</v>
      </c>
      <c r="M62" s="1014">
        <v>22.6</v>
      </c>
      <c r="N62" s="1013">
        <f t="shared" si="6"/>
        <v>4366146</v>
      </c>
      <c r="O62" s="1015">
        <v>3</v>
      </c>
      <c r="P62" s="1013">
        <f t="shared" si="7"/>
        <v>579577</v>
      </c>
      <c r="Q62" s="1016">
        <v>0</v>
      </c>
      <c r="R62" s="1013">
        <f t="shared" si="8"/>
        <v>0</v>
      </c>
      <c r="S62" s="1013">
        <f t="shared" si="9"/>
        <v>4945723</v>
      </c>
      <c r="T62" s="1017">
        <v>0</v>
      </c>
      <c r="U62" s="785">
        <v>0</v>
      </c>
      <c r="V62" s="785">
        <v>200000</v>
      </c>
      <c r="W62" s="1017">
        <v>500000</v>
      </c>
      <c r="X62" s="1017">
        <v>0</v>
      </c>
      <c r="Y62" s="1017">
        <v>400000</v>
      </c>
      <c r="Z62" s="1017">
        <v>443623</v>
      </c>
      <c r="AA62" s="1018"/>
      <c r="AB62" s="1013"/>
      <c r="AC62" s="1017">
        <v>0</v>
      </c>
      <c r="AD62" s="1017">
        <v>0</v>
      </c>
      <c r="AE62" s="1013">
        <v>36223.556415929197</v>
      </c>
      <c r="AF62" s="1019"/>
      <c r="AG62" s="1019">
        <f t="shared" si="10"/>
        <v>6525570</v>
      </c>
      <c r="AH62" s="1014">
        <v>40</v>
      </c>
      <c r="AI62" s="1014">
        <v>0</v>
      </c>
      <c r="AJ62" s="1014">
        <v>0</v>
      </c>
      <c r="AK62" s="1018">
        <v>0</v>
      </c>
      <c r="AL62" s="1020">
        <v>0</v>
      </c>
      <c r="AM62" s="1013">
        <f t="shared" si="11"/>
        <v>1448942</v>
      </c>
      <c r="AN62" s="1045">
        <f t="shared" si="19"/>
        <v>7974512</v>
      </c>
      <c r="AO62" s="1013">
        <v>527415</v>
      </c>
      <c r="AP62" s="1013">
        <v>44100</v>
      </c>
      <c r="AQ62" s="1013">
        <v>0</v>
      </c>
      <c r="AR62" s="1013">
        <v>0</v>
      </c>
      <c r="AS62" s="1013">
        <v>0</v>
      </c>
      <c r="AT62" s="1045">
        <f t="shared" si="13"/>
        <v>7402997</v>
      </c>
      <c r="AU62" s="1004"/>
      <c r="AV62" s="870"/>
      <c r="AW62" s="782" t="s">
        <v>3436</v>
      </c>
      <c r="AX62" s="782" t="s">
        <v>3437</v>
      </c>
      <c r="AY62" s="1007" t="s">
        <v>287</v>
      </c>
      <c r="AZ62" s="1007">
        <v>622</v>
      </c>
      <c r="BA62" s="347" t="str">
        <f t="shared" si="14"/>
        <v>Box</v>
      </c>
      <c r="BB62" s="1008"/>
      <c r="BC62" s="1009"/>
      <c r="BD62" s="1009"/>
    </row>
    <row r="63" spans="1:56" s="1010" customFormat="1" ht="36.75" customHeight="1">
      <c r="A63" s="661">
        <f>SUBTOTAL(3,B$6:B63)</f>
        <v>58</v>
      </c>
      <c r="B63" s="661" t="s">
        <v>906</v>
      </c>
      <c r="C63" s="662" t="s">
        <v>907</v>
      </c>
      <c r="D63" s="1011">
        <v>45706</v>
      </c>
      <c r="E63" s="1011" t="s">
        <v>216</v>
      </c>
      <c r="F63" s="787" t="s">
        <v>692</v>
      </c>
      <c r="G63" s="996" t="s">
        <v>797</v>
      </c>
      <c r="H63" s="1012">
        <v>5023000</v>
      </c>
      <c r="I63" s="1012">
        <v>0</v>
      </c>
      <c r="J63" s="1012">
        <v>0</v>
      </c>
      <c r="K63" s="1012">
        <v>0</v>
      </c>
      <c r="L63" s="1013">
        <f t="shared" si="5"/>
        <v>5023000</v>
      </c>
      <c r="M63" s="1014">
        <v>24</v>
      </c>
      <c r="N63" s="1013">
        <f t="shared" si="6"/>
        <v>4636615</v>
      </c>
      <c r="O63" s="1015">
        <v>2</v>
      </c>
      <c r="P63" s="1013">
        <f t="shared" si="7"/>
        <v>386385</v>
      </c>
      <c r="Q63" s="1016">
        <v>0</v>
      </c>
      <c r="R63" s="1013">
        <f t="shared" si="8"/>
        <v>0</v>
      </c>
      <c r="S63" s="1013">
        <f t="shared" si="9"/>
        <v>5023000</v>
      </c>
      <c r="T63" s="1017">
        <v>0</v>
      </c>
      <c r="U63" s="785">
        <v>0</v>
      </c>
      <c r="V63" s="785">
        <v>200000</v>
      </c>
      <c r="W63" s="1017">
        <v>500000</v>
      </c>
      <c r="X63" s="1017">
        <v>0</v>
      </c>
      <c r="Y63" s="1017">
        <v>400000</v>
      </c>
      <c r="Z63" s="1017">
        <v>461674</v>
      </c>
      <c r="AA63" s="1018"/>
      <c r="AB63" s="1013"/>
      <c r="AC63" s="1017">
        <v>0</v>
      </c>
      <c r="AD63" s="1017">
        <v>0</v>
      </c>
      <c r="AE63" s="1013">
        <v>36223.5546875</v>
      </c>
      <c r="AF63" s="1019"/>
      <c r="AG63" s="1019">
        <f t="shared" si="10"/>
        <v>6620898</v>
      </c>
      <c r="AH63" s="1014">
        <v>48</v>
      </c>
      <c r="AI63" s="1014">
        <v>0</v>
      </c>
      <c r="AJ63" s="1014">
        <v>0</v>
      </c>
      <c r="AK63" s="1018">
        <v>0</v>
      </c>
      <c r="AL63" s="1020">
        <v>0</v>
      </c>
      <c r="AM63" s="1013">
        <f t="shared" si="11"/>
        <v>1738731</v>
      </c>
      <c r="AN63" s="1045">
        <f t="shared" si="19"/>
        <v>8359629</v>
      </c>
      <c r="AO63" s="1013">
        <v>527415</v>
      </c>
      <c r="AP63" s="1013">
        <v>44100</v>
      </c>
      <c r="AQ63" s="1013">
        <v>0</v>
      </c>
      <c r="AR63" s="1013">
        <v>0</v>
      </c>
      <c r="AS63" s="1013">
        <v>0</v>
      </c>
      <c r="AT63" s="1045">
        <f t="shared" si="13"/>
        <v>7788114</v>
      </c>
      <c r="AU63" s="1004"/>
      <c r="AV63" s="870"/>
      <c r="AW63" s="782" t="s">
        <v>3438</v>
      </c>
      <c r="AX63" s="782" t="s">
        <v>3439</v>
      </c>
      <c r="AY63" s="1007" t="s">
        <v>287</v>
      </c>
      <c r="AZ63" s="1007">
        <v>622</v>
      </c>
      <c r="BA63" s="347" t="str">
        <f t="shared" si="14"/>
        <v>Box</v>
      </c>
      <c r="BB63" s="1008"/>
      <c r="BC63" s="1009"/>
      <c r="BD63" s="1009"/>
    </row>
    <row r="64" spans="1:56" s="1010" customFormat="1" ht="36.75" customHeight="1">
      <c r="A64" s="661">
        <f>SUBTOTAL(3,B$6:B64)</f>
        <v>59</v>
      </c>
      <c r="B64" s="661" t="s">
        <v>908</v>
      </c>
      <c r="C64" s="662" t="s">
        <v>909</v>
      </c>
      <c r="D64" s="1011">
        <v>45715</v>
      </c>
      <c r="E64" s="1011" t="s">
        <v>216</v>
      </c>
      <c r="F64" s="787" t="s">
        <v>692</v>
      </c>
      <c r="G64" s="996" t="s">
        <v>797</v>
      </c>
      <c r="H64" s="1012">
        <v>5023000</v>
      </c>
      <c r="I64" s="1012">
        <v>0</v>
      </c>
      <c r="J64" s="1012">
        <v>0</v>
      </c>
      <c r="K64" s="1012">
        <v>0</v>
      </c>
      <c r="L64" s="1013">
        <f t="shared" si="5"/>
        <v>5023000</v>
      </c>
      <c r="M64" s="1014">
        <v>24</v>
      </c>
      <c r="N64" s="1013">
        <f t="shared" si="6"/>
        <v>4636615</v>
      </c>
      <c r="O64" s="1015">
        <v>2</v>
      </c>
      <c r="P64" s="1013">
        <f t="shared" si="7"/>
        <v>386385</v>
      </c>
      <c r="Q64" s="1016">
        <v>0</v>
      </c>
      <c r="R64" s="1013">
        <f t="shared" si="8"/>
        <v>0</v>
      </c>
      <c r="S64" s="1013">
        <f t="shared" si="9"/>
        <v>5023000</v>
      </c>
      <c r="T64" s="1017">
        <v>0</v>
      </c>
      <c r="U64" s="785">
        <v>0</v>
      </c>
      <c r="V64" s="785">
        <v>200000</v>
      </c>
      <c r="W64" s="1017">
        <v>500000</v>
      </c>
      <c r="X64" s="1017">
        <v>0</v>
      </c>
      <c r="Y64" s="1017">
        <v>400000</v>
      </c>
      <c r="Z64" s="1017">
        <v>478792</v>
      </c>
      <c r="AA64" s="1018"/>
      <c r="AB64" s="1013"/>
      <c r="AC64" s="1017">
        <v>0</v>
      </c>
      <c r="AD64" s="1017">
        <v>0</v>
      </c>
      <c r="AE64" s="1013">
        <v>36223.5546875</v>
      </c>
      <c r="AF64" s="1019"/>
      <c r="AG64" s="1019">
        <f t="shared" si="10"/>
        <v>6638016</v>
      </c>
      <c r="AH64" s="1014">
        <v>48</v>
      </c>
      <c r="AI64" s="1014">
        <v>0</v>
      </c>
      <c r="AJ64" s="1014">
        <v>0</v>
      </c>
      <c r="AK64" s="1018">
        <v>0</v>
      </c>
      <c r="AL64" s="1020">
        <v>0</v>
      </c>
      <c r="AM64" s="1013">
        <f t="shared" si="11"/>
        <v>1738731</v>
      </c>
      <c r="AN64" s="1045">
        <f t="shared" si="19"/>
        <v>8376747</v>
      </c>
      <c r="AO64" s="1013">
        <v>527415</v>
      </c>
      <c r="AP64" s="1013">
        <v>0</v>
      </c>
      <c r="AQ64" s="1013">
        <v>0</v>
      </c>
      <c r="AR64" s="1013">
        <v>0</v>
      </c>
      <c r="AS64" s="1013">
        <v>0</v>
      </c>
      <c r="AT64" s="1045">
        <f t="shared" si="13"/>
        <v>7849332</v>
      </c>
      <c r="AU64" s="1004"/>
      <c r="AV64" s="870"/>
      <c r="AW64" s="782" t="s">
        <v>3440</v>
      </c>
      <c r="AX64" s="782" t="s">
        <v>3441</v>
      </c>
      <c r="AY64" s="1007" t="s">
        <v>287</v>
      </c>
      <c r="AZ64" s="1007">
        <v>622</v>
      </c>
      <c r="BA64" s="347" t="str">
        <f t="shared" si="14"/>
        <v>Box</v>
      </c>
      <c r="BB64" s="1008"/>
      <c r="BC64" s="1009"/>
      <c r="BD64" s="1009"/>
    </row>
    <row r="65" spans="1:56" s="1010" customFormat="1" ht="36.75" customHeight="1">
      <c r="A65" s="661">
        <f>SUBTOTAL(3,B$6:B65)</f>
        <v>60</v>
      </c>
      <c r="B65" s="661" t="s">
        <v>910</v>
      </c>
      <c r="C65" s="662" t="s">
        <v>911</v>
      </c>
      <c r="D65" s="1011">
        <v>40709</v>
      </c>
      <c r="E65" s="1011" t="s">
        <v>216</v>
      </c>
      <c r="F65" s="787" t="s">
        <v>692</v>
      </c>
      <c r="G65" s="996" t="s">
        <v>885</v>
      </c>
      <c r="H65" s="1012">
        <v>5931000</v>
      </c>
      <c r="I65" s="1012">
        <v>2500000</v>
      </c>
      <c r="J65" s="1012">
        <v>0</v>
      </c>
      <c r="K65" s="1012">
        <v>0</v>
      </c>
      <c r="L65" s="1013">
        <f t="shared" si="5"/>
        <v>8431000</v>
      </c>
      <c r="M65" s="1014">
        <v>23.6</v>
      </c>
      <c r="N65" s="1013">
        <f t="shared" si="6"/>
        <v>7652754</v>
      </c>
      <c r="O65" s="1015">
        <v>2</v>
      </c>
      <c r="P65" s="1013">
        <f t="shared" si="7"/>
        <v>648538</v>
      </c>
      <c r="Q65" s="1016">
        <v>0</v>
      </c>
      <c r="R65" s="1013">
        <f t="shared" si="8"/>
        <v>0</v>
      </c>
      <c r="S65" s="1013">
        <f t="shared" si="9"/>
        <v>8301292</v>
      </c>
      <c r="T65" s="1017">
        <v>0</v>
      </c>
      <c r="U65" s="785">
        <v>0</v>
      </c>
      <c r="V65" s="785">
        <v>200000</v>
      </c>
      <c r="W65" s="1017">
        <v>500000</v>
      </c>
      <c r="X65" s="1017">
        <v>882000</v>
      </c>
      <c r="Y65" s="1017">
        <v>400000</v>
      </c>
      <c r="Z65" s="1017">
        <v>485559</v>
      </c>
      <c r="AA65" s="1018"/>
      <c r="AB65" s="1013"/>
      <c r="AC65" s="1017">
        <v>0</v>
      </c>
      <c r="AD65" s="1017">
        <v>0</v>
      </c>
      <c r="AE65" s="1013">
        <v>0</v>
      </c>
      <c r="AF65" s="1019"/>
      <c r="AG65" s="1019">
        <f t="shared" si="10"/>
        <v>10768851</v>
      </c>
      <c r="AH65" s="1014">
        <v>49</v>
      </c>
      <c r="AI65" s="1014">
        <v>0</v>
      </c>
      <c r="AJ65" s="1014">
        <v>0</v>
      </c>
      <c r="AK65" s="1018">
        <v>0</v>
      </c>
      <c r="AL65" s="1020">
        <v>0</v>
      </c>
      <c r="AM65" s="1013">
        <f t="shared" si="11"/>
        <v>2979224</v>
      </c>
      <c r="AN65" s="1045">
        <f t="shared" si="19"/>
        <v>13748075</v>
      </c>
      <c r="AO65" s="1013">
        <v>885255</v>
      </c>
      <c r="AP65" s="1013">
        <v>44100</v>
      </c>
      <c r="AQ65" s="1013">
        <v>0</v>
      </c>
      <c r="AR65" s="1013">
        <v>0</v>
      </c>
      <c r="AS65" s="1013">
        <v>0</v>
      </c>
      <c r="AT65" s="1045">
        <f t="shared" si="13"/>
        <v>12818720</v>
      </c>
      <c r="AU65" s="1004"/>
      <c r="AV65" s="870"/>
      <c r="AW65" s="782" t="s">
        <v>3442</v>
      </c>
      <c r="AX65" s="782" t="s">
        <v>3443</v>
      </c>
      <c r="AY65" s="1007" t="s">
        <v>287</v>
      </c>
      <c r="AZ65" s="1007">
        <v>622</v>
      </c>
      <c r="BA65" s="347" t="str">
        <f t="shared" si="14"/>
        <v>Box</v>
      </c>
      <c r="BB65" s="1008"/>
      <c r="BC65" s="1009"/>
      <c r="BD65" s="1009"/>
    </row>
    <row r="66" spans="1:56" s="1010" customFormat="1" ht="36.75" customHeight="1">
      <c r="A66" s="661">
        <f>SUBTOTAL(3,B$6:B66)</f>
        <v>61</v>
      </c>
      <c r="B66" s="661" t="s">
        <v>912</v>
      </c>
      <c r="C66" s="662" t="s">
        <v>913</v>
      </c>
      <c r="D66" s="1011">
        <v>41505</v>
      </c>
      <c r="E66" s="1011" t="s">
        <v>216</v>
      </c>
      <c r="F66" s="787" t="s">
        <v>692</v>
      </c>
      <c r="G66" s="996" t="s">
        <v>786</v>
      </c>
      <c r="H66" s="1012">
        <v>5931000</v>
      </c>
      <c r="I66" s="1012">
        <v>200000</v>
      </c>
      <c r="J66" s="1012">
        <v>0</v>
      </c>
      <c r="K66" s="1012">
        <v>0</v>
      </c>
      <c r="L66" s="1013">
        <f t="shared" si="5"/>
        <v>6131000</v>
      </c>
      <c r="M66" s="1014">
        <v>23.7</v>
      </c>
      <c r="N66" s="1013">
        <f t="shared" si="6"/>
        <v>5588642</v>
      </c>
      <c r="O66" s="1015">
        <v>2</v>
      </c>
      <c r="P66" s="1013">
        <f t="shared" si="7"/>
        <v>471615</v>
      </c>
      <c r="Q66" s="1016">
        <v>0</v>
      </c>
      <c r="R66" s="1013">
        <f t="shared" si="8"/>
        <v>0</v>
      </c>
      <c r="S66" s="1013">
        <f t="shared" si="9"/>
        <v>6060257</v>
      </c>
      <c r="T66" s="1017">
        <v>0</v>
      </c>
      <c r="U66" s="785">
        <v>0</v>
      </c>
      <c r="V66" s="785">
        <v>200000</v>
      </c>
      <c r="W66" s="1017">
        <v>500000</v>
      </c>
      <c r="X66" s="1017">
        <v>0</v>
      </c>
      <c r="Y66" s="1017">
        <v>400000</v>
      </c>
      <c r="Z66" s="1017">
        <v>485559</v>
      </c>
      <c r="AA66" s="1018"/>
      <c r="AB66" s="1013"/>
      <c r="AC66" s="1017">
        <v>0</v>
      </c>
      <c r="AD66" s="1017">
        <v>0</v>
      </c>
      <c r="AE66" s="1013">
        <v>44213.939873417723</v>
      </c>
      <c r="AF66" s="1019"/>
      <c r="AG66" s="1019">
        <f t="shared" si="10"/>
        <v>7690030</v>
      </c>
      <c r="AH66" s="1014">
        <v>48</v>
      </c>
      <c r="AI66" s="1014">
        <v>0</v>
      </c>
      <c r="AJ66" s="1014">
        <v>0</v>
      </c>
      <c r="AK66" s="1018">
        <v>0</v>
      </c>
      <c r="AL66" s="1020">
        <v>0</v>
      </c>
      <c r="AM66" s="1013">
        <f t="shared" si="11"/>
        <v>2122269</v>
      </c>
      <c r="AN66" s="1045">
        <f t="shared" si="19"/>
        <v>9812299</v>
      </c>
      <c r="AO66" s="1013">
        <v>643755</v>
      </c>
      <c r="AP66" s="1013">
        <v>44100</v>
      </c>
      <c r="AQ66" s="1013">
        <v>0</v>
      </c>
      <c r="AR66" s="1013">
        <v>0</v>
      </c>
      <c r="AS66" s="1013">
        <v>0</v>
      </c>
      <c r="AT66" s="1045">
        <f t="shared" si="13"/>
        <v>9124444</v>
      </c>
      <c r="AU66" s="1004"/>
      <c r="AV66" s="870"/>
      <c r="AW66" s="782" t="s">
        <v>3444</v>
      </c>
      <c r="AX66" s="782" t="s">
        <v>3445</v>
      </c>
      <c r="AY66" s="1007" t="s">
        <v>287</v>
      </c>
      <c r="AZ66" s="1007">
        <v>622</v>
      </c>
      <c r="BA66" s="347" t="str">
        <f t="shared" si="14"/>
        <v>Box</v>
      </c>
      <c r="BB66" s="1008"/>
      <c r="BC66" s="1009"/>
      <c r="BD66" s="1009"/>
    </row>
    <row r="67" spans="1:56" s="1010" customFormat="1" ht="36.75" customHeight="1">
      <c r="A67" s="661">
        <f>SUBTOTAL(3,B$6:B67)</f>
        <v>62</v>
      </c>
      <c r="B67" s="661" t="s">
        <v>914</v>
      </c>
      <c r="C67" s="662" t="s">
        <v>915</v>
      </c>
      <c r="D67" s="1011">
        <v>42609</v>
      </c>
      <c r="E67" s="1011" t="s">
        <v>216</v>
      </c>
      <c r="F67" s="787" t="s">
        <v>692</v>
      </c>
      <c r="G67" s="996" t="s">
        <v>786</v>
      </c>
      <c r="H67" s="1012">
        <v>5931000</v>
      </c>
      <c r="I67" s="1012">
        <v>200000</v>
      </c>
      <c r="J67" s="1012">
        <v>0</v>
      </c>
      <c r="K67" s="1012">
        <v>0</v>
      </c>
      <c r="L67" s="1013">
        <f t="shared" si="5"/>
        <v>6131000</v>
      </c>
      <c r="M67" s="1014">
        <v>22.9</v>
      </c>
      <c r="N67" s="1013">
        <f t="shared" si="6"/>
        <v>5399996</v>
      </c>
      <c r="O67" s="1015">
        <v>3</v>
      </c>
      <c r="P67" s="1013">
        <f t="shared" si="7"/>
        <v>707423</v>
      </c>
      <c r="Q67" s="1016">
        <v>0</v>
      </c>
      <c r="R67" s="1013">
        <f t="shared" si="8"/>
        <v>0</v>
      </c>
      <c r="S67" s="1013">
        <f t="shared" si="9"/>
        <v>6107419</v>
      </c>
      <c r="T67" s="1017">
        <v>0</v>
      </c>
      <c r="U67" s="785">
        <v>0</v>
      </c>
      <c r="V67" s="785">
        <v>200000</v>
      </c>
      <c r="W67" s="1017">
        <v>500000</v>
      </c>
      <c r="X67" s="1017">
        <v>0</v>
      </c>
      <c r="Y67" s="1017">
        <v>400000</v>
      </c>
      <c r="Z67" s="1017">
        <v>471244</v>
      </c>
      <c r="AA67" s="1018"/>
      <c r="AB67" s="1013"/>
      <c r="AC67" s="1017">
        <v>100000</v>
      </c>
      <c r="AD67" s="1017">
        <v>0</v>
      </c>
      <c r="AE67" s="1013">
        <v>44213.94104803494</v>
      </c>
      <c r="AF67" s="1019"/>
      <c r="AG67" s="1019">
        <f t="shared" si="10"/>
        <v>7822877</v>
      </c>
      <c r="AH67" s="1014">
        <v>44</v>
      </c>
      <c r="AI67" s="1014">
        <v>0</v>
      </c>
      <c r="AJ67" s="1014">
        <v>0</v>
      </c>
      <c r="AK67" s="1018">
        <v>0</v>
      </c>
      <c r="AL67" s="1020">
        <v>0</v>
      </c>
      <c r="AM67" s="1013">
        <f t="shared" si="11"/>
        <v>1945413</v>
      </c>
      <c r="AN67" s="1045">
        <f>ROUND(AG67+AM67,0)</f>
        <v>9768290</v>
      </c>
      <c r="AO67" s="1013">
        <v>643755</v>
      </c>
      <c r="AP67" s="1013">
        <v>44100</v>
      </c>
      <c r="AQ67" s="1013">
        <v>0</v>
      </c>
      <c r="AR67" s="1013">
        <v>0</v>
      </c>
      <c r="AS67" s="1013">
        <v>0</v>
      </c>
      <c r="AT67" s="1045">
        <f t="shared" si="13"/>
        <v>9080435</v>
      </c>
      <c r="AU67" s="1004"/>
      <c r="AV67" s="870"/>
      <c r="AW67" s="782" t="s">
        <v>3446</v>
      </c>
      <c r="AX67" s="782" t="s">
        <v>3447</v>
      </c>
      <c r="AY67" s="1007" t="s">
        <v>287</v>
      </c>
      <c r="AZ67" s="1007">
        <v>622</v>
      </c>
      <c r="BA67" s="347" t="str">
        <f t="shared" si="14"/>
        <v>Box</v>
      </c>
      <c r="BB67" s="1008"/>
      <c r="BC67" s="1009"/>
      <c r="BD67" s="1009"/>
    </row>
    <row r="68" spans="1:56" s="1010" customFormat="1" ht="36.75" customHeight="1">
      <c r="A68" s="661">
        <f>SUBTOTAL(3,B$6:B68)</f>
        <v>63</v>
      </c>
      <c r="B68" s="661" t="s">
        <v>916</v>
      </c>
      <c r="C68" s="662" t="s">
        <v>917</v>
      </c>
      <c r="D68" s="1011">
        <v>42979</v>
      </c>
      <c r="E68" s="1011" t="s">
        <v>216</v>
      </c>
      <c r="F68" s="787" t="s">
        <v>692</v>
      </c>
      <c r="G68" s="996" t="s">
        <v>872</v>
      </c>
      <c r="H68" s="1012">
        <v>5931000</v>
      </c>
      <c r="I68" s="1012">
        <v>2300000</v>
      </c>
      <c r="J68" s="1012">
        <v>0</v>
      </c>
      <c r="K68" s="1012">
        <v>0</v>
      </c>
      <c r="L68" s="1013">
        <f t="shared" si="5"/>
        <v>8231000</v>
      </c>
      <c r="M68" s="1014">
        <v>22.8</v>
      </c>
      <c r="N68" s="1013">
        <f t="shared" si="6"/>
        <v>7217954</v>
      </c>
      <c r="O68" s="1015">
        <v>3</v>
      </c>
      <c r="P68" s="1013">
        <f t="shared" si="7"/>
        <v>949731</v>
      </c>
      <c r="Q68" s="1016">
        <v>0</v>
      </c>
      <c r="R68" s="1013">
        <f t="shared" si="8"/>
        <v>0</v>
      </c>
      <c r="S68" s="1013">
        <f t="shared" si="9"/>
        <v>8167685</v>
      </c>
      <c r="T68" s="1017">
        <v>0</v>
      </c>
      <c r="U68" s="785">
        <v>0</v>
      </c>
      <c r="V68" s="785">
        <v>200000</v>
      </c>
      <c r="W68" s="1017">
        <v>500000</v>
      </c>
      <c r="X68" s="1017">
        <v>0</v>
      </c>
      <c r="Y68" s="1017">
        <v>400000</v>
      </c>
      <c r="Z68" s="1017">
        <v>411507</v>
      </c>
      <c r="AA68" s="1018"/>
      <c r="AB68" s="1013"/>
      <c r="AC68" s="1017">
        <v>0</v>
      </c>
      <c r="AD68" s="1017">
        <v>0</v>
      </c>
      <c r="AE68" s="1013">
        <v>0</v>
      </c>
      <c r="AF68" s="1019"/>
      <c r="AG68" s="1019">
        <f t="shared" si="10"/>
        <v>9679192</v>
      </c>
      <c r="AH68" s="1014">
        <v>48</v>
      </c>
      <c r="AI68" s="1014">
        <v>0</v>
      </c>
      <c r="AJ68" s="1014">
        <v>0</v>
      </c>
      <c r="AK68" s="1018">
        <v>0</v>
      </c>
      <c r="AL68" s="1020">
        <v>0</v>
      </c>
      <c r="AM68" s="1013">
        <f t="shared" si="11"/>
        <v>2849192</v>
      </c>
      <c r="AN68" s="1045">
        <f t="shared" ref="AN68:AN75" si="20">ROUND(AG68+AM68,0)</f>
        <v>12528384</v>
      </c>
      <c r="AO68" s="1013">
        <v>864255</v>
      </c>
      <c r="AP68" s="1013">
        <v>44100</v>
      </c>
      <c r="AQ68" s="1013">
        <v>0</v>
      </c>
      <c r="AR68" s="1013">
        <v>0</v>
      </c>
      <c r="AS68" s="1013">
        <v>0</v>
      </c>
      <c r="AT68" s="1045">
        <f t="shared" si="13"/>
        <v>11620029</v>
      </c>
      <c r="AU68" s="1004"/>
      <c r="AV68" s="870"/>
      <c r="AW68" s="782" t="s">
        <v>3448</v>
      </c>
      <c r="AX68" s="782" t="s">
        <v>3449</v>
      </c>
      <c r="AY68" s="1007" t="s">
        <v>287</v>
      </c>
      <c r="AZ68" s="1007">
        <v>622</v>
      </c>
      <c r="BA68" s="347" t="str">
        <f t="shared" si="14"/>
        <v>Box</v>
      </c>
      <c r="BB68" s="1008"/>
      <c r="BC68" s="1009"/>
      <c r="BD68" s="1009"/>
    </row>
    <row r="69" spans="1:56" s="1010" customFormat="1" ht="36.75" customHeight="1">
      <c r="A69" s="661">
        <f>SUBTOTAL(3,B$6:B69)</f>
        <v>64</v>
      </c>
      <c r="B69" s="661" t="s">
        <v>918</v>
      </c>
      <c r="C69" s="662" t="s">
        <v>919</v>
      </c>
      <c r="D69" s="1011">
        <v>43595</v>
      </c>
      <c r="E69" s="1011" t="s">
        <v>216</v>
      </c>
      <c r="F69" s="787" t="s">
        <v>693</v>
      </c>
      <c r="G69" s="996" t="s">
        <v>920</v>
      </c>
      <c r="H69" s="1012">
        <v>5931000</v>
      </c>
      <c r="I69" s="1012">
        <v>0</v>
      </c>
      <c r="J69" s="1012">
        <v>0</v>
      </c>
      <c r="K69" s="1012">
        <v>0</v>
      </c>
      <c r="L69" s="1013">
        <f t="shared" si="5"/>
        <v>5931000</v>
      </c>
      <c r="M69" s="1014">
        <v>24</v>
      </c>
      <c r="N69" s="1013">
        <f t="shared" si="6"/>
        <v>5474769</v>
      </c>
      <c r="O69" s="1015">
        <v>2</v>
      </c>
      <c r="P69" s="1013">
        <f t="shared" si="7"/>
        <v>456231</v>
      </c>
      <c r="Q69" s="1016">
        <v>0</v>
      </c>
      <c r="R69" s="1013">
        <f t="shared" si="8"/>
        <v>0</v>
      </c>
      <c r="S69" s="1013">
        <f t="shared" si="9"/>
        <v>5931000</v>
      </c>
      <c r="T69" s="1017">
        <v>0</v>
      </c>
      <c r="U69" s="785">
        <v>0</v>
      </c>
      <c r="V69" s="785">
        <v>200000</v>
      </c>
      <c r="W69" s="1017">
        <v>500000</v>
      </c>
      <c r="X69" s="1017">
        <v>0</v>
      </c>
      <c r="Y69" s="1017">
        <v>400000</v>
      </c>
      <c r="Z69" s="1017">
        <v>424414</v>
      </c>
      <c r="AA69" s="1018"/>
      <c r="AB69" s="1013"/>
      <c r="AC69" s="1017">
        <v>0</v>
      </c>
      <c r="AD69" s="1017">
        <v>0</v>
      </c>
      <c r="AE69" s="1013">
        <v>42771.6328125</v>
      </c>
      <c r="AF69" s="1019"/>
      <c r="AG69" s="1019">
        <f t="shared" si="10"/>
        <v>7498186</v>
      </c>
      <c r="AH69" s="1014">
        <v>44</v>
      </c>
      <c r="AI69" s="1014">
        <v>0</v>
      </c>
      <c r="AJ69" s="1014">
        <v>0</v>
      </c>
      <c r="AK69" s="1018">
        <v>0</v>
      </c>
      <c r="AL69" s="1020">
        <v>0</v>
      </c>
      <c r="AM69" s="1013">
        <f t="shared" si="11"/>
        <v>1881952</v>
      </c>
      <c r="AN69" s="1045">
        <f t="shared" si="20"/>
        <v>9380138</v>
      </c>
      <c r="AO69" s="1013">
        <v>622755</v>
      </c>
      <c r="AP69" s="1013">
        <v>44100</v>
      </c>
      <c r="AQ69" s="1013">
        <v>0</v>
      </c>
      <c r="AR69" s="1013">
        <v>0</v>
      </c>
      <c r="AS69" s="1013">
        <v>0</v>
      </c>
      <c r="AT69" s="1045">
        <f t="shared" si="13"/>
        <v>8713283</v>
      </c>
      <c r="AU69" s="1004"/>
      <c r="AV69" s="870"/>
      <c r="AW69" s="782" t="s">
        <v>3450</v>
      </c>
      <c r="AX69" s="782" t="s">
        <v>3451</v>
      </c>
      <c r="AY69" s="1007" t="s">
        <v>287</v>
      </c>
      <c r="AZ69" s="1007">
        <v>622</v>
      </c>
      <c r="BA69" s="347" t="str">
        <f t="shared" si="14"/>
        <v>Box</v>
      </c>
      <c r="BB69" s="1008"/>
      <c r="BC69" s="1009"/>
      <c r="BD69" s="1009"/>
    </row>
    <row r="70" spans="1:56" s="1010" customFormat="1" ht="36.75" customHeight="1">
      <c r="A70" s="661">
        <f>SUBTOTAL(3,B$6:B70)</f>
        <v>65</v>
      </c>
      <c r="B70" s="661" t="s">
        <v>921</v>
      </c>
      <c r="C70" s="662" t="s">
        <v>922</v>
      </c>
      <c r="D70" s="1011">
        <v>43659</v>
      </c>
      <c r="E70" s="1011" t="s">
        <v>216</v>
      </c>
      <c r="F70" s="787" t="s">
        <v>693</v>
      </c>
      <c r="G70" s="996" t="s">
        <v>786</v>
      </c>
      <c r="H70" s="1012">
        <v>5931000</v>
      </c>
      <c r="I70" s="1012">
        <v>200000</v>
      </c>
      <c r="J70" s="1012">
        <v>0</v>
      </c>
      <c r="K70" s="1012">
        <v>0</v>
      </c>
      <c r="L70" s="1013">
        <f t="shared" si="5"/>
        <v>6131000</v>
      </c>
      <c r="M70" s="1014">
        <v>24</v>
      </c>
      <c r="N70" s="1013">
        <f t="shared" si="6"/>
        <v>5659385</v>
      </c>
      <c r="O70" s="1015">
        <v>2</v>
      </c>
      <c r="P70" s="1013">
        <f t="shared" si="7"/>
        <v>471615</v>
      </c>
      <c r="Q70" s="1016">
        <v>0</v>
      </c>
      <c r="R70" s="1013">
        <f t="shared" si="8"/>
        <v>0</v>
      </c>
      <c r="S70" s="1013">
        <f t="shared" si="9"/>
        <v>6131000</v>
      </c>
      <c r="T70" s="1017">
        <v>0</v>
      </c>
      <c r="U70" s="785">
        <v>0</v>
      </c>
      <c r="V70" s="785">
        <v>200000</v>
      </c>
      <c r="W70" s="1017">
        <v>500000</v>
      </c>
      <c r="X70" s="1017">
        <v>0</v>
      </c>
      <c r="Y70" s="1017">
        <v>400000</v>
      </c>
      <c r="Z70" s="1017">
        <v>424166</v>
      </c>
      <c r="AA70" s="1018"/>
      <c r="AB70" s="1013"/>
      <c r="AC70" s="1017">
        <v>0</v>
      </c>
      <c r="AD70" s="1017">
        <v>0</v>
      </c>
      <c r="AE70" s="1013">
        <v>44213.9453125</v>
      </c>
      <c r="AF70" s="1019"/>
      <c r="AG70" s="1019">
        <f t="shared" si="10"/>
        <v>7699380</v>
      </c>
      <c r="AH70" s="1014">
        <v>44</v>
      </c>
      <c r="AI70" s="1014">
        <v>0</v>
      </c>
      <c r="AJ70" s="1014">
        <v>0</v>
      </c>
      <c r="AK70" s="1018">
        <v>0</v>
      </c>
      <c r="AL70" s="1020">
        <v>0</v>
      </c>
      <c r="AM70" s="1013">
        <f t="shared" si="11"/>
        <v>1945414</v>
      </c>
      <c r="AN70" s="1045">
        <f t="shared" si="20"/>
        <v>9644794</v>
      </c>
      <c r="AO70" s="1013">
        <v>643755</v>
      </c>
      <c r="AP70" s="1013">
        <v>44100</v>
      </c>
      <c r="AQ70" s="1013">
        <v>0</v>
      </c>
      <c r="AR70" s="1013">
        <v>0</v>
      </c>
      <c r="AS70" s="1013">
        <v>0</v>
      </c>
      <c r="AT70" s="1045">
        <f t="shared" ref="AT70:AT110" si="21">+ROUND(SUM(AN70:AN70)-SUM(AO70:AS70),0)</f>
        <v>8956939</v>
      </c>
      <c r="AU70" s="1004"/>
      <c r="AV70" s="870"/>
      <c r="AW70" s="782" t="s">
        <v>3452</v>
      </c>
      <c r="AX70" s="782" t="s">
        <v>3453</v>
      </c>
      <c r="AY70" s="1007" t="s">
        <v>287</v>
      </c>
      <c r="AZ70" s="1007">
        <v>622</v>
      </c>
      <c r="BA70" s="347" t="str">
        <f t="shared" si="14"/>
        <v>Box</v>
      </c>
      <c r="BB70" s="1008"/>
      <c r="BC70" s="1009"/>
      <c r="BD70" s="1009"/>
    </row>
    <row r="71" spans="1:56" s="1010" customFormat="1" ht="36.75" customHeight="1">
      <c r="A71" s="661">
        <f>SUBTOTAL(3,B$6:B71)</f>
        <v>66</v>
      </c>
      <c r="B71" s="661" t="s">
        <v>923</v>
      </c>
      <c r="C71" s="662" t="s">
        <v>924</v>
      </c>
      <c r="D71" s="1011">
        <v>43810</v>
      </c>
      <c r="E71" s="1011" t="s">
        <v>216</v>
      </c>
      <c r="F71" s="787" t="s">
        <v>693</v>
      </c>
      <c r="G71" s="996" t="s">
        <v>786</v>
      </c>
      <c r="H71" s="1012">
        <v>5931000</v>
      </c>
      <c r="I71" s="1012">
        <v>200000</v>
      </c>
      <c r="J71" s="1012">
        <v>0</v>
      </c>
      <c r="K71" s="1012">
        <v>0</v>
      </c>
      <c r="L71" s="1013">
        <f t="shared" si="5"/>
        <v>6131000</v>
      </c>
      <c r="M71" s="1014">
        <v>23</v>
      </c>
      <c r="N71" s="1013">
        <f t="shared" ref="N71:N110" si="22">ROUND((H71+I71+J71+K71)/IF($M$2&gt;26,26,$M$2)*M71,0)</f>
        <v>5423577</v>
      </c>
      <c r="O71" s="1015">
        <v>3</v>
      </c>
      <c r="P71" s="1013">
        <f t="shared" ref="P71:P110" si="23">ROUND((H71+I71+J71+K71)/IF($M$2&gt;26,26,$M$2)*O71,0)</f>
        <v>707423</v>
      </c>
      <c r="Q71" s="1016">
        <v>0</v>
      </c>
      <c r="R71" s="1013">
        <f t="shared" ref="R71:R110" si="24">IF(M71&gt;0,ROUND(N71/IF(M71&gt;26,26,M71)/8*Q71*30%,0),0)</f>
        <v>0</v>
      </c>
      <c r="S71" s="1013">
        <f t="shared" ref="S71:S110" si="25">N71+P71+R71</f>
        <v>6131000</v>
      </c>
      <c r="T71" s="1017">
        <v>0</v>
      </c>
      <c r="U71" s="785">
        <v>0</v>
      </c>
      <c r="V71" s="785">
        <v>200000</v>
      </c>
      <c r="W71" s="1017">
        <v>500000</v>
      </c>
      <c r="X71" s="1017">
        <v>0</v>
      </c>
      <c r="Y71" s="1017">
        <v>400000</v>
      </c>
      <c r="Z71" s="1017">
        <v>441932</v>
      </c>
      <c r="AA71" s="1018"/>
      <c r="AB71" s="1013"/>
      <c r="AC71" s="1017">
        <v>0</v>
      </c>
      <c r="AD71" s="1017">
        <v>0</v>
      </c>
      <c r="AE71" s="1013">
        <v>44213.942934782608</v>
      </c>
      <c r="AF71" s="1019"/>
      <c r="AG71" s="1019">
        <f t="shared" si="10"/>
        <v>7717146</v>
      </c>
      <c r="AH71" s="1014">
        <v>52</v>
      </c>
      <c r="AI71" s="1014">
        <v>0</v>
      </c>
      <c r="AJ71" s="1014">
        <v>0</v>
      </c>
      <c r="AK71" s="1018">
        <v>0</v>
      </c>
      <c r="AL71" s="1020">
        <v>0</v>
      </c>
      <c r="AM71" s="1013">
        <f t="shared" ref="AM71:AM134" si="26">ROUND((N71/IF(M71&gt;26,26,M71)/8*(AH71*$AH$5+AI71*$AI$5+AJ71*$AJ$5+AK71*$AK$5+AL71*$AL$5)),0)</f>
        <v>2299125</v>
      </c>
      <c r="AN71" s="1045">
        <f t="shared" si="20"/>
        <v>10016271</v>
      </c>
      <c r="AO71" s="1013">
        <v>643755</v>
      </c>
      <c r="AP71" s="1013">
        <v>44100</v>
      </c>
      <c r="AQ71" s="1013">
        <v>0</v>
      </c>
      <c r="AR71" s="1013">
        <v>0</v>
      </c>
      <c r="AS71" s="1013">
        <v>0</v>
      </c>
      <c r="AT71" s="1045">
        <f t="shared" si="21"/>
        <v>9328416</v>
      </c>
      <c r="AU71" s="1004"/>
      <c r="AV71" s="870"/>
      <c r="AW71" s="782" t="s">
        <v>3454</v>
      </c>
      <c r="AX71" s="782" t="s">
        <v>3455</v>
      </c>
      <c r="AY71" s="1007" t="s">
        <v>287</v>
      </c>
      <c r="AZ71" s="1007">
        <v>622</v>
      </c>
      <c r="BA71" s="347" t="str">
        <f t="shared" ref="BA71:BA134" si="27">+IF(AY71="SK1 Box","Box",IF(AY71="Seaman","Seaman","Bag"))</f>
        <v>Box</v>
      </c>
      <c r="BB71" s="1008"/>
      <c r="BC71" s="1009"/>
      <c r="BD71" s="1009"/>
    </row>
    <row r="72" spans="1:56" s="1010" customFormat="1" ht="36.75" customHeight="1">
      <c r="A72" s="661">
        <f>SUBTOTAL(3,B$6:B72)</f>
        <v>67</v>
      </c>
      <c r="B72" s="661" t="s">
        <v>925</v>
      </c>
      <c r="C72" s="662" t="s">
        <v>926</v>
      </c>
      <c r="D72" s="1011">
        <v>43868</v>
      </c>
      <c r="E72" s="1011" t="s">
        <v>216</v>
      </c>
      <c r="F72" s="787" t="s">
        <v>693</v>
      </c>
      <c r="G72" s="996" t="s">
        <v>797</v>
      </c>
      <c r="H72" s="1012">
        <v>5931000</v>
      </c>
      <c r="I72" s="1012">
        <v>0</v>
      </c>
      <c r="J72" s="1012">
        <v>0</v>
      </c>
      <c r="K72" s="1012">
        <v>0</v>
      </c>
      <c r="L72" s="1013">
        <f t="shared" si="5"/>
        <v>5931000</v>
      </c>
      <c r="M72" s="1014">
        <v>24</v>
      </c>
      <c r="N72" s="1013">
        <f t="shared" si="22"/>
        <v>5474769</v>
      </c>
      <c r="O72" s="1015">
        <v>2</v>
      </c>
      <c r="P72" s="1013">
        <f t="shared" si="23"/>
        <v>456231</v>
      </c>
      <c r="Q72" s="1016">
        <v>0</v>
      </c>
      <c r="R72" s="1013">
        <f t="shared" si="24"/>
        <v>0</v>
      </c>
      <c r="S72" s="1013">
        <f t="shared" si="25"/>
        <v>5931000</v>
      </c>
      <c r="T72" s="1017">
        <v>0</v>
      </c>
      <c r="U72" s="785">
        <v>0</v>
      </c>
      <c r="V72" s="785">
        <v>200000</v>
      </c>
      <c r="W72" s="1017">
        <v>500000</v>
      </c>
      <c r="X72" s="1017">
        <v>0</v>
      </c>
      <c r="Y72" s="1017">
        <v>400000</v>
      </c>
      <c r="Z72" s="1017">
        <v>443879</v>
      </c>
      <c r="AA72" s="1018"/>
      <c r="AB72" s="1013"/>
      <c r="AC72" s="1017">
        <v>0</v>
      </c>
      <c r="AD72" s="1017">
        <v>0</v>
      </c>
      <c r="AE72" s="1013">
        <v>42771.6328125</v>
      </c>
      <c r="AF72" s="1019"/>
      <c r="AG72" s="1019">
        <f t="shared" si="10"/>
        <v>7517651</v>
      </c>
      <c r="AH72" s="1014">
        <v>52</v>
      </c>
      <c r="AI72" s="1014">
        <v>0</v>
      </c>
      <c r="AJ72" s="1014">
        <v>0</v>
      </c>
      <c r="AK72" s="1018">
        <v>0</v>
      </c>
      <c r="AL72" s="1020">
        <v>0</v>
      </c>
      <c r="AM72" s="1013">
        <f t="shared" si="26"/>
        <v>2224125</v>
      </c>
      <c r="AN72" s="1045">
        <f t="shared" si="20"/>
        <v>9741776</v>
      </c>
      <c r="AO72" s="1013">
        <v>622755</v>
      </c>
      <c r="AP72" s="1013">
        <v>44100</v>
      </c>
      <c r="AQ72" s="1013">
        <v>0</v>
      </c>
      <c r="AR72" s="1013">
        <v>0</v>
      </c>
      <c r="AS72" s="1013">
        <v>0</v>
      </c>
      <c r="AT72" s="1045">
        <f t="shared" si="21"/>
        <v>9074921</v>
      </c>
      <c r="AU72" s="1004"/>
      <c r="AV72" s="870"/>
      <c r="AW72" s="782" t="s">
        <v>3456</v>
      </c>
      <c r="AX72" s="782" t="s">
        <v>3457</v>
      </c>
      <c r="AY72" s="1007" t="s">
        <v>287</v>
      </c>
      <c r="AZ72" s="1007">
        <v>622</v>
      </c>
      <c r="BA72" s="347" t="str">
        <f t="shared" si="27"/>
        <v>Box</v>
      </c>
      <c r="BB72" s="1008"/>
      <c r="BC72" s="1009"/>
      <c r="BD72" s="1009"/>
    </row>
    <row r="73" spans="1:56" s="1010" customFormat="1" ht="36.75" customHeight="1">
      <c r="A73" s="661">
        <f>SUBTOTAL(3,B$6:B73)</f>
        <v>68</v>
      </c>
      <c r="B73" s="661" t="s">
        <v>927</v>
      </c>
      <c r="C73" s="662" t="s">
        <v>928</v>
      </c>
      <c r="D73" s="1011">
        <v>44256</v>
      </c>
      <c r="E73" s="1011" t="s">
        <v>216</v>
      </c>
      <c r="F73" s="787" t="s">
        <v>693</v>
      </c>
      <c r="G73" s="996" t="s">
        <v>797</v>
      </c>
      <c r="H73" s="1012">
        <v>5931000</v>
      </c>
      <c r="I73" s="1012">
        <v>0</v>
      </c>
      <c r="J73" s="1012">
        <v>0</v>
      </c>
      <c r="K73" s="1012">
        <v>0</v>
      </c>
      <c r="L73" s="1013">
        <f t="shared" si="5"/>
        <v>5931000</v>
      </c>
      <c r="M73" s="1014">
        <v>24</v>
      </c>
      <c r="N73" s="1013">
        <f t="shared" si="22"/>
        <v>5474769</v>
      </c>
      <c r="O73" s="1015">
        <v>2</v>
      </c>
      <c r="P73" s="1013">
        <f t="shared" si="23"/>
        <v>456231</v>
      </c>
      <c r="Q73" s="1016">
        <v>0</v>
      </c>
      <c r="R73" s="1013">
        <f t="shared" si="24"/>
        <v>0</v>
      </c>
      <c r="S73" s="1013">
        <f t="shared" si="25"/>
        <v>5931000</v>
      </c>
      <c r="T73" s="1017">
        <v>0</v>
      </c>
      <c r="U73" s="785">
        <v>0</v>
      </c>
      <c r="V73" s="785">
        <v>200000</v>
      </c>
      <c r="W73" s="1017">
        <v>500000</v>
      </c>
      <c r="X73" s="1017">
        <v>0</v>
      </c>
      <c r="Y73" s="1017">
        <v>150000</v>
      </c>
      <c r="Z73" s="1017">
        <v>0</v>
      </c>
      <c r="AA73" s="1018"/>
      <c r="AB73" s="1013"/>
      <c r="AC73" s="1017">
        <v>0</v>
      </c>
      <c r="AD73" s="1017">
        <v>0</v>
      </c>
      <c r="AE73" s="1013">
        <v>42771.6328125</v>
      </c>
      <c r="AF73" s="1019"/>
      <c r="AG73" s="1019">
        <f t="shared" si="10"/>
        <v>6823772</v>
      </c>
      <c r="AH73" s="1014">
        <v>48</v>
      </c>
      <c r="AI73" s="1014">
        <v>0</v>
      </c>
      <c r="AJ73" s="1014">
        <v>0</v>
      </c>
      <c r="AK73" s="1018">
        <v>0</v>
      </c>
      <c r="AL73" s="1020">
        <v>0</v>
      </c>
      <c r="AM73" s="1013">
        <f t="shared" si="26"/>
        <v>2053038</v>
      </c>
      <c r="AN73" s="1045">
        <f t="shared" si="20"/>
        <v>8876810</v>
      </c>
      <c r="AO73" s="1013">
        <v>622755</v>
      </c>
      <c r="AP73" s="1013">
        <v>44100</v>
      </c>
      <c r="AQ73" s="1013">
        <v>0</v>
      </c>
      <c r="AR73" s="1013">
        <v>0</v>
      </c>
      <c r="AS73" s="1013">
        <v>0</v>
      </c>
      <c r="AT73" s="1045">
        <f t="shared" si="21"/>
        <v>8209955</v>
      </c>
      <c r="AU73" s="1004"/>
      <c r="AV73" s="870"/>
      <c r="AW73" s="782" t="s">
        <v>3458</v>
      </c>
      <c r="AX73" s="782" t="s">
        <v>3459</v>
      </c>
      <c r="AY73" s="1007" t="s">
        <v>287</v>
      </c>
      <c r="AZ73" s="1007">
        <v>622</v>
      </c>
      <c r="BA73" s="347" t="str">
        <f t="shared" si="27"/>
        <v>Box</v>
      </c>
      <c r="BB73" s="1008"/>
      <c r="BC73" s="1009"/>
      <c r="BD73" s="1009"/>
    </row>
    <row r="74" spans="1:56" s="1010" customFormat="1" ht="36.75" customHeight="1">
      <c r="A74" s="661">
        <f>SUBTOTAL(3,B$6:B74)</f>
        <v>69</v>
      </c>
      <c r="B74" s="661" t="s">
        <v>929</v>
      </c>
      <c r="C74" s="662" t="s">
        <v>930</v>
      </c>
      <c r="D74" s="1011">
        <v>44609</v>
      </c>
      <c r="E74" s="1011" t="s">
        <v>216</v>
      </c>
      <c r="F74" s="787" t="s">
        <v>693</v>
      </c>
      <c r="G74" s="996" t="s">
        <v>786</v>
      </c>
      <c r="H74" s="1012">
        <v>5931000</v>
      </c>
      <c r="I74" s="1012">
        <v>200000</v>
      </c>
      <c r="J74" s="1012">
        <v>0</v>
      </c>
      <c r="K74" s="1012">
        <v>0</v>
      </c>
      <c r="L74" s="1013">
        <f t="shared" si="5"/>
        <v>6131000</v>
      </c>
      <c r="M74" s="1014">
        <v>23</v>
      </c>
      <c r="N74" s="1013">
        <f t="shared" si="22"/>
        <v>5423577</v>
      </c>
      <c r="O74" s="1015">
        <v>3</v>
      </c>
      <c r="P74" s="1013">
        <f t="shared" si="23"/>
        <v>707423</v>
      </c>
      <c r="Q74" s="1016">
        <v>0</v>
      </c>
      <c r="R74" s="1013">
        <f t="shared" si="24"/>
        <v>0</v>
      </c>
      <c r="S74" s="1013">
        <f t="shared" si="25"/>
        <v>6131000</v>
      </c>
      <c r="T74" s="1017">
        <v>0</v>
      </c>
      <c r="U74" s="785">
        <v>0</v>
      </c>
      <c r="V74" s="785">
        <v>200000</v>
      </c>
      <c r="W74" s="1017">
        <v>500000</v>
      </c>
      <c r="X74" s="1017">
        <v>0</v>
      </c>
      <c r="Y74" s="1017">
        <v>400000</v>
      </c>
      <c r="Z74" s="1017">
        <v>433304</v>
      </c>
      <c r="AA74" s="1018"/>
      <c r="AB74" s="1013"/>
      <c r="AC74" s="1017">
        <v>0</v>
      </c>
      <c r="AD74" s="1017">
        <v>0</v>
      </c>
      <c r="AE74" s="1013">
        <v>44213.942934782608</v>
      </c>
      <c r="AF74" s="1019"/>
      <c r="AG74" s="1019">
        <f t="shared" si="10"/>
        <v>7708518</v>
      </c>
      <c r="AH74" s="1014">
        <v>44</v>
      </c>
      <c r="AI74" s="1014">
        <v>0</v>
      </c>
      <c r="AJ74" s="1014">
        <v>0</v>
      </c>
      <c r="AK74" s="1018">
        <v>0</v>
      </c>
      <c r="AL74" s="1020">
        <v>0</v>
      </c>
      <c r="AM74" s="1013">
        <f t="shared" si="26"/>
        <v>1945413</v>
      </c>
      <c r="AN74" s="1045">
        <f t="shared" si="20"/>
        <v>9653931</v>
      </c>
      <c r="AO74" s="1013">
        <v>643755</v>
      </c>
      <c r="AP74" s="1013">
        <v>44100</v>
      </c>
      <c r="AQ74" s="1013">
        <v>0</v>
      </c>
      <c r="AR74" s="1013">
        <v>0</v>
      </c>
      <c r="AS74" s="1013">
        <v>0</v>
      </c>
      <c r="AT74" s="1045">
        <f t="shared" si="21"/>
        <v>8966076</v>
      </c>
      <c r="AU74" s="1004"/>
      <c r="AV74" s="870"/>
      <c r="AW74" s="782" t="s">
        <v>3460</v>
      </c>
      <c r="AX74" s="782" t="s">
        <v>3461</v>
      </c>
      <c r="AY74" s="1007" t="s">
        <v>287</v>
      </c>
      <c r="AZ74" s="1007">
        <v>622</v>
      </c>
      <c r="BA74" s="347" t="str">
        <f t="shared" si="27"/>
        <v>Box</v>
      </c>
      <c r="BB74" s="1008"/>
      <c r="BC74" s="1009"/>
      <c r="BD74" s="1009"/>
    </row>
    <row r="75" spans="1:56" s="1010" customFormat="1" ht="36.75" customHeight="1">
      <c r="A75" s="661">
        <f>SUBTOTAL(3,B$6:B75)</f>
        <v>70</v>
      </c>
      <c r="B75" s="661" t="s">
        <v>931</v>
      </c>
      <c r="C75" s="662" t="s">
        <v>932</v>
      </c>
      <c r="D75" s="1011">
        <v>44658</v>
      </c>
      <c r="E75" s="1011" t="s">
        <v>216</v>
      </c>
      <c r="F75" s="787" t="s">
        <v>693</v>
      </c>
      <c r="G75" s="996" t="s">
        <v>786</v>
      </c>
      <c r="H75" s="1012">
        <v>5931000</v>
      </c>
      <c r="I75" s="1012">
        <v>200000</v>
      </c>
      <c r="J75" s="1012">
        <v>0</v>
      </c>
      <c r="K75" s="1012">
        <v>0</v>
      </c>
      <c r="L75" s="1013">
        <f t="shared" si="5"/>
        <v>6131000</v>
      </c>
      <c r="M75" s="1014">
        <v>23.8</v>
      </c>
      <c r="N75" s="1013">
        <f t="shared" si="22"/>
        <v>5612223</v>
      </c>
      <c r="O75" s="1015">
        <v>2</v>
      </c>
      <c r="P75" s="1013">
        <f t="shared" si="23"/>
        <v>471615</v>
      </c>
      <c r="Q75" s="1016">
        <v>0</v>
      </c>
      <c r="R75" s="1013">
        <f t="shared" si="24"/>
        <v>0</v>
      </c>
      <c r="S75" s="1013">
        <f t="shared" si="25"/>
        <v>6083838</v>
      </c>
      <c r="T75" s="1017">
        <v>0</v>
      </c>
      <c r="U75" s="785">
        <v>0</v>
      </c>
      <c r="V75" s="785">
        <v>200000</v>
      </c>
      <c r="W75" s="1017">
        <v>500000</v>
      </c>
      <c r="X75" s="1017">
        <v>0</v>
      </c>
      <c r="Y75" s="1017">
        <v>400000</v>
      </c>
      <c r="Z75" s="1017">
        <v>432117</v>
      </c>
      <c r="AA75" s="1018"/>
      <c r="AB75" s="1013"/>
      <c r="AC75" s="1017">
        <v>0</v>
      </c>
      <c r="AD75" s="1017">
        <v>0</v>
      </c>
      <c r="AE75" s="1013">
        <v>0</v>
      </c>
      <c r="AF75" s="1019"/>
      <c r="AG75" s="1019">
        <f t="shared" si="10"/>
        <v>7615955</v>
      </c>
      <c r="AH75" s="1014">
        <v>40</v>
      </c>
      <c r="AI75" s="1014">
        <v>0</v>
      </c>
      <c r="AJ75" s="1014">
        <v>0</v>
      </c>
      <c r="AK75" s="1018">
        <v>0</v>
      </c>
      <c r="AL75" s="1020">
        <v>0</v>
      </c>
      <c r="AM75" s="1013">
        <f t="shared" si="26"/>
        <v>1768558</v>
      </c>
      <c r="AN75" s="1045">
        <f t="shared" si="20"/>
        <v>9384513</v>
      </c>
      <c r="AO75" s="1013">
        <v>643755</v>
      </c>
      <c r="AP75" s="1013">
        <v>44100</v>
      </c>
      <c r="AQ75" s="1013">
        <v>0</v>
      </c>
      <c r="AR75" s="1013">
        <v>0</v>
      </c>
      <c r="AS75" s="1013">
        <v>0</v>
      </c>
      <c r="AT75" s="1045">
        <f t="shared" si="21"/>
        <v>8696658</v>
      </c>
      <c r="AU75" s="1004"/>
      <c r="AV75" s="870"/>
      <c r="AW75" s="782" t="s">
        <v>3462</v>
      </c>
      <c r="AX75" s="782" t="s">
        <v>3463</v>
      </c>
      <c r="AY75" s="1007" t="s">
        <v>287</v>
      </c>
      <c r="AZ75" s="1007">
        <v>622</v>
      </c>
      <c r="BA75" s="347" t="str">
        <f t="shared" si="27"/>
        <v>Box</v>
      </c>
      <c r="BB75" s="1008"/>
      <c r="BC75" s="1009"/>
      <c r="BD75" s="1009"/>
    </row>
    <row r="76" spans="1:56" s="1010" customFormat="1" ht="36.75" customHeight="1">
      <c r="A76" s="661">
        <f>SUBTOTAL(3,B$6:B76)</f>
        <v>71</v>
      </c>
      <c r="B76" s="661" t="s">
        <v>933</v>
      </c>
      <c r="C76" s="662" t="s">
        <v>934</v>
      </c>
      <c r="D76" s="1011">
        <v>44768</v>
      </c>
      <c r="E76" s="1011" t="s">
        <v>216</v>
      </c>
      <c r="F76" s="787" t="s">
        <v>693</v>
      </c>
      <c r="G76" s="996" t="s">
        <v>797</v>
      </c>
      <c r="H76" s="1012">
        <v>5815000</v>
      </c>
      <c r="I76" s="1012">
        <v>0</v>
      </c>
      <c r="J76" s="1012">
        <v>0</v>
      </c>
      <c r="K76" s="1012">
        <v>0</v>
      </c>
      <c r="L76" s="1013">
        <f t="shared" si="5"/>
        <v>5815000</v>
      </c>
      <c r="M76" s="1014">
        <v>23.8</v>
      </c>
      <c r="N76" s="1013">
        <f t="shared" si="22"/>
        <v>5322962</v>
      </c>
      <c r="O76" s="1015">
        <v>2</v>
      </c>
      <c r="P76" s="1013">
        <f t="shared" si="23"/>
        <v>447308</v>
      </c>
      <c r="Q76" s="1016">
        <v>0</v>
      </c>
      <c r="R76" s="1013">
        <f t="shared" si="24"/>
        <v>0</v>
      </c>
      <c r="S76" s="1013">
        <f t="shared" si="25"/>
        <v>5770270</v>
      </c>
      <c r="T76" s="1017">
        <v>0</v>
      </c>
      <c r="U76" s="785">
        <v>0</v>
      </c>
      <c r="V76" s="785">
        <v>200000</v>
      </c>
      <c r="W76" s="1017">
        <v>500000</v>
      </c>
      <c r="X76" s="1017">
        <v>0</v>
      </c>
      <c r="Y76" s="1017">
        <v>400000</v>
      </c>
      <c r="Z76" s="1017">
        <v>424562</v>
      </c>
      <c r="AA76" s="1018"/>
      <c r="AB76" s="1013"/>
      <c r="AC76" s="1017">
        <v>0</v>
      </c>
      <c r="AD76" s="1017">
        <v>0</v>
      </c>
      <c r="AE76" s="1013">
        <v>41935.099789915963</v>
      </c>
      <c r="AF76" s="1019"/>
      <c r="AG76" s="1019">
        <f t="shared" si="10"/>
        <v>7336767</v>
      </c>
      <c r="AH76" s="1014">
        <v>44</v>
      </c>
      <c r="AI76" s="1014">
        <v>0</v>
      </c>
      <c r="AJ76" s="1014">
        <v>0</v>
      </c>
      <c r="AK76" s="1018">
        <v>0</v>
      </c>
      <c r="AL76" s="1020">
        <v>0</v>
      </c>
      <c r="AM76" s="1013">
        <f t="shared" si="26"/>
        <v>1845144</v>
      </c>
      <c r="AN76" s="1045">
        <f>ROUND(AG76+AM76,0)</f>
        <v>9181911</v>
      </c>
      <c r="AO76" s="1013">
        <v>610575</v>
      </c>
      <c r="AP76" s="1013">
        <v>44100</v>
      </c>
      <c r="AQ76" s="1013">
        <v>0</v>
      </c>
      <c r="AR76" s="1013">
        <v>0</v>
      </c>
      <c r="AS76" s="1013">
        <v>0</v>
      </c>
      <c r="AT76" s="1045">
        <f t="shared" si="21"/>
        <v>8527236</v>
      </c>
      <c r="AU76" s="1004"/>
      <c r="AV76" s="870"/>
      <c r="AW76" s="782" t="s">
        <v>3464</v>
      </c>
      <c r="AX76" s="782" t="s">
        <v>3465</v>
      </c>
      <c r="AY76" s="1007" t="s">
        <v>287</v>
      </c>
      <c r="AZ76" s="1007">
        <v>622</v>
      </c>
      <c r="BA76" s="347" t="str">
        <f t="shared" si="27"/>
        <v>Box</v>
      </c>
      <c r="BB76" s="1008"/>
      <c r="BC76" s="1009"/>
      <c r="BD76" s="1009"/>
    </row>
    <row r="77" spans="1:56" s="1010" customFormat="1" ht="36.75" customHeight="1">
      <c r="A77" s="661">
        <f>SUBTOTAL(3,B$6:B77)</f>
        <v>72</v>
      </c>
      <c r="B77" s="661" t="s">
        <v>935</v>
      </c>
      <c r="C77" s="662" t="s">
        <v>936</v>
      </c>
      <c r="D77" s="1011">
        <v>44768</v>
      </c>
      <c r="E77" s="1011" t="s">
        <v>216</v>
      </c>
      <c r="F77" s="787" t="s">
        <v>693</v>
      </c>
      <c r="G77" s="996" t="s">
        <v>786</v>
      </c>
      <c r="H77" s="1012">
        <v>5815000</v>
      </c>
      <c r="I77" s="1012">
        <v>200000</v>
      </c>
      <c r="J77" s="1012">
        <v>0</v>
      </c>
      <c r="K77" s="1012">
        <v>0</v>
      </c>
      <c r="L77" s="1013">
        <f t="shared" si="5"/>
        <v>6015000</v>
      </c>
      <c r="M77" s="1014">
        <v>23.8</v>
      </c>
      <c r="N77" s="1013">
        <f t="shared" si="22"/>
        <v>5506038</v>
      </c>
      <c r="O77" s="1015">
        <v>2</v>
      </c>
      <c r="P77" s="1013">
        <f t="shared" si="23"/>
        <v>462692</v>
      </c>
      <c r="Q77" s="1016">
        <v>0</v>
      </c>
      <c r="R77" s="1013">
        <f t="shared" si="24"/>
        <v>0</v>
      </c>
      <c r="S77" s="1013">
        <f t="shared" si="25"/>
        <v>5968730</v>
      </c>
      <c r="T77" s="1017">
        <v>0</v>
      </c>
      <c r="U77" s="785">
        <v>0</v>
      </c>
      <c r="V77" s="785">
        <v>200000</v>
      </c>
      <c r="W77" s="1017">
        <v>500000</v>
      </c>
      <c r="X77" s="1017">
        <v>0</v>
      </c>
      <c r="Y77" s="1017">
        <v>400000</v>
      </c>
      <c r="Z77" s="1017">
        <v>481215</v>
      </c>
      <c r="AA77" s="1018"/>
      <c r="AB77" s="1013"/>
      <c r="AC77" s="1017">
        <v>0</v>
      </c>
      <c r="AD77" s="1017">
        <v>0</v>
      </c>
      <c r="AE77" s="1013">
        <v>43377.40021008403</v>
      </c>
      <c r="AF77" s="1019"/>
      <c r="AG77" s="1019">
        <f t="shared" si="10"/>
        <v>7593322</v>
      </c>
      <c r="AH77" s="1014">
        <v>52</v>
      </c>
      <c r="AI77" s="1014">
        <v>0</v>
      </c>
      <c r="AJ77" s="1014">
        <v>0</v>
      </c>
      <c r="AK77" s="1018">
        <v>0</v>
      </c>
      <c r="AL77" s="1020">
        <v>0</v>
      </c>
      <c r="AM77" s="1013">
        <f t="shared" si="26"/>
        <v>2255625</v>
      </c>
      <c r="AN77" s="1045">
        <f t="shared" ref="AN77:AN84" si="28">ROUND(AG77+AM77,0)</f>
        <v>9848947</v>
      </c>
      <c r="AO77" s="1013">
        <v>631575</v>
      </c>
      <c r="AP77" s="1013">
        <v>44100</v>
      </c>
      <c r="AQ77" s="1013">
        <v>0</v>
      </c>
      <c r="AR77" s="1013">
        <v>0</v>
      </c>
      <c r="AS77" s="1013">
        <v>0</v>
      </c>
      <c r="AT77" s="1045">
        <f t="shared" si="21"/>
        <v>9173272</v>
      </c>
      <c r="AU77" s="1004"/>
      <c r="AV77" s="870"/>
      <c r="AW77" s="782" t="s">
        <v>3466</v>
      </c>
      <c r="AX77" s="782" t="s">
        <v>3467</v>
      </c>
      <c r="AY77" s="1007" t="s">
        <v>287</v>
      </c>
      <c r="AZ77" s="1007">
        <v>622</v>
      </c>
      <c r="BA77" s="347" t="str">
        <f t="shared" si="27"/>
        <v>Box</v>
      </c>
      <c r="BB77" s="1008"/>
      <c r="BC77" s="1009"/>
      <c r="BD77" s="1009"/>
    </row>
    <row r="78" spans="1:56" s="1010" customFormat="1" ht="36.75" customHeight="1">
      <c r="A78" s="661">
        <f>SUBTOTAL(3,B$6:B78)</f>
        <v>73</v>
      </c>
      <c r="B78" s="661" t="s">
        <v>937</v>
      </c>
      <c r="C78" s="662" t="s">
        <v>938</v>
      </c>
      <c r="D78" s="1011">
        <v>45164</v>
      </c>
      <c r="E78" s="1011" t="s">
        <v>216</v>
      </c>
      <c r="F78" s="787" t="s">
        <v>693</v>
      </c>
      <c r="G78" s="996" t="s">
        <v>786</v>
      </c>
      <c r="H78" s="1012">
        <v>5538000</v>
      </c>
      <c r="I78" s="1012">
        <v>200000</v>
      </c>
      <c r="J78" s="1012">
        <v>0</v>
      </c>
      <c r="K78" s="1012">
        <v>0</v>
      </c>
      <c r="L78" s="1013">
        <f t="shared" si="5"/>
        <v>5738000</v>
      </c>
      <c r="M78" s="1014">
        <v>23</v>
      </c>
      <c r="N78" s="1013">
        <f t="shared" si="22"/>
        <v>5075923</v>
      </c>
      <c r="O78" s="1015">
        <v>3</v>
      </c>
      <c r="P78" s="1013">
        <f t="shared" si="23"/>
        <v>662077</v>
      </c>
      <c r="Q78" s="1016">
        <v>0</v>
      </c>
      <c r="R78" s="1013">
        <f t="shared" si="24"/>
        <v>0</v>
      </c>
      <c r="S78" s="1013">
        <f t="shared" si="25"/>
        <v>5738000</v>
      </c>
      <c r="T78" s="1017">
        <v>0</v>
      </c>
      <c r="U78" s="785">
        <v>0</v>
      </c>
      <c r="V78" s="785">
        <v>200000</v>
      </c>
      <c r="W78" s="1017">
        <v>500000</v>
      </c>
      <c r="X78" s="1017">
        <v>0</v>
      </c>
      <c r="Y78" s="1017">
        <v>400000</v>
      </c>
      <c r="Z78" s="1017">
        <v>454888</v>
      </c>
      <c r="AA78" s="1018"/>
      <c r="AB78" s="1013"/>
      <c r="AC78" s="1017">
        <v>0</v>
      </c>
      <c r="AD78" s="1017">
        <v>0</v>
      </c>
      <c r="AE78" s="1013">
        <v>41379.807065217392</v>
      </c>
      <c r="AF78" s="1019"/>
      <c r="AG78" s="1019">
        <f t="shared" si="10"/>
        <v>7334268</v>
      </c>
      <c r="AH78" s="1014">
        <v>44</v>
      </c>
      <c r="AI78" s="1014">
        <v>0</v>
      </c>
      <c r="AJ78" s="1014">
        <v>0</v>
      </c>
      <c r="AK78" s="1018">
        <v>0</v>
      </c>
      <c r="AL78" s="1020">
        <v>0</v>
      </c>
      <c r="AM78" s="1013">
        <f t="shared" si="26"/>
        <v>1820712</v>
      </c>
      <c r="AN78" s="1045">
        <f t="shared" si="28"/>
        <v>9154980</v>
      </c>
      <c r="AO78" s="1013">
        <v>602490</v>
      </c>
      <c r="AP78" s="1013">
        <v>44100</v>
      </c>
      <c r="AQ78" s="1013">
        <v>0</v>
      </c>
      <c r="AR78" s="1013">
        <v>0</v>
      </c>
      <c r="AS78" s="1013">
        <v>0</v>
      </c>
      <c r="AT78" s="1045">
        <f t="shared" si="21"/>
        <v>8508390</v>
      </c>
      <c r="AU78" s="1004"/>
      <c r="AV78" s="870"/>
      <c r="AW78" s="782" t="s">
        <v>3468</v>
      </c>
      <c r="AX78" s="782" t="s">
        <v>3469</v>
      </c>
      <c r="AY78" s="1007" t="s">
        <v>287</v>
      </c>
      <c r="AZ78" s="1007">
        <v>622</v>
      </c>
      <c r="BA78" s="347" t="str">
        <f t="shared" si="27"/>
        <v>Box</v>
      </c>
      <c r="BB78" s="1008"/>
      <c r="BC78" s="1009"/>
      <c r="BD78" s="1009"/>
    </row>
    <row r="79" spans="1:56" s="1010" customFormat="1" ht="36.75" customHeight="1">
      <c r="A79" s="661">
        <f>SUBTOTAL(3,B$6:B79)</f>
        <v>74</v>
      </c>
      <c r="B79" s="661" t="s">
        <v>939</v>
      </c>
      <c r="C79" s="662" t="s">
        <v>940</v>
      </c>
      <c r="D79" s="1011">
        <v>45371</v>
      </c>
      <c r="E79" s="1011" t="s">
        <v>216</v>
      </c>
      <c r="F79" s="787" t="s">
        <v>693</v>
      </c>
      <c r="G79" s="996" t="s">
        <v>786</v>
      </c>
      <c r="H79" s="1012">
        <v>5538000</v>
      </c>
      <c r="I79" s="1012">
        <v>200000</v>
      </c>
      <c r="J79" s="1012">
        <v>0</v>
      </c>
      <c r="K79" s="1012">
        <v>0</v>
      </c>
      <c r="L79" s="1013">
        <f t="shared" si="5"/>
        <v>5738000</v>
      </c>
      <c r="M79" s="1014">
        <v>23.7</v>
      </c>
      <c r="N79" s="1013">
        <f t="shared" si="22"/>
        <v>5230408</v>
      </c>
      <c r="O79" s="1015">
        <v>2</v>
      </c>
      <c r="P79" s="1013">
        <f t="shared" si="23"/>
        <v>441385</v>
      </c>
      <c r="Q79" s="1016">
        <v>0</v>
      </c>
      <c r="R79" s="1013">
        <f t="shared" si="24"/>
        <v>0</v>
      </c>
      <c r="S79" s="1013">
        <f t="shared" si="25"/>
        <v>5671793</v>
      </c>
      <c r="T79" s="1017">
        <v>0</v>
      </c>
      <c r="U79" s="785">
        <v>0</v>
      </c>
      <c r="V79" s="785">
        <v>200000</v>
      </c>
      <c r="W79" s="1017">
        <v>500000</v>
      </c>
      <c r="X79" s="1017">
        <v>0</v>
      </c>
      <c r="Y79" s="1017">
        <v>400000</v>
      </c>
      <c r="Z79" s="1017">
        <v>455700</v>
      </c>
      <c r="AA79" s="1018"/>
      <c r="AB79" s="1013"/>
      <c r="AC79" s="1017">
        <v>0</v>
      </c>
      <c r="AD79" s="1017">
        <v>0</v>
      </c>
      <c r="AE79" s="1013">
        <v>0</v>
      </c>
      <c r="AF79" s="1019"/>
      <c r="AG79" s="1019">
        <f t="shared" si="10"/>
        <v>7227493</v>
      </c>
      <c r="AH79" s="1014">
        <v>52</v>
      </c>
      <c r="AI79" s="1014">
        <v>0</v>
      </c>
      <c r="AJ79" s="1014">
        <v>0</v>
      </c>
      <c r="AK79" s="1018">
        <v>0</v>
      </c>
      <c r="AL79" s="1020">
        <v>0</v>
      </c>
      <c r="AM79" s="1013">
        <f t="shared" si="26"/>
        <v>2151750</v>
      </c>
      <c r="AN79" s="1045">
        <f t="shared" si="28"/>
        <v>9379243</v>
      </c>
      <c r="AO79" s="1013">
        <v>602490</v>
      </c>
      <c r="AP79" s="1013">
        <v>44100</v>
      </c>
      <c r="AQ79" s="1013">
        <v>0</v>
      </c>
      <c r="AR79" s="1013">
        <v>0</v>
      </c>
      <c r="AS79" s="1013">
        <v>0</v>
      </c>
      <c r="AT79" s="1045">
        <f t="shared" si="21"/>
        <v>8732653</v>
      </c>
      <c r="AU79" s="1004"/>
      <c r="AV79" s="870"/>
      <c r="AW79" s="782" t="s">
        <v>3470</v>
      </c>
      <c r="AX79" s="782" t="s">
        <v>3471</v>
      </c>
      <c r="AY79" s="1007" t="s">
        <v>287</v>
      </c>
      <c r="AZ79" s="1007">
        <v>622</v>
      </c>
      <c r="BA79" s="347" t="str">
        <f t="shared" si="27"/>
        <v>Box</v>
      </c>
      <c r="BB79" s="1008"/>
      <c r="BC79" s="1009"/>
      <c r="BD79" s="1009"/>
    </row>
    <row r="80" spans="1:56" s="1010" customFormat="1" ht="36.75" customHeight="1">
      <c r="A80" s="661">
        <f>SUBTOTAL(3,B$6:B80)</f>
        <v>75</v>
      </c>
      <c r="B80" s="661" t="s">
        <v>941</v>
      </c>
      <c r="C80" s="662" t="s">
        <v>942</v>
      </c>
      <c r="D80" s="1011">
        <v>45519</v>
      </c>
      <c r="E80" s="1011" t="s">
        <v>216</v>
      </c>
      <c r="F80" s="787" t="s">
        <v>693</v>
      </c>
      <c r="G80" s="996" t="s">
        <v>786</v>
      </c>
      <c r="H80" s="1012">
        <v>5274000</v>
      </c>
      <c r="I80" s="1012">
        <v>200000</v>
      </c>
      <c r="J80" s="1012">
        <v>0</v>
      </c>
      <c r="K80" s="1012">
        <v>0</v>
      </c>
      <c r="L80" s="1013">
        <f t="shared" si="5"/>
        <v>5474000</v>
      </c>
      <c r="M80" s="1014">
        <v>23.8</v>
      </c>
      <c r="N80" s="1013">
        <f t="shared" si="22"/>
        <v>5010815</v>
      </c>
      <c r="O80" s="1015">
        <v>2</v>
      </c>
      <c r="P80" s="1013">
        <f t="shared" si="23"/>
        <v>421077</v>
      </c>
      <c r="Q80" s="1016">
        <v>0</v>
      </c>
      <c r="R80" s="1013">
        <f t="shared" si="24"/>
        <v>0</v>
      </c>
      <c r="S80" s="1013">
        <f t="shared" si="25"/>
        <v>5431892</v>
      </c>
      <c r="T80" s="1017">
        <v>0</v>
      </c>
      <c r="U80" s="785">
        <v>0</v>
      </c>
      <c r="V80" s="785">
        <v>200000</v>
      </c>
      <c r="W80" s="1017">
        <v>500000</v>
      </c>
      <c r="X80" s="1017">
        <v>0</v>
      </c>
      <c r="Y80" s="1017">
        <v>400000</v>
      </c>
      <c r="Z80" s="1017">
        <v>406905</v>
      </c>
      <c r="AA80" s="1018"/>
      <c r="AB80" s="1013"/>
      <c r="AC80" s="1017">
        <v>0</v>
      </c>
      <c r="AD80" s="1017">
        <v>0</v>
      </c>
      <c r="AE80" s="1013">
        <v>39475.958508403361</v>
      </c>
      <c r="AF80" s="1019"/>
      <c r="AG80" s="1019">
        <f t="shared" si="10"/>
        <v>6978273</v>
      </c>
      <c r="AH80" s="1014">
        <v>44</v>
      </c>
      <c r="AI80" s="1014">
        <v>0</v>
      </c>
      <c r="AJ80" s="1014">
        <v>0</v>
      </c>
      <c r="AK80" s="1018">
        <v>0</v>
      </c>
      <c r="AL80" s="1020">
        <v>0</v>
      </c>
      <c r="AM80" s="1013">
        <f t="shared" si="26"/>
        <v>1736942</v>
      </c>
      <c r="AN80" s="1045">
        <f t="shared" si="28"/>
        <v>8715215</v>
      </c>
      <c r="AO80" s="1013">
        <v>574770</v>
      </c>
      <c r="AP80" s="1013">
        <v>44100</v>
      </c>
      <c r="AQ80" s="1013">
        <v>0</v>
      </c>
      <c r="AR80" s="1013">
        <v>0</v>
      </c>
      <c r="AS80" s="1013">
        <v>0</v>
      </c>
      <c r="AT80" s="1045">
        <f t="shared" si="21"/>
        <v>8096345</v>
      </c>
      <c r="AU80" s="1004"/>
      <c r="AV80" s="870"/>
      <c r="AW80" s="782" t="s">
        <v>3472</v>
      </c>
      <c r="AX80" s="782" t="s">
        <v>3473</v>
      </c>
      <c r="AY80" s="1007" t="s">
        <v>287</v>
      </c>
      <c r="AZ80" s="1007">
        <v>622</v>
      </c>
      <c r="BA80" s="347" t="str">
        <f t="shared" si="27"/>
        <v>Box</v>
      </c>
      <c r="BB80" s="1008"/>
      <c r="BC80" s="1009"/>
      <c r="BD80" s="1009"/>
    </row>
    <row r="81" spans="1:56" s="1010" customFormat="1" ht="36.75" customHeight="1">
      <c r="A81" s="661">
        <f>SUBTOTAL(3,B$6:B81)</f>
        <v>76</v>
      </c>
      <c r="B81" s="661" t="s">
        <v>943</v>
      </c>
      <c r="C81" s="662" t="s">
        <v>944</v>
      </c>
      <c r="D81" s="1011">
        <v>45563</v>
      </c>
      <c r="E81" s="1011" t="s">
        <v>216</v>
      </c>
      <c r="F81" s="787" t="s">
        <v>693</v>
      </c>
      <c r="G81" s="996" t="s">
        <v>797</v>
      </c>
      <c r="H81" s="1012">
        <v>5274000</v>
      </c>
      <c r="I81" s="1012">
        <v>0</v>
      </c>
      <c r="J81" s="1012">
        <v>0</v>
      </c>
      <c r="K81" s="1012">
        <v>0</v>
      </c>
      <c r="L81" s="1013">
        <f t="shared" si="5"/>
        <v>5274000</v>
      </c>
      <c r="M81" s="1014">
        <v>24</v>
      </c>
      <c r="N81" s="1013">
        <f t="shared" si="22"/>
        <v>4868308</v>
      </c>
      <c r="O81" s="1015">
        <v>2</v>
      </c>
      <c r="P81" s="1013">
        <f t="shared" si="23"/>
        <v>405692</v>
      </c>
      <c r="Q81" s="1016">
        <v>0</v>
      </c>
      <c r="R81" s="1013">
        <f t="shared" si="24"/>
        <v>0</v>
      </c>
      <c r="S81" s="1013">
        <f t="shared" si="25"/>
        <v>5274000</v>
      </c>
      <c r="T81" s="1017">
        <v>0</v>
      </c>
      <c r="U81" s="785">
        <v>0</v>
      </c>
      <c r="V81" s="785">
        <v>200000</v>
      </c>
      <c r="W81" s="1017">
        <v>500000</v>
      </c>
      <c r="X81" s="1017">
        <v>0</v>
      </c>
      <c r="Y81" s="1017">
        <v>400000</v>
      </c>
      <c r="Z81" s="1017">
        <v>448712</v>
      </c>
      <c r="AA81" s="1018"/>
      <c r="AB81" s="1013"/>
      <c r="AC81" s="1017">
        <v>0</v>
      </c>
      <c r="AD81" s="1017">
        <v>0</v>
      </c>
      <c r="AE81" s="1013">
        <v>38033.65625</v>
      </c>
      <c r="AF81" s="1019"/>
      <c r="AG81" s="1019">
        <f t="shared" si="10"/>
        <v>6860746</v>
      </c>
      <c r="AH81" s="1014">
        <v>44</v>
      </c>
      <c r="AI81" s="1014">
        <v>0</v>
      </c>
      <c r="AJ81" s="1014">
        <v>0</v>
      </c>
      <c r="AK81" s="1018">
        <v>0</v>
      </c>
      <c r="AL81" s="1020">
        <v>0</v>
      </c>
      <c r="AM81" s="1013">
        <f t="shared" si="26"/>
        <v>1673481</v>
      </c>
      <c r="AN81" s="1045">
        <f t="shared" si="28"/>
        <v>8534227</v>
      </c>
      <c r="AO81" s="1013">
        <v>553770</v>
      </c>
      <c r="AP81" s="1013">
        <v>44100</v>
      </c>
      <c r="AQ81" s="1013">
        <v>0</v>
      </c>
      <c r="AR81" s="1013">
        <v>0</v>
      </c>
      <c r="AS81" s="1013">
        <v>0</v>
      </c>
      <c r="AT81" s="1045">
        <f t="shared" si="21"/>
        <v>7936357</v>
      </c>
      <c r="AU81" s="1004"/>
      <c r="AV81" s="870"/>
      <c r="AW81" s="782" t="s">
        <v>3474</v>
      </c>
      <c r="AX81" s="782" t="s">
        <v>3475</v>
      </c>
      <c r="AY81" s="1007" t="s">
        <v>287</v>
      </c>
      <c r="AZ81" s="1007">
        <v>622</v>
      </c>
      <c r="BA81" s="347" t="str">
        <f t="shared" si="27"/>
        <v>Box</v>
      </c>
      <c r="BB81" s="1008"/>
      <c r="BC81" s="1009"/>
      <c r="BD81" s="1009"/>
    </row>
    <row r="82" spans="1:56" s="1010" customFormat="1" ht="36.75" customHeight="1">
      <c r="A82" s="661">
        <f>SUBTOTAL(3,B$6:B82)</f>
        <v>77</v>
      </c>
      <c r="B82" s="661" t="s">
        <v>945</v>
      </c>
      <c r="C82" s="662" t="s">
        <v>946</v>
      </c>
      <c r="D82" s="1011">
        <v>45579</v>
      </c>
      <c r="E82" s="1011" t="s">
        <v>216</v>
      </c>
      <c r="F82" s="787" t="s">
        <v>693</v>
      </c>
      <c r="G82" s="996" t="s">
        <v>797</v>
      </c>
      <c r="H82" s="1012">
        <v>5274000</v>
      </c>
      <c r="I82" s="1012">
        <v>0</v>
      </c>
      <c r="J82" s="1012">
        <v>0</v>
      </c>
      <c r="K82" s="1012">
        <v>0</v>
      </c>
      <c r="L82" s="1013">
        <f t="shared" si="5"/>
        <v>5274000</v>
      </c>
      <c r="M82" s="1014">
        <v>19.8</v>
      </c>
      <c r="N82" s="1013">
        <f t="shared" si="22"/>
        <v>4016354</v>
      </c>
      <c r="O82" s="1015">
        <v>2</v>
      </c>
      <c r="P82" s="1013">
        <f t="shared" si="23"/>
        <v>405692</v>
      </c>
      <c r="Q82" s="1016">
        <v>0</v>
      </c>
      <c r="R82" s="1013">
        <f t="shared" si="24"/>
        <v>0</v>
      </c>
      <c r="S82" s="1013">
        <f t="shared" si="25"/>
        <v>4422046</v>
      </c>
      <c r="T82" s="1017">
        <v>0</v>
      </c>
      <c r="U82" s="785">
        <v>0</v>
      </c>
      <c r="V82" s="785">
        <v>200000</v>
      </c>
      <c r="W82" s="1017">
        <v>0</v>
      </c>
      <c r="X82" s="1017">
        <v>0</v>
      </c>
      <c r="Y82" s="1017">
        <v>0</v>
      </c>
      <c r="Z82" s="1017">
        <v>350325</v>
      </c>
      <c r="AA82" s="1018"/>
      <c r="AB82" s="1013"/>
      <c r="AC82" s="1017">
        <v>0</v>
      </c>
      <c r="AD82" s="1017">
        <v>0</v>
      </c>
      <c r="AE82" s="1013">
        <v>38033.655303030304</v>
      </c>
      <c r="AF82" s="1019"/>
      <c r="AG82" s="1019">
        <f t="shared" si="10"/>
        <v>5010405</v>
      </c>
      <c r="AH82" s="1014">
        <v>36</v>
      </c>
      <c r="AI82" s="1014">
        <v>0</v>
      </c>
      <c r="AJ82" s="1014">
        <v>0</v>
      </c>
      <c r="AK82" s="1018">
        <v>0</v>
      </c>
      <c r="AL82" s="1020">
        <v>0</v>
      </c>
      <c r="AM82" s="1013">
        <f t="shared" si="26"/>
        <v>1369212</v>
      </c>
      <c r="AN82" s="1045">
        <f t="shared" si="28"/>
        <v>6379617</v>
      </c>
      <c r="AO82" s="1013">
        <v>553770</v>
      </c>
      <c r="AP82" s="1013">
        <v>44100</v>
      </c>
      <c r="AQ82" s="1013">
        <v>0</v>
      </c>
      <c r="AR82" s="1013">
        <v>0</v>
      </c>
      <c r="AS82" s="1013">
        <v>0</v>
      </c>
      <c r="AT82" s="1045">
        <f t="shared" si="21"/>
        <v>5781747</v>
      </c>
      <c r="AU82" s="1004"/>
      <c r="AV82" s="870"/>
      <c r="AW82" s="782" t="s">
        <v>3476</v>
      </c>
      <c r="AX82" s="782" t="s">
        <v>3477</v>
      </c>
      <c r="AY82" s="1007" t="s">
        <v>287</v>
      </c>
      <c r="AZ82" s="1007">
        <v>622</v>
      </c>
      <c r="BA82" s="347" t="str">
        <f t="shared" si="27"/>
        <v>Box</v>
      </c>
      <c r="BB82" s="1008"/>
      <c r="BC82" s="1009"/>
      <c r="BD82" s="1009"/>
    </row>
    <row r="83" spans="1:56" s="1010" customFormat="1" ht="36.75" customHeight="1">
      <c r="A83" s="661">
        <f>SUBTOTAL(3,B$6:B83)</f>
        <v>78</v>
      </c>
      <c r="B83" s="661" t="s">
        <v>947</v>
      </c>
      <c r="C83" s="662" t="s">
        <v>948</v>
      </c>
      <c r="D83" s="1011">
        <v>45587</v>
      </c>
      <c r="E83" s="1011" t="s">
        <v>216</v>
      </c>
      <c r="F83" s="787" t="s">
        <v>693</v>
      </c>
      <c r="G83" s="996" t="s">
        <v>797</v>
      </c>
      <c r="H83" s="1012">
        <v>5023000</v>
      </c>
      <c r="I83" s="1012">
        <v>0</v>
      </c>
      <c r="J83" s="1012">
        <v>0</v>
      </c>
      <c r="K83" s="1012">
        <v>0</v>
      </c>
      <c r="L83" s="1013">
        <f t="shared" si="5"/>
        <v>5023000</v>
      </c>
      <c r="M83" s="1014">
        <v>24</v>
      </c>
      <c r="N83" s="1013">
        <f t="shared" si="22"/>
        <v>4636615</v>
      </c>
      <c r="O83" s="1015">
        <v>2</v>
      </c>
      <c r="P83" s="1013">
        <f t="shared" si="23"/>
        <v>386385</v>
      </c>
      <c r="Q83" s="1016">
        <v>0</v>
      </c>
      <c r="R83" s="1013">
        <f t="shared" si="24"/>
        <v>0</v>
      </c>
      <c r="S83" s="1013">
        <f t="shared" si="25"/>
        <v>5023000</v>
      </c>
      <c r="T83" s="1017">
        <v>0</v>
      </c>
      <c r="U83" s="785">
        <v>0</v>
      </c>
      <c r="V83" s="785">
        <v>200000</v>
      </c>
      <c r="W83" s="1017">
        <v>500000</v>
      </c>
      <c r="X83" s="1017">
        <v>0</v>
      </c>
      <c r="Y83" s="1017">
        <v>300000</v>
      </c>
      <c r="Z83" s="1017">
        <v>387819</v>
      </c>
      <c r="AA83" s="1018"/>
      <c r="AB83" s="1013"/>
      <c r="AC83" s="1017">
        <v>0</v>
      </c>
      <c r="AD83" s="1017">
        <v>0</v>
      </c>
      <c r="AE83" s="1013">
        <v>36223.5546875</v>
      </c>
      <c r="AF83" s="1019"/>
      <c r="AG83" s="1019">
        <f t="shared" si="10"/>
        <v>6447043</v>
      </c>
      <c r="AH83" s="1014">
        <v>52</v>
      </c>
      <c r="AI83" s="1014">
        <v>0</v>
      </c>
      <c r="AJ83" s="1014">
        <v>0</v>
      </c>
      <c r="AK83" s="1018">
        <v>0</v>
      </c>
      <c r="AL83" s="1020">
        <v>0</v>
      </c>
      <c r="AM83" s="1013">
        <f t="shared" si="26"/>
        <v>1883625</v>
      </c>
      <c r="AN83" s="1045">
        <f t="shared" si="28"/>
        <v>8330668</v>
      </c>
      <c r="AO83" s="1013">
        <v>527415</v>
      </c>
      <c r="AP83" s="1013">
        <v>44100</v>
      </c>
      <c r="AQ83" s="1013">
        <v>0</v>
      </c>
      <c r="AR83" s="1013">
        <v>0</v>
      </c>
      <c r="AS83" s="1013">
        <v>0</v>
      </c>
      <c r="AT83" s="1045">
        <f t="shared" si="21"/>
        <v>7759153</v>
      </c>
      <c r="AU83" s="1004"/>
      <c r="AV83" s="870"/>
      <c r="AW83" s="782" t="s">
        <v>3478</v>
      </c>
      <c r="AX83" s="782" t="s">
        <v>3479</v>
      </c>
      <c r="AY83" s="1007" t="s">
        <v>287</v>
      </c>
      <c r="AZ83" s="1007">
        <v>622</v>
      </c>
      <c r="BA83" s="347" t="str">
        <f t="shared" si="27"/>
        <v>Box</v>
      </c>
      <c r="BB83" s="1008"/>
      <c r="BC83" s="1009"/>
      <c r="BD83" s="1009"/>
    </row>
    <row r="84" spans="1:56" s="1010" customFormat="1" ht="36.75" customHeight="1">
      <c r="A84" s="661">
        <f>SUBTOTAL(3,B$6:B84)</f>
        <v>79</v>
      </c>
      <c r="B84" s="661" t="s">
        <v>949</v>
      </c>
      <c r="C84" s="662" t="s">
        <v>950</v>
      </c>
      <c r="D84" s="1011">
        <v>45615</v>
      </c>
      <c r="E84" s="1011" t="s">
        <v>216</v>
      </c>
      <c r="F84" s="787" t="s">
        <v>693</v>
      </c>
      <c r="G84" s="996" t="s">
        <v>797</v>
      </c>
      <c r="H84" s="1012">
        <v>5023000</v>
      </c>
      <c r="I84" s="1012">
        <v>0</v>
      </c>
      <c r="J84" s="1012">
        <v>0</v>
      </c>
      <c r="K84" s="1012">
        <v>0</v>
      </c>
      <c r="L84" s="1013">
        <f t="shared" si="5"/>
        <v>5023000</v>
      </c>
      <c r="M84" s="1014">
        <v>24</v>
      </c>
      <c r="N84" s="1013">
        <f t="shared" si="22"/>
        <v>4636615</v>
      </c>
      <c r="O84" s="1015">
        <v>2</v>
      </c>
      <c r="P84" s="1013">
        <f t="shared" si="23"/>
        <v>386385</v>
      </c>
      <c r="Q84" s="1016">
        <v>0</v>
      </c>
      <c r="R84" s="1013">
        <f t="shared" si="24"/>
        <v>0</v>
      </c>
      <c r="S84" s="1013">
        <f t="shared" si="25"/>
        <v>5023000</v>
      </c>
      <c r="T84" s="1017">
        <v>0</v>
      </c>
      <c r="U84" s="785">
        <v>0</v>
      </c>
      <c r="V84" s="785">
        <v>200000</v>
      </c>
      <c r="W84" s="1017">
        <v>500000</v>
      </c>
      <c r="X84" s="1017">
        <v>0</v>
      </c>
      <c r="Y84" s="1017">
        <v>400000</v>
      </c>
      <c r="Z84" s="1017">
        <v>481417</v>
      </c>
      <c r="AA84" s="1018"/>
      <c r="AB84" s="1013"/>
      <c r="AC84" s="1017">
        <v>0</v>
      </c>
      <c r="AD84" s="1017">
        <v>0</v>
      </c>
      <c r="AE84" s="1013">
        <v>36223.5546875</v>
      </c>
      <c r="AF84" s="1019"/>
      <c r="AG84" s="1019">
        <f t="shared" si="10"/>
        <v>6640641</v>
      </c>
      <c r="AH84" s="1014">
        <v>52</v>
      </c>
      <c r="AI84" s="1014">
        <v>0</v>
      </c>
      <c r="AJ84" s="1014">
        <v>0</v>
      </c>
      <c r="AK84" s="1018">
        <v>0</v>
      </c>
      <c r="AL84" s="1020">
        <v>0</v>
      </c>
      <c r="AM84" s="1013">
        <f t="shared" si="26"/>
        <v>1883625</v>
      </c>
      <c r="AN84" s="1045">
        <f t="shared" si="28"/>
        <v>8524266</v>
      </c>
      <c r="AO84" s="1013">
        <v>527415</v>
      </c>
      <c r="AP84" s="1013">
        <v>44100</v>
      </c>
      <c r="AQ84" s="1013">
        <v>0</v>
      </c>
      <c r="AR84" s="1013">
        <v>0</v>
      </c>
      <c r="AS84" s="1013">
        <v>0</v>
      </c>
      <c r="AT84" s="1045">
        <f t="shared" si="21"/>
        <v>7952751</v>
      </c>
      <c r="AU84" s="1004"/>
      <c r="AV84" s="870"/>
      <c r="AW84" s="782" t="s">
        <v>3480</v>
      </c>
      <c r="AX84" s="782" t="s">
        <v>3481</v>
      </c>
      <c r="AY84" s="1007" t="s">
        <v>287</v>
      </c>
      <c r="AZ84" s="1007">
        <v>622</v>
      </c>
      <c r="BA84" s="347" t="str">
        <f t="shared" si="27"/>
        <v>Box</v>
      </c>
      <c r="BB84" s="1008"/>
      <c r="BC84" s="1009"/>
      <c r="BD84" s="1009"/>
    </row>
    <row r="85" spans="1:56" s="1010" customFormat="1" ht="36.75" customHeight="1">
      <c r="A85" s="661">
        <f>SUBTOTAL(3,B$6:B85)</f>
        <v>80</v>
      </c>
      <c r="B85" s="661" t="s">
        <v>951</v>
      </c>
      <c r="C85" s="662" t="s">
        <v>952</v>
      </c>
      <c r="D85" s="1011">
        <v>40301</v>
      </c>
      <c r="E85" s="1011" t="s">
        <v>216</v>
      </c>
      <c r="F85" s="787" t="s">
        <v>693</v>
      </c>
      <c r="G85" s="996" t="s">
        <v>786</v>
      </c>
      <c r="H85" s="1012">
        <v>5931000</v>
      </c>
      <c r="I85" s="1012">
        <v>200000</v>
      </c>
      <c r="J85" s="1012">
        <v>0</v>
      </c>
      <c r="K85" s="1012">
        <v>0</v>
      </c>
      <c r="L85" s="1013">
        <f t="shared" si="5"/>
        <v>6131000</v>
      </c>
      <c r="M85" s="1014">
        <v>24</v>
      </c>
      <c r="N85" s="1013">
        <f t="shared" si="22"/>
        <v>5659385</v>
      </c>
      <c r="O85" s="1015">
        <v>2</v>
      </c>
      <c r="P85" s="1013">
        <f t="shared" si="23"/>
        <v>471615</v>
      </c>
      <c r="Q85" s="1016">
        <v>0</v>
      </c>
      <c r="R85" s="1013">
        <f t="shared" si="24"/>
        <v>0</v>
      </c>
      <c r="S85" s="1013">
        <f t="shared" si="25"/>
        <v>6131000</v>
      </c>
      <c r="T85" s="1017">
        <v>0</v>
      </c>
      <c r="U85" s="785">
        <v>0</v>
      </c>
      <c r="V85" s="785">
        <v>200000</v>
      </c>
      <c r="W85" s="1017">
        <v>500000</v>
      </c>
      <c r="X85" s="1017">
        <v>0</v>
      </c>
      <c r="Y85" s="1017">
        <v>300000</v>
      </c>
      <c r="Z85" s="1017">
        <v>350847</v>
      </c>
      <c r="AA85" s="1018"/>
      <c r="AB85" s="1013"/>
      <c r="AC85" s="1017">
        <v>0</v>
      </c>
      <c r="AD85" s="1017">
        <v>0</v>
      </c>
      <c r="AE85" s="1013">
        <v>44213.9453125</v>
      </c>
      <c r="AF85" s="1019"/>
      <c r="AG85" s="1019">
        <f t="shared" si="10"/>
        <v>7526061</v>
      </c>
      <c r="AH85" s="1014">
        <v>0</v>
      </c>
      <c r="AI85" s="1014">
        <v>0</v>
      </c>
      <c r="AJ85" s="1014">
        <v>0</v>
      </c>
      <c r="AK85" s="1018">
        <v>0</v>
      </c>
      <c r="AL85" s="1020">
        <v>0</v>
      </c>
      <c r="AM85" s="1013">
        <f t="shared" si="26"/>
        <v>0</v>
      </c>
      <c r="AN85" s="1045">
        <f>ROUND(AG85+AM85,0)</f>
        <v>7526061</v>
      </c>
      <c r="AO85" s="1013">
        <v>643755</v>
      </c>
      <c r="AP85" s="1013">
        <v>44100</v>
      </c>
      <c r="AQ85" s="1013">
        <v>0</v>
      </c>
      <c r="AR85" s="1013">
        <v>0</v>
      </c>
      <c r="AS85" s="1013">
        <v>0</v>
      </c>
      <c r="AT85" s="1045">
        <f t="shared" si="21"/>
        <v>6838206</v>
      </c>
      <c r="AU85" s="1004"/>
      <c r="AV85" s="870"/>
      <c r="AW85" s="782" t="s">
        <v>3482</v>
      </c>
      <c r="AX85" s="782" t="s">
        <v>3483</v>
      </c>
      <c r="AY85" s="1007" t="s">
        <v>287</v>
      </c>
      <c r="AZ85" s="1007">
        <v>622</v>
      </c>
      <c r="BA85" s="347" t="str">
        <f t="shared" si="27"/>
        <v>Box</v>
      </c>
      <c r="BB85" s="1008"/>
      <c r="BC85" s="1009"/>
      <c r="BD85" s="1009"/>
    </row>
    <row r="86" spans="1:56" s="1010" customFormat="1" ht="36.75" customHeight="1">
      <c r="A86" s="661">
        <f>SUBTOTAL(3,B$6:B86)</f>
        <v>81</v>
      </c>
      <c r="B86" s="661" t="s">
        <v>953</v>
      </c>
      <c r="C86" s="662" t="s">
        <v>954</v>
      </c>
      <c r="D86" s="1011">
        <v>40393</v>
      </c>
      <c r="E86" s="1011" t="s">
        <v>216</v>
      </c>
      <c r="F86" s="787" t="s">
        <v>693</v>
      </c>
      <c r="G86" s="996" t="s">
        <v>786</v>
      </c>
      <c r="H86" s="1012">
        <v>5931000</v>
      </c>
      <c r="I86" s="1012">
        <v>200000</v>
      </c>
      <c r="J86" s="1012">
        <v>0</v>
      </c>
      <c r="K86" s="1012">
        <v>0</v>
      </c>
      <c r="L86" s="1013">
        <f t="shared" si="5"/>
        <v>6131000</v>
      </c>
      <c r="M86" s="1014">
        <v>24</v>
      </c>
      <c r="N86" s="1013">
        <f t="shared" si="22"/>
        <v>5659385</v>
      </c>
      <c r="O86" s="1015">
        <v>2</v>
      </c>
      <c r="P86" s="1013">
        <f t="shared" si="23"/>
        <v>471615</v>
      </c>
      <c r="Q86" s="1016">
        <v>0</v>
      </c>
      <c r="R86" s="1013">
        <f t="shared" si="24"/>
        <v>0</v>
      </c>
      <c r="S86" s="1013">
        <f t="shared" si="25"/>
        <v>6131000</v>
      </c>
      <c r="T86" s="1017">
        <v>0</v>
      </c>
      <c r="U86" s="785">
        <v>0</v>
      </c>
      <c r="V86" s="785">
        <v>200000</v>
      </c>
      <c r="W86" s="1017">
        <v>500000</v>
      </c>
      <c r="X86" s="1017">
        <v>0</v>
      </c>
      <c r="Y86" s="1017">
        <v>400000</v>
      </c>
      <c r="Z86" s="1017">
        <v>437214</v>
      </c>
      <c r="AA86" s="1018"/>
      <c r="AB86" s="1013"/>
      <c r="AC86" s="1017">
        <v>0</v>
      </c>
      <c r="AD86" s="1017">
        <v>0</v>
      </c>
      <c r="AE86" s="1013">
        <v>44213.9453125</v>
      </c>
      <c r="AF86" s="1019"/>
      <c r="AG86" s="1019">
        <f t="shared" si="10"/>
        <v>7712428</v>
      </c>
      <c r="AH86" s="1014">
        <v>44</v>
      </c>
      <c r="AI86" s="1014">
        <v>0</v>
      </c>
      <c r="AJ86" s="1014">
        <v>0</v>
      </c>
      <c r="AK86" s="1018">
        <v>0</v>
      </c>
      <c r="AL86" s="1020">
        <v>0</v>
      </c>
      <c r="AM86" s="1013">
        <f t="shared" si="26"/>
        <v>1945414</v>
      </c>
      <c r="AN86" s="1045">
        <f t="shared" ref="AN86:AN102" si="29">ROUND(AG86+AM86,0)</f>
        <v>9657842</v>
      </c>
      <c r="AO86" s="1013">
        <v>643755</v>
      </c>
      <c r="AP86" s="1013">
        <v>44100</v>
      </c>
      <c r="AQ86" s="1013">
        <v>0</v>
      </c>
      <c r="AR86" s="1013">
        <v>0</v>
      </c>
      <c r="AS86" s="1013">
        <v>0</v>
      </c>
      <c r="AT86" s="1045">
        <f t="shared" si="21"/>
        <v>8969987</v>
      </c>
      <c r="AU86" s="1004"/>
      <c r="AV86" s="870"/>
      <c r="AW86" s="782" t="s">
        <v>3484</v>
      </c>
      <c r="AX86" s="782" t="s">
        <v>3485</v>
      </c>
      <c r="AY86" s="1007" t="s">
        <v>287</v>
      </c>
      <c r="AZ86" s="1007">
        <v>622</v>
      </c>
      <c r="BA86" s="347" t="str">
        <f t="shared" si="27"/>
        <v>Box</v>
      </c>
      <c r="BB86" s="1008"/>
      <c r="BC86" s="1009"/>
      <c r="BD86" s="1009"/>
    </row>
    <row r="87" spans="1:56" s="1010" customFormat="1" ht="36.75" customHeight="1">
      <c r="A87" s="661">
        <f>SUBTOTAL(3,B$6:B87)</f>
        <v>82</v>
      </c>
      <c r="B87" s="661" t="s">
        <v>955</v>
      </c>
      <c r="C87" s="662" t="s">
        <v>956</v>
      </c>
      <c r="D87" s="1011">
        <v>40751</v>
      </c>
      <c r="E87" s="1011" t="s">
        <v>216</v>
      </c>
      <c r="F87" s="787" t="s">
        <v>693</v>
      </c>
      <c r="G87" s="996" t="s">
        <v>786</v>
      </c>
      <c r="H87" s="1012">
        <v>5931000</v>
      </c>
      <c r="I87" s="1012">
        <v>200000</v>
      </c>
      <c r="J87" s="1012">
        <v>0</v>
      </c>
      <c r="K87" s="1012">
        <v>0</v>
      </c>
      <c r="L87" s="1013">
        <f t="shared" si="5"/>
        <v>6131000</v>
      </c>
      <c r="M87" s="1014">
        <v>22</v>
      </c>
      <c r="N87" s="1013">
        <f t="shared" si="22"/>
        <v>5187769</v>
      </c>
      <c r="O87" s="1015">
        <v>2</v>
      </c>
      <c r="P87" s="1013">
        <f t="shared" si="23"/>
        <v>471615</v>
      </c>
      <c r="Q87" s="1016">
        <v>0</v>
      </c>
      <c r="R87" s="1013">
        <f t="shared" si="24"/>
        <v>0</v>
      </c>
      <c r="S87" s="1013">
        <f t="shared" si="25"/>
        <v>5659384</v>
      </c>
      <c r="T87" s="1017">
        <v>0</v>
      </c>
      <c r="U87" s="785">
        <v>0</v>
      </c>
      <c r="V87" s="785">
        <v>200000</v>
      </c>
      <c r="W87" s="1017">
        <v>0</v>
      </c>
      <c r="X87" s="1017">
        <v>0</v>
      </c>
      <c r="Y87" s="1017">
        <v>150000</v>
      </c>
      <c r="Z87" s="1017">
        <v>435221</v>
      </c>
      <c r="AA87" s="1018"/>
      <c r="AB87" s="1013"/>
      <c r="AC87" s="1017">
        <v>0</v>
      </c>
      <c r="AD87" s="1017">
        <v>0</v>
      </c>
      <c r="AE87" s="1013">
        <v>44213.940340909088</v>
      </c>
      <c r="AF87" s="1019"/>
      <c r="AG87" s="1019">
        <f t="shared" si="10"/>
        <v>6488819</v>
      </c>
      <c r="AH87" s="1014">
        <v>40</v>
      </c>
      <c r="AI87" s="1014">
        <v>0</v>
      </c>
      <c r="AJ87" s="1014">
        <v>0</v>
      </c>
      <c r="AK87" s="1018">
        <v>0</v>
      </c>
      <c r="AL87" s="1020">
        <v>0</v>
      </c>
      <c r="AM87" s="1013">
        <f t="shared" si="26"/>
        <v>1768558</v>
      </c>
      <c r="AN87" s="1045">
        <f t="shared" si="29"/>
        <v>8257377</v>
      </c>
      <c r="AO87" s="1013">
        <v>643755</v>
      </c>
      <c r="AP87" s="1013">
        <v>44100</v>
      </c>
      <c r="AQ87" s="1013">
        <v>0</v>
      </c>
      <c r="AR87" s="1013">
        <v>0</v>
      </c>
      <c r="AS87" s="1013">
        <v>0</v>
      </c>
      <c r="AT87" s="1045">
        <f t="shared" si="21"/>
        <v>7569522</v>
      </c>
      <c r="AU87" s="1004"/>
      <c r="AV87" s="870"/>
      <c r="AW87" s="782" t="s">
        <v>3486</v>
      </c>
      <c r="AX87" s="782" t="s">
        <v>3487</v>
      </c>
      <c r="AY87" s="1007" t="s">
        <v>287</v>
      </c>
      <c r="AZ87" s="1007">
        <v>622</v>
      </c>
      <c r="BA87" s="347" t="str">
        <f t="shared" si="27"/>
        <v>Box</v>
      </c>
      <c r="BB87" s="1008"/>
      <c r="BC87" s="1009"/>
      <c r="BD87" s="1009"/>
    </row>
    <row r="88" spans="1:56" s="1010" customFormat="1" ht="36.75" customHeight="1">
      <c r="A88" s="661">
        <f>SUBTOTAL(3,B$6:B88)</f>
        <v>83</v>
      </c>
      <c r="B88" s="661" t="s">
        <v>957</v>
      </c>
      <c r="C88" s="662" t="s">
        <v>958</v>
      </c>
      <c r="D88" s="1011">
        <v>41263</v>
      </c>
      <c r="E88" s="1011" t="s">
        <v>216</v>
      </c>
      <c r="F88" s="787" t="s">
        <v>693</v>
      </c>
      <c r="G88" s="996" t="s">
        <v>797</v>
      </c>
      <c r="H88" s="1012">
        <v>5931000</v>
      </c>
      <c r="I88" s="1012">
        <v>0</v>
      </c>
      <c r="J88" s="1012">
        <v>0</v>
      </c>
      <c r="K88" s="1012">
        <v>0</v>
      </c>
      <c r="L88" s="1013">
        <f t="shared" si="5"/>
        <v>5931000</v>
      </c>
      <c r="M88" s="1014">
        <v>22.7</v>
      </c>
      <c r="N88" s="1013">
        <f t="shared" si="22"/>
        <v>5178219</v>
      </c>
      <c r="O88" s="1015">
        <v>3</v>
      </c>
      <c r="P88" s="1013">
        <f t="shared" si="23"/>
        <v>684346</v>
      </c>
      <c r="Q88" s="1016">
        <v>0</v>
      </c>
      <c r="R88" s="1013">
        <f t="shared" si="24"/>
        <v>0</v>
      </c>
      <c r="S88" s="1013">
        <f t="shared" si="25"/>
        <v>5862565</v>
      </c>
      <c r="T88" s="1017">
        <v>0</v>
      </c>
      <c r="U88" s="785">
        <v>0</v>
      </c>
      <c r="V88" s="785">
        <v>200000</v>
      </c>
      <c r="W88" s="1017">
        <v>500000</v>
      </c>
      <c r="X88" s="1017">
        <v>0</v>
      </c>
      <c r="Y88" s="1017">
        <v>400000</v>
      </c>
      <c r="Z88" s="1017">
        <v>405580</v>
      </c>
      <c r="AA88" s="1018"/>
      <c r="AB88" s="1013"/>
      <c r="AC88" s="1017">
        <v>0</v>
      </c>
      <c r="AD88" s="1017">
        <v>0</v>
      </c>
      <c r="AE88" s="1013">
        <v>42771.632709251098</v>
      </c>
      <c r="AF88" s="1019"/>
      <c r="AG88" s="1019">
        <f t="shared" si="10"/>
        <v>7410917</v>
      </c>
      <c r="AH88" s="1014">
        <v>36</v>
      </c>
      <c r="AI88" s="1014">
        <v>0</v>
      </c>
      <c r="AJ88" s="1014">
        <v>0</v>
      </c>
      <c r="AK88" s="1018">
        <v>0</v>
      </c>
      <c r="AL88" s="1020">
        <v>0</v>
      </c>
      <c r="AM88" s="1013">
        <f t="shared" si="26"/>
        <v>1539779</v>
      </c>
      <c r="AN88" s="1045">
        <f t="shared" si="29"/>
        <v>8950696</v>
      </c>
      <c r="AO88" s="1013">
        <v>622755</v>
      </c>
      <c r="AP88" s="1013">
        <v>44100</v>
      </c>
      <c r="AQ88" s="1013">
        <v>0</v>
      </c>
      <c r="AR88" s="1013">
        <v>0</v>
      </c>
      <c r="AS88" s="1013">
        <v>0</v>
      </c>
      <c r="AT88" s="1045">
        <f t="shared" si="21"/>
        <v>8283841</v>
      </c>
      <c r="AU88" s="1004"/>
      <c r="AV88" s="870"/>
      <c r="AW88" s="782" t="s">
        <v>3488</v>
      </c>
      <c r="AX88" s="782" t="s">
        <v>3489</v>
      </c>
      <c r="AY88" s="1007" t="s">
        <v>287</v>
      </c>
      <c r="AZ88" s="1007">
        <v>622</v>
      </c>
      <c r="BA88" s="347" t="str">
        <f t="shared" si="27"/>
        <v>Box</v>
      </c>
      <c r="BB88" s="1008"/>
      <c r="BC88" s="1009"/>
      <c r="BD88" s="1009"/>
    </row>
    <row r="89" spans="1:56" s="1010" customFormat="1" ht="36.75" customHeight="1">
      <c r="A89" s="661">
        <f>SUBTOTAL(3,B$6:B89)</f>
        <v>84</v>
      </c>
      <c r="B89" s="661" t="s">
        <v>959</v>
      </c>
      <c r="C89" s="662" t="s">
        <v>960</v>
      </c>
      <c r="D89" s="1011">
        <v>41353</v>
      </c>
      <c r="E89" s="1011" t="s">
        <v>216</v>
      </c>
      <c r="F89" s="787" t="s">
        <v>693</v>
      </c>
      <c r="G89" s="996" t="s">
        <v>810</v>
      </c>
      <c r="H89" s="1012">
        <v>5931000</v>
      </c>
      <c r="I89" s="1012">
        <v>1100000</v>
      </c>
      <c r="J89" s="1012">
        <v>0</v>
      </c>
      <c r="K89" s="1012">
        <v>200000</v>
      </c>
      <c r="L89" s="1013">
        <f t="shared" si="5"/>
        <v>7231000</v>
      </c>
      <c r="M89" s="1014">
        <v>24</v>
      </c>
      <c r="N89" s="1013">
        <f t="shared" si="22"/>
        <v>6674769</v>
      </c>
      <c r="O89" s="1015">
        <v>2</v>
      </c>
      <c r="P89" s="1013">
        <f t="shared" si="23"/>
        <v>556231</v>
      </c>
      <c r="Q89" s="1016">
        <v>0</v>
      </c>
      <c r="R89" s="1013">
        <f t="shared" si="24"/>
        <v>0</v>
      </c>
      <c r="S89" s="1013">
        <f t="shared" si="25"/>
        <v>7231000</v>
      </c>
      <c r="T89" s="1017">
        <v>0</v>
      </c>
      <c r="U89" s="785">
        <v>0</v>
      </c>
      <c r="V89" s="785">
        <v>200000</v>
      </c>
      <c r="W89" s="1017">
        <v>500000</v>
      </c>
      <c r="X89" s="1017">
        <v>0</v>
      </c>
      <c r="Y89" s="1017">
        <v>400000</v>
      </c>
      <c r="Z89" s="1017">
        <v>367358</v>
      </c>
      <c r="AA89" s="1018"/>
      <c r="AB89" s="1013"/>
      <c r="AC89" s="1017">
        <v>0</v>
      </c>
      <c r="AD89" s="1017">
        <v>0</v>
      </c>
      <c r="AE89" s="1013">
        <v>0</v>
      </c>
      <c r="AF89" s="1019"/>
      <c r="AG89" s="1019">
        <f t="shared" si="10"/>
        <v>8698358</v>
      </c>
      <c r="AH89" s="1014">
        <v>52</v>
      </c>
      <c r="AI89" s="1014">
        <v>0</v>
      </c>
      <c r="AJ89" s="1014">
        <v>0</v>
      </c>
      <c r="AK89" s="1018">
        <v>0</v>
      </c>
      <c r="AL89" s="1020">
        <v>0</v>
      </c>
      <c r="AM89" s="1013">
        <f t="shared" si="26"/>
        <v>2711625</v>
      </c>
      <c r="AN89" s="1045">
        <f t="shared" si="29"/>
        <v>11409983</v>
      </c>
      <c r="AO89" s="1013">
        <v>759255</v>
      </c>
      <c r="AP89" s="1013">
        <v>44100</v>
      </c>
      <c r="AQ89" s="1013">
        <v>0</v>
      </c>
      <c r="AR89" s="1013">
        <v>0</v>
      </c>
      <c r="AS89" s="1013">
        <v>0</v>
      </c>
      <c r="AT89" s="1045">
        <f t="shared" si="21"/>
        <v>10606628</v>
      </c>
      <c r="AU89" s="1004"/>
      <c r="AV89" s="870"/>
      <c r="AW89" s="782" t="s">
        <v>3490</v>
      </c>
      <c r="AX89" s="782" t="s">
        <v>3491</v>
      </c>
      <c r="AY89" s="1007" t="s">
        <v>287</v>
      </c>
      <c r="AZ89" s="1007">
        <v>622</v>
      </c>
      <c r="BA89" s="347" t="str">
        <f t="shared" si="27"/>
        <v>Box</v>
      </c>
      <c r="BB89" s="1008"/>
      <c r="BC89" s="1009"/>
      <c r="BD89" s="1009"/>
    </row>
    <row r="90" spans="1:56" s="1010" customFormat="1" ht="36.75" customHeight="1">
      <c r="A90" s="661">
        <f>SUBTOTAL(3,B$6:B90)</f>
        <v>85</v>
      </c>
      <c r="B90" s="661" t="s">
        <v>961</v>
      </c>
      <c r="C90" s="662" t="s">
        <v>962</v>
      </c>
      <c r="D90" s="1011">
        <v>41365</v>
      </c>
      <c r="E90" s="1011" t="s">
        <v>216</v>
      </c>
      <c r="F90" s="787" t="s">
        <v>693</v>
      </c>
      <c r="G90" s="996" t="s">
        <v>850</v>
      </c>
      <c r="H90" s="1012">
        <v>5931000</v>
      </c>
      <c r="I90" s="1012">
        <v>2300000</v>
      </c>
      <c r="J90" s="1012">
        <v>0</v>
      </c>
      <c r="K90" s="1012">
        <v>500000</v>
      </c>
      <c r="L90" s="1013">
        <f t="shared" si="5"/>
        <v>8731000</v>
      </c>
      <c r="M90" s="1014">
        <v>22.8</v>
      </c>
      <c r="N90" s="1013">
        <f t="shared" si="22"/>
        <v>7656415</v>
      </c>
      <c r="O90" s="1015">
        <v>3</v>
      </c>
      <c r="P90" s="1013">
        <f t="shared" si="23"/>
        <v>1007423</v>
      </c>
      <c r="Q90" s="1016">
        <v>0</v>
      </c>
      <c r="R90" s="1013">
        <f t="shared" si="24"/>
        <v>0</v>
      </c>
      <c r="S90" s="1013">
        <f t="shared" si="25"/>
        <v>8663838</v>
      </c>
      <c r="T90" s="1017">
        <v>0</v>
      </c>
      <c r="U90" s="785">
        <v>0</v>
      </c>
      <c r="V90" s="785">
        <v>200000</v>
      </c>
      <c r="W90" s="1017">
        <v>500000</v>
      </c>
      <c r="X90" s="1017">
        <v>0</v>
      </c>
      <c r="Y90" s="1017">
        <v>400000</v>
      </c>
      <c r="Z90" s="1017">
        <v>348990</v>
      </c>
      <c r="AA90" s="1018"/>
      <c r="AB90" s="1013"/>
      <c r="AC90" s="1017">
        <v>100000</v>
      </c>
      <c r="AD90" s="1017">
        <v>0</v>
      </c>
      <c r="AE90" s="1013">
        <v>62963.93914473684</v>
      </c>
      <c r="AF90" s="1019"/>
      <c r="AG90" s="1019">
        <f t="shared" si="10"/>
        <v>10275792</v>
      </c>
      <c r="AH90" s="1014">
        <v>44</v>
      </c>
      <c r="AI90" s="1014">
        <v>0</v>
      </c>
      <c r="AJ90" s="1014">
        <v>0</v>
      </c>
      <c r="AK90" s="1018">
        <v>0</v>
      </c>
      <c r="AL90" s="1020">
        <v>0</v>
      </c>
      <c r="AM90" s="1013">
        <f t="shared" si="26"/>
        <v>2770413</v>
      </c>
      <c r="AN90" s="1045">
        <f t="shared" si="29"/>
        <v>13046205</v>
      </c>
      <c r="AO90" s="1013">
        <v>916755</v>
      </c>
      <c r="AP90" s="1013">
        <v>44100</v>
      </c>
      <c r="AQ90" s="1013">
        <v>15299</v>
      </c>
      <c r="AR90" s="1013">
        <v>0</v>
      </c>
      <c r="AS90" s="1013">
        <v>0</v>
      </c>
      <c r="AT90" s="1045">
        <f t="shared" si="21"/>
        <v>12070051</v>
      </c>
      <c r="AU90" s="1004"/>
      <c r="AV90" s="870"/>
      <c r="AW90" s="782" t="s">
        <v>3492</v>
      </c>
      <c r="AX90" s="782" t="s">
        <v>3493</v>
      </c>
      <c r="AY90" s="1007" t="s">
        <v>287</v>
      </c>
      <c r="AZ90" s="1007">
        <v>622</v>
      </c>
      <c r="BA90" s="347" t="str">
        <f t="shared" si="27"/>
        <v>Box</v>
      </c>
      <c r="BB90" s="1008"/>
      <c r="BC90" s="1009"/>
      <c r="BD90" s="1009"/>
    </row>
    <row r="91" spans="1:56" s="1010" customFormat="1" ht="36.75" customHeight="1">
      <c r="A91" s="661">
        <f>SUBTOTAL(3,B$6:B91)</f>
        <v>86</v>
      </c>
      <c r="B91" s="661" t="s">
        <v>963</v>
      </c>
      <c r="C91" s="662" t="s">
        <v>964</v>
      </c>
      <c r="D91" s="1011">
        <v>41452</v>
      </c>
      <c r="E91" s="1011" t="s">
        <v>216</v>
      </c>
      <c r="F91" s="787" t="s">
        <v>693</v>
      </c>
      <c r="G91" s="996" t="s">
        <v>786</v>
      </c>
      <c r="H91" s="1012">
        <v>5931000</v>
      </c>
      <c r="I91" s="1012">
        <v>200000</v>
      </c>
      <c r="J91" s="1012">
        <v>0</v>
      </c>
      <c r="K91" s="1012">
        <v>0</v>
      </c>
      <c r="L91" s="1013">
        <f t="shared" si="5"/>
        <v>6131000</v>
      </c>
      <c r="M91" s="1014">
        <v>23.9</v>
      </c>
      <c r="N91" s="1013">
        <f t="shared" si="22"/>
        <v>5635804</v>
      </c>
      <c r="O91" s="1015">
        <v>2</v>
      </c>
      <c r="P91" s="1013">
        <f t="shared" si="23"/>
        <v>471615</v>
      </c>
      <c r="Q91" s="1016">
        <v>0</v>
      </c>
      <c r="R91" s="1013">
        <f t="shared" si="24"/>
        <v>0</v>
      </c>
      <c r="S91" s="1013">
        <f t="shared" si="25"/>
        <v>6107419</v>
      </c>
      <c r="T91" s="1017">
        <v>0</v>
      </c>
      <c r="U91" s="785">
        <v>0</v>
      </c>
      <c r="V91" s="785">
        <v>200000</v>
      </c>
      <c r="W91" s="1017">
        <v>500000</v>
      </c>
      <c r="X91" s="1017">
        <v>0</v>
      </c>
      <c r="Y91" s="1017">
        <v>400000</v>
      </c>
      <c r="Z91" s="1017">
        <v>470615</v>
      </c>
      <c r="AA91" s="1018"/>
      <c r="AB91" s="1013"/>
      <c r="AC91" s="1017">
        <v>100000</v>
      </c>
      <c r="AD91" s="1017">
        <v>0</v>
      </c>
      <c r="AE91" s="1013">
        <v>44213.94351464435</v>
      </c>
      <c r="AF91" s="1019"/>
      <c r="AG91" s="1019">
        <f t="shared" si="10"/>
        <v>7822248</v>
      </c>
      <c r="AH91" s="1014">
        <v>44</v>
      </c>
      <c r="AI91" s="1014">
        <v>0</v>
      </c>
      <c r="AJ91" s="1014">
        <v>0</v>
      </c>
      <c r="AK91" s="1018">
        <v>0</v>
      </c>
      <c r="AL91" s="1020">
        <v>0</v>
      </c>
      <c r="AM91" s="1013">
        <f t="shared" si="26"/>
        <v>1945414</v>
      </c>
      <c r="AN91" s="1045">
        <f t="shared" si="29"/>
        <v>9767662</v>
      </c>
      <c r="AO91" s="1013">
        <v>643755</v>
      </c>
      <c r="AP91" s="1013">
        <v>44100</v>
      </c>
      <c r="AQ91" s="1013">
        <v>0</v>
      </c>
      <c r="AR91" s="1013">
        <v>0</v>
      </c>
      <c r="AS91" s="1013">
        <v>0</v>
      </c>
      <c r="AT91" s="1045">
        <f t="shared" si="21"/>
        <v>9079807</v>
      </c>
      <c r="AU91" s="1004"/>
      <c r="AV91" s="870"/>
      <c r="AW91" s="782" t="s">
        <v>3494</v>
      </c>
      <c r="AX91" s="782" t="s">
        <v>3495</v>
      </c>
      <c r="AY91" s="1007" t="s">
        <v>287</v>
      </c>
      <c r="AZ91" s="1007">
        <v>622</v>
      </c>
      <c r="BA91" s="347" t="str">
        <f t="shared" si="27"/>
        <v>Box</v>
      </c>
      <c r="BB91" s="1008"/>
      <c r="BC91" s="1009"/>
      <c r="BD91" s="1009"/>
    </row>
    <row r="92" spans="1:56" s="1010" customFormat="1" ht="36.75" customHeight="1">
      <c r="A92" s="661">
        <f>SUBTOTAL(3,B$6:B92)</f>
        <v>87</v>
      </c>
      <c r="B92" s="661" t="s">
        <v>965</v>
      </c>
      <c r="C92" s="662" t="s">
        <v>966</v>
      </c>
      <c r="D92" s="1011">
        <v>42822</v>
      </c>
      <c r="E92" s="1011" t="s">
        <v>216</v>
      </c>
      <c r="F92" s="787" t="s">
        <v>693</v>
      </c>
      <c r="G92" s="996" t="s">
        <v>786</v>
      </c>
      <c r="H92" s="1012">
        <v>5931000</v>
      </c>
      <c r="I92" s="1012">
        <v>200000</v>
      </c>
      <c r="J92" s="1012">
        <v>0</v>
      </c>
      <c r="K92" s="1012">
        <v>0</v>
      </c>
      <c r="L92" s="1013">
        <f t="shared" si="5"/>
        <v>6131000</v>
      </c>
      <c r="M92" s="1014">
        <v>24</v>
      </c>
      <c r="N92" s="1013">
        <f t="shared" si="22"/>
        <v>5659385</v>
      </c>
      <c r="O92" s="1015">
        <v>2</v>
      </c>
      <c r="P92" s="1013">
        <f t="shared" si="23"/>
        <v>471615</v>
      </c>
      <c r="Q92" s="1016">
        <v>0</v>
      </c>
      <c r="R92" s="1013">
        <f t="shared" si="24"/>
        <v>0</v>
      </c>
      <c r="S92" s="1013">
        <f t="shared" si="25"/>
        <v>6131000</v>
      </c>
      <c r="T92" s="1017">
        <v>0</v>
      </c>
      <c r="U92" s="785">
        <v>0</v>
      </c>
      <c r="V92" s="785">
        <v>200000</v>
      </c>
      <c r="W92" s="1017">
        <v>500000</v>
      </c>
      <c r="X92" s="1017">
        <v>0</v>
      </c>
      <c r="Y92" s="1017">
        <v>400000</v>
      </c>
      <c r="Z92" s="1017">
        <v>481812</v>
      </c>
      <c r="AA92" s="1018"/>
      <c r="AB92" s="1013"/>
      <c r="AC92" s="1017">
        <v>0</v>
      </c>
      <c r="AD92" s="1017">
        <v>0</v>
      </c>
      <c r="AE92" s="1013">
        <v>44213.9453125</v>
      </c>
      <c r="AF92" s="1019"/>
      <c r="AG92" s="1019">
        <f t="shared" si="10"/>
        <v>7757026</v>
      </c>
      <c r="AH92" s="1014">
        <v>52</v>
      </c>
      <c r="AI92" s="1014">
        <v>0</v>
      </c>
      <c r="AJ92" s="1014">
        <v>0</v>
      </c>
      <c r="AK92" s="1018">
        <v>0</v>
      </c>
      <c r="AL92" s="1020">
        <v>0</v>
      </c>
      <c r="AM92" s="1013">
        <f t="shared" si="26"/>
        <v>2299125</v>
      </c>
      <c r="AN92" s="1045">
        <f t="shared" si="29"/>
        <v>10056151</v>
      </c>
      <c r="AO92" s="1013">
        <v>643755</v>
      </c>
      <c r="AP92" s="1013">
        <v>44100</v>
      </c>
      <c r="AQ92" s="1013">
        <v>0</v>
      </c>
      <c r="AR92" s="1013">
        <v>0</v>
      </c>
      <c r="AS92" s="1013">
        <v>0</v>
      </c>
      <c r="AT92" s="1045">
        <f t="shared" si="21"/>
        <v>9368296</v>
      </c>
      <c r="AU92" s="1004"/>
      <c r="AV92" s="870"/>
      <c r="AW92" s="782" t="s">
        <v>3496</v>
      </c>
      <c r="AX92" s="782" t="s">
        <v>3497</v>
      </c>
      <c r="AY92" s="1007" t="s">
        <v>287</v>
      </c>
      <c r="AZ92" s="1007">
        <v>622</v>
      </c>
      <c r="BA92" s="347" t="str">
        <f t="shared" si="27"/>
        <v>Box</v>
      </c>
      <c r="BB92" s="1008"/>
      <c r="BC92" s="1009"/>
      <c r="BD92" s="1009"/>
    </row>
    <row r="93" spans="1:56" s="1010" customFormat="1" ht="36.75" customHeight="1">
      <c r="A93" s="661">
        <f>SUBTOTAL(3,B$6:B93)</f>
        <v>88</v>
      </c>
      <c r="B93" s="661" t="s">
        <v>967</v>
      </c>
      <c r="C93" s="662" t="s">
        <v>968</v>
      </c>
      <c r="D93" s="1011">
        <v>43224</v>
      </c>
      <c r="E93" s="1011" t="s">
        <v>216</v>
      </c>
      <c r="F93" s="787" t="s">
        <v>693</v>
      </c>
      <c r="G93" s="996" t="s">
        <v>786</v>
      </c>
      <c r="H93" s="1012">
        <v>5931000</v>
      </c>
      <c r="I93" s="1012">
        <v>200000</v>
      </c>
      <c r="J93" s="1012">
        <v>0</v>
      </c>
      <c r="K93" s="1012">
        <v>0</v>
      </c>
      <c r="L93" s="1013">
        <f t="shared" si="5"/>
        <v>6131000</v>
      </c>
      <c r="M93" s="1014">
        <v>23.9</v>
      </c>
      <c r="N93" s="1013">
        <f t="shared" si="22"/>
        <v>5635804</v>
      </c>
      <c r="O93" s="1015">
        <v>2</v>
      </c>
      <c r="P93" s="1013">
        <f t="shared" si="23"/>
        <v>471615</v>
      </c>
      <c r="Q93" s="1016">
        <v>0</v>
      </c>
      <c r="R93" s="1013">
        <f t="shared" si="24"/>
        <v>0</v>
      </c>
      <c r="S93" s="1013">
        <f t="shared" si="25"/>
        <v>6107419</v>
      </c>
      <c r="T93" s="1017">
        <v>0</v>
      </c>
      <c r="U93" s="785">
        <v>0</v>
      </c>
      <c r="V93" s="785">
        <v>200000</v>
      </c>
      <c r="W93" s="1017">
        <v>500000</v>
      </c>
      <c r="X93" s="1017">
        <v>0</v>
      </c>
      <c r="Y93" s="1017">
        <v>400000</v>
      </c>
      <c r="Z93" s="1017">
        <v>416777</v>
      </c>
      <c r="AA93" s="1018"/>
      <c r="AB93" s="1013"/>
      <c r="AC93" s="1017">
        <v>0</v>
      </c>
      <c r="AD93" s="1017">
        <v>0</v>
      </c>
      <c r="AE93" s="1013">
        <v>44213.94351464435</v>
      </c>
      <c r="AF93" s="1019"/>
      <c r="AG93" s="1019">
        <f t="shared" si="10"/>
        <v>7668410</v>
      </c>
      <c r="AH93" s="1014">
        <v>44</v>
      </c>
      <c r="AI93" s="1014">
        <v>0</v>
      </c>
      <c r="AJ93" s="1014">
        <v>0</v>
      </c>
      <c r="AK93" s="1018">
        <v>0</v>
      </c>
      <c r="AL93" s="1020">
        <v>0</v>
      </c>
      <c r="AM93" s="1013">
        <f t="shared" si="26"/>
        <v>1945414</v>
      </c>
      <c r="AN93" s="1045">
        <f t="shared" si="29"/>
        <v>9613824</v>
      </c>
      <c r="AO93" s="1013">
        <v>643755</v>
      </c>
      <c r="AP93" s="1013">
        <v>44100</v>
      </c>
      <c r="AQ93" s="1013">
        <v>0</v>
      </c>
      <c r="AR93" s="1013">
        <v>0</v>
      </c>
      <c r="AS93" s="1013">
        <v>0</v>
      </c>
      <c r="AT93" s="1045">
        <f t="shared" si="21"/>
        <v>8925969</v>
      </c>
      <c r="AU93" s="1004"/>
      <c r="AV93" s="870"/>
      <c r="AW93" s="782" t="s">
        <v>3498</v>
      </c>
      <c r="AX93" s="782" t="s">
        <v>3499</v>
      </c>
      <c r="AY93" s="1007" t="s">
        <v>287</v>
      </c>
      <c r="AZ93" s="1007">
        <v>622</v>
      </c>
      <c r="BA93" s="347" t="str">
        <f t="shared" si="27"/>
        <v>Box</v>
      </c>
      <c r="BB93" s="1008"/>
      <c r="BC93" s="1009"/>
      <c r="BD93" s="1009"/>
    </row>
    <row r="94" spans="1:56" s="1010" customFormat="1" ht="36.75" customHeight="1">
      <c r="A94" s="661">
        <f>SUBTOTAL(3,B$6:B94)</f>
        <v>89</v>
      </c>
      <c r="B94" s="661" t="s">
        <v>969</v>
      </c>
      <c r="C94" s="662" t="s">
        <v>970</v>
      </c>
      <c r="D94" s="1011">
        <v>42591</v>
      </c>
      <c r="E94" s="1011" t="s">
        <v>216</v>
      </c>
      <c r="F94" s="787" t="s">
        <v>693</v>
      </c>
      <c r="G94" s="996" t="s">
        <v>920</v>
      </c>
      <c r="H94" s="1012">
        <v>5931000</v>
      </c>
      <c r="I94" s="1012">
        <v>0</v>
      </c>
      <c r="J94" s="1012">
        <v>0</v>
      </c>
      <c r="K94" s="1012">
        <v>0</v>
      </c>
      <c r="L94" s="1013">
        <f t="shared" si="5"/>
        <v>5931000</v>
      </c>
      <c r="M94" s="1014">
        <v>24</v>
      </c>
      <c r="N94" s="1013">
        <f t="shared" si="22"/>
        <v>5474769</v>
      </c>
      <c r="O94" s="1015">
        <v>2</v>
      </c>
      <c r="P94" s="1013">
        <f t="shared" si="23"/>
        <v>456231</v>
      </c>
      <c r="Q94" s="1016">
        <v>0</v>
      </c>
      <c r="R94" s="1013">
        <f t="shared" si="24"/>
        <v>0</v>
      </c>
      <c r="S94" s="1013">
        <f t="shared" si="25"/>
        <v>5931000</v>
      </c>
      <c r="T94" s="1017">
        <v>0</v>
      </c>
      <c r="U94" s="785">
        <v>0</v>
      </c>
      <c r="V94" s="785">
        <v>200000</v>
      </c>
      <c r="W94" s="1017">
        <v>500000</v>
      </c>
      <c r="X94" s="1017">
        <v>0</v>
      </c>
      <c r="Y94" s="1017">
        <v>400000</v>
      </c>
      <c r="Z94" s="1017">
        <v>430005</v>
      </c>
      <c r="AA94" s="1018"/>
      <c r="AB94" s="1013"/>
      <c r="AC94" s="1017">
        <v>0</v>
      </c>
      <c r="AD94" s="1017">
        <v>0</v>
      </c>
      <c r="AE94" s="1013">
        <v>42771.6328125</v>
      </c>
      <c r="AF94" s="1019"/>
      <c r="AG94" s="1019">
        <f t="shared" si="10"/>
        <v>7503777</v>
      </c>
      <c r="AH94" s="1014">
        <v>48</v>
      </c>
      <c r="AI94" s="1014">
        <v>0</v>
      </c>
      <c r="AJ94" s="1014">
        <v>0</v>
      </c>
      <c r="AK94" s="1018">
        <v>0</v>
      </c>
      <c r="AL94" s="1020">
        <v>0</v>
      </c>
      <c r="AM94" s="1013">
        <f t="shared" si="26"/>
        <v>2053038</v>
      </c>
      <c r="AN94" s="1045">
        <f t="shared" si="29"/>
        <v>9556815</v>
      </c>
      <c r="AO94" s="1013">
        <v>622755</v>
      </c>
      <c r="AP94" s="1013">
        <v>44100</v>
      </c>
      <c r="AQ94" s="1013">
        <v>0</v>
      </c>
      <c r="AR94" s="1013">
        <v>0</v>
      </c>
      <c r="AS94" s="1013">
        <v>0</v>
      </c>
      <c r="AT94" s="1045">
        <f t="shared" si="21"/>
        <v>8889960</v>
      </c>
      <c r="AU94" s="1004"/>
      <c r="AV94" s="870"/>
      <c r="AW94" s="782" t="s">
        <v>3500</v>
      </c>
      <c r="AX94" s="782" t="s">
        <v>3501</v>
      </c>
      <c r="AY94" s="1007" t="s">
        <v>287</v>
      </c>
      <c r="AZ94" s="1007">
        <v>622</v>
      </c>
      <c r="BA94" s="347" t="str">
        <f t="shared" si="27"/>
        <v>Box</v>
      </c>
      <c r="BB94" s="1008"/>
      <c r="BC94" s="1009"/>
      <c r="BD94" s="1009"/>
    </row>
    <row r="95" spans="1:56" s="1010" customFormat="1" ht="36.75" customHeight="1">
      <c r="A95" s="661">
        <f>SUBTOTAL(3,B$6:B95)</f>
        <v>90</v>
      </c>
      <c r="B95" s="661" t="s">
        <v>971</v>
      </c>
      <c r="C95" s="662" t="s">
        <v>972</v>
      </c>
      <c r="D95" s="1011">
        <v>43869</v>
      </c>
      <c r="E95" s="1011" t="s">
        <v>216</v>
      </c>
      <c r="F95" s="787" t="s">
        <v>694</v>
      </c>
      <c r="G95" s="996" t="s">
        <v>973</v>
      </c>
      <c r="H95" s="1012">
        <v>5931000</v>
      </c>
      <c r="I95" s="1012">
        <v>700000</v>
      </c>
      <c r="J95" s="1012">
        <v>0</v>
      </c>
      <c r="K95" s="1012">
        <v>0</v>
      </c>
      <c r="L95" s="1013">
        <f t="shared" si="5"/>
        <v>6631000</v>
      </c>
      <c r="M95" s="1014">
        <v>24</v>
      </c>
      <c r="N95" s="1013">
        <f t="shared" si="22"/>
        <v>6120923</v>
      </c>
      <c r="O95" s="1015">
        <v>2</v>
      </c>
      <c r="P95" s="1013">
        <f t="shared" si="23"/>
        <v>510077</v>
      </c>
      <c r="Q95" s="1016">
        <v>0</v>
      </c>
      <c r="R95" s="1013">
        <f t="shared" si="24"/>
        <v>0</v>
      </c>
      <c r="S95" s="1013">
        <f t="shared" si="25"/>
        <v>6631000</v>
      </c>
      <c r="T95" s="1017">
        <v>0</v>
      </c>
      <c r="U95" s="785">
        <v>0</v>
      </c>
      <c r="V95" s="785">
        <v>200000</v>
      </c>
      <c r="W95" s="1017">
        <v>500000</v>
      </c>
      <c r="X95" s="1017">
        <v>0</v>
      </c>
      <c r="Y95" s="1017">
        <v>400000</v>
      </c>
      <c r="Z95" s="1017">
        <v>649312</v>
      </c>
      <c r="AA95" s="1018"/>
      <c r="AB95" s="1013"/>
      <c r="AC95" s="1017">
        <v>0</v>
      </c>
      <c r="AD95" s="1017">
        <v>0</v>
      </c>
      <c r="AE95" s="1013">
        <v>0</v>
      </c>
      <c r="AF95" s="1019"/>
      <c r="AG95" s="1019">
        <f t="shared" si="10"/>
        <v>8380312</v>
      </c>
      <c r="AH95" s="1014">
        <v>52</v>
      </c>
      <c r="AI95" s="1014">
        <v>0</v>
      </c>
      <c r="AJ95" s="1014">
        <v>0</v>
      </c>
      <c r="AK95" s="1018">
        <v>0</v>
      </c>
      <c r="AL95" s="1020">
        <v>0</v>
      </c>
      <c r="AM95" s="1013">
        <f t="shared" si="26"/>
        <v>2486625</v>
      </c>
      <c r="AN95" s="1045">
        <f t="shared" si="29"/>
        <v>10866937</v>
      </c>
      <c r="AO95" s="1013">
        <v>696255</v>
      </c>
      <c r="AP95" s="1013">
        <v>44100</v>
      </c>
      <c r="AQ95" s="1013">
        <v>0</v>
      </c>
      <c r="AR95" s="1013">
        <v>0</v>
      </c>
      <c r="AS95" s="1013">
        <v>0</v>
      </c>
      <c r="AT95" s="1045">
        <f t="shared" si="21"/>
        <v>10126582</v>
      </c>
      <c r="AU95" s="1004"/>
      <c r="AV95" s="870"/>
      <c r="AW95" s="782" t="s">
        <v>3502</v>
      </c>
      <c r="AX95" s="782" t="s">
        <v>3503</v>
      </c>
      <c r="AY95" s="1007" t="s">
        <v>287</v>
      </c>
      <c r="AZ95" s="1007">
        <v>622</v>
      </c>
      <c r="BA95" s="347" t="str">
        <f t="shared" si="27"/>
        <v>Box</v>
      </c>
      <c r="BB95" s="1008"/>
      <c r="BC95" s="1009"/>
      <c r="BD95" s="1009"/>
    </row>
    <row r="96" spans="1:56" s="1010" customFormat="1" ht="36.75" customHeight="1">
      <c r="A96" s="661">
        <f>SUBTOTAL(3,B$6:B96)</f>
        <v>91</v>
      </c>
      <c r="B96" s="661" t="s">
        <v>974</v>
      </c>
      <c r="C96" s="662" t="s">
        <v>975</v>
      </c>
      <c r="D96" s="1011">
        <v>43871</v>
      </c>
      <c r="E96" s="1011" t="s">
        <v>216</v>
      </c>
      <c r="F96" s="787" t="s">
        <v>694</v>
      </c>
      <c r="G96" s="996" t="s">
        <v>973</v>
      </c>
      <c r="H96" s="1012">
        <v>5931000</v>
      </c>
      <c r="I96" s="1012">
        <v>700000</v>
      </c>
      <c r="J96" s="1012">
        <v>0</v>
      </c>
      <c r="K96" s="1012">
        <v>0</v>
      </c>
      <c r="L96" s="1013">
        <f t="shared" si="5"/>
        <v>6631000</v>
      </c>
      <c r="M96" s="1014">
        <v>24</v>
      </c>
      <c r="N96" s="1013">
        <f t="shared" si="22"/>
        <v>6120923</v>
      </c>
      <c r="O96" s="1015">
        <v>2</v>
      </c>
      <c r="P96" s="1013">
        <f t="shared" si="23"/>
        <v>510077</v>
      </c>
      <c r="Q96" s="1016">
        <v>0</v>
      </c>
      <c r="R96" s="1013">
        <f t="shared" si="24"/>
        <v>0</v>
      </c>
      <c r="S96" s="1013">
        <f t="shared" si="25"/>
        <v>6631000</v>
      </c>
      <c r="T96" s="1017">
        <v>0</v>
      </c>
      <c r="U96" s="785">
        <v>0</v>
      </c>
      <c r="V96" s="785">
        <v>200000</v>
      </c>
      <c r="W96" s="1017">
        <v>500000</v>
      </c>
      <c r="X96" s="1017">
        <v>0</v>
      </c>
      <c r="Y96" s="1017">
        <v>400000</v>
      </c>
      <c r="Z96" s="1017">
        <v>941402</v>
      </c>
      <c r="AA96" s="1018"/>
      <c r="AB96" s="1013"/>
      <c r="AC96" s="1017">
        <v>100000</v>
      </c>
      <c r="AD96" s="1017">
        <v>0</v>
      </c>
      <c r="AE96" s="1013">
        <v>0</v>
      </c>
      <c r="AF96" s="1019"/>
      <c r="AG96" s="1019">
        <f t="shared" si="10"/>
        <v>8772402</v>
      </c>
      <c r="AH96" s="1014">
        <v>52</v>
      </c>
      <c r="AI96" s="1014">
        <v>0</v>
      </c>
      <c r="AJ96" s="1014">
        <v>0</v>
      </c>
      <c r="AK96" s="1018">
        <v>0</v>
      </c>
      <c r="AL96" s="1020">
        <v>0</v>
      </c>
      <c r="AM96" s="1013">
        <f t="shared" si="26"/>
        <v>2486625</v>
      </c>
      <c r="AN96" s="1045">
        <f t="shared" si="29"/>
        <v>11259027</v>
      </c>
      <c r="AO96" s="1013">
        <v>696255</v>
      </c>
      <c r="AP96" s="1013">
        <v>44100</v>
      </c>
      <c r="AQ96" s="1013">
        <v>0</v>
      </c>
      <c r="AR96" s="1013">
        <v>0</v>
      </c>
      <c r="AS96" s="1013">
        <v>0</v>
      </c>
      <c r="AT96" s="1045">
        <f t="shared" si="21"/>
        <v>10518672</v>
      </c>
      <c r="AU96" s="1004"/>
      <c r="AV96" s="870"/>
      <c r="AW96" s="782" t="s">
        <v>3504</v>
      </c>
      <c r="AX96" s="782" t="s">
        <v>3505</v>
      </c>
      <c r="AY96" s="1007" t="s">
        <v>287</v>
      </c>
      <c r="AZ96" s="1007">
        <v>622</v>
      </c>
      <c r="BA96" s="347" t="str">
        <f t="shared" si="27"/>
        <v>Box</v>
      </c>
      <c r="BB96" s="1008"/>
      <c r="BC96" s="1009"/>
      <c r="BD96" s="1009"/>
    </row>
    <row r="97" spans="1:56" s="1010" customFormat="1" ht="36.75" customHeight="1">
      <c r="A97" s="661">
        <f>SUBTOTAL(3,B$6:B97)</f>
        <v>92</v>
      </c>
      <c r="B97" s="661" t="s">
        <v>976</v>
      </c>
      <c r="C97" s="662" t="s">
        <v>977</v>
      </c>
      <c r="D97" s="1011">
        <v>44065</v>
      </c>
      <c r="E97" s="1011" t="s">
        <v>216</v>
      </c>
      <c r="F97" s="787" t="s">
        <v>694</v>
      </c>
      <c r="G97" s="996" t="s">
        <v>978</v>
      </c>
      <c r="H97" s="1012">
        <v>5931000</v>
      </c>
      <c r="I97" s="1012">
        <v>500000</v>
      </c>
      <c r="J97" s="1012">
        <v>0</v>
      </c>
      <c r="K97" s="1012">
        <v>0</v>
      </c>
      <c r="L97" s="1013">
        <f t="shared" si="5"/>
        <v>6431000</v>
      </c>
      <c r="M97" s="1014">
        <v>23</v>
      </c>
      <c r="N97" s="1013">
        <f t="shared" si="22"/>
        <v>5688962</v>
      </c>
      <c r="O97" s="1015">
        <v>3</v>
      </c>
      <c r="P97" s="1013">
        <f t="shared" si="23"/>
        <v>742038</v>
      </c>
      <c r="Q97" s="1016">
        <v>0</v>
      </c>
      <c r="R97" s="1013">
        <f t="shared" si="24"/>
        <v>0</v>
      </c>
      <c r="S97" s="1013">
        <f t="shared" si="25"/>
        <v>6431000</v>
      </c>
      <c r="T97" s="1017">
        <v>0</v>
      </c>
      <c r="U97" s="785">
        <v>0</v>
      </c>
      <c r="V97" s="785">
        <v>200000</v>
      </c>
      <c r="W97" s="1017">
        <v>500000</v>
      </c>
      <c r="X97" s="1017">
        <v>0</v>
      </c>
      <c r="Y97" s="1017">
        <v>400000</v>
      </c>
      <c r="Z97" s="1017">
        <v>615540</v>
      </c>
      <c r="AA97" s="1018"/>
      <c r="AB97" s="1013"/>
      <c r="AC97" s="1017">
        <v>0</v>
      </c>
      <c r="AD97" s="1017">
        <v>0</v>
      </c>
      <c r="AE97" s="1013">
        <v>46377.407608695656</v>
      </c>
      <c r="AF97" s="1019"/>
      <c r="AG97" s="1019">
        <f t="shared" si="10"/>
        <v>8192917</v>
      </c>
      <c r="AH97" s="1014">
        <v>52</v>
      </c>
      <c r="AI97" s="1014">
        <v>0</v>
      </c>
      <c r="AJ97" s="1014">
        <v>0</v>
      </c>
      <c r="AK97" s="1018">
        <v>0</v>
      </c>
      <c r="AL97" s="1020">
        <v>0</v>
      </c>
      <c r="AM97" s="1013">
        <f t="shared" si="26"/>
        <v>2411625</v>
      </c>
      <c r="AN97" s="1045">
        <f t="shared" si="29"/>
        <v>10604542</v>
      </c>
      <c r="AO97" s="1013">
        <v>675255</v>
      </c>
      <c r="AP97" s="1013">
        <v>44100</v>
      </c>
      <c r="AQ97" s="1013">
        <v>0</v>
      </c>
      <c r="AR97" s="1013">
        <v>0</v>
      </c>
      <c r="AS97" s="1013">
        <v>0</v>
      </c>
      <c r="AT97" s="1045">
        <f t="shared" si="21"/>
        <v>9885187</v>
      </c>
      <c r="AU97" s="1004"/>
      <c r="AV97" s="870"/>
      <c r="AW97" s="782" t="s">
        <v>3506</v>
      </c>
      <c r="AX97" s="782" t="s">
        <v>3507</v>
      </c>
      <c r="AY97" s="1007" t="s">
        <v>287</v>
      </c>
      <c r="AZ97" s="1007">
        <v>622</v>
      </c>
      <c r="BA97" s="347" t="str">
        <f t="shared" si="27"/>
        <v>Box</v>
      </c>
      <c r="BB97" s="1008"/>
      <c r="BC97" s="1009"/>
      <c r="BD97" s="1009"/>
    </row>
    <row r="98" spans="1:56" s="1010" customFormat="1" ht="36.75" customHeight="1">
      <c r="A98" s="661">
        <f>SUBTOTAL(3,B$6:B98)</f>
        <v>93</v>
      </c>
      <c r="B98" s="661" t="s">
        <v>979</v>
      </c>
      <c r="C98" s="662" t="s">
        <v>980</v>
      </c>
      <c r="D98" s="1011">
        <v>44071</v>
      </c>
      <c r="E98" s="1011" t="s">
        <v>216</v>
      </c>
      <c r="F98" s="787" t="s">
        <v>694</v>
      </c>
      <c r="G98" s="996" t="s">
        <v>786</v>
      </c>
      <c r="H98" s="1012">
        <v>5931000</v>
      </c>
      <c r="I98" s="1012">
        <v>200000</v>
      </c>
      <c r="J98" s="1012">
        <v>0</v>
      </c>
      <c r="K98" s="1012">
        <v>0</v>
      </c>
      <c r="L98" s="1013">
        <f t="shared" si="5"/>
        <v>6131000</v>
      </c>
      <c r="M98" s="1014">
        <v>24</v>
      </c>
      <c r="N98" s="1013">
        <f t="shared" si="22"/>
        <v>5659385</v>
      </c>
      <c r="O98" s="1015">
        <v>2</v>
      </c>
      <c r="P98" s="1013">
        <f t="shared" si="23"/>
        <v>471615</v>
      </c>
      <c r="Q98" s="1016">
        <v>0</v>
      </c>
      <c r="R98" s="1013">
        <f t="shared" si="24"/>
        <v>0</v>
      </c>
      <c r="S98" s="1013">
        <f t="shared" si="25"/>
        <v>6131000</v>
      </c>
      <c r="T98" s="1017">
        <v>0</v>
      </c>
      <c r="U98" s="785">
        <v>0</v>
      </c>
      <c r="V98" s="785">
        <v>200000</v>
      </c>
      <c r="W98" s="1017">
        <v>500000</v>
      </c>
      <c r="X98" s="1017">
        <v>0</v>
      </c>
      <c r="Y98" s="1017">
        <v>400000</v>
      </c>
      <c r="Z98" s="1017">
        <v>640685</v>
      </c>
      <c r="AA98" s="1018"/>
      <c r="AB98" s="1013"/>
      <c r="AC98" s="1017">
        <v>0</v>
      </c>
      <c r="AD98" s="1017">
        <v>0</v>
      </c>
      <c r="AE98" s="1013">
        <v>44213.9453125</v>
      </c>
      <c r="AF98" s="1019"/>
      <c r="AG98" s="1019">
        <f t="shared" si="10"/>
        <v>7915899</v>
      </c>
      <c r="AH98" s="1014">
        <v>48</v>
      </c>
      <c r="AI98" s="1014">
        <v>0</v>
      </c>
      <c r="AJ98" s="1014">
        <v>0</v>
      </c>
      <c r="AK98" s="1018">
        <v>0</v>
      </c>
      <c r="AL98" s="1020">
        <v>0</v>
      </c>
      <c r="AM98" s="1013">
        <f t="shared" si="26"/>
        <v>2122269</v>
      </c>
      <c r="AN98" s="1045">
        <f t="shared" si="29"/>
        <v>10038168</v>
      </c>
      <c r="AO98" s="1013">
        <v>643755</v>
      </c>
      <c r="AP98" s="1013">
        <v>44100</v>
      </c>
      <c r="AQ98" s="1013">
        <v>0</v>
      </c>
      <c r="AR98" s="1013">
        <v>0</v>
      </c>
      <c r="AS98" s="1013">
        <v>0</v>
      </c>
      <c r="AT98" s="1045">
        <f t="shared" si="21"/>
        <v>9350313</v>
      </c>
      <c r="AU98" s="1004"/>
      <c r="AV98" s="870"/>
      <c r="AW98" s="782" t="s">
        <v>3508</v>
      </c>
      <c r="AX98" s="782" t="s">
        <v>3509</v>
      </c>
      <c r="AY98" s="1007" t="s">
        <v>287</v>
      </c>
      <c r="AZ98" s="1007">
        <v>622</v>
      </c>
      <c r="BA98" s="347" t="str">
        <f t="shared" si="27"/>
        <v>Box</v>
      </c>
      <c r="BB98" s="1008"/>
      <c r="BC98" s="1009"/>
      <c r="BD98" s="1009"/>
    </row>
    <row r="99" spans="1:56" s="1010" customFormat="1" ht="36.75" customHeight="1">
      <c r="A99" s="661">
        <f>SUBTOTAL(3,B$6:B99)</f>
        <v>94</v>
      </c>
      <c r="B99" s="661" t="s">
        <v>981</v>
      </c>
      <c r="C99" s="662" t="s">
        <v>982</v>
      </c>
      <c r="D99" s="1011">
        <v>44082</v>
      </c>
      <c r="E99" s="1011" t="s">
        <v>216</v>
      </c>
      <c r="F99" s="787" t="s">
        <v>694</v>
      </c>
      <c r="G99" s="996" t="s">
        <v>978</v>
      </c>
      <c r="H99" s="1012">
        <v>5931000</v>
      </c>
      <c r="I99" s="1012">
        <v>500000</v>
      </c>
      <c r="J99" s="1012">
        <v>0</v>
      </c>
      <c r="K99" s="1012">
        <v>0</v>
      </c>
      <c r="L99" s="1013">
        <f t="shared" si="5"/>
        <v>6431000</v>
      </c>
      <c r="M99" s="1014">
        <v>24</v>
      </c>
      <c r="N99" s="1013">
        <f t="shared" si="22"/>
        <v>5936308</v>
      </c>
      <c r="O99" s="1015">
        <v>2</v>
      </c>
      <c r="P99" s="1013">
        <f t="shared" si="23"/>
        <v>494692</v>
      </c>
      <c r="Q99" s="1016">
        <v>0</v>
      </c>
      <c r="R99" s="1013">
        <f t="shared" si="24"/>
        <v>0</v>
      </c>
      <c r="S99" s="1013">
        <f t="shared" si="25"/>
        <v>6431000</v>
      </c>
      <c r="T99" s="1017">
        <v>0</v>
      </c>
      <c r="U99" s="785">
        <v>0</v>
      </c>
      <c r="V99" s="785">
        <v>200000</v>
      </c>
      <c r="W99" s="1017">
        <v>500000</v>
      </c>
      <c r="X99" s="1017">
        <v>0</v>
      </c>
      <c r="Y99" s="1017">
        <v>400000</v>
      </c>
      <c r="Z99" s="1017">
        <v>737865</v>
      </c>
      <c r="AA99" s="1018"/>
      <c r="AB99" s="1013"/>
      <c r="AC99" s="1017">
        <v>0</v>
      </c>
      <c r="AD99" s="1017">
        <v>0</v>
      </c>
      <c r="AE99" s="1013">
        <v>46377.40625</v>
      </c>
      <c r="AF99" s="1019"/>
      <c r="AG99" s="1019">
        <f t="shared" si="10"/>
        <v>8315242</v>
      </c>
      <c r="AH99" s="1014">
        <v>52</v>
      </c>
      <c r="AI99" s="1014">
        <v>0</v>
      </c>
      <c r="AJ99" s="1014">
        <v>0</v>
      </c>
      <c r="AK99" s="1018">
        <v>0</v>
      </c>
      <c r="AL99" s="1020">
        <v>0</v>
      </c>
      <c r="AM99" s="1013">
        <f t="shared" si="26"/>
        <v>2411625</v>
      </c>
      <c r="AN99" s="1045">
        <f t="shared" si="29"/>
        <v>10726867</v>
      </c>
      <c r="AO99" s="1013">
        <v>675255</v>
      </c>
      <c r="AP99" s="1013">
        <v>44100</v>
      </c>
      <c r="AQ99" s="1013">
        <v>0</v>
      </c>
      <c r="AR99" s="1013">
        <v>0</v>
      </c>
      <c r="AS99" s="1013">
        <v>0</v>
      </c>
      <c r="AT99" s="1045">
        <f t="shared" si="21"/>
        <v>10007512</v>
      </c>
      <c r="AU99" s="1004"/>
      <c r="AV99" s="870"/>
      <c r="AW99" s="782" t="s">
        <v>3510</v>
      </c>
      <c r="AX99" s="782" t="s">
        <v>3511</v>
      </c>
      <c r="AY99" s="1007" t="s">
        <v>287</v>
      </c>
      <c r="AZ99" s="1007">
        <v>622</v>
      </c>
      <c r="BA99" s="347" t="str">
        <f t="shared" si="27"/>
        <v>Box</v>
      </c>
      <c r="BB99" s="1008"/>
      <c r="BC99" s="1009"/>
      <c r="BD99" s="1009"/>
    </row>
    <row r="100" spans="1:56" s="1010" customFormat="1" ht="36.75" customHeight="1">
      <c r="A100" s="661">
        <f>SUBTOTAL(3,B$6:B100)</f>
        <v>95</v>
      </c>
      <c r="B100" s="661" t="s">
        <v>983</v>
      </c>
      <c r="C100" s="662" t="s">
        <v>984</v>
      </c>
      <c r="D100" s="1011">
        <v>44249</v>
      </c>
      <c r="E100" s="1011" t="s">
        <v>216</v>
      </c>
      <c r="F100" s="787" t="s">
        <v>694</v>
      </c>
      <c r="G100" s="996" t="s">
        <v>978</v>
      </c>
      <c r="H100" s="1012">
        <v>5931000</v>
      </c>
      <c r="I100" s="1012">
        <v>500000</v>
      </c>
      <c r="J100" s="1012">
        <v>0</v>
      </c>
      <c r="K100" s="1012">
        <v>0</v>
      </c>
      <c r="L100" s="1013">
        <f t="shared" si="5"/>
        <v>6431000</v>
      </c>
      <c r="M100" s="1014">
        <v>21</v>
      </c>
      <c r="N100" s="1013">
        <f t="shared" si="22"/>
        <v>5194269</v>
      </c>
      <c r="O100" s="1015">
        <v>2</v>
      </c>
      <c r="P100" s="1013">
        <f t="shared" si="23"/>
        <v>494692</v>
      </c>
      <c r="Q100" s="1016">
        <v>0</v>
      </c>
      <c r="R100" s="1013">
        <f t="shared" si="24"/>
        <v>0</v>
      </c>
      <c r="S100" s="1013">
        <f t="shared" si="25"/>
        <v>5688961</v>
      </c>
      <c r="T100" s="1017">
        <v>0</v>
      </c>
      <c r="U100" s="785">
        <v>0</v>
      </c>
      <c r="V100" s="785">
        <v>200000</v>
      </c>
      <c r="W100" s="1017">
        <v>0</v>
      </c>
      <c r="X100" s="1017">
        <v>0</v>
      </c>
      <c r="Y100" s="1017">
        <v>0</v>
      </c>
      <c r="Z100" s="1017">
        <v>544892</v>
      </c>
      <c r="AA100" s="1018"/>
      <c r="AB100" s="1013"/>
      <c r="AC100" s="1017">
        <v>0</v>
      </c>
      <c r="AD100" s="1017">
        <v>0</v>
      </c>
      <c r="AE100" s="1013">
        <v>46377.40178571429</v>
      </c>
      <c r="AF100" s="1019"/>
      <c r="AG100" s="1019">
        <f t="shared" si="10"/>
        <v>6480230</v>
      </c>
      <c r="AH100" s="1014">
        <v>40</v>
      </c>
      <c r="AI100" s="1014">
        <v>0</v>
      </c>
      <c r="AJ100" s="1014">
        <v>0</v>
      </c>
      <c r="AK100" s="1018">
        <v>0</v>
      </c>
      <c r="AL100" s="1020">
        <v>0</v>
      </c>
      <c r="AM100" s="1013">
        <f t="shared" si="26"/>
        <v>1855096</v>
      </c>
      <c r="AN100" s="1045">
        <f t="shared" si="29"/>
        <v>8335326</v>
      </c>
      <c r="AO100" s="1013">
        <v>675255</v>
      </c>
      <c r="AP100" s="1013">
        <v>44100</v>
      </c>
      <c r="AQ100" s="1013">
        <v>0</v>
      </c>
      <c r="AR100" s="1013">
        <v>0</v>
      </c>
      <c r="AS100" s="1013">
        <v>0</v>
      </c>
      <c r="AT100" s="1045">
        <f t="shared" si="21"/>
        <v>7615971</v>
      </c>
      <c r="AU100" s="1004"/>
      <c r="AV100" s="870"/>
      <c r="AW100" s="782" t="s">
        <v>3512</v>
      </c>
      <c r="AX100" s="782" t="s">
        <v>3513</v>
      </c>
      <c r="AY100" s="1007" t="s">
        <v>287</v>
      </c>
      <c r="AZ100" s="1007">
        <v>622</v>
      </c>
      <c r="BA100" s="347" t="str">
        <f t="shared" si="27"/>
        <v>Box</v>
      </c>
      <c r="BB100" s="1008"/>
      <c r="BC100" s="1009"/>
      <c r="BD100" s="1009"/>
    </row>
    <row r="101" spans="1:56" s="1010" customFormat="1" ht="36.75" customHeight="1">
      <c r="A101" s="661">
        <f>SUBTOTAL(3,B$6:B101)</f>
        <v>96</v>
      </c>
      <c r="B101" s="661" t="s">
        <v>985</v>
      </c>
      <c r="C101" s="662" t="s">
        <v>986</v>
      </c>
      <c r="D101" s="1011">
        <v>44256</v>
      </c>
      <c r="E101" s="1011" t="s">
        <v>216</v>
      </c>
      <c r="F101" s="787" t="s">
        <v>694</v>
      </c>
      <c r="G101" s="996" t="s">
        <v>987</v>
      </c>
      <c r="H101" s="1012">
        <v>5931000</v>
      </c>
      <c r="I101" s="1012">
        <v>400000</v>
      </c>
      <c r="J101" s="1012">
        <v>0</v>
      </c>
      <c r="K101" s="1012">
        <v>0</v>
      </c>
      <c r="L101" s="1013">
        <f t="shared" si="5"/>
        <v>6331000</v>
      </c>
      <c r="M101" s="1014">
        <v>24</v>
      </c>
      <c r="N101" s="1013">
        <f t="shared" si="22"/>
        <v>5844000</v>
      </c>
      <c r="O101" s="1015">
        <v>2</v>
      </c>
      <c r="P101" s="1013">
        <f t="shared" si="23"/>
        <v>487000</v>
      </c>
      <c r="Q101" s="1016">
        <v>0</v>
      </c>
      <c r="R101" s="1013">
        <f t="shared" si="24"/>
        <v>0</v>
      </c>
      <c r="S101" s="1013">
        <f t="shared" si="25"/>
        <v>6331000</v>
      </c>
      <c r="T101" s="1017">
        <v>0</v>
      </c>
      <c r="U101" s="785">
        <v>0</v>
      </c>
      <c r="V101" s="785">
        <v>200000</v>
      </c>
      <c r="W101" s="1017">
        <v>500000</v>
      </c>
      <c r="X101" s="1017">
        <v>0</v>
      </c>
      <c r="Y101" s="1017">
        <v>400000</v>
      </c>
      <c r="Z101" s="1017">
        <v>557775</v>
      </c>
      <c r="AA101" s="1018"/>
      <c r="AB101" s="1013"/>
      <c r="AC101" s="1017">
        <v>0</v>
      </c>
      <c r="AD101" s="1017">
        <v>0</v>
      </c>
      <c r="AE101" s="1013">
        <v>45656.25</v>
      </c>
      <c r="AF101" s="1019"/>
      <c r="AG101" s="1019">
        <f t="shared" si="10"/>
        <v>8034431</v>
      </c>
      <c r="AH101" s="1014">
        <v>52</v>
      </c>
      <c r="AI101" s="1014">
        <v>0</v>
      </c>
      <c r="AJ101" s="1014">
        <v>0</v>
      </c>
      <c r="AK101" s="1018">
        <v>0</v>
      </c>
      <c r="AL101" s="1020">
        <v>0</v>
      </c>
      <c r="AM101" s="1013">
        <f t="shared" si="26"/>
        <v>2374125</v>
      </c>
      <c r="AN101" s="1045">
        <f t="shared" si="29"/>
        <v>10408556</v>
      </c>
      <c r="AO101" s="1013">
        <v>664755</v>
      </c>
      <c r="AP101" s="1013">
        <v>44100</v>
      </c>
      <c r="AQ101" s="1013">
        <v>0</v>
      </c>
      <c r="AR101" s="1013">
        <v>0</v>
      </c>
      <c r="AS101" s="1013">
        <v>0</v>
      </c>
      <c r="AT101" s="1045">
        <f t="shared" si="21"/>
        <v>9699701</v>
      </c>
      <c r="AU101" s="1004"/>
      <c r="AV101" s="870"/>
      <c r="AW101" s="782" t="s">
        <v>3514</v>
      </c>
      <c r="AX101" s="782" t="s">
        <v>3515</v>
      </c>
      <c r="AY101" s="1007" t="s">
        <v>287</v>
      </c>
      <c r="AZ101" s="1007">
        <v>622</v>
      </c>
      <c r="BA101" s="347" t="str">
        <f t="shared" si="27"/>
        <v>Box</v>
      </c>
      <c r="BB101" s="1008"/>
      <c r="BC101" s="1009"/>
      <c r="BD101" s="1009"/>
    </row>
    <row r="102" spans="1:56" s="1010" customFormat="1" ht="36.75" customHeight="1">
      <c r="A102" s="661">
        <f>SUBTOTAL(3,B$6:B102)</f>
        <v>97</v>
      </c>
      <c r="B102" s="661" t="s">
        <v>988</v>
      </c>
      <c r="C102" s="662" t="s">
        <v>989</v>
      </c>
      <c r="D102" s="1011">
        <v>39784</v>
      </c>
      <c r="E102" s="1011" t="s">
        <v>216</v>
      </c>
      <c r="F102" s="787" t="s">
        <v>694</v>
      </c>
      <c r="G102" s="996" t="s">
        <v>786</v>
      </c>
      <c r="H102" s="1012">
        <v>5931000</v>
      </c>
      <c r="I102" s="1012">
        <v>200000</v>
      </c>
      <c r="J102" s="1012">
        <v>0</v>
      </c>
      <c r="K102" s="1012">
        <v>0</v>
      </c>
      <c r="L102" s="1013">
        <f t="shared" si="5"/>
        <v>6131000</v>
      </c>
      <c r="M102" s="1014">
        <v>23.8</v>
      </c>
      <c r="N102" s="1013">
        <f t="shared" si="22"/>
        <v>5612223</v>
      </c>
      <c r="O102" s="1015">
        <v>2</v>
      </c>
      <c r="P102" s="1013">
        <f t="shared" si="23"/>
        <v>471615</v>
      </c>
      <c r="Q102" s="1016">
        <v>0</v>
      </c>
      <c r="R102" s="1013">
        <f t="shared" si="24"/>
        <v>0</v>
      </c>
      <c r="S102" s="1013">
        <f t="shared" si="25"/>
        <v>6083838</v>
      </c>
      <c r="T102" s="1017">
        <v>0</v>
      </c>
      <c r="U102" s="785">
        <v>0</v>
      </c>
      <c r="V102" s="785">
        <v>200000</v>
      </c>
      <c r="W102" s="1017">
        <v>500000</v>
      </c>
      <c r="X102" s="1017">
        <v>0</v>
      </c>
      <c r="Y102" s="1017">
        <v>400000</v>
      </c>
      <c r="Z102" s="1017">
        <v>649312</v>
      </c>
      <c r="AA102" s="1018"/>
      <c r="AB102" s="1013"/>
      <c r="AC102" s="1017">
        <v>0</v>
      </c>
      <c r="AD102" s="1017">
        <v>0</v>
      </c>
      <c r="AE102" s="1013">
        <v>44213.941701680669</v>
      </c>
      <c r="AF102" s="1019"/>
      <c r="AG102" s="1019">
        <f t="shared" si="10"/>
        <v>7877364</v>
      </c>
      <c r="AH102" s="1014">
        <v>52</v>
      </c>
      <c r="AI102" s="1014">
        <v>0</v>
      </c>
      <c r="AJ102" s="1014">
        <v>0</v>
      </c>
      <c r="AK102" s="1018">
        <v>0</v>
      </c>
      <c r="AL102" s="1020">
        <v>0</v>
      </c>
      <c r="AM102" s="1013">
        <f t="shared" si="26"/>
        <v>2299125</v>
      </c>
      <c r="AN102" s="1045">
        <f t="shared" si="29"/>
        <v>10176489</v>
      </c>
      <c r="AO102" s="1013">
        <v>643755</v>
      </c>
      <c r="AP102" s="1013">
        <v>44100</v>
      </c>
      <c r="AQ102" s="1013">
        <v>0</v>
      </c>
      <c r="AR102" s="1013">
        <v>0</v>
      </c>
      <c r="AS102" s="1013">
        <v>0</v>
      </c>
      <c r="AT102" s="1045">
        <f t="shared" si="21"/>
        <v>9488634</v>
      </c>
      <c r="AU102" s="1004"/>
      <c r="AV102" s="870"/>
      <c r="AW102" s="782" t="s">
        <v>3516</v>
      </c>
      <c r="AX102" s="782" t="s">
        <v>3517</v>
      </c>
      <c r="AY102" s="1007" t="s">
        <v>287</v>
      </c>
      <c r="AZ102" s="1007">
        <v>622</v>
      </c>
      <c r="BA102" s="347" t="str">
        <f t="shared" si="27"/>
        <v>Box</v>
      </c>
      <c r="BB102" s="1008"/>
      <c r="BC102" s="1009"/>
      <c r="BD102" s="1009"/>
    </row>
    <row r="103" spans="1:56" s="1010" customFormat="1" ht="36.75" customHeight="1">
      <c r="A103" s="661">
        <f>SUBTOTAL(3,B$6:B103)</f>
        <v>98</v>
      </c>
      <c r="B103" s="661" t="s">
        <v>990</v>
      </c>
      <c r="C103" s="662" t="s">
        <v>991</v>
      </c>
      <c r="D103" s="1011">
        <v>44327</v>
      </c>
      <c r="E103" s="1011" t="s">
        <v>216</v>
      </c>
      <c r="F103" s="787" t="s">
        <v>694</v>
      </c>
      <c r="G103" s="996" t="s">
        <v>992</v>
      </c>
      <c r="H103" s="1012">
        <v>5931000</v>
      </c>
      <c r="I103" s="1012">
        <v>400000</v>
      </c>
      <c r="J103" s="1012">
        <v>0</v>
      </c>
      <c r="K103" s="1012">
        <v>0</v>
      </c>
      <c r="L103" s="1013">
        <f t="shared" si="5"/>
        <v>6331000</v>
      </c>
      <c r="M103" s="1014">
        <v>23</v>
      </c>
      <c r="N103" s="1013">
        <f t="shared" si="22"/>
        <v>5600500</v>
      </c>
      <c r="O103" s="1015">
        <v>3</v>
      </c>
      <c r="P103" s="1013">
        <f t="shared" si="23"/>
        <v>730500</v>
      </c>
      <c r="Q103" s="1016">
        <v>0</v>
      </c>
      <c r="R103" s="1013">
        <f t="shared" si="24"/>
        <v>0</v>
      </c>
      <c r="S103" s="1013">
        <f t="shared" si="25"/>
        <v>6331000</v>
      </c>
      <c r="T103" s="1017">
        <v>0</v>
      </c>
      <c r="U103" s="785">
        <v>0</v>
      </c>
      <c r="V103" s="785">
        <v>200000</v>
      </c>
      <c r="W103" s="1017">
        <v>500000</v>
      </c>
      <c r="X103" s="1017">
        <v>0</v>
      </c>
      <c r="Y103" s="1017">
        <v>400000</v>
      </c>
      <c r="Z103" s="1017">
        <v>604816</v>
      </c>
      <c r="AA103" s="1018"/>
      <c r="AB103" s="1013"/>
      <c r="AC103" s="1017">
        <v>0</v>
      </c>
      <c r="AD103" s="1017">
        <v>0</v>
      </c>
      <c r="AE103" s="1013">
        <v>0</v>
      </c>
      <c r="AF103" s="1019"/>
      <c r="AG103" s="1019">
        <f t="shared" si="10"/>
        <v>8035816</v>
      </c>
      <c r="AH103" s="1014">
        <v>44</v>
      </c>
      <c r="AI103" s="1014">
        <v>0</v>
      </c>
      <c r="AJ103" s="1014">
        <v>0</v>
      </c>
      <c r="AK103" s="1018">
        <v>0</v>
      </c>
      <c r="AL103" s="1020">
        <v>0</v>
      </c>
      <c r="AM103" s="1013">
        <f t="shared" si="26"/>
        <v>2008875</v>
      </c>
      <c r="AN103" s="1045">
        <f>ROUND(AG103+AM103,0)</f>
        <v>10044691</v>
      </c>
      <c r="AO103" s="1013">
        <v>664755</v>
      </c>
      <c r="AP103" s="1013">
        <v>44100</v>
      </c>
      <c r="AQ103" s="1013">
        <v>0</v>
      </c>
      <c r="AR103" s="1013">
        <v>0</v>
      </c>
      <c r="AS103" s="1013">
        <v>0</v>
      </c>
      <c r="AT103" s="1045">
        <f t="shared" si="21"/>
        <v>9335836</v>
      </c>
      <c r="AU103" s="1004"/>
      <c r="AV103" s="870"/>
      <c r="AW103" s="782" t="s">
        <v>3518</v>
      </c>
      <c r="AX103" s="782" t="s">
        <v>3519</v>
      </c>
      <c r="AY103" s="1007" t="s">
        <v>287</v>
      </c>
      <c r="AZ103" s="1007">
        <v>622</v>
      </c>
      <c r="BA103" s="347" t="str">
        <f t="shared" si="27"/>
        <v>Box</v>
      </c>
      <c r="BB103" s="1008"/>
      <c r="BC103" s="1009"/>
      <c r="BD103" s="1009"/>
    </row>
    <row r="104" spans="1:56" s="1010" customFormat="1" ht="36.75" customHeight="1">
      <c r="A104" s="661">
        <f>SUBTOTAL(3,B$6:B104)</f>
        <v>99</v>
      </c>
      <c r="B104" s="661" t="s">
        <v>993</v>
      </c>
      <c r="C104" s="662" t="s">
        <v>994</v>
      </c>
      <c r="D104" s="1011">
        <v>44609</v>
      </c>
      <c r="E104" s="1011" t="s">
        <v>216</v>
      </c>
      <c r="F104" s="787" t="s">
        <v>694</v>
      </c>
      <c r="G104" s="996" t="s">
        <v>786</v>
      </c>
      <c r="H104" s="1012">
        <v>5931000</v>
      </c>
      <c r="I104" s="1012">
        <v>200000</v>
      </c>
      <c r="J104" s="1012">
        <v>0</v>
      </c>
      <c r="K104" s="1012">
        <v>0</v>
      </c>
      <c r="L104" s="1013">
        <f t="shared" si="5"/>
        <v>6131000</v>
      </c>
      <c r="M104" s="1014">
        <v>21.8</v>
      </c>
      <c r="N104" s="1013">
        <f t="shared" si="22"/>
        <v>5140608</v>
      </c>
      <c r="O104" s="1015">
        <v>3</v>
      </c>
      <c r="P104" s="1013">
        <f t="shared" si="23"/>
        <v>707423</v>
      </c>
      <c r="Q104" s="1016">
        <v>0</v>
      </c>
      <c r="R104" s="1013">
        <f t="shared" si="24"/>
        <v>0</v>
      </c>
      <c r="S104" s="1013">
        <f t="shared" si="25"/>
        <v>5848031</v>
      </c>
      <c r="T104" s="1017">
        <v>0</v>
      </c>
      <c r="U104" s="785">
        <v>0</v>
      </c>
      <c r="V104" s="785">
        <v>200000</v>
      </c>
      <c r="W104" s="1017">
        <v>0</v>
      </c>
      <c r="X104" s="1017">
        <v>0</v>
      </c>
      <c r="Y104" s="1017">
        <v>300000</v>
      </c>
      <c r="Z104" s="1017">
        <v>585002</v>
      </c>
      <c r="AA104" s="1018"/>
      <c r="AB104" s="1013"/>
      <c r="AC104" s="1017">
        <v>0</v>
      </c>
      <c r="AD104" s="1017">
        <v>0</v>
      </c>
      <c r="AE104" s="1013">
        <v>44213.944954128441</v>
      </c>
      <c r="AF104" s="1019"/>
      <c r="AG104" s="1019">
        <f t="shared" si="10"/>
        <v>6977247</v>
      </c>
      <c r="AH104" s="1014">
        <v>44</v>
      </c>
      <c r="AI104" s="1014">
        <v>0</v>
      </c>
      <c r="AJ104" s="1014">
        <v>0</v>
      </c>
      <c r="AK104" s="1018">
        <v>0</v>
      </c>
      <c r="AL104" s="1020">
        <v>0</v>
      </c>
      <c r="AM104" s="1013">
        <f t="shared" si="26"/>
        <v>1945414</v>
      </c>
      <c r="AN104" s="1045">
        <f t="shared" ref="AN104:AN110" si="30">ROUND(AG104+AM104,0)</f>
        <v>8922661</v>
      </c>
      <c r="AO104" s="1013">
        <v>643755</v>
      </c>
      <c r="AP104" s="1013">
        <v>44100</v>
      </c>
      <c r="AQ104" s="1013">
        <v>0</v>
      </c>
      <c r="AR104" s="1013">
        <v>0</v>
      </c>
      <c r="AS104" s="1013">
        <v>0</v>
      </c>
      <c r="AT104" s="1045">
        <f t="shared" si="21"/>
        <v>8234806</v>
      </c>
      <c r="AU104" s="1004"/>
      <c r="AV104" s="870"/>
      <c r="AW104" s="782" t="s">
        <v>3520</v>
      </c>
      <c r="AX104" s="782" t="s">
        <v>3521</v>
      </c>
      <c r="AY104" s="1007" t="s">
        <v>287</v>
      </c>
      <c r="AZ104" s="1007">
        <v>622</v>
      </c>
      <c r="BA104" s="347" t="str">
        <f t="shared" si="27"/>
        <v>Box</v>
      </c>
      <c r="BB104" s="1008"/>
      <c r="BC104" s="1009"/>
      <c r="BD104" s="1009"/>
    </row>
    <row r="105" spans="1:56" s="1010" customFormat="1" ht="36.75" customHeight="1">
      <c r="A105" s="661">
        <f>SUBTOTAL(3,B$6:B105)</f>
        <v>100</v>
      </c>
      <c r="B105" s="661" t="s">
        <v>995</v>
      </c>
      <c r="C105" s="662" t="s">
        <v>996</v>
      </c>
      <c r="D105" s="1011">
        <v>44658</v>
      </c>
      <c r="E105" s="1011" t="s">
        <v>216</v>
      </c>
      <c r="F105" s="787" t="s">
        <v>694</v>
      </c>
      <c r="G105" s="996" t="s">
        <v>872</v>
      </c>
      <c r="H105" s="1012">
        <v>5931000</v>
      </c>
      <c r="I105" s="1012">
        <v>1300000</v>
      </c>
      <c r="J105" s="1012">
        <v>0</v>
      </c>
      <c r="K105" s="1012">
        <v>0</v>
      </c>
      <c r="L105" s="1013">
        <f t="shared" si="5"/>
        <v>7231000</v>
      </c>
      <c r="M105" s="1014">
        <v>23</v>
      </c>
      <c r="N105" s="1013">
        <f t="shared" si="22"/>
        <v>6396654</v>
      </c>
      <c r="O105" s="1015">
        <v>3</v>
      </c>
      <c r="P105" s="1013">
        <f t="shared" si="23"/>
        <v>834346</v>
      </c>
      <c r="Q105" s="1016">
        <v>0</v>
      </c>
      <c r="R105" s="1013">
        <f t="shared" si="24"/>
        <v>0</v>
      </c>
      <c r="S105" s="1013">
        <f t="shared" si="25"/>
        <v>7231000</v>
      </c>
      <c r="T105" s="1017">
        <v>0</v>
      </c>
      <c r="U105" s="785">
        <v>0</v>
      </c>
      <c r="V105" s="785">
        <v>200000</v>
      </c>
      <c r="W105" s="1017">
        <v>500000</v>
      </c>
      <c r="X105" s="1017">
        <v>0</v>
      </c>
      <c r="Y105" s="1017">
        <v>400000</v>
      </c>
      <c r="Z105" s="1017">
        <v>608840</v>
      </c>
      <c r="AA105" s="1018"/>
      <c r="AB105" s="1013"/>
      <c r="AC105" s="1017">
        <v>0</v>
      </c>
      <c r="AD105" s="1017">
        <v>0</v>
      </c>
      <c r="AE105" s="1013">
        <v>0</v>
      </c>
      <c r="AF105" s="1019"/>
      <c r="AG105" s="1019">
        <f t="shared" si="10"/>
        <v>8939840</v>
      </c>
      <c r="AH105" s="1014">
        <v>44</v>
      </c>
      <c r="AI105" s="1014">
        <v>0</v>
      </c>
      <c r="AJ105" s="1014">
        <v>0</v>
      </c>
      <c r="AK105" s="1018">
        <v>0</v>
      </c>
      <c r="AL105" s="1020">
        <v>0</v>
      </c>
      <c r="AM105" s="1013">
        <f t="shared" si="26"/>
        <v>2294452</v>
      </c>
      <c r="AN105" s="1045">
        <f t="shared" si="30"/>
        <v>11234292</v>
      </c>
      <c r="AO105" s="1013">
        <v>759255</v>
      </c>
      <c r="AP105" s="1013">
        <v>44100</v>
      </c>
      <c r="AQ105" s="1013">
        <v>0</v>
      </c>
      <c r="AR105" s="1013">
        <v>0</v>
      </c>
      <c r="AS105" s="1013">
        <v>0</v>
      </c>
      <c r="AT105" s="1045">
        <f t="shared" si="21"/>
        <v>10430937</v>
      </c>
      <c r="AU105" s="1004"/>
      <c r="AV105" s="870"/>
      <c r="AW105" s="782" t="s">
        <v>3522</v>
      </c>
      <c r="AX105" s="782" t="s">
        <v>3523</v>
      </c>
      <c r="AY105" s="1007" t="s">
        <v>287</v>
      </c>
      <c r="AZ105" s="1007">
        <v>622</v>
      </c>
      <c r="BA105" s="347" t="str">
        <f t="shared" si="27"/>
        <v>Box</v>
      </c>
      <c r="BB105" s="1008"/>
      <c r="BC105" s="1009"/>
      <c r="BD105" s="1009"/>
    </row>
    <row r="106" spans="1:56" s="1010" customFormat="1" ht="36.75" customHeight="1">
      <c r="A106" s="661">
        <f>SUBTOTAL(3,B$6:B106)</f>
        <v>101</v>
      </c>
      <c r="B106" s="661" t="s">
        <v>997</v>
      </c>
      <c r="C106" s="662" t="s">
        <v>998</v>
      </c>
      <c r="D106" s="1011">
        <v>44970</v>
      </c>
      <c r="E106" s="1011" t="s">
        <v>216</v>
      </c>
      <c r="F106" s="787" t="s">
        <v>694</v>
      </c>
      <c r="G106" s="996" t="s">
        <v>992</v>
      </c>
      <c r="H106" s="1012">
        <v>5815000</v>
      </c>
      <c r="I106" s="1012">
        <v>400000</v>
      </c>
      <c r="J106" s="1012">
        <v>0</v>
      </c>
      <c r="K106" s="1012">
        <v>0</v>
      </c>
      <c r="L106" s="1013">
        <f t="shared" si="5"/>
        <v>6215000</v>
      </c>
      <c r="M106" s="1014">
        <v>23.9</v>
      </c>
      <c r="N106" s="1013">
        <f t="shared" si="22"/>
        <v>5713019</v>
      </c>
      <c r="O106" s="1015">
        <v>2</v>
      </c>
      <c r="P106" s="1013">
        <f t="shared" si="23"/>
        <v>478077</v>
      </c>
      <c r="Q106" s="1016">
        <v>0</v>
      </c>
      <c r="R106" s="1013">
        <f t="shared" si="24"/>
        <v>0</v>
      </c>
      <c r="S106" s="1013">
        <f t="shared" si="25"/>
        <v>6191096</v>
      </c>
      <c r="T106" s="1017">
        <v>0</v>
      </c>
      <c r="U106" s="785">
        <v>0</v>
      </c>
      <c r="V106" s="785">
        <v>200000</v>
      </c>
      <c r="W106" s="1017">
        <v>500000</v>
      </c>
      <c r="X106" s="1017">
        <v>0</v>
      </c>
      <c r="Y106" s="1017">
        <v>400000</v>
      </c>
      <c r="Z106" s="1017">
        <v>557775</v>
      </c>
      <c r="AA106" s="1018"/>
      <c r="AB106" s="1013"/>
      <c r="AC106" s="1017">
        <v>200000</v>
      </c>
      <c r="AD106" s="1017">
        <v>0</v>
      </c>
      <c r="AE106" s="1013">
        <v>44819.709728033471</v>
      </c>
      <c r="AF106" s="1019"/>
      <c r="AG106" s="1019">
        <f t="shared" si="10"/>
        <v>8093691</v>
      </c>
      <c r="AH106" s="1014">
        <v>52</v>
      </c>
      <c r="AI106" s="1014">
        <v>0</v>
      </c>
      <c r="AJ106" s="1014">
        <v>0</v>
      </c>
      <c r="AK106" s="1018">
        <v>0</v>
      </c>
      <c r="AL106" s="1020">
        <v>0</v>
      </c>
      <c r="AM106" s="1013">
        <f t="shared" si="26"/>
        <v>2330625</v>
      </c>
      <c r="AN106" s="1045">
        <f t="shared" si="30"/>
        <v>10424316</v>
      </c>
      <c r="AO106" s="1013">
        <v>652575</v>
      </c>
      <c r="AP106" s="1013">
        <v>44100</v>
      </c>
      <c r="AQ106" s="1013">
        <v>0</v>
      </c>
      <c r="AR106" s="1013">
        <v>0</v>
      </c>
      <c r="AS106" s="1013">
        <v>0</v>
      </c>
      <c r="AT106" s="1045">
        <f t="shared" si="21"/>
        <v>9727641</v>
      </c>
      <c r="AU106" s="1004"/>
      <c r="AV106" s="870"/>
      <c r="AW106" s="782" t="s">
        <v>3524</v>
      </c>
      <c r="AX106" s="782" t="s">
        <v>3525</v>
      </c>
      <c r="AY106" s="1007" t="s">
        <v>287</v>
      </c>
      <c r="AZ106" s="1007">
        <v>622</v>
      </c>
      <c r="BA106" s="347" t="str">
        <f t="shared" si="27"/>
        <v>Box</v>
      </c>
      <c r="BB106" s="1008"/>
      <c r="BC106" s="1009"/>
      <c r="BD106" s="1009"/>
    </row>
    <row r="107" spans="1:56" s="1010" customFormat="1" ht="36.75" customHeight="1">
      <c r="A107" s="661">
        <f>SUBTOTAL(3,B$6:B107)</f>
        <v>102</v>
      </c>
      <c r="B107" s="661" t="s">
        <v>999</v>
      </c>
      <c r="C107" s="662" t="s">
        <v>1000</v>
      </c>
      <c r="D107" s="1011">
        <v>44973</v>
      </c>
      <c r="E107" s="1011" t="s">
        <v>216</v>
      </c>
      <c r="F107" s="787" t="s">
        <v>694</v>
      </c>
      <c r="G107" s="996" t="s">
        <v>786</v>
      </c>
      <c r="H107" s="1012">
        <v>5815000</v>
      </c>
      <c r="I107" s="1012">
        <v>200000</v>
      </c>
      <c r="J107" s="1012">
        <v>0</v>
      </c>
      <c r="K107" s="1012">
        <v>0</v>
      </c>
      <c r="L107" s="1013">
        <f t="shared" si="5"/>
        <v>6015000</v>
      </c>
      <c r="M107" s="1014">
        <v>22</v>
      </c>
      <c r="N107" s="1013">
        <f t="shared" si="22"/>
        <v>5089615</v>
      </c>
      <c r="O107" s="1015">
        <v>3</v>
      </c>
      <c r="P107" s="1013">
        <f t="shared" si="23"/>
        <v>694038</v>
      </c>
      <c r="Q107" s="1016">
        <v>0</v>
      </c>
      <c r="R107" s="1013">
        <f t="shared" si="24"/>
        <v>0</v>
      </c>
      <c r="S107" s="1013">
        <f t="shared" si="25"/>
        <v>5783653</v>
      </c>
      <c r="T107" s="1017">
        <v>0</v>
      </c>
      <c r="U107" s="785">
        <v>0</v>
      </c>
      <c r="V107" s="785">
        <v>200000</v>
      </c>
      <c r="W107" s="1017">
        <v>0</v>
      </c>
      <c r="X107" s="1017">
        <v>0</v>
      </c>
      <c r="Y107" s="1017">
        <v>300000</v>
      </c>
      <c r="Z107" s="1017">
        <v>575363</v>
      </c>
      <c r="AA107" s="1018"/>
      <c r="AB107" s="1013"/>
      <c r="AC107" s="1017">
        <v>100000</v>
      </c>
      <c r="AD107" s="1017">
        <v>0</v>
      </c>
      <c r="AE107" s="1013">
        <v>43377.400568181816</v>
      </c>
      <c r="AF107" s="1019"/>
      <c r="AG107" s="1019">
        <f t="shared" si="10"/>
        <v>7002393</v>
      </c>
      <c r="AH107" s="1014">
        <v>40</v>
      </c>
      <c r="AI107" s="1014">
        <v>0</v>
      </c>
      <c r="AJ107" s="1014">
        <v>0</v>
      </c>
      <c r="AK107" s="1018">
        <v>0</v>
      </c>
      <c r="AL107" s="1020">
        <v>0</v>
      </c>
      <c r="AM107" s="1013">
        <f t="shared" si="26"/>
        <v>1735096</v>
      </c>
      <c r="AN107" s="1045">
        <f t="shared" si="30"/>
        <v>8737489</v>
      </c>
      <c r="AO107" s="1013">
        <v>631575</v>
      </c>
      <c r="AP107" s="1013">
        <v>44100</v>
      </c>
      <c r="AQ107" s="1013">
        <v>0</v>
      </c>
      <c r="AR107" s="1013">
        <v>0</v>
      </c>
      <c r="AS107" s="1013">
        <v>0</v>
      </c>
      <c r="AT107" s="1045">
        <f t="shared" si="21"/>
        <v>8061814</v>
      </c>
      <c r="AU107" s="1004"/>
      <c r="AV107" s="870"/>
      <c r="AW107" s="782" t="s">
        <v>3526</v>
      </c>
      <c r="AX107" s="782" t="s">
        <v>3527</v>
      </c>
      <c r="AY107" s="1007" t="s">
        <v>287</v>
      </c>
      <c r="AZ107" s="1007">
        <v>622</v>
      </c>
      <c r="BA107" s="347" t="str">
        <f t="shared" si="27"/>
        <v>Box</v>
      </c>
      <c r="BB107" s="1008"/>
      <c r="BC107" s="1009"/>
      <c r="BD107" s="1009"/>
    </row>
    <row r="108" spans="1:56" s="1010" customFormat="1" ht="36.75" customHeight="1">
      <c r="A108" s="661">
        <f>SUBTOTAL(3,B$6:B108)</f>
        <v>103</v>
      </c>
      <c r="B108" s="661" t="s">
        <v>1001</v>
      </c>
      <c r="C108" s="662" t="s">
        <v>1002</v>
      </c>
      <c r="D108" s="1011">
        <v>45349</v>
      </c>
      <c r="E108" s="1011" t="s">
        <v>216</v>
      </c>
      <c r="F108" s="787" t="s">
        <v>694</v>
      </c>
      <c r="G108" s="996" t="s">
        <v>978</v>
      </c>
      <c r="H108" s="1012">
        <v>5538000</v>
      </c>
      <c r="I108" s="1012">
        <v>500000</v>
      </c>
      <c r="J108" s="1012">
        <v>0</v>
      </c>
      <c r="K108" s="1012">
        <v>0</v>
      </c>
      <c r="L108" s="1013">
        <f t="shared" si="5"/>
        <v>6038000</v>
      </c>
      <c r="M108" s="1014">
        <v>24</v>
      </c>
      <c r="N108" s="1013">
        <f t="shared" si="22"/>
        <v>5573538</v>
      </c>
      <c r="O108" s="1015">
        <v>2</v>
      </c>
      <c r="P108" s="1013">
        <f t="shared" si="23"/>
        <v>464462</v>
      </c>
      <c r="Q108" s="1016">
        <v>0</v>
      </c>
      <c r="R108" s="1013">
        <f t="shared" si="24"/>
        <v>0</v>
      </c>
      <c r="S108" s="1013">
        <f t="shared" si="25"/>
        <v>6038000</v>
      </c>
      <c r="T108" s="1017">
        <v>0</v>
      </c>
      <c r="U108" s="785">
        <v>0</v>
      </c>
      <c r="V108" s="785">
        <v>200000</v>
      </c>
      <c r="W108" s="1017">
        <v>500000</v>
      </c>
      <c r="X108" s="1017">
        <v>0</v>
      </c>
      <c r="Y108" s="1017">
        <v>400000</v>
      </c>
      <c r="Z108" s="1017">
        <v>589435</v>
      </c>
      <c r="AA108" s="1018"/>
      <c r="AB108" s="1013"/>
      <c r="AC108" s="1017">
        <v>0</v>
      </c>
      <c r="AD108" s="1017">
        <v>0</v>
      </c>
      <c r="AE108" s="1013">
        <v>43543.265625</v>
      </c>
      <c r="AF108" s="1019"/>
      <c r="AG108" s="1019">
        <f t="shared" si="10"/>
        <v>7770978</v>
      </c>
      <c r="AH108" s="1014">
        <v>52</v>
      </c>
      <c r="AI108" s="1014">
        <v>0</v>
      </c>
      <c r="AJ108" s="1014">
        <v>0</v>
      </c>
      <c r="AK108" s="1018">
        <v>0</v>
      </c>
      <c r="AL108" s="1020">
        <v>0</v>
      </c>
      <c r="AM108" s="1013">
        <f t="shared" si="26"/>
        <v>2264250</v>
      </c>
      <c r="AN108" s="1045">
        <f t="shared" si="30"/>
        <v>10035228</v>
      </c>
      <c r="AO108" s="1013">
        <v>633990</v>
      </c>
      <c r="AP108" s="1013">
        <v>44100</v>
      </c>
      <c r="AQ108" s="1013">
        <v>0</v>
      </c>
      <c r="AR108" s="1013">
        <v>0</v>
      </c>
      <c r="AS108" s="1013">
        <v>0</v>
      </c>
      <c r="AT108" s="1045">
        <f t="shared" si="21"/>
        <v>9357138</v>
      </c>
      <c r="AU108" s="1004"/>
      <c r="AV108" s="870"/>
      <c r="AW108" s="782" t="s">
        <v>3528</v>
      </c>
      <c r="AX108" s="782" t="s">
        <v>3529</v>
      </c>
      <c r="AY108" s="1007" t="s">
        <v>287</v>
      </c>
      <c r="AZ108" s="1007">
        <v>622</v>
      </c>
      <c r="BA108" s="347" t="str">
        <f t="shared" si="27"/>
        <v>Box</v>
      </c>
      <c r="BB108" s="1008"/>
      <c r="BC108" s="1009"/>
      <c r="BD108" s="1009"/>
    </row>
    <row r="109" spans="1:56" s="1010" customFormat="1" ht="36.75" customHeight="1">
      <c r="A109" s="661">
        <f>SUBTOTAL(3,B$6:B109)</f>
        <v>104</v>
      </c>
      <c r="B109" s="661" t="s">
        <v>1003</v>
      </c>
      <c r="C109" s="662" t="s">
        <v>1004</v>
      </c>
      <c r="D109" s="1011">
        <v>45362</v>
      </c>
      <c r="E109" s="1011" t="s">
        <v>216</v>
      </c>
      <c r="F109" s="787" t="s">
        <v>694</v>
      </c>
      <c r="G109" s="996" t="s">
        <v>992</v>
      </c>
      <c r="H109" s="1012">
        <v>5538000</v>
      </c>
      <c r="I109" s="1012">
        <v>400000</v>
      </c>
      <c r="J109" s="1012">
        <v>0</v>
      </c>
      <c r="K109" s="1012">
        <v>0</v>
      </c>
      <c r="L109" s="1013">
        <f t="shared" si="5"/>
        <v>5938000</v>
      </c>
      <c r="M109" s="1014">
        <v>15.8</v>
      </c>
      <c r="N109" s="1013">
        <f t="shared" si="22"/>
        <v>3608477</v>
      </c>
      <c r="O109" s="1015">
        <v>2</v>
      </c>
      <c r="P109" s="1013">
        <f t="shared" si="23"/>
        <v>456769</v>
      </c>
      <c r="Q109" s="1016">
        <v>0</v>
      </c>
      <c r="R109" s="1013">
        <f t="shared" si="24"/>
        <v>0</v>
      </c>
      <c r="S109" s="1013">
        <f t="shared" si="25"/>
        <v>4065246</v>
      </c>
      <c r="T109" s="1017">
        <v>0</v>
      </c>
      <c r="U109" s="785">
        <v>0</v>
      </c>
      <c r="V109" s="785">
        <v>200000</v>
      </c>
      <c r="W109" s="1017">
        <v>0</v>
      </c>
      <c r="X109" s="1017">
        <v>0</v>
      </c>
      <c r="Y109" s="1017">
        <v>0</v>
      </c>
      <c r="Z109" s="1017">
        <v>409048</v>
      </c>
      <c r="AA109" s="1018"/>
      <c r="AB109" s="1013"/>
      <c r="AC109" s="1017">
        <v>0</v>
      </c>
      <c r="AD109" s="1017">
        <v>0</v>
      </c>
      <c r="AE109" s="1013">
        <v>0</v>
      </c>
      <c r="AF109" s="1019"/>
      <c r="AG109" s="1019">
        <f t="shared" si="10"/>
        <v>4674294</v>
      </c>
      <c r="AH109" s="1014">
        <v>28</v>
      </c>
      <c r="AI109" s="1014">
        <v>0</v>
      </c>
      <c r="AJ109" s="1014">
        <v>0</v>
      </c>
      <c r="AK109" s="1018">
        <v>0</v>
      </c>
      <c r="AL109" s="1020">
        <v>0</v>
      </c>
      <c r="AM109" s="1013">
        <f t="shared" si="26"/>
        <v>1199019</v>
      </c>
      <c r="AN109" s="1045">
        <f t="shared" si="30"/>
        <v>5873313</v>
      </c>
      <c r="AO109" s="1013">
        <v>623490</v>
      </c>
      <c r="AP109" s="1013">
        <v>44100</v>
      </c>
      <c r="AQ109" s="1013">
        <v>0</v>
      </c>
      <c r="AR109" s="1013">
        <v>0</v>
      </c>
      <c r="AS109" s="1013">
        <v>0</v>
      </c>
      <c r="AT109" s="1045">
        <f t="shared" si="21"/>
        <v>5205723</v>
      </c>
      <c r="AU109" s="1004"/>
      <c r="AV109" s="870"/>
      <c r="AW109" s="782" t="s">
        <v>3530</v>
      </c>
      <c r="AX109" s="782" t="s">
        <v>3531</v>
      </c>
      <c r="AY109" s="1007" t="s">
        <v>287</v>
      </c>
      <c r="AZ109" s="1007">
        <v>622</v>
      </c>
      <c r="BA109" s="347" t="str">
        <f t="shared" si="27"/>
        <v>Box</v>
      </c>
      <c r="BB109" s="1008"/>
      <c r="BC109" s="1009"/>
      <c r="BD109" s="1009"/>
    </row>
    <row r="110" spans="1:56" s="1010" customFormat="1" ht="36.75" customHeight="1">
      <c r="A110" s="661">
        <f>SUBTOTAL(3,B$6:B110)</f>
        <v>105</v>
      </c>
      <c r="B110" s="661" t="s">
        <v>1005</v>
      </c>
      <c r="C110" s="662" t="s">
        <v>1006</v>
      </c>
      <c r="D110" s="1011">
        <v>45573</v>
      </c>
      <c r="E110" s="1011" t="s">
        <v>216</v>
      </c>
      <c r="F110" s="787" t="s">
        <v>694</v>
      </c>
      <c r="G110" s="996" t="s">
        <v>992</v>
      </c>
      <c r="H110" s="1012">
        <v>5274000</v>
      </c>
      <c r="I110" s="1012">
        <v>400000</v>
      </c>
      <c r="J110" s="1012">
        <v>0</v>
      </c>
      <c r="K110" s="1012">
        <v>0</v>
      </c>
      <c r="L110" s="1013">
        <f t="shared" si="5"/>
        <v>5674000</v>
      </c>
      <c r="M110" s="1014">
        <v>22.9</v>
      </c>
      <c r="N110" s="1013">
        <f t="shared" si="22"/>
        <v>4997485</v>
      </c>
      <c r="O110" s="1015">
        <v>3</v>
      </c>
      <c r="P110" s="1013">
        <f t="shared" si="23"/>
        <v>654692</v>
      </c>
      <c r="Q110" s="1016">
        <v>0</v>
      </c>
      <c r="R110" s="1013">
        <f t="shared" si="24"/>
        <v>0</v>
      </c>
      <c r="S110" s="1013">
        <f t="shared" si="25"/>
        <v>5652177</v>
      </c>
      <c r="T110" s="1017">
        <v>0</v>
      </c>
      <c r="U110" s="785">
        <v>0</v>
      </c>
      <c r="V110" s="785">
        <v>200000</v>
      </c>
      <c r="W110" s="1017">
        <v>500000</v>
      </c>
      <c r="X110" s="1017">
        <v>0</v>
      </c>
      <c r="Y110" s="1017">
        <v>400000</v>
      </c>
      <c r="Z110" s="1017">
        <v>630684</v>
      </c>
      <c r="AA110" s="1018"/>
      <c r="AB110" s="1013"/>
      <c r="AC110" s="1017">
        <v>0</v>
      </c>
      <c r="AD110" s="1017">
        <v>0</v>
      </c>
      <c r="AE110" s="1013">
        <v>0</v>
      </c>
      <c r="AF110" s="1019"/>
      <c r="AG110" s="1019">
        <f t="shared" si="10"/>
        <v>7382861</v>
      </c>
      <c r="AH110" s="1014">
        <v>40</v>
      </c>
      <c r="AI110" s="1014">
        <v>0</v>
      </c>
      <c r="AJ110" s="1014">
        <v>0</v>
      </c>
      <c r="AK110" s="1018">
        <v>0</v>
      </c>
      <c r="AL110" s="1020">
        <v>0</v>
      </c>
      <c r="AM110" s="1013">
        <f t="shared" si="26"/>
        <v>1636731</v>
      </c>
      <c r="AN110" s="1045">
        <f t="shared" si="30"/>
        <v>9019592</v>
      </c>
      <c r="AO110" s="1013">
        <v>595770</v>
      </c>
      <c r="AP110" s="1013">
        <v>44100</v>
      </c>
      <c r="AQ110" s="1013">
        <v>0</v>
      </c>
      <c r="AR110" s="1013">
        <v>0</v>
      </c>
      <c r="AS110" s="1013">
        <v>0</v>
      </c>
      <c r="AT110" s="1045">
        <f t="shared" si="21"/>
        <v>8379722</v>
      </c>
      <c r="AU110" s="1004"/>
      <c r="AV110" s="870"/>
      <c r="AW110" s="782" t="s">
        <v>3532</v>
      </c>
      <c r="AX110" s="782" t="s">
        <v>3533</v>
      </c>
      <c r="AY110" s="1007" t="s">
        <v>287</v>
      </c>
      <c r="AZ110" s="1007">
        <v>622</v>
      </c>
      <c r="BA110" s="347" t="str">
        <f t="shared" si="27"/>
        <v>Box</v>
      </c>
      <c r="BB110" s="1008"/>
      <c r="BC110" s="1009"/>
      <c r="BD110" s="1009"/>
    </row>
    <row r="111" spans="1:56" s="1010" customFormat="1" ht="36.75" customHeight="1">
      <c r="A111" s="661">
        <f>SUBTOTAL(3,B$6:B111)</f>
        <v>106</v>
      </c>
      <c r="B111" s="661" t="s">
        <v>1007</v>
      </c>
      <c r="C111" s="662" t="s">
        <v>1008</v>
      </c>
      <c r="D111" s="1011">
        <v>45597</v>
      </c>
      <c r="E111" s="1011" t="s">
        <v>216</v>
      </c>
      <c r="F111" s="787" t="s">
        <v>694</v>
      </c>
      <c r="G111" s="996" t="s">
        <v>797</v>
      </c>
      <c r="H111" s="1012">
        <v>5023000</v>
      </c>
      <c r="I111" s="1012">
        <v>0</v>
      </c>
      <c r="J111" s="1012">
        <v>0</v>
      </c>
      <c r="K111" s="1012">
        <v>0</v>
      </c>
      <c r="L111" s="1013">
        <f t="shared" si="0"/>
        <v>5023000</v>
      </c>
      <c r="M111" s="1014">
        <v>22.9</v>
      </c>
      <c r="N111" s="1013">
        <f t="shared" ref="N111:N155" si="31">ROUND((H111+I111+J111+K111)/IF($M$2&gt;26,26,$M$2)*M111,0)</f>
        <v>4424104</v>
      </c>
      <c r="O111" s="1015">
        <v>3</v>
      </c>
      <c r="P111" s="1013">
        <f t="shared" ref="P111:P155" si="32">ROUND((H111+I111+J111+K111)/IF($M$2&gt;26,26,$M$2)*O111,0)</f>
        <v>579577</v>
      </c>
      <c r="Q111" s="1016">
        <v>0</v>
      </c>
      <c r="R111" s="1013">
        <f t="shared" ref="R111:R155" si="33">IF(M111&gt;0,ROUND(N111/IF(M111&gt;26,26,M111)/8*Q111*30%,0),0)</f>
        <v>0</v>
      </c>
      <c r="S111" s="1013">
        <f t="shared" ref="S111:S155" si="34">N111+P111+R111</f>
        <v>5003681</v>
      </c>
      <c r="T111" s="1017">
        <v>0</v>
      </c>
      <c r="U111" s="785">
        <v>0</v>
      </c>
      <c r="V111" s="785">
        <v>200000</v>
      </c>
      <c r="W111" s="1017">
        <v>500000</v>
      </c>
      <c r="X111" s="1017">
        <v>0</v>
      </c>
      <c r="Y111" s="1017">
        <v>400000</v>
      </c>
      <c r="Z111" s="1017">
        <v>611409</v>
      </c>
      <c r="AA111" s="1018"/>
      <c r="AB111" s="1013"/>
      <c r="AC111" s="1017">
        <v>0</v>
      </c>
      <c r="AD111" s="1017">
        <v>0</v>
      </c>
      <c r="AE111" s="1013">
        <v>0</v>
      </c>
      <c r="AF111" s="1019"/>
      <c r="AG111" s="1019">
        <f t="shared" si="1"/>
        <v>6715090</v>
      </c>
      <c r="AH111" s="1014">
        <v>40</v>
      </c>
      <c r="AI111" s="1014">
        <v>0</v>
      </c>
      <c r="AJ111" s="1014">
        <v>0</v>
      </c>
      <c r="AK111" s="1018">
        <v>0</v>
      </c>
      <c r="AL111" s="1020">
        <v>0</v>
      </c>
      <c r="AM111" s="1013">
        <f t="shared" si="26"/>
        <v>1448942</v>
      </c>
      <c r="AN111" s="1045">
        <f t="shared" si="3"/>
        <v>8164032</v>
      </c>
      <c r="AO111" s="1013">
        <v>527415</v>
      </c>
      <c r="AP111" s="1013">
        <v>44100</v>
      </c>
      <c r="AQ111" s="1013">
        <v>0</v>
      </c>
      <c r="AR111" s="1013">
        <v>0</v>
      </c>
      <c r="AS111" s="1013">
        <v>0</v>
      </c>
      <c r="AT111" s="1045">
        <f t="shared" si="4"/>
        <v>7592517</v>
      </c>
      <c r="AU111" s="1004"/>
      <c r="AV111" s="870"/>
      <c r="AW111" s="782" t="s">
        <v>3534</v>
      </c>
      <c r="AX111" s="782" t="s">
        <v>3535</v>
      </c>
      <c r="AY111" s="1007" t="s">
        <v>287</v>
      </c>
      <c r="AZ111" s="1007">
        <v>622</v>
      </c>
      <c r="BA111" s="347" t="str">
        <f t="shared" si="27"/>
        <v>Box</v>
      </c>
      <c r="BB111" s="1008"/>
      <c r="BC111" s="1009"/>
      <c r="BD111" s="1009"/>
    </row>
    <row r="112" spans="1:56" s="1010" customFormat="1" ht="36.75" customHeight="1">
      <c r="A112" s="661">
        <f>SUBTOTAL(3,B$6:B112)</f>
        <v>107</v>
      </c>
      <c r="B112" s="661" t="s">
        <v>1009</v>
      </c>
      <c r="C112" s="662" t="s">
        <v>1010</v>
      </c>
      <c r="D112" s="1011">
        <v>45666</v>
      </c>
      <c r="E112" s="1011" t="s">
        <v>216</v>
      </c>
      <c r="F112" s="787" t="s">
        <v>694</v>
      </c>
      <c r="G112" s="996" t="s">
        <v>797</v>
      </c>
      <c r="H112" s="1012">
        <v>5023000</v>
      </c>
      <c r="I112" s="1012">
        <v>0</v>
      </c>
      <c r="J112" s="1012">
        <v>0</v>
      </c>
      <c r="K112" s="1012">
        <v>0</v>
      </c>
      <c r="L112" s="1013">
        <f t="shared" si="0"/>
        <v>5023000</v>
      </c>
      <c r="M112" s="1014">
        <v>9</v>
      </c>
      <c r="N112" s="1013">
        <f t="shared" si="31"/>
        <v>1738731</v>
      </c>
      <c r="O112" s="1015">
        <v>3</v>
      </c>
      <c r="P112" s="1013">
        <f t="shared" si="32"/>
        <v>579577</v>
      </c>
      <c r="Q112" s="1016">
        <v>0</v>
      </c>
      <c r="R112" s="1013">
        <f t="shared" si="33"/>
        <v>0</v>
      </c>
      <c r="S112" s="1013">
        <f t="shared" si="34"/>
        <v>2318308</v>
      </c>
      <c r="T112" s="1017">
        <v>0</v>
      </c>
      <c r="U112" s="785">
        <v>0</v>
      </c>
      <c r="V112" s="785">
        <v>0</v>
      </c>
      <c r="W112" s="1017">
        <v>0</v>
      </c>
      <c r="X112" s="1017">
        <v>0</v>
      </c>
      <c r="Y112" s="1017">
        <v>0</v>
      </c>
      <c r="Z112" s="1017">
        <v>0</v>
      </c>
      <c r="AA112" s="1018"/>
      <c r="AB112" s="1013"/>
      <c r="AC112" s="1017">
        <v>0</v>
      </c>
      <c r="AD112" s="1017">
        <v>0</v>
      </c>
      <c r="AE112" s="1013">
        <v>0</v>
      </c>
      <c r="AF112" s="1019"/>
      <c r="AG112" s="1019">
        <f t="shared" si="1"/>
        <v>2318308</v>
      </c>
      <c r="AH112" s="1014">
        <v>20</v>
      </c>
      <c r="AI112" s="1014">
        <v>0</v>
      </c>
      <c r="AJ112" s="1014">
        <v>0</v>
      </c>
      <c r="AK112" s="1018">
        <v>0</v>
      </c>
      <c r="AL112" s="1020">
        <v>0</v>
      </c>
      <c r="AM112" s="1013">
        <f t="shared" si="26"/>
        <v>724471</v>
      </c>
      <c r="AN112" s="1045">
        <f t="shared" si="3"/>
        <v>3042779</v>
      </c>
      <c r="AO112" s="1013">
        <v>0</v>
      </c>
      <c r="AP112" s="1013">
        <v>44100</v>
      </c>
      <c r="AQ112" s="1013">
        <v>0</v>
      </c>
      <c r="AR112" s="1013">
        <v>0</v>
      </c>
      <c r="AS112" s="1013">
        <v>0</v>
      </c>
      <c r="AT112" s="1045">
        <f t="shared" si="4"/>
        <v>2998679</v>
      </c>
      <c r="AU112" s="1004"/>
      <c r="AV112" s="870"/>
      <c r="AW112" s="782" t="s">
        <v>3536</v>
      </c>
      <c r="AX112" s="782" t="s">
        <v>3537</v>
      </c>
      <c r="AY112" s="1007" t="s">
        <v>287</v>
      </c>
      <c r="AZ112" s="1007">
        <v>622</v>
      </c>
      <c r="BA112" s="347" t="str">
        <f t="shared" si="27"/>
        <v>Box</v>
      </c>
      <c r="BB112" s="1008"/>
      <c r="BC112" s="1009"/>
      <c r="BD112" s="1009"/>
    </row>
    <row r="113" spans="1:56" s="1010" customFormat="1" ht="36.75" customHeight="1">
      <c r="A113" s="661">
        <f>SUBTOTAL(3,B$6:B113)</f>
        <v>108</v>
      </c>
      <c r="B113" s="661" t="s">
        <v>1011</v>
      </c>
      <c r="C113" s="662" t="s">
        <v>1012</v>
      </c>
      <c r="D113" s="1011">
        <v>45701</v>
      </c>
      <c r="E113" s="1011" t="s">
        <v>216</v>
      </c>
      <c r="F113" s="787" t="s">
        <v>694</v>
      </c>
      <c r="G113" s="996" t="s">
        <v>797</v>
      </c>
      <c r="H113" s="1012">
        <v>5023000</v>
      </c>
      <c r="I113" s="1012">
        <v>0</v>
      </c>
      <c r="J113" s="1012">
        <v>0</v>
      </c>
      <c r="K113" s="1012">
        <v>0</v>
      </c>
      <c r="L113" s="1013">
        <f t="shared" si="0"/>
        <v>5023000</v>
      </c>
      <c r="M113" s="1014">
        <v>23.8</v>
      </c>
      <c r="N113" s="1013">
        <f t="shared" si="31"/>
        <v>4597977</v>
      </c>
      <c r="O113" s="1015">
        <v>2</v>
      </c>
      <c r="P113" s="1013">
        <f t="shared" si="32"/>
        <v>386385</v>
      </c>
      <c r="Q113" s="1016">
        <v>0</v>
      </c>
      <c r="R113" s="1013">
        <f t="shared" si="33"/>
        <v>0</v>
      </c>
      <c r="S113" s="1013">
        <f t="shared" si="34"/>
        <v>4984362</v>
      </c>
      <c r="T113" s="1017">
        <v>0</v>
      </c>
      <c r="U113" s="785">
        <v>0</v>
      </c>
      <c r="V113" s="785">
        <v>200000</v>
      </c>
      <c r="W113" s="1017">
        <v>500000</v>
      </c>
      <c r="X113" s="1017">
        <v>0</v>
      </c>
      <c r="Y113" s="1017">
        <v>400000</v>
      </c>
      <c r="Z113" s="1017">
        <v>637865</v>
      </c>
      <c r="AA113" s="1018"/>
      <c r="AB113" s="1013"/>
      <c r="AC113" s="1017">
        <v>0</v>
      </c>
      <c r="AD113" s="1017">
        <v>0</v>
      </c>
      <c r="AE113" s="1013">
        <v>36223.558298319331</v>
      </c>
      <c r="AF113" s="1019"/>
      <c r="AG113" s="1019">
        <f t="shared" si="1"/>
        <v>6758451</v>
      </c>
      <c r="AH113" s="1014">
        <v>52</v>
      </c>
      <c r="AI113" s="1014">
        <v>0</v>
      </c>
      <c r="AJ113" s="1014">
        <v>0</v>
      </c>
      <c r="AK113" s="1018">
        <v>0</v>
      </c>
      <c r="AL113" s="1020">
        <v>0</v>
      </c>
      <c r="AM113" s="1013">
        <f t="shared" si="26"/>
        <v>1883625</v>
      </c>
      <c r="AN113" s="1045">
        <f t="shared" si="3"/>
        <v>8642076</v>
      </c>
      <c r="AO113" s="1013">
        <v>527415</v>
      </c>
      <c r="AP113" s="1013">
        <v>44100</v>
      </c>
      <c r="AQ113" s="1013">
        <v>0</v>
      </c>
      <c r="AR113" s="1013">
        <v>0</v>
      </c>
      <c r="AS113" s="1013">
        <v>0</v>
      </c>
      <c r="AT113" s="1045">
        <f t="shared" si="4"/>
        <v>8070561</v>
      </c>
      <c r="AU113" s="1004"/>
      <c r="AV113" s="870"/>
      <c r="AW113" s="782" t="s">
        <v>3538</v>
      </c>
      <c r="AX113" s="782" t="s">
        <v>3539</v>
      </c>
      <c r="AY113" s="1007" t="s">
        <v>287</v>
      </c>
      <c r="AZ113" s="1007">
        <v>622</v>
      </c>
      <c r="BA113" s="347" t="str">
        <f t="shared" si="27"/>
        <v>Box</v>
      </c>
      <c r="BB113" s="1008"/>
      <c r="BC113" s="1009"/>
      <c r="BD113" s="1009"/>
    </row>
    <row r="114" spans="1:56" s="1010" customFormat="1" ht="36.75" customHeight="1">
      <c r="A114" s="661">
        <f>SUBTOTAL(3,B$6:B114)</f>
        <v>109</v>
      </c>
      <c r="B114" s="661" t="s">
        <v>1013</v>
      </c>
      <c r="C114" s="662" t="s">
        <v>1014</v>
      </c>
      <c r="D114" s="1011">
        <v>45706</v>
      </c>
      <c r="E114" s="1011" t="s">
        <v>216</v>
      </c>
      <c r="F114" s="787" t="s">
        <v>694</v>
      </c>
      <c r="G114" s="996" t="s">
        <v>797</v>
      </c>
      <c r="H114" s="1012">
        <v>5023000</v>
      </c>
      <c r="I114" s="1012">
        <v>0</v>
      </c>
      <c r="J114" s="1012">
        <v>0</v>
      </c>
      <c r="K114" s="1012">
        <v>0</v>
      </c>
      <c r="L114" s="1013">
        <f t="shared" si="0"/>
        <v>5023000</v>
      </c>
      <c r="M114" s="1014">
        <v>23.6</v>
      </c>
      <c r="N114" s="1013">
        <f t="shared" si="31"/>
        <v>4559338</v>
      </c>
      <c r="O114" s="1015">
        <v>2</v>
      </c>
      <c r="P114" s="1013">
        <f t="shared" si="32"/>
        <v>386385</v>
      </c>
      <c r="Q114" s="1016">
        <v>0</v>
      </c>
      <c r="R114" s="1013">
        <f t="shared" si="33"/>
        <v>0</v>
      </c>
      <c r="S114" s="1013">
        <f t="shared" si="34"/>
        <v>4945723</v>
      </c>
      <c r="T114" s="1017">
        <v>0</v>
      </c>
      <c r="U114" s="785">
        <v>0</v>
      </c>
      <c r="V114" s="785">
        <v>200000</v>
      </c>
      <c r="W114" s="1017">
        <v>500000</v>
      </c>
      <c r="X114" s="1017">
        <v>0</v>
      </c>
      <c r="Y114" s="1017">
        <v>400000</v>
      </c>
      <c r="Z114" s="1017">
        <v>637865</v>
      </c>
      <c r="AA114" s="1018"/>
      <c r="AB114" s="1013"/>
      <c r="AC114" s="1017">
        <v>100000</v>
      </c>
      <c r="AD114" s="1017">
        <v>0</v>
      </c>
      <c r="AE114" s="1013">
        <v>36223.554025423728</v>
      </c>
      <c r="AF114" s="1019"/>
      <c r="AG114" s="1019">
        <f t="shared" si="1"/>
        <v>6819812</v>
      </c>
      <c r="AH114" s="1014">
        <v>52</v>
      </c>
      <c r="AI114" s="1014">
        <v>0</v>
      </c>
      <c r="AJ114" s="1014">
        <v>0</v>
      </c>
      <c r="AK114" s="1018">
        <v>0</v>
      </c>
      <c r="AL114" s="1020">
        <v>0</v>
      </c>
      <c r="AM114" s="1013">
        <f t="shared" si="26"/>
        <v>1883625</v>
      </c>
      <c r="AN114" s="1045">
        <f t="shared" si="3"/>
        <v>8703437</v>
      </c>
      <c r="AO114" s="1013">
        <v>527415</v>
      </c>
      <c r="AP114" s="1013">
        <v>44100</v>
      </c>
      <c r="AQ114" s="1013">
        <v>0</v>
      </c>
      <c r="AR114" s="1013">
        <v>0</v>
      </c>
      <c r="AS114" s="1013">
        <v>0</v>
      </c>
      <c r="AT114" s="1045">
        <f t="shared" si="4"/>
        <v>8131922</v>
      </c>
      <c r="AU114" s="1004"/>
      <c r="AV114" s="870"/>
      <c r="AW114" s="782" t="s">
        <v>3540</v>
      </c>
      <c r="AX114" s="782" t="s">
        <v>3541</v>
      </c>
      <c r="AY114" s="1007" t="s">
        <v>287</v>
      </c>
      <c r="AZ114" s="1007">
        <v>622</v>
      </c>
      <c r="BA114" s="347" t="str">
        <f t="shared" si="27"/>
        <v>Box</v>
      </c>
      <c r="BB114" s="1008"/>
      <c r="BC114" s="1009"/>
      <c r="BD114" s="1009"/>
    </row>
    <row r="115" spans="1:56" s="1010" customFormat="1" ht="36.75" customHeight="1">
      <c r="A115" s="661">
        <f>SUBTOTAL(3,B$6:B115)</f>
        <v>110</v>
      </c>
      <c r="B115" s="661" t="s">
        <v>1015</v>
      </c>
      <c r="C115" s="662" t="s">
        <v>1016</v>
      </c>
      <c r="D115" s="1011">
        <v>41480</v>
      </c>
      <c r="E115" s="1011" t="s">
        <v>216</v>
      </c>
      <c r="F115" s="787" t="s">
        <v>694</v>
      </c>
      <c r="G115" s="996" t="s">
        <v>850</v>
      </c>
      <c r="H115" s="1012">
        <v>5931000</v>
      </c>
      <c r="I115" s="1012">
        <v>1900000</v>
      </c>
      <c r="J115" s="1012">
        <v>0</v>
      </c>
      <c r="K115" s="1012">
        <v>0</v>
      </c>
      <c r="L115" s="1013">
        <f t="shared" si="0"/>
        <v>7831000</v>
      </c>
      <c r="M115" s="1014">
        <v>23.9</v>
      </c>
      <c r="N115" s="1013">
        <f t="shared" si="31"/>
        <v>7198496</v>
      </c>
      <c r="O115" s="1015">
        <v>2</v>
      </c>
      <c r="P115" s="1013">
        <f t="shared" si="32"/>
        <v>602385</v>
      </c>
      <c r="Q115" s="1016">
        <v>0</v>
      </c>
      <c r="R115" s="1013">
        <f t="shared" si="33"/>
        <v>0</v>
      </c>
      <c r="S115" s="1013">
        <f t="shared" si="34"/>
        <v>7800881</v>
      </c>
      <c r="T115" s="1017">
        <v>0</v>
      </c>
      <c r="U115" s="785">
        <v>0</v>
      </c>
      <c r="V115" s="785">
        <v>200000</v>
      </c>
      <c r="W115" s="1017">
        <v>500000</v>
      </c>
      <c r="X115" s="1017">
        <v>0</v>
      </c>
      <c r="Y115" s="1017">
        <v>400000</v>
      </c>
      <c r="Z115" s="1017">
        <v>1115736</v>
      </c>
      <c r="AA115" s="1018"/>
      <c r="AB115" s="1013"/>
      <c r="AC115" s="1017">
        <v>0</v>
      </c>
      <c r="AD115" s="1017">
        <v>0</v>
      </c>
      <c r="AE115" s="1013">
        <v>56473.556485355657</v>
      </c>
      <c r="AF115" s="1019"/>
      <c r="AG115" s="1019">
        <f t="shared" si="1"/>
        <v>10073091</v>
      </c>
      <c r="AH115" s="1014">
        <v>52</v>
      </c>
      <c r="AI115" s="1014">
        <v>0</v>
      </c>
      <c r="AJ115" s="1014">
        <v>0</v>
      </c>
      <c r="AK115" s="1018">
        <v>0</v>
      </c>
      <c r="AL115" s="1020">
        <v>0</v>
      </c>
      <c r="AM115" s="1013">
        <f t="shared" si="26"/>
        <v>2936625</v>
      </c>
      <c r="AN115" s="1045">
        <f t="shared" si="3"/>
        <v>13009716</v>
      </c>
      <c r="AO115" s="1013">
        <v>822255</v>
      </c>
      <c r="AP115" s="1013">
        <v>44100</v>
      </c>
      <c r="AQ115" s="1013">
        <v>0</v>
      </c>
      <c r="AR115" s="1013">
        <v>0</v>
      </c>
      <c r="AS115" s="1013">
        <v>0</v>
      </c>
      <c r="AT115" s="1045">
        <f t="shared" si="4"/>
        <v>12143361</v>
      </c>
      <c r="AU115" s="1004"/>
      <c r="AV115" s="870"/>
      <c r="AW115" s="782" t="s">
        <v>3542</v>
      </c>
      <c r="AX115" s="782" t="s">
        <v>3543</v>
      </c>
      <c r="AY115" s="1007" t="s">
        <v>287</v>
      </c>
      <c r="AZ115" s="1007">
        <v>622</v>
      </c>
      <c r="BA115" s="347" t="str">
        <f t="shared" si="27"/>
        <v>Box</v>
      </c>
      <c r="BB115" s="1008"/>
      <c r="BC115" s="1009"/>
      <c r="BD115" s="1009"/>
    </row>
    <row r="116" spans="1:56" s="1010" customFormat="1" ht="36.75" customHeight="1">
      <c r="A116" s="661">
        <f>SUBTOTAL(3,B$6:B116)</f>
        <v>111</v>
      </c>
      <c r="B116" s="661" t="s">
        <v>1017</v>
      </c>
      <c r="C116" s="662" t="s">
        <v>1018</v>
      </c>
      <c r="D116" s="1011">
        <v>42195</v>
      </c>
      <c r="E116" s="1011" t="s">
        <v>216</v>
      </c>
      <c r="F116" s="787" t="s">
        <v>694</v>
      </c>
      <c r="G116" s="996" t="s">
        <v>786</v>
      </c>
      <c r="H116" s="1012">
        <v>5931000</v>
      </c>
      <c r="I116" s="1012">
        <v>200000</v>
      </c>
      <c r="J116" s="1012">
        <v>0</v>
      </c>
      <c r="K116" s="1012">
        <v>0</v>
      </c>
      <c r="L116" s="1013">
        <f t="shared" si="0"/>
        <v>6131000</v>
      </c>
      <c r="M116" s="1014">
        <v>22</v>
      </c>
      <c r="N116" s="1013">
        <f t="shared" si="31"/>
        <v>5187769</v>
      </c>
      <c r="O116" s="1015">
        <v>4</v>
      </c>
      <c r="P116" s="1013">
        <f t="shared" si="32"/>
        <v>943231</v>
      </c>
      <c r="Q116" s="1016">
        <v>0</v>
      </c>
      <c r="R116" s="1013">
        <f t="shared" si="33"/>
        <v>0</v>
      </c>
      <c r="S116" s="1013">
        <f t="shared" si="34"/>
        <v>6131000</v>
      </c>
      <c r="T116" s="1017">
        <v>0</v>
      </c>
      <c r="U116" s="785">
        <v>0</v>
      </c>
      <c r="V116" s="785">
        <v>200000</v>
      </c>
      <c r="W116" s="1017">
        <v>500000</v>
      </c>
      <c r="X116" s="1017">
        <v>0</v>
      </c>
      <c r="Y116" s="1017">
        <v>400000</v>
      </c>
      <c r="Z116" s="1017">
        <v>585167</v>
      </c>
      <c r="AA116" s="1018"/>
      <c r="AB116" s="1013"/>
      <c r="AC116" s="1017">
        <v>0</v>
      </c>
      <c r="AD116" s="1017">
        <v>0</v>
      </c>
      <c r="AE116" s="1013">
        <v>44213.940340909088</v>
      </c>
      <c r="AF116" s="1019"/>
      <c r="AG116" s="1019">
        <f t="shared" si="1"/>
        <v>7860381</v>
      </c>
      <c r="AH116" s="1014">
        <v>44</v>
      </c>
      <c r="AI116" s="1014">
        <v>0</v>
      </c>
      <c r="AJ116" s="1014">
        <v>0</v>
      </c>
      <c r="AK116" s="1018">
        <v>0</v>
      </c>
      <c r="AL116" s="1020">
        <v>0</v>
      </c>
      <c r="AM116" s="1013">
        <f t="shared" si="26"/>
        <v>1945413</v>
      </c>
      <c r="AN116" s="1045">
        <f t="shared" si="3"/>
        <v>9805794</v>
      </c>
      <c r="AO116" s="1013">
        <v>643755</v>
      </c>
      <c r="AP116" s="1013">
        <v>44100</v>
      </c>
      <c r="AQ116" s="1013">
        <v>0</v>
      </c>
      <c r="AR116" s="1013">
        <v>0</v>
      </c>
      <c r="AS116" s="1013">
        <v>0</v>
      </c>
      <c r="AT116" s="1045">
        <f t="shared" si="4"/>
        <v>9117939</v>
      </c>
      <c r="AU116" s="1004"/>
      <c r="AV116" s="870"/>
      <c r="AW116" s="782" t="s">
        <v>3544</v>
      </c>
      <c r="AX116" s="782" t="s">
        <v>3545</v>
      </c>
      <c r="AY116" s="1007" t="s">
        <v>287</v>
      </c>
      <c r="AZ116" s="1007">
        <v>622</v>
      </c>
      <c r="BA116" s="347" t="str">
        <f t="shared" si="27"/>
        <v>Box</v>
      </c>
      <c r="BB116" s="1008"/>
      <c r="BC116" s="1009"/>
      <c r="BD116" s="1009"/>
    </row>
    <row r="117" spans="1:56" s="1010" customFormat="1" ht="36.75" customHeight="1">
      <c r="A117" s="661">
        <f>SUBTOTAL(3,B$6:B117)</f>
        <v>112</v>
      </c>
      <c r="B117" s="661" t="s">
        <v>1019</v>
      </c>
      <c r="C117" s="662" t="s">
        <v>1020</v>
      </c>
      <c r="D117" s="1011">
        <v>42241</v>
      </c>
      <c r="E117" s="1011" t="s">
        <v>216</v>
      </c>
      <c r="F117" s="787" t="s">
        <v>694</v>
      </c>
      <c r="G117" s="996" t="s">
        <v>978</v>
      </c>
      <c r="H117" s="1012">
        <v>5931000</v>
      </c>
      <c r="I117" s="1012">
        <v>500000</v>
      </c>
      <c r="J117" s="1012">
        <v>0</v>
      </c>
      <c r="K117" s="1012">
        <v>0</v>
      </c>
      <c r="L117" s="1013">
        <f t="shared" si="0"/>
        <v>6431000</v>
      </c>
      <c r="M117" s="1014">
        <v>24</v>
      </c>
      <c r="N117" s="1013">
        <f t="shared" si="31"/>
        <v>5936308</v>
      </c>
      <c r="O117" s="1015">
        <v>2</v>
      </c>
      <c r="P117" s="1013">
        <f t="shared" si="32"/>
        <v>494692</v>
      </c>
      <c r="Q117" s="1016">
        <v>0</v>
      </c>
      <c r="R117" s="1013">
        <f t="shared" si="33"/>
        <v>0</v>
      </c>
      <c r="S117" s="1013">
        <f t="shared" si="34"/>
        <v>6431000</v>
      </c>
      <c r="T117" s="1017">
        <v>0</v>
      </c>
      <c r="U117" s="785">
        <v>0</v>
      </c>
      <c r="V117" s="785">
        <v>200000</v>
      </c>
      <c r="W117" s="1017">
        <v>500000</v>
      </c>
      <c r="X117" s="1017">
        <v>0</v>
      </c>
      <c r="Y117" s="1017">
        <v>400000</v>
      </c>
      <c r="Z117" s="1017">
        <v>1159799</v>
      </c>
      <c r="AA117" s="1018"/>
      <c r="AB117" s="1013"/>
      <c r="AC117" s="1017">
        <v>0</v>
      </c>
      <c r="AD117" s="1017">
        <v>0</v>
      </c>
      <c r="AE117" s="1013">
        <v>46377.40625</v>
      </c>
      <c r="AF117" s="1019"/>
      <c r="AG117" s="1019">
        <f t="shared" si="1"/>
        <v>8737176</v>
      </c>
      <c r="AH117" s="1014">
        <v>52</v>
      </c>
      <c r="AI117" s="1014">
        <v>0</v>
      </c>
      <c r="AJ117" s="1014">
        <v>0</v>
      </c>
      <c r="AK117" s="1018">
        <v>0</v>
      </c>
      <c r="AL117" s="1020">
        <v>0</v>
      </c>
      <c r="AM117" s="1013">
        <f t="shared" si="26"/>
        <v>2411625</v>
      </c>
      <c r="AN117" s="1045">
        <f>ROUND(AG117+AM117,0)</f>
        <v>11148801</v>
      </c>
      <c r="AO117" s="1013">
        <v>675255</v>
      </c>
      <c r="AP117" s="1013">
        <v>44100</v>
      </c>
      <c r="AQ117" s="1013">
        <v>0</v>
      </c>
      <c r="AR117" s="1013">
        <v>0</v>
      </c>
      <c r="AS117" s="1013">
        <v>0</v>
      </c>
      <c r="AT117" s="1045">
        <f t="shared" si="4"/>
        <v>10429446</v>
      </c>
      <c r="AU117" s="1004"/>
      <c r="AV117" s="870"/>
      <c r="AW117" s="782" t="s">
        <v>3546</v>
      </c>
      <c r="AX117" s="782" t="s">
        <v>3547</v>
      </c>
      <c r="AY117" s="1007" t="s">
        <v>287</v>
      </c>
      <c r="AZ117" s="1007">
        <v>622</v>
      </c>
      <c r="BA117" s="347" t="str">
        <f t="shared" si="27"/>
        <v>Box</v>
      </c>
      <c r="BB117" s="1008"/>
      <c r="BC117" s="1009"/>
      <c r="BD117" s="1009"/>
    </row>
    <row r="118" spans="1:56" s="1010" customFormat="1" ht="36.75" customHeight="1">
      <c r="A118" s="661">
        <f>SUBTOTAL(3,B$6:B118)</f>
        <v>113</v>
      </c>
      <c r="B118" s="661" t="s">
        <v>1021</v>
      </c>
      <c r="C118" s="662" t="s">
        <v>1022</v>
      </c>
      <c r="D118" s="1011">
        <v>43511</v>
      </c>
      <c r="E118" s="1011" t="s">
        <v>216</v>
      </c>
      <c r="F118" s="787" t="s">
        <v>694</v>
      </c>
      <c r="G118" s="996" t="s">
        <v>786</v>
      </c>
      <c r="H118" s="1012">
        <v>5931000</v>
      </c>
      <c r="I118" s="1012">
        <v>200000</v>
      </c>
      <c r="J118" s="1012">
        <v>0</v>
      </c>
      <c r="K118" s="1012">
        <v>0</v>
      </c>
      <c r="L118" s="1013">
        <f t="shared" si="0"/>
        <v>6131000</v>
      </c>
      <c r="M118" s="1014">
        <v>23</v>
      </c>
      <c r="N118" s="1013">
        <f t="shared" si="31"/>
        <v>5423577</v>
      </c>
      <c r="O118" s="1015">
        <v>3</v>
      </c>
      <c r="P118" s="1013">
        <f t="shared" si="32"/>
        <v>707423</v>
      </c>
      <c r="Q118" s="1016">
        <v>0</v>
      </c>
      <c r="R118" s="1013">
        <f t="shared" si="33"/>
        <v>0</v>
      </c>
      <c r="S118" s="1013">
        <f t="shared" si="34"/>
        <v>6131000</v>
      </c>
      <c r="T118" s="1017">
        <v>0</v>
      </c>
      <c r="U118" s="785">
        <v>0</v>
      </c>
      <c r="V118" s="785">
        <v>200000</v>
      </c>
      <c r="W118" s="1017">
        <v>500000</v>
      </c>
      <c r="X118" s="1017">
        <v>0</v>
      </c>
      <c r="Y118" s="1017">
        <v>400000</v>
      </c>
      <c r="Z118" s="1017">
        <v>616622</v>
      </c>
      <c r="AA118" s="1018"/>
      <c r="AB118" s="1013"/>
      <c r="AC118" s="1017">
        <v>0</v>
      </c>
      <c r="AD118" s="1017">
        <v>0</v>
      </c>
      <c r="AE118" s="1013">
        <v>44213.942934782608</v>
      </c>
      <c r="AF118" s="1019"/>
      <c r="AG118" s="1019">
        <f t="shared" si="1"/>
        <v>7891836</v>
      </c>
      <c r="AH118" s="1014">
        <v>48</v>
      </c>
      <c r="AI118" s="1014">
        <v>0</v>
      </c>
      <c r="AJ118" s="1014">
        <v>0</v>
      </c>
      <c r="AK118" s="1018">
        <v>0</v>
      </c>
      <c r="AL118" s="1020">
        <v>0</v>
      </c>
      <c r="AM118" s="1013">
        <f t="shared" si="26"/>
        <v>2122269</v>
      </c>
      <c r="AN118" s="1045">
        <f t="shared" ref="AN118:AN125" si="35">ROUND(AG118+AM118,0)</f>
        <v>10014105</v>
      </c>
      <c r="AO118" s="1013">
        <v>643755</v>
      </c>
      <c r="AP118" s="1013">
        <v>44100</v>
      </c>
      <c r="AQ118" s="1013">
        <v>0</v>
      </c>
      <c r="AR118" s="1013">
        <v>0</v>
      </c>
      <c r="AS118" s="1013">
        <v>0</v>
      </c>
      <c r="AT118" s="1045">
        <f t="shared" si="4"/>
        <v>9326250</v>
      </c>
      <c r="AU118" s="1004"/>
      <c r="AV118" s="870"/>
      <c r="AW118" s="782" t="s">
        <v>3548</v>
      </c>
      <c r="AX118" s="782" t="s">
        <v>3549</v>
      </c>
      <c r="AY118" s="1007" t="s">
        <v>287</v>
      </c>
      <c r="AZ118" s="1007">
        <v>622</v>
      </c>
      <c r="BA118" s="347" t="str">
        <f t="shared" si="27"/>
        <v>Box</v>
      </c>
      <c r="BB118" s="1008"/>
      <c r="BC118" s="1009"/>
      <c r="BD118" s="1009"/>
    </row>
    <row r="119" spans="1:56" s="1010" customFormat="1" ht="36.75" customHeight="1">
      <c r="A119" s="661">
        <f>SUBTOTAL(3,B$6:B119)</f>
        <v>114</v>
      </c>
      <c r="B119" s="661" t="s">
        <v>1023</v>
      </c>
      <c r="C119" s="662" t="s">
        <v>1024</v>
      </c>
      <c r="D119" s="1011">
        <v>39707</v>
      </c>
      <c r="E119" s="1011" t="s">
        <v>216</v>
      </c>
      <c r="F119" s="787" t="s">
        <v>695</v>
      </c>
      <c r="G119" s="996" t="s">
        <v>786</v>
      </c>
      <c r="H119" s="1012">
        <v>5931000</v>
      </c>
      <c r="I119" s="1012">
        <v>200000</v>
      </c>
      <c r="J119" s="1012">
        <v>0</v>
      </c>
      <c r="K119" s="1012">
        <v>0</v>
      </c>
      <c r="L119" s="1013">
        <f t="shared" si="0"/>
        <v>6131000</v>
      </c>
      <c r="M119" s="1014">
        <v>22.8</v>
      </c>
      <c r="N119" s="1013">
        <f t="shared" si="31"/>
        <v>5376415</v>
      </c>
      <c r="O119" s="1015">
        <v>3</v>
      </c>
      <c r="P119" s="1013">
        <f t="shared" si="32"/>
        <v>707423</v>
      </c>
      <c r="Q119" s="1016">
        <v>0</v>
      </c>
      <c r="R119" s="1013">
        <f t="shared" si="33"/>
        <v>0</v>
      </c>
      <c r="S119" s="1013">
        <f t="shared" si="34"/>
        <v>6083838</v>
      </c>
      <c r="T119" s="1017">
        <v>0</v>
      </c>
      <c r="U119" s="785">
        <v>0</v>
      </c>
      <c r="V119" s="785">
        <v>200000</v>
      </c>
      <c r="W119" s="1017">
        <v>500000</v>
      </c>
      <c r="X119" s="1017">
        <v>0</v>
      </c>
      <c r="Y119" s="1017">
        <v>400000</v>
      </c>
      <c r="Z119" s="1017">
        <v>483048</v>
      </c>
      <c r="AA119" s="1018"/>
      <c r="AB119" s="1013"/>
      <c r="AC119" s="1017">
        <v>0</v>
      </c>
      <c r="AD119" s="1017">
        <v>0</v>
      </c>
      <c r="AE119" s="1013">
        <v>44213.93914473684</v>
      </c>
      <c r="AF119" s="1019"/>
      <c r="AG119" s="1019">
        <f t="shared" si="1"/>
        <v>7711100</v>
      </c>
      <c r="AH119" s="1014">
        <v>51.5</v>
      </c>
      <c r="AI119" s="1014">
        <v>0</v>
      </c>
      <c r="AJ119" s="1014">
        <v>0</v>
      </c>
      <c r="AK119" s="1018">
        <v>0</v>
      </c>
      <c r="AL119" s="1020">
        <v>0</v>
      </c>
      <c r="AM119" s="1013">
        <f t="shared" si="26"/>
        <v>2277018</v>
      </c>
      <c r="AN119" s="1045">
        <f t="shared" si="35"/>
        <v>9988118</v>
      </c>
      <c r="AO119" s="1013">
        <v>643755</v>
      </c>
      <c r="AP119" s="1013">
        <v>44100</v>
      </c>
      <c r="AQ119" s="1013">
        <v>0</v>
      </c>
      <c r="AR119" s="1013">
        <v>0</v>
      </c>
      <c r="AS119" s="1013">
        <v>0</v>
      </c>
      <c r="AT119" s="1045">
        <f t="shared" si="4"/>
        <v>9300263</v>
      </c>
      <c r="AU119" s="1004"/>
      <c r="AV119" s="870"/>
      <c r="AW119" s="782" t="s">
        <v>3550</v>
      </c>
      <c r="AX119" s="782" t="s">
        <v>3551</v>
      </c>
      <c r="AY119" s="1007" t="s">
        <v>287</v>
      </c>
      <c r="AZ119" s="1007">
        <v>622</v>
      </c>
      <c r="BA119" s="347" t="str">
        <f t="shared" si="27"/>
        <v>Box</v>
      </c>
      <c r="BB119" s="1008"/>
      <c r="BC119" s="1009"/>
      <c r="BD119" s="1009"/>
    </row>
    <row r="120" spans="1:56" s="1010" customFormat="1" ht="36.75" customHeight="1">
      <c r="A120" s="661">
        <f>SUBTOTAL(3,B$6:B120)</f>
        <v>115</v>
      </c>
      <c r="B120" s="661" t="s">
        <v>1025</v>
      </c>
      <c r="C120" s="662" t="s">
        <v>1026</v>
      </c>
      <c r="D120" s="1011">
        <v>43868</v>
      </c>
      <c r="E120" s="1011" t="s">
        <v>216</v>
      </c>
      <c r="F120" s="787" t="s">
        <v>695</v>
      </c>
      <c r="G120" s="996" t="s">
        <v>797</v>
      </c>
      <c r="H120" s="1012">
        <v>5931000</v>
      </c>
      <c r="I120" s="1012">
        <v>0</v>
      </c>
      <c r="J120" s="1012">
        <v>0</v>
      </c>
      <c r="K120" s="1012">
        <v>0</v>
      </c>
      <c r="L120" s="1013">
        <f t="shared" si="0"/>
        <v>5931000</v>
      </c>
      <c r="M120" s="1014">
        <v>24</v>
      </c>
      <c r="N120" s="1013">
        <f t="shared" si="31"/>
        <v>5474769</v>
      </c>
      <c r="O120" s="1015">
        <v>2</v>
      </c>
      <c r="P120" s="1013">
        <f t="shared" si="32"/>
        <v>456231</v>
      </c>
      <c r="Q120" s="1016">
        <v>0</v>
      </c>
      <c r="R120" s="1013">
        <f t="shared" si="33"/>
        <v>0</v>
      </c>
      <c r="S120" s="1013">
        <f t="shared" si="34"/>
        <v>5931000</v>
      </c>
      <c r="T120" s="1017">
        <v>0</v>
      </c>
      <c r="U120" s="785">
        <v>0</v>
      </c>
      <c r="V120" s="785">
        <v>200000</v>
      </c>
      <c r="W120" s="1017">
        <v>500000</v>
      </c>
      <c r="X120" s="1017">
        <v>0</v>
      </c>
      <c r="Y120" s="1017">
        <v>400000</v>
      </c>
      <c r="Z120" s="1017">
        <v>423683</v>
      </c>
      <c r="AA120" s="1018"/>
      <c r="AB120" s="1013"/>
      <c r="AC120" s="1017">
        <v>0</v>
      </c>
      <c r="AD120" s="1017">
        <v>0</v>
      </c>
      <c r="AE120" s="1013">
        <v>42771.6328125</v>
      </c>
      <c r="AF120" s="1019"/>
      <c r="AG120" s="1019">
        <f t="shared" si="1"/>
        <v>7497455</v>
      </c>
      <c r="AH120" s="1014">
        <v>48</v>
      </c>
      <c r="AI120" s="1014">
        <v>0</v>
      </c>
      <c r="AJ120" s="1014">
        <v>0</v>
      </c>
      <c r="AK120" s="1018">
        <v>0</v>
      </c>
      <c r="AL120" s="1020">
        <v>0</v>
      </c>
      <c r="AM120" s="1013">
        <f t="shared" si="26"/>
        <v>2053038</v>
      </c>
      <c r="AN120" s="1045">
        <f t="shared" si="35"/>
        <v>9550493</v>
      </c>
      <c r="AO120" s="1013">
        <v>622755</v>
      </c>
      <c r="AP120" s="1013">
        <v>44100</v>
      </c>
      <c r="AQ120" s="1013">
        <v>0</v>
      </c>
      <c r="AR120" s="1013">
        <v>0</v>
      </c>
      <c r="AS120" s="1013">
        <v>0</v>
      </c>
      <c r="AT120" s="1045">
        <f t="shared" si="4"/>
        <v>8883638</v>
      </c>
      <c r="AU120" s="1004"/>
      <c r="AV120" s="870"/>
      <c r="AW120" s="782" t="s">
        <v>3552</v>
      </c>
      <c r="AX120" s="782" t="s">
        <v>3553</v>
      </c>
      <c r="AY120" s="1007" t="s">
        <v>287</v>
      </c>
      <c r="AZ120" s="1007">
        <v>622</v>
      </c>
      <c r="BA120" s="347" t="str">
        <f t="shared" si="27"/>
        <v>Box</v>
      </c>
      <c r="BB120" s="1008"/>
      <c r="BC120" s="1009"/>
      <c r="BD120" s="1009"/>
    </row>
    <row r="121" spans="1:56" s="1010" customFormat="1" ht="36.75" customHeight="1">
      <c r="A121" s="661">
        <f>SUBTOTAL(3,B$6:B121)</f>
        <v>116</v>
      </c>
      <c r="B121" s="661" t="s">
        <v>1027</v>
      </c>
      <c r="C121" s="662" t="s">
        <v>1028</v>
      </c>
      <c r="D121" s="1011">
        <v>44256</v>
      </c>
      <c r="E121" s="1011" t="s">
        <v>216</v>
      </c>
      <c r="F121" s="787" t="s">
        <v>695</v>
      </c>
      <c r="G121" s="996" t="s">
        <v>920</v>
      </c>
      <c r="H121" s="1012">
        <v>5931000</v>
      </c>
      <c r="I121" s="1012">
        <v>0</v>
      </c>
      <c r="J121" s="1012">
        <v>0</v>
      </c>
      <c r="K121" s="1012">
        <v>0</v>
      </c>
      <c r="L121" s="1013">
        <f t="shared" si="0"/>
        <v>5931000</v>
      </c>
      <c r="M121" s="1014">
        <v>24</v>
      </c>
      <c r="N121" s="1013">
        <f t="shared" si="31"/>
        <v>5474769</v>
      </c>
      <c r="O121" s="1015">
        <v>2</v>
      </c>
      <c r="P121" s="1013">
        <f t="shared" si="32"/>
        <v>456231</v>
      </c>
      <c r="Q121" s="1016">
        <v>0</v>
      </c>
      <c r="R121" s="1013">
        <f t="shared" si="33"/>
        <v>0</v>
      </c>
      <c r="S121" s="1013">
        <f t="shared" si="34"/>
        <v>5931000</v>
      </c>
      <c r="T121" s="1017">
        <v>0</v>
      </c>
      <c r="U121" s="785">
        <v>0</v>
      </c>
      <c r="V121" s="785">
        <v>200000</v>
      </c>
      <c r="W121" s="1017">
        <v>500000</v>
      </c>
      <c r="X121" s="1017">
        <v>0</v>
      </c>
      <c r="Y121" s="1017">
        <v>400000</v>
      </c>
      <c r="Z121" s="1017">
        <v>490203</v>
      </c>
      <c r="AA121" s="1018"/>
      <c r="AB121" s="1013"/>
      <c r="AC121" s="1017">
        <v>0</v>
      </c>
      <c r="AD121" s="1017">
        <v>0</v>
      </c>
      <c r="AE121" s="1013">
        <v>42771.6328125</v>
      </c>
      <c r="AF121" s="1019"/>
      <c r="AG121" s="1019">
        <f t="shared" si="1"/>
        <v>7563975</v>
      </c>
      <c r="AH121" s="1014">
        <v>52</v>
      </c>
      <c r="AI121" s="1014">
        <v>0</v>
      </c>
      <c r="AJ121" s="1014">
        <v>0</v>
      </c>
      <c r="AK121" s="1018">
        <v>0</v>
      </c>
      <c r="AL121" s="1020">
        <v>0</v>
      </c>
      <c r="AM121" s="1013">
        <f t="shared" si="26"/>
        <v>2224125</v>
      </c>
      <c r="AN121" s="1045">
        <f t="shared" si="35"/>
        <v>9788100</v>
      </c>
      <c r="AO121" s="1013">
        <v>622755</v>
      </c>
      <c r="AP121" s="1013">
        <v>44100</v>
      </c>
      <c r="AQ121" s="1013">
        <v>0</v>
      </c>
      <c r="AR121" s="1013">
        <v>0</v>
      </c>
      <c r="AS121" s="1013">
        <v>0</v>
      </c>
      <c r="AT121" s="1045">
        <f t="shared" si="4"/>
        <v>9121245</v>
      </c>
      <c r="AU121" s="1004"/>
      <c r="AV121" s="870"/>
      <c r="AW121" s="782" t="s">
        <v>3554</v>
      </c>
      <c r="AX121" s="782" t="s">
        <v>3555</v>
      </c>
      <c r="AY121" s="1007" t="s">
        <v>287</v>
      </c>
      <c r="AZ121" s="1007">
        <v>622</v>
      </c>
      <c r="BA121" s="347" t="str">
        <f t="shared" si="27"/>
        <v>Box</v>
      </c>
      <c r="BB121" s="1008"/>
      <c r="BC121" s="1009"/>
      <c r="BD121" s="1009"/>
    </row>
    <row r="122" spans="1:56" s="1010" customFormat="1" ht="36.75" customHeight="1">
      <c r="A122" s="661">
        <f>SUBTOTAL(3,B$6:B122)</f>
        <v>117</v>
      </c>
      <c r="B122" s="661" t="s">
        <v>1029</v>
      </c>
      <c r="C122" s="662" t="s">
        <v>1030</v>
      </c>
      <c r="D122" s="1011">
        <v>45164</v>
      </c>
      <c r="E122" s="1011" t="s">
        <v>216</v>
      </c>
      <c r="F122" s="787" t="s">
        <v>695</v>
      </c>
      <c r="G122" s="996" t="s">
        <v>797</v>
      </c>
      <c r="H122" s="1012">
        <v>5538000</v>
      </c>
      <c r="I122" s="1012">
        <v>0</v>
      </c>
      <c r="J122" s="1012">
        <v>0</v>
      </c>
      <c r="K122" s="1012">
        <v>0</v>
      </c>
      <c r="L122" s="1013">
        <f t="shared" si="0"/>
        <v>5538000</v>
      </c>
      <c r="M122" s="1014">
        <v>22.9</v>
      </c>
      <c r="N122" s="1013">
        <f t="shared" si="31"/>
        <v>4877700</v>
      </c>
      <c r="O122" s="1015">
        <v>3</v>
      </c>
      <c r="P122" s="1013">
        <f t="shared" si="32"/>
        <v>639000</v>
      </c>
      <c r="Q122" s="1016">
        <v>0</v>
      </c>
      <c r="R122" s="1013">
        <f t="shared" si="33"/>
        <v>0</v>
      </c>
      <c r="S122" s="1013">
        <f t="shared" si="34"/>
        <v>5516700</v>
      </c>
      <c r="T122" s="1017">
        <v>0</v>
      </c>
      <c r="U122" s="785">
        <v>0</v>
      </c>
      <c r="V122" s="785">
        <v>200000</v>
      </c>
      <c r="W122" s="1017">
        <v>500000</v>
      </c>
      <c r="X122" s="1017">
        <v>0</v>
      </c>
      <c r="Y122" s="1017">
        <v>400000</v>
      </c>
      <c r="Z122" s="1017">
        <v>411403</v>
      </c>
      <c r="AA122" s="1018"/>
      <c r="AB122" s="1013"/>
      <c r="AC122" s="1017">
        <v>100000</v>
      </c>
      <c r="AD122" s="1017">
        <v>0</v>
      </c>
      <c r="AE122" s="1013">
        <v>39937.5</v>
      </c>
      <c r="AF122" s="1019"/>
      <c r="AG122" s="1019">
        <f t="shared" si="1"/>
        <v>7168041</v>
      </c>
      <c r="AH122" s="1014">
        <v>48</v>
      </c>
      <c r="AI122" s="1014">
        <v>0</v>
      </c>
      <c r="AJ122" s="1014">
        <v>0</v>
      </c>
      <c r="AK122" s="1018">
        <v>0</v>
      </c>
      <c r="AL122" s="1020">
        <v>0</v>
      </c>
      <c r="AM122" s="1013">
        <f t="shared" si="26"/>
        <v>1917000</v>
      </c>
      <c r="AN122" s="1045">
        <f t="shared" si="35"/>
        <v>9085041</v>
      </c>
      <c r="AO122" s="1013">
        <v>581490</v>
      </c>
      <c r="AP122" s="1013">
        <v>44100</v>
      </c>
      <c r="AQ122" s="1013">
        <v>0</v>
      </c>
      <c r="AR122" s="1013">
        <v>0</v>
      </c>
      <c r="AS122" s="1013">
        <v>0</v>
      </c>
      <c r="AT122" s="1045">
        <f t="shared" si="4"/>
        <v>8459451</v>
      </c>
      <c r="AU122" s="1004"/>
      <c r="AV122" s="870"/>
      <c r="AW122" s="782" t="s">
        <v>3556</v>
      </c>
      <c r="AX122" s="782" t="s">
        <v>3557</v>
      </c>
      <c r="AY122" s="1007" t="s">
        <v>287</v>
      </c>
      <c r="AZ122" s="1007">
        <v>622</v>
      </c>
      <c r="BA122" s="347" t="str">
        <f t="shared" si="27"/>
        <v>Box</v>
      </c>
      <c r="BB122" s="1008"/>
      <c r="BC122" s="1009"/>
      <c r="BD122" s="1009"/>
    </row>
    <row r="123" spans="1:56" s="1010" customFormat="1" ht="36.75" customHeight="1">
      <c r="A123" s="661">
        <f>SUBTOTAL(3,B$6:B123)</f>
        <v>118</v>
      </c>
      <c r="B123" s="661" t="s">
        <v>1031</v>
      </c>
      <c r="C123" s="662" t="s">
        <v>1032</v>
      </c>
      <c r="D123" s="1011">
        <v>45164</v>
      </c>
      <c r="E123" s="1011" t="s">
        <v>216</v>
      </c>
      <c r="F123" s="787" t="s">
        <v>695</v>
      </c>
      <c r="G123" s="996" t="s">
        <v>786</v>
      </c>
      <c r="H123" s="1012">
        <v>5538000</v>
      </c>
      <c r="I123" s="1012">
        <v>200000</v>
      </c>
      <c r="J123" s="1012">
        <v>0</v>
      </c>
      <c r="K123" s="1012">
        <v>0</v>
      </c>
      <c r="L123" s="1013">
        <f t="shared" si="0"/>
        <v>5738000</v>
      </c>
      <c r="M123" s="1014">
        <v>23</v>
      </c>
      <c r="N123" s="1013">
        <f t="shared" si="31"/>
        <v>5075923</v>
      </c>
      <c r="O123" s="1015">
        <v>3</v>
      </c>
      <c r="P123" s="1013">
        <f t="shared" si="32"/>
        <v>662077</v>
      </c>
      <c r="Q123" s="1016">
        <v>0</v>
      </c>
      <c r="R123" s="1013">
        <f t="shared" si="33"/>
        <v>0</v>
      </c>
      <c r="S123" s="1013">
        <f t="shared" si="34"/>
        <v>5738000</v>
      </c>
      <c r="T123" s="1017">
        <v>0</v>
      </c>
      <c r="U123" s="785">
        <v>0</v>
      </c>
      <c r="V123" s="785">
        <v>200000</v>
      </c>
      <c r="W123" s="1017">
        <v>500000</v>
      </c>
      <c r="X123" s="1017">
        <v>0</v>
      </c>
      <c r="Y123" s="1017">
        <v>400000</v>
      </c>
      <c r="Z123" s="1017">
        <v>419137</v>
      </c>
      <c r="AA123" s="1018"/>
      <c r="AB123" s="1013"/>
      <c r="AC123" s="1017">
        <v>0</v>
      </c>
      <c r="AD123" s="1017">
        <v>0</v>
      </c>
      <c r="AE123" s="1013">
        <v>41379.807065217392</v>
      </c>
      <c r="AF123" s="1019"/>
      <c r="AG123" s="1019">
        <f t="shared" si="1"/>
        <v>7298517</v>
      </c>
      <c r="AH123" s="1014">
        <v>52</v>
      </c>
      <c r="AI123" s="1014">
        <v>0</v>
      </c>
      <c r="AJ123" s="1014">
        <v>0</v>
      </c>
      <c r="AK123" s="1018">
        <v>0</v>
      </c>
      <c r="AL123" s="1020">
        <v>0</v>
      </c>
      <c r="AM123" s="1013">
        <f t="shared" si="26"/>
        <v>2151750</v>
      </c>
      <c r="AN123" s="1045">
        <f t="shared" si="35"/>
        <v>9450267</v>
      </c>
      <c r="AO123" s="1013">
        <v>602490</v>
      </c>
      <c r="AP123" s="1013">
        <v>44100</v>
      </c>
      <c r="AQ123" s="1013">
        <v>0</v>
      </c>
      <c r="AR123" s="1013">
        <v>0</v>
      </c>
      <c r="AS123" s="1013">
        <v>0</v>
      </c>
      <c r="AT123" s="1045">
        <f t="shared" si="4"/>
        <v>8803677</v>
      </c>
      <c r="AU123" s="1004"/>
      <c r="AV123" s="870"/>
      <c r="AW123" s="782" t="s">
        <v>3558</v>
      </c>
      <c r="AX123" s="782" t="s">
        <v>3559</v>
      </c>
      <c r="AY123" s="1007" t="s">
        <v>287</v>
      </c>
      <c r="AZ123" s="1007">
        <v>622</v>
      </c>
      <c r="BA123" s="347" t="str">
        <f t="shared" si="27"/>
        <v>Box</v>
      </c>
      <c r="BB123" s="1008"/>
      <c r="BC123" s="1009"/>
      <c r="BD123" s="1009"/>
    </row>
    <row r="124" spans="1:56" s="1010" customFormat="1" ht="36.75" customHeight="1">
      <c r="A124" s="661">
        <f>SUBTOTAL(3,B$6:B124)</f>
        <v>119</v>
      </c>
      <c r="B124" s="661" t="s">
        <v>1033</v>
      </c>
      <c r="C124" s="662" t="s">
        <v>1034</v>
      </c>
      <c r="D124" s="1011">
        <v>45164</v>
      </c>
      <c r="E124" s="1011" t="s">
        <v>216</v>
      </c>
      <c r="F124" s="787" t="s">
        <v>695</v>
      </c>
      <c r="G124" s="996" t="s">
        <v>797</v>
      </c>
      <c r="H124" s="1012">
        <v>5538000</v>
      </c>
      <c r="I124" s="1012">
        <v>0</v>
      </c>
      <c r="J124" s="1012">
        <v>0</v>
      </c>
      <c r="K124" s="1012">
        <v>0</v>
      </c>
      <c r="L124" s="1013">
        <f t="shared" si="0"/>
        <v>5538000</v>
      </c>
      <c r="M124" s="1014">
        <v>23</v>
      </c>
      <c r="N124" s="1013">
        <f t="shared" si="31"/>
        <v>4899000</v>
      </c>
      <c r="O124" s="1015">
        <v>3</v>
      </c>
      <c r="P124" s="1013">
        <f t="shared" si="32"/>
        <v>639000</v>
      </c>
      <c r="Q124" s="1016">
        <v>0</v>
      </c>
      <c r="R124" s="1013">
        <f t="shared" si="33"/>
        <v>0</v>
      </c>
      <c r="S124" s="1013">
        <f t="shared" si="34"/>
        <v>5538000</v>
      </c>
      <c r="T124" s="1017">
        <v>0</v>
      </c>
      <c r="U124" s="785">
        <v>0</v>
      </c>
      <c r="V124" s="785">
        <v>200000</v>
      </c>
      <c r="W124" s="1017">
        <v>500000</v>
      </c>
      <c r="X124" s="1017">
        <v>0</v>
      </c>
      <c r="Y124" s="1017">
        <v>400000</v>
      </c>
      <c r="Z124" s="1017">
        <v>441373</v>
      </c>
      <c r="AA124" s="1018"/>
      <c r="AB124" s="1013"/>
      <c r="AC124" s="1017">
        <v>0</v>
      </c>
      <c r="AD124" s="1017">
        <v>0</v>
      </c>
      <c r="AE124" s="1013">
        <v>39937.5</v>
      </c>
      <c r="AF124" s="1019"/>
      <c r="AG124" s="1019">
        <f t="shared" si="1"/>
        <v>7119311</v>
      </c>
      <c r="AH124" s="1014">
        <v>48</v>
      </c>
      <c r="AI124" s="1014">
        <v>0</v>
      </c>
      <c r="AJ124" s="1014">
        <v>0</v>
      </c>
      <c r="AK124" s="1018">
        <v>0</v>
      </c>
      <c r="AL124" s="1020">
        <v>0</v>
      </c>
      <c r="AM124" s="1013">
        <f t="shared" si="26"/>
        <v>1917000</v>
      </c>
      <c r="AN124" s="1045">
        <f t="shared" si="35"/>
        <v>9036311</v>
      </c>
      <c r="AO124" s="1013">
        <v>581490</v>
      </c>
      <c r="AP124" s="1013">
        <v>44100</v>
      </c>
      <c r="AQ124" s="1013">
        <v>0</v>
      </c>
      <c r="AR124" s="1013">
        <v>0</v>
      </c>
      <c r="AS124" s="1013">
        <v>0</v>
      </c>
      <c r="AT124" s="1045">
        <f t="shared" si="4"/>
        <v>8410721</v>
      </c>
      <c r="AU124" s="1004"/>
      <c r="AV124" s="870"/>
      <c r="AW124" s="782" t="s">
        <v>3560</v>
      </c>
      <c r="AX124" s="782" t="s">
        <v>3561</v>
      </c>
      <c r="AY124" s="1007" t="s">
        <v>287</v>
      </c>
      <c r="AZ124" s="1007">
        <v>622</v>
      </c>
      <c r="BA124" s="347" t="str">
        <f t="shared" si="27"/>
        <v>Box</v>
      </c>
      <c r="BB124" s="1008"/>
      <c r="BC124" s="1009"/>
      <c r="BD124" s="1009"/>
    </row>
    <row r="125" spans="1:56" s="1010" customFormat="1" ht="36.75" customHeight="1">
      <c r="A125" s="661">
        <f>SUBTOTAL(3,B$6:B125)</f>
        <v>120</v>
      </c>
      <c r="B125" s="661" t="s">
        <v>1035</v>
      </c>
      <c r="C125" s="662" t="s">
        <v>1036</v>
      </c>
      <c r="D125" s="1011">
        <v>45167</v>
      </c>
      <c r="E125" s="1011" t="s">
        <v>216</v>
      </c>
      <c r="F125" s="787" t="s">
        <v>695</v>
      </c>
      <c r="G125" s="996" t="s">
        <v>797</v>
      </c>
      <c r="H125" s="1012">
        <v>5538000</v>
      </c>
      <c r="I125" s="1012">
        <v>0</v>
      </c>
      <c r="J125" s="1012">
        <v>0</v>
      </c>
      <c r="K125" s="1012">
        <v>0</v>
      </c>
      <c r="L125" s="1013">
        <f t="shared" si="0"/>
        <v>5538000</v>
      </c>
      <c r="M125" s="1014">
        <v>22.9</v>
      </c>
      <c r="N125" s="1013">
        <f t="shared" si="31"/>
        <v>4877700</v>
      </c>
      <c r="O125" s="1015">
        <v>3</v>
      </c>
      <c r="P125" s="1013">
        <f t="shared" si="32"/>
        <v>639000</v>
      </c>
      <c r="Q125" s="1016">
        <v>0</v>
      </c>
      <c r="R125" s="1013">
        <f t="shared" si="33"/>
        <v>0</v>
      </c>
      <c r="S125" s="1013">
        <f t="shared" si="34"/>
        <v>5516700</v>
      </c>
      <c r="T125" s="1017">
        <v>0</v>
      </c>
      <c r="U125" s="785">
        <v>0</v>
      </c>
      <c r="V125" s="785">
        <v>200000</v>
      </c>
      <c r="W125" s="1017">
        <v>500000</v>
      </c>
      <c r="X125" s="1017">
        <v>0</v>
      </c>
      <c r="Y125" s="1017">
        <v>400000</v>
      </c>
      <c r="Z125" s="1017">
        <v>410503</v>
      </c>
      <c r="AA125" s="1018"/>
      <c r="AB125" s="1013"/>
      <c r="AC125" s="1017">
        <v>100000</v>
      </c>
      <c r="AD125" s="1017">
        <v>0</v>
      </c>
      <c r="AE125" s="1013">
        <v>39937.5</v>
      </c>
      <c r="AF125" s="1019"/>
      <c r="AG125" s="1019">
        <f t="shared" si="1"/>
        <v>7167141</v>
      </c>
      <c r="AH125" s="1014">
        <v>48</v>
      </c>
      <c r="AI125" s="1014">
        <v>0</v>
      </c>
      <c r="AJ125" s="1014">
        <v>0</v>
      </c>
      <c r="AK125" s="1018">
        <v>0</v>
      </c>
      <c r="AL125" s="1020">
        <v>0</v>
      </c>
      <c r="AM125" s="1013">
        <f t="shared" si="26"/>
        <v>1917000</v>
      </c>
      <c r="AN125" s="1045">
        <f t="shared" si="35"/>
        <v>9084141</v>
      </c>
      <c r="AO125" s="1013">
        <v>581490</v>
      </c>
      <c r="AP125" s="1013">
        <v>44100</v>
      </c>
      <c r="AQ125" s="1013">
        <v>0</v>
      </c>
      <c r="AR125" s="1013">
        <v>0</v>
      </c>
      <c r="AS125" s="1013">
        <v>0</v>
      </c>
      <c r="AT125" s="1045">
        <f t="shared" si="4"/>
        <v>8458551</v>
      </c>
      <c r="AU125" s="1004"/>
      <c r="AV125" s="870"/>
      <c r="AW125" s="782" t="s">
        <v>3562</v>
      </c>
      <c r="AX125" s="782" t="s">
        <v>3563</v>
      </c>
      <c r="AY125" s="1007" t="s">
        <v>287</v>
      </c>
      <c r="AZ125" s="1007">
        <v>622</v>
      </c>
      <c r="BA125" s="347" t="str">
        <f t="shared" si="27"/>
        <v>Box</v>
      </c>
      <c r="BB125" s="1008"/>
      <c r="BC125" s="1009"/>
      <c r="BD125" s="1009"/>
    </row>
    <row r="126" spans="1:56" s="1010" customFormat="1" ht="36.75" customHeight="1">
      <c r="A126" s="661">
        <f>SUBTOTAL(3,B$6:B126)</f>
        <v>121</v>
      </c>
      <c r="B126" s="661" t="s">
        <v>1037</v>
      </c>
      <c r="C126" s="662" t="s">
        <v>1038</v>
      </c>
      <c r="D126" s="1011">
        <v>45167</v>
      </c>
      <c r="E126" s="1011" t="s">
        <v>216</v>
      </c>
      <c r="F126" s="787" t="s">
        <v>695</v>
      </c>
      <c r="G126" s="996" t="s">
        <v>786</v>
      </c>
      <c r="H126" s="1012">
        <v>5538000</v>
      </c>
      <c r="I126" s="1012">
        <v>200000</v>
      </c>
      <c r="J126" s="1012">
        <v>0</v>
      </c>
      <c r="K126" s="1012">
        <v>0</v>
      </c>
      <c r="L126" s="1013">
        <f t="shared" si="0"/>
        <v>5738000</v>
      </c>
      <c r="M126" s="1014">
        <v>22.6</v>
      </c>
      <c r="N126" s="1013">
        <f t="shared" si="31"/>
        <v>4987646</v>
      </c>
      <c r="O126" s="1015">
        <v>3</v>
      </c>
      <c r="P126" s="1013">
        <f t="shared" si="32"/>
        <v>662077</v>
      </c>
      <c r="Q126" s="1016">
        <v>0</v>
      </c>
      <c r="R126" s="1013">
        <f t="shared" si="33"/>
        <v>0</v>
      </c>
      <c r="S126" s="1013">
        <f t="shared" si="34"/>
        <v>5649723</v>
      </c>
      <c r="T126" s="1017">
        <v>0</v>
      </c>
      <c r="U126" s="785">
        <v>0</v>
      </c>
      <c r="V126" s="785">
        <v>200000</v>
      </c>
      <c r="W126" s="1017">
        <v>500000</v>
      </c>
      <c r="X126" s="1017">
        <v>0</v>
      </c>
      <c r="Y126" s="1017">
        <v>400000</v>
      </c>
      <c r="Z126" s="1017">
        <v>453931</v>
      </c>
      <c r="AA126" s="1018"/>
      <c r="AB126" s="1013"/>
      <c r="AC126" s="1017">
        <v>100000</v>
      </c>
      <c r="AD126" s="1017">
        <v>0</v>
      </c>
      <c r="AE126" s="1013">
        <v>41379.806415929197</v>
      </c>
      <c r="AF126" s="1019"/>
      <c r="AG126" s="1019">
        <f t="shared" si="1"/>
        <v>7345034</v>
      </c>
      <c r="AH126" s="1014">
        <v>52</v>
      </c>
      <c r="AI126" s="1014">
        <v>0</v>
      </c>
      <c r="AJ126" s="1014">
        <v>0</v>
      </c>
      <c r="AK126" s="1018">
        <v>0</v>
      </c>
      <c r="AL126" s="1020">
        <v>0</v>
      </c>
      <c r="AM126" s="1013">
        <f t="shared" si="26"/>
        <v>2151750</v>
      </c>
      <c r="AN126" s="1045">
        <f>ROUND(AG126+AM126,0)</f>
        <v>9496784</v>
      </c>
      <c r="AO126" s="1013">
        <v>602490</v>
      </c>
      <c r="AP126" s="1013">
        <v>44100</v>
      </c>
      <c r="AQ126" s="1013">
        <v>0</v>
      </c>
      <c r="AR126" s="1013">
        <v>0</v>
      </c>
      <c r="AS126" s="1013">
        <v>0</v>
      </c>
      <c r="AT126" s="1045">
        <f t="shared" si="4"/>
        <v>8850194</v>
      </c>
      <c r="AU126" s="1004"/>
      <c r="AV126" s="870"/>
      <c r="AW126" s="782" t="s">
        <v>3564</v>
      </c>
      <c r="AX126" s="782" t="s">
        <v>3565</v>
      </c>
      <c r="AY126" s="1007" t="s">
        <v>287</v>
      </c>
      <c r="AZ126" s="1007">
        <v>622</v>
      </c>
      <c r="BA126" s="347" t="str">
        <f t="shared" si="27"/>
        <v>Box</v>
      </c>
      <c r="BB126" s="1008"/>
      <c r="BC126" s="1009"/>
      <c r="BD126" s="1009"/>
    </row>
    <row r="127" spans="1:56" s="1010" customFormat="1" ht="36.75" customHeight="1">
      <c r="A127" s="661">
        <f>SUBTOTAL(3,B$6:B127)</f>
        <v>122</v>
      </c>
      <c r="B127" s="661" t="s">
        <v>1039</v>
      </c>
      <c r="C127" s="662" t="s">
        <v>1040</v>
      </c>
      <c r="D127" s="1011">
        <v>45204</v>
      </c>
      <c r="E127" s="1011" t="s">
        <v>216</v>
      </c>
      <c r="F127" s="787" t="s">
        <v>695</v>
      </c>
      <c r="G127" s="996" t="s">
        <v>797</v>
      </c>
      <c r="H127" s="1012">
        <v>5538000</v>
      </c>
      <c r="I127" s="1012">
        <v>0</v>
      </c>
      <c r="J127" s="1012">
        <v>0</v>
      </c>
      <c r="K127" s="1012">
        <v>0</v>
      </c>
      <c r="L127" s="1013">
        <f t="shared" si="0"/>
        <v>5538000</v>
      </c>
      <c r="M127" s="1014">
        <v>23.9</v>
      </c>
      <c r="N127" s="1013">
        <f t="shared" si="31"/>
        <v>5090700</v>
      </c>
      <c r="O127" s="1015">
        <v>2</v>
      </c>
      <c r="P127" s="1013">
        <f t="shared" si="32"/>
        <v>426000</v>
      </c>
      <c r="Q127" s="1016">
        <v>0</v>
      </c>
      <c r="R127" s="1013">
        <f t="shared" si="33"/>
        <v>0</v>
      </c>
      <c r="S127" s="1013">
        <f t="shared" si="34"/>
        <v>5516700</v>
      </c>
      <c r="T127" s="1017">
        <v>0</v>
      </c>
      <c r="U127" s="785">
        <v>0</v>
      </c>
      <c r="V127" s="785">
        <v>200000</v>
      </c>
      <c r="W127" s="1017">
        <v>500000</v>
      </c>
      <c r="X127" s="1017">
        <v>0</v>
      </c>
      <c r="Y127" s="1017">
        <v>400000</v>
      </c>
      <c r="Z127" s="1017">
        <v>432070</v>
      </c>
      <c r="AA127" s="1018"/>
      <c r="AB127" s="1013"/>
      <c r="AC127" s="1017">
        <v>0</v>
      </c>
      <c r="AD127" s="1017">
        <v>0</v>
      </c>
      <c r="AE127" s="1013">
        <v>39937.5</v>
      </c>
      <c r="AF127" s="1019"/>
      <c r="AG127" s="1019">
        <f t="shared" si="1"/>
        <v>7088708</v>
      </c>
      <c r="AH127" s="1014">
        <v>48</v>
      </c>
      <c r="AI127" s="1014">
        <v>0</v>
      </c>
      <c r="AJ127" s="1014">
        <v>0</v>
      </c>
      <c r="AK127" s="1018">
        <v>0</v>
      </c>
      <c r="AL127" s="1020">
        <v>0</v>
      </c>
      <c r="AM127" s="1013">
        <f t="shared" si="26"/>
        <v>1917000</v>
      </c>
      <c r="AN127" s="1045">
        <f t="shared" ref="AN127:AN134" si="36">ROUND(AG127+AM127,0)</f>
        <v>9005708</v>
      </c>
      <c r="AO127" s="1013">
        <v>581490</v>
      </c>
      <c r="AP127" s="1013">
        <v>44100</v>
      </c>
      <c r="AQ127" s="1013">
        <v>0</v>
      </c>
      <c r="AR127" s="1013">
        <v>0</v>
      </c>
      <c r="AS127" s="1013">
        <v>0</v>
      </c>
      <c r="AT127" s="1045">
        <f t="shared" si="4"/>
        <v>8380118</v>
      </c>
      <c r="AU127" s="1004"/>
      <c r="AV127" s="870"/>
      <c r="AW127" s="782" t="s">
        <v>3566</v>
      </c>
      <c r="AX127" s="782" t="s">
        <v>3567</v>
      </c>
      <c r="AY127" s="1007" t="s">
        <v>287</v>
      </c>
      <c r="AZ127" s="1007">
        <v>622</v>
      </c>
      <c r="BA127" s="347" t="str">
        <f t="shared" si="27"/>
        <v>Box</v>
      </c>
      <c r="BB127" s="1008"/>
      <c r="BC127" s="1009"/>
      <c r="BD127" s="1009"/>
    </row>
    <row r="128" spans="1:56" s="1010" customFormat="1" ht="36.75" customHeight="1">
      <c r="A128" s="661">
        <f>SUBTOTAL(3,B$6:B128)</f>
        <v>123</v>
      </c>
      <c r="B128" s="661" t="s">
        <v>1041</v>
      </c>
      <c r="C128" s="662" t="s">
        <v>1042</v>
      </c>
      <c r="D128" s="1011">
        <v>45645</v>
      </c>
      <c r="E128" s="1011" t="s">
        <v>216</v>
      </c>
      <c r="F128" s="787" t="s">
        <v>695</v>
      </c>
      <c r="G128" s="996" t="s">
        <v>797</v>
      </c>
      <c r="H128" s="1012">
        <v>5023000</v>
      </c>
      <c r="I128" s="1012">
        <v>0</v>
      </c>
      <c r="J128" s="1012">
        <v>0</v>
      </c>
      <c r="K128" s="1012">
        <v>0</v>
      </c>
      <c r="L128" s="1013">
        <f t="shared" si="0"/>
        <v>5023000</v>
      </c>
      <c r="M128" s="1014">
        <v>22.8</v>
      </c>
      <c r="N128" s="1013">
        <f t="shared" si="31"/>
        <v>4404785</v>
      </c>
      <c r="O128" s="1015">
        <v>3</v>
      </c>
      <c r="P128" s="1013">
        <f t="shared" si="32"/>
        <v>579577</v>
      </c>
      <c r="Q128" s="1016">
        <v>0</v>
      </c>
      <c r="R128" s="1013">
        <f t="shared" si="33"/>
        <v>0</v>
      </c>
      <c r="S128" s="1013">
        <f t="shared" si="34"/>
        <v>4984362</v>
      </c>
      <c r="T128" s="1017">
        <v>0</v>
      </c>
      <c r="U128" s="785">
        <v>0</v>
      </c>
      <c r="V128" s="785">
        <v>200000</v>
      </c>
      <c r="W128" s="1017">
        <v>500000</v>
      </c>
      <c r="X128" s="1017">
        <v>0</v>
      </c>
      <c r="Y128" s="1017">
        <v>400000</v>
      </c>
      <c r="Z128" s="1017">
        <v>416683</v>
      </c>
      <c r="AA128" s="1018"/>
      <c r="AB128" s="1013"/>
      <c r="AC128" s="1017">
        <v>0</v>
      </c>
      <c r="AD128" s="1017">
        <v>0</v>
      </c>
      <c r="AE128" s="1013">
        <v>0</v>
      </c>
      <c r="AF128" s="1019"/>
      <c r="AG128" s="1019">
        <f t="shared" si="1"/>
        <v>6501045</v>
      </c>
      <c r="AH128" s="1014">
        <v>48</v>
      </c>
      <c r="AI128" s="1014">
        <v>0</v>
      </c>
      <c r="AJ128" s="1014">
        <v>0</v>
      </c>
      <c r="AK128" s="1018">
        <v>0</v>
      </c>
      <c r="AL128" s="1020">
        <v>0</v>
      </c>
      <c r="AM128" s="1013">
        <f t="shared" si="26"/>
        <v>1738731</v>
      </c>
      <c r="AN128" s="1045">
        <f t="shared" si="36"/>
        <v>8239776</v>
      </c>
      <c r="AO128" s="1013">
        <v>527415</v>
      </c>
      <c r="AP128" s="1013">
        <v>44100</v>
      </c>
      <c r="AQ128" s="1013">
        <v>0</v>
      </c>
      <c r="AR128" s="1013">
        <v>0</v>
      </c>
      <c r="AS128" s="1013">
        <v>0</v>
      </c>
      <c r="AT128" s="1045">
        <f t="shared" si="4"/>
        <v>7668261</v>
      </c>
      <c r="AU128" s="1004"/>
      <c r="AV128" s="870"/>
      <c r="AW128" s="782" t="s">
        <v>3568</v>
      </c>
      <c r="AX128" s="782" t="s">
        <v>3569</v>
      </c>
      <c r="AY128" s="1007" t="s">
        <v>287</v>
      </c>
      <c r="AZ128" s="1007">
        <v>622</v>
      </c>
      <c r="BA128" s="347" t="str">
        <f t="shared" si="27"/>
        <v>Box</v>
      </c>
      <c r="BB128" s="1008"/>
      <c r="BC128" s="1009"/>
      <c r="BD128" s="1009"/>
    </row>
    <row r="129" spans="1:56" s="1010" customFormat="1" ht="36.75" customHeight="1">
      <c r="A129" s="661">
        <f>SUBTOTAL(3,B$6:B129)</f>
        <v>124</v>
      </c>
      <c r="B129" s="661" t="s">
        <v>1043</v>
      </c>
      <c r="C129" s="662" t="s">
        <v>1044</v>
      </c>
      <c r="D129" s="1011">
        <v>39903</v>
      </c>
      <c r="E129" s="1011" t="s">
        <v>216</v>
      </c>
      <c r="F129" s="787" t="s">
        <v>695</v>
      </c>
      <c r="G129" s="996" t="s">
        <v>850</v>
      </c>
      <c r="H129" s="1012">
        <v>5931000</v>
      </c>
      <c r="I129" s="1012">
        <v>1100000</v>
      </c>
      <c r="J129" s="1012">
        <v>0</v>
      </c>
      <c r="K129" s="1012">
        <v>500000</v>
      </c>
      <c r="L129" s="1013">
        <f t="shared" si="0"/>
        <v>7531000</v>
      </c>
      <c r="M129" s="1014">
        <v>24</v>
      </c>
      <c r="N129" s="1013">
        <f t="shared" si="31"/>
        <v>6951692</v>
      </c>
      <c r="O129" s="1015">
        <v>2</v>
      </c>
      <c r="P129" s="1013">
        <f t="shared" si="32"/>
        <v>579308</v>
      </c>
      <c r="Q129" s="1016">
        <v>0</v>
      </c>
      <c r="R129" s="1013">
        <f t="shared" si="33"/>
        <v>0</v>
      </c>
      <c r="S129" s="1013">
        <f t="shared" si="34"/>
        <v>7531000</v>
      </c>
      <c r="T129" s="1017">
        <v>0</v>
      </c>
      <c r="U129" s="785">
        <v>0</v>
      </c>
      <c r="V129" s="785">
        <v>200000</v>
      </c>
      <c r="W129" s="1017">
        <v>500000</v>
      </c>
      <c r="X129" s="1017">
        <v>0</v>
      </c>
      <c r="Y129" s="1017">
        <v>400000</v>
      </c>
      <c r="Z129" s="1017">
        <v>422567</v>
      </c>
      <c r="AA129" s="1018"/>
      <c r="AB129" s="1013"/>
      <c r="AC129" s="1017">
        <v>0</v>
      </c>
      <c r="AD129" s="1017">
        <v>0</v>
      </c>
      <c r="AE129" s="1013">
        <v>54310.09375</v>
      </c>
      <c r="AF129" s="1019"/>
      <c r="AG129" s="1019">
        <f t="shared" si="1"/>
        <v>9107877</v>
      </c>
      <c r="AH129" s="1014">
        <v>52</v>
      </c>
      <c r="AI129" s="1014">
        <v>0</v>
      </c>
      <c r="AJ129" s="1014">
        <v>0</v>
      </c>
      <c r="AK129" s="1018">
        <v>0</v>
      </c>
      <c r="AL129" s="1020">
        <v>0</v>
      </c>
      <c r="AM129" s="1013">
        <f t="shared" si="26"/>
        <v>2824125</v>
      </c>
      <c r="AN129" s="1045">
        <f t="shared" si="36"/>
        <v>11932002</v>
      </c>
      <c r="AO129" s="1013">
        <v>790755</v>
      </c>
      <c r="AP129" s="1013">
        <v>44100</v>
      </c>
      <c r="AQ129" s="1013">
        <v>0</v>
      </c>
      <c r="AR129" s="1013">
        <v>0</v>
      </c>
      <c r="AS129" s="1013">
        <v>0</v>
      </c>
      <c r="AT129" s="1045">
        <f t="shared" si="4"/>
        <v>11097147</v>
      </c>
      <c r="AU129" s="1004"/>
      <c r="AV129" s="870"/>
      <c r="AW129" s="782" t="s">
        <v>3570</v>
      </c>
      <c r="AX129" s="782" t="s">
        <v>3571</v>
      </c>
      <c r="AY129" s="1007" t="s">
        <v>287</v>
      </c>
      <c r="AZ129" s="1007">
        <v>622</v>
      </c>
      <c r="BA129" s="347" t="str">
        <f t="shared" si="27"/>
        <v>Box</v>
      </c>
      <c r="BB129" s="1008"/>
      <c r="BC129" s="1009"/>
      <c r="BD129" s="1009"/>
    </row>
    <row r="130" spans="1:56" s="1010" customFormat="1" ht="36.75" customHeight="1">
      <c r="A130" s="661">
        <f>SUBTOTAL(3,B$6:B130)</f>
        <v>125</v>
      </c>
      <c r="B130" s="661" t="s">
        <v>1045</v>
      </c>
      <c r="C130" s="662" t="s">
        <v>1046</v>
      </c>
      <c r="D130" s="1011">
        <v>40238</v>
      </c>
      <c r="E130" s="1011" t="s">
        <v>216</v>
      </c>
      <c r="F130" s="787" t="s">
        <v>695</v>
      </c>
      <c r="G130" s="996" t="s">
        <v>786</v>
      </c>
      <c r="H130" s="1012">
        <v>5931000</v>
      </c>
      <c r="I130" s="1012">
        <v>200000</v>
      </c>
      <c r="J130" s="1012">
        <v>0</v>
      </c>
      <c r="K130" s="1012">
        <v>0</v>
      </c>
      <c r="L130" s="1013">
        <f t="shared" si="0"/>
        <v>6131000</v>
      </c>
      <c r="M130" s="1014">
        <v>23</v>
      </c>
      <c r="N130" s="1013">
        <f t="shared" si="31"/>
        <v>5423577</v>
      </c>
      <c r="O130" s="1015">
        <v>3</v>
      </c>
      <c r="P130" s="1013">
        <f t="shared" si="32"/>
        <v>707423</v>
      </c>
      <c r="Q130" s="1016">
        <v>0</v>
      </c>
      <c r="R130" s="1013">
        <f t="shared" si="33"/>
        <v>0</v>
      </c>
      <c r="S130" s="1013">
        <f t="shared" si="34"/>
        <v>6131000</v>
      </c>
      <c r="T130" s="1017">
        <v>0</v>
      </c>
      <c r="U130" s="785">
        <v>0</v>
      </c>
      <c r="V130" s="785">
        <v>200000</v>
      </c>
      <c r="W130" s="1017">
        <v>500000</v>
      </c>
      <c r="X130" s="1017">
        <v>0</v>
      </c>
      <c r="Y130" s="1017">
        <v>400000</v>
      </c>
      <c r="Z130" s="1017">
        <v>464305</v>
      </c>
      <c r="AA130" s="1018"/>
      <c r="AB130" s="1013"/>
      <c r="AC130" s="1017">
        <v>0</v>
      </c>
      <c r="AD130" s="1017">
        <v>0</v>
      </c>
      <c r="AE130" s="1013">
        <v>44213.942934782608</v>
      </c>
      <c r="AF130" s="1019"/>
      <c r="AG130" s="1019">
        <f t="shared" si="1"/>
        <v>7739519</v>
      </c>
      <c r="AH130" s="1014">
        <v>48</v>
      </c>
      <c r="AI130" s="1014">
        <v>0</v>
      </c>
      <c r="AJ130" s="1014">
        <v>0</v>
      </c>
      <c r="AK130" s="1018">
        <v>0</v>
      </c>
      <c r="AL130" s="1020">
        <v>0</v>
      </c>
      <c r="AM130" s="1013">
        <f t="shared" si="26"/>
        <v>2122269</v>
      </c>
      <c r="AN130" s="1045">
        <f t="shared" si="36"/>
        <v>9861788</v>
      </c>
      <c r="AO130" s="1013">
        <v>643755</v>
      </c>
      <c r="AP130" s="1013">
        <v>44100</v>
      </c>
      <c r="AQ130" s="1013">
        <v>0</v>
      </c>
      <c r="AR130" s="1013">
        <v>0</v>
      </c>
      <c r="AS130" s="1013">
        <v>0</v>
      </c>
      <c r="AT130" s="1045">
        <f t="shared" si="4"/>
        <v>9173933</v>
      </c>
      <c r="AU130" s="1004"/>
      <c r="AV130" s="870"/>
      <c r="AW130" s="782" t="s">
        <v>3572</v>
      </c>
      <c r="AX130" s="782" t="s">
        <v>3573</v>
      </c>
      <c r="AY130" s="1007" t="s">
        <v>287</v>
      </c>
      <c r="AZ130" s="1007">
        <v>622</v>
      </c>
      <c r="BA130" s="347" t="str">
        <f t="shared" si="27"/>
        <v>Box</v>
      </c>
      <c r="BB130" s="1008"/>
      <c r="BC130" s="1009"/>
      <c r="BD130" s="1009"/>
    </row>
    <row r="131" spans="1:56" s="1010" customFormat="1" ht="36.75" customHeight="1">
      <c r="A131" s="661">
        <f>SUBTOTAL(3,B$6:B131)</f>
        <v>126</v>
      </c>
      <c r="B131" s="661" t="s">
        <v>1047</v>
      </c>
      <c r="C131" s="662" t="s">
        <v>1048</v>
      </c>
      <c r="D131" s="1011">
        <v>40591</v>
      </c>
      <c r="E131" s="1011" t="s">
        <v>216</v>
      </c>
      <c r="F131" s="787" t="s">
        <v>695</v>
      </c>
      <c r="G131" s="996" t="s">
        <v>786</v>
      </c>
      <c r="H131" s="1012">
        <v>5931000</v>
      </c>
      <c r="I131" s="1012">
        <v>200000</v>
      </c>
      <c r="J131" s="1012">
        <v>0</v>
      </c>
      <c r="K131" s="1012">
        <v>0</v>
      </c>
      <c r="L131" s="1013">
        <f t="shared" si="0"/>
        <v>6131000</v>
      </c>
      <c r="M131" s="1014">
        <v>22</v>
      </c>
      <c r="N131" s="1013">
        <f t="shared" si="31"/>
        <v>5187769</v>
      </c>
      <c r="O131" s="1015">
        <v>2</v>
      </c>
      <c r="P131" s="1013">
        <f t="shared" si="32"/>
        <v>471615</v>
      </c>
      <c r="Q131" s="1016">
        <v>0</v>
      </c>
      <c r="R131" s="1013">
        <f t="shared" si="33"/>
        <v>0</v>
      </c>
      <c r="S131" s="1013">
        <f t="shared" si="34"/>
        <v>5659384</v>
      </c>
      <c r="T131" s="1017">
        <v>0</v>
      </c>
      <c r="U131" s="785">
        <v>0</v>
      </c>
      <c r="V131" s="785">
        <v>200000</v>
      </c>
      <c r="W131" s="1017">
        <v>0</v>
      </c>
      <c r="X131" s="1017">
        <v>0</v>
      </c>
      <c r="Y131" s="1017">
        <v>150000</v>
      </c>
      <c r="Z131" s="1017">
        <v>415847</v>
      </c>
      <c r="AA131" s="1018"/>
      <c r="AB131" s="1013"/>
      <c r="AC131" s="1017">
        <v>0</v>
      </c>
      <c r="AD131" s="1017">
        <v>0</v>
      </c>
      <c r="AE131" s="1013">
        <v>44213.940340909088</v>
      </c>
      <c r="AF131" s="1019"/>
      <c r="AG131" s="1019">
        <f t="shared" si="1"/>
        <v>6469445</v>
      </c>
      <c r="AH131" s="1014">
        <v>44</v>
      </c>
      <c r="AI131" s="1014">
        <v>0</v>
      </c>
      <c r="AJ131" s="1014">
        <v>0</v>
      </c>
      <c r="AK131" s="1018">
        <v>0</v>
      </c>
      <c r="AL131" s="1020">
        <v>0</v>
      </c>
      <c r="AM131" s="1013">
        <f t="shared" si="26"/>
        <v>1945413</v>
      </c>
      <c r="AN131" s="1045">
        <f t="shared" si="36"/>
        <v>8414858</v>
      </c>
      <c r="AO131" s="1013">
        <v>643755</v>
      </c>
      <c r="AP131" s="1013">
        <v>44100</v>
      </c>
      <c r="AQ131" s="1013">
        <v>0</v>
      </c>
      <c r="AR131" s="1013">
        <v>0</v>
      </c>
      <c r="AS131" s="1013">
        <v>0</v>
      </c>
      <c r="AT131" s="1045">
        <f t="shared" si="4"/>
        <v>7727003</v>
      </c>
      <c r="AU131" s="1004"/>
      <c r="AV131" s="870"/>
      <c r="AW131" s="782" t="s">
        <v>3574</v>
      </c>
      <c r="AX131" s="782" t="s">
        <v>3575</v>
      </c>
      <c r="AY131" s="1007" t="s">
        <v>287</v>
      </c>
      <c r="AZ131" s="1007">
        <v>622</v>
      </c>
      <c r="BA131" s="347" t="str">
        <f t="shared" si="27"/>
        <v>Box</v>
      </c>
      <c r="BB131" s="1008"/>
      <c r="BC131" s="1009"/>
      <c r="BD131" s="1009"/>
    </row>
    <row r="132" spans="1:56" s="1010" customFormat="1" ht="36.75" customHeight="1">
      <c r="A132" s="661">
        <f>SUBTOTAL(3,B$6:B132)</f>
        <v>127</v>
      </c>
      <c r="B132" s="661" t="s">
        <v>1049</v>
      </c>
      <c r="C132" s="662" t="s">
        <v>1050</v>
      </c>
      <c r="D132" s="1011">
        <v>40800</v>
      </c>
      <c r="E132" s="1011" t="s">
        <v>216</v>
      </c>
      <c r="F132" s="787" t="s">
        <v>695</v>
      </c>
      <c r="G132" s="996" t="s">
        <v>786</v>
      </c>
      <c r="H132" s="1012">
        <v>5931000</v>
      </c>
      <c r="I132" s="1012">
        <v>200000</v>
      </c>
      <c r="J132" s="1012">
        <v>0</v>
      </c>
      <c r="K132" s="1012">
        <v>0</v>
      </c>
      <c r="L132" s="1013">
        <f t="shared" si="0"/>
        <v>6131000</v>
      </c>
      <c r="M132" s="1014">
        <v>24</v>
      </c>
      <c r="N132" s="1013">
        <f t="shared" si="31"/>
        <v>5659385</v>
      </c>
      <c r="O132" s="1015">
        <v>2</v>
      </c>
      <c r="P132" s="1013">
        <f t="shared" si="32"/>
        <v>471615</v>
      </c>
      <c r="Q132" s="1016">
        <v>0</v>
      </c>
      <c r="R132" s="1013">
        <f t="shared" si="33"/>
        <v>0</v>
      </c>
      <c r="S132" s="1013">
        <f t="shared" si="34"/>
        <v>6131000</v>
      </c>
      <c r="T132" s="1017">
        <v>0</v>
      </c>
      <c r="U132" s="785">
        <v>0</v>
      </c>
      <c r="V132" s="785">
        <v>200000</v>
      </c>
      <c r="W132" s="1017">
        <v>500000</v>
      </c>
      <c r="X132" s="1017">
        <v>0</v>
      </c>
      <c r="Y132" s="1017">
        <v>400000</v>
      </c>
      <c r="Z132" s="1017">
        <v>433982</v>
      </c>
      <c r="AA132" s="1018"/>
      <c r="AB132" s="1013"/>
      <c r="AC132" s="1017">
        <v>0</v>
      </c>
      <c r="AD132" s="1017">
        <v>0</v>
      </c>
      <c r="AE132" s="1013">
        <v>44213.9453125</v>
      </c>
      <c r="AF132" s="1019"/>
      <c r="AG132" s="1019">
        <f t="shared" si="1"/>
        <v>7709196</v>
      </c>
      <c r="AH132" s="1014">
        <v>52</v>
      </c>
      <c r="AI132" s="1014">
        <v>0</v>
      </c>
      <c r="AJ132" s="1014">
        <v>0</v>
      </c>
      <c r="AK132" s="1018">
        <v>0</v>
      </c>
      <c r="AL132" s="1020">
        <v>0</v>
      </c>
      <c r="AM132" s="1013">
        <f t="shared" si="26"/>
        <v>2299125</v>
      </c>
      <c r="AN132" s="1045">
        <f t="shared" si="36"/>
        <v>10008321</v>
      </c>
      <c r="AO132" s="1013">
        <v>643755</v>
      </c>
      <c r="AP132" s="1013">
        <v>44100</v>
      </c>
      <c r="AQ132" s="1013">
        <v>0</v>
      </c>
      <c r="AR132" s="1013">
        <v>0</v>
      </c>
      <c r="AS132" s="1013">
        <v>0</v>
      </c>
      <c r="AT132" s="1045">
        <f t="shared" si="4"/>
        <v>9320466</v>
      </c>
      <c r="AU132" s="1004"/>
      <c r="AV132" s="870"/>
      <c r="AW132" s="782" t="s">
        <v>3576</v>
      </c>
      <c r="AX132" s="782" t="s">
        <v>3577</v>
      </c>
      <c r="AY132" s="1007" t="s">
        <v>287</v>
      </c>
      <c r="AZ132" s="1007">
        <v>622</v>
      </c>
      <c r="BA132" s="347" t="str">
        <f t="shared" si="27"/>
        <v>Box</v>
      </c>
      <c r="BB132" s="1008"/>
      <c r="BC132" s="1009"/>
      <c r="BD132" s="1009"/>
    </row>
    <row r="133" spans="1:56" s="1010" customFormat="1" ht="36.75" customHeight="1">
      <c r="A133" s="661">
        <f>SUBTOTAL(3,B$6:B133)</f>
        <v>128</v>
      </c>
      <c r="B133" s="661" t="s">
        <v>1051</v>
      </c>
      <c r="C133" s="662" t="s">
        <v>1052</v>
      </c>
      <c r="D133" s="1011">
        <v>41327</v>
      </c>
      <c r="E133" s="1011" t="s">
        <v>216</v>
      </c>
      <c r="F133" s="787" t="s">
        <v>695</v>
      </c>
      <c r="G133" s="996" t="s">
        <v>810</v>
      </c>
      <c r="H133" s="1012">
        <v>5931000</v>
      </c>
      <c r="I133" s="1012">
        <v>1100000</v>
      </c>
      <c r="J133" s="1012">
        <v>0</v>
      </c>
      <c r="K133" s="1012">
        <v>0</v>
      </c>
      <c r="L133" s="1013">
        <f t="shared" si="0"/>
        <v>7031000</v>
      </c>
      <c r="M133" s="1014">
        <v>24</v>
      </c>
      <c r="N133" s="1013">
        <f t="shared" si="31"/>
        <v>6490154</v>
      </c>
      <c r="O133" s="1015">
        <v>2</v>
      </c>
      <c r="P133" s="1013">
        <f t="shared" si="32"/>
        <v>540846</v>
      </c>
      <c r="Q133" s="1016">
        <v>0</v>
      </c>
      <c r="R133" s="1013">
        <f t="shared" si="33"/>
        <v>0</v>
      </c>
      <c r="S133" s="1013">
        <f t="shared" si="34"/>
        <v>7031000</v>
      </c>
      <c r="T133" s="1017">
        <v>0</v>
      </c>
      <c r="U133" s="785">
        <v>0</v>
      </c>
      <c r="V133" s="785">
        <v>200000</v>
      </c>
      <c r="W133" s="1017">
        <v>500000</v>
      </c>
      <c r="X133" s="1017">
        <v>0</v>
      </c>
      <c r="Y133" s="1017">
        <v>400000</v>
      </c>
      <c r="Z133" s="1017">
        <v>422567</v>
      </c>
      <c r="AA133" s="1018"/>
      <c r="AB133" s="1013"/>
      <c r="AC133" s="1017">
        <v>100000</v>
      </c>
      <c r="AD133" s="1017">
        <v>0</v>
      </c>
      <c r="AE133" s="1013">
        <v>0</v>
      </c>
      <c r="AF133" s="1019"/>
      <c r="AG133" s="1019">
        <f t="shared" si="1"/>
        <v>8653567</v>
      </c>
      <c r="AH133" s="1014">
        <v>48</v>
      </c>
      <c r="AI133" s="1014">
        <v>0</v>
      </c>
      <c r="AJ133" s="1014">
        <v>0</v>
      </c>
      <c r="AK133" s="1018">
        <v>0</v>
      </c>
      <c r="AL133" s="1020">
        <v>0</v>
      </c>
      <c r="AM133" s="1013">
        <f t="shared" si="26"/>
        <v>2433808</v>
      </c>
      <c r="AN133" s="1045">
        <f t="shared" si="36"/>
        <v>11087375</v>
      </c>
      <c r="AO133" s="1013">
        <v>738255</v>
      </c>
      <c r="AP133" s="1013">
        <v>44100</v>
      </c>
      <c r="AQ133" s="1013">
        <v>0</v>
      </c>
      <c r="AR133" s="1013">
        <v>0</v>
      </c>
      <c r="AS133" s="1013">
        <v>0</v>
      </c>
      <c r="AT133" s="1045">
        <f t="shared" si="4"/>
        <v>10305020</v>
      </c>
      <c r="AU133" s="1004"/>
      <c r="AV133" s="870"/>
      <c r="AW133" s="782" t="s">
        <v>3578</v>
      </c>
      <c r="AX133" s="782" t="s">
        <v>3579</v>
      </c>
      <c r="AY133" s="1007" t="s">
        <v>287</v>
      </c>
      <c r="AZ133" s="1007">
        <v>622</v>
      </c>
      <c r="BA133" s="347" t="str">
        <f t="shared" si="27"/>
        <v>Box</v>
      </c>
      <c r="BB133" s="1008"/>
      <c r="BC133" s="1009"/>
      <c r="BD133" s="1009"/>
    </row>
    <row r="134" spans="1:56" s="1010" customFormat="1" ht="36.75" customHeight="1">
      <c r="A134" s="661">
        <f>SUBTOTAL(3,B$6:B134)</f>
        <v>129</v>
      </c>
      <c r="B134" s="661" t="s">
        <v>1053</v>
      </c>
      <c r="C134" s="662" t="s">
        <v>1054</v>
      </c>
      <c r="D134" s="1011">
        <v>41330</v>
      </c>
      <c r="E134" s="1011" t="s">
        <v>216</v>
      </c>
      <c r="F134" s="787" t="s">
        <v>695</v>
      </c>
      <c r="G134" s="996" t="s">
        <v>797</v>
      </c>
      <c r="H134" s="1012">
        <v>5931000</v>
      </c>
      <c r="I134" s="1012">
        <v>0</v>
      </c>
      <c r="J134" s="1012">
        <v>0</v>
      </c>
      <c r="K134" s="1012">
        <v>0</v>
      </c>
      <c r="L134" s="1013">
        <f t="shared" si="0"/>
        <v>5931000</v>
      </c>
      <c r="M134" s="1014">
        <v>21</v>
      </c>
      <c r="N134" s="1013">
        <f t="shared" si="31"/>
        <v>4790423</v>
      </c>
      <c r="O134" s="1015">
        <v>2</v>
      </c>
      <c r="P134" s="1013">
        <f t="shared" si="32"/>
        <v>456231</v>
      </c>
      <c r="Q134" s="1016">
        <v>0</v>
      </c>
      <c r="R134" s="1013">
        <f t="shared" si="33"/>
        <v>0</v>
      </c>
      <c r="S134" s="1013">
        <f t="shared" si="34"/>
        <v>5246654</v>
      </c>
      <c r="T134" s="1017">
        <v>0</v>
      </c>
      <c r="U134" s="785">
        <v>0</v>
      </c>
      <c r="V134" s="785">
        <v>200000</v>
      </c>
      <c r="W134" s="1017">
        <v>0</v>
      </c>
      <c r="X134" s="1017">
        <v>0</v>
      </c>
      <c r="Y134" s="1017">
        <v>0</v>
      </c>
      <c r="Z134" s="1017">
        <v>382550</v>
      </c>
      <c r="AA134" s="1018"/>
      <c r="AB134" s="1013"/>
      <c r="AC134" s="1017">
        <v>0</v>
      </c>
      <c r="AD134" s="1017">
        <v>0</v>
      </c>
      <c r="AE134" s="1013">
        <v>42771.633928571428</v>
      </c>
      <c r="AF134" s="1019"/>
      <c r="AG134" s="1019">
        <f t="shared" si="1"/>
        <v>5871976</v>
      </c>
      <c r="AH134" s="1014">
        <v>48</v>
      </c>
      <c r="AI134" s="1014">
        <v>0</v>
      </c>
      <c r="AJ134" s="1014">
        <v>0</v>
      </c>
      <c r="AK134" s="1018">
        <v>0</v>
      </c>
      <c r="AL134" s="1020">
        <v>0</v>
      </c>
      <c r="AM134" s="1013">
        <f t="shared" si="26"/>
        <v>2053038</v>
      </c>
      <c r="AN134" s="1045">
        <f t="shared" si="36"/>
        <v>7925014</v>
      </c>
      <c r="AO134" s="1013">
        <v>622755</v>
      </c>
      <c r="AP134" s="1013">
        <v>44100</v>
      </c>
      <c r="AQ134" s="1013">
        <v>0</v>
      </c>
      <c r="AR134" s="1013">
        <v>0</v>
      </c>
      <c r="AS134" s="1013">
        <v>0</v>
      </c>
      <c r="AT134" s="1045">
        <f t="shared" si="4"/>
        <v>7258159</v>
      </c>
      <c r="AU134" s="1004"/>
      <c r="AV134" s="870"/>
      <c r="AW134" s="782" t="s">
        <v>3580</v>
      </c>
      <c r="AX134" s="782" t="s">
        <v>3581</v>
      </c>
      <c r="AY134" s="1007" t="s">
        <v>287</v>
      </c>
      <c r="AZ134" s="1007">
        <v>622</v>
      </c>
      <c r="BA134" s="347" t="str">
        <f t="shared" si="27"/>
        <v>Box</v>
      </c>
      <c r="BB134" s="1008"/>
      <c r="BC134" s="1009"/>
      <c r="BD134" s="1009"/>
    </row>
    <row r="135" spans="1:56" s="1010" customFormat="1" ht="36.75" customHeight="1">
      <c r="A135" s="661">
        <f>SUBTOTAL(3,B$6:B135)</f>
        <v>130</v>
      </c>
      <c r="B135" s="661" t="s">
        <v>1055</v>
      </c>
      <c r="C135" s="662" t="s">
        <v>1056</v>
      </c>
      <c r="D135" s="1011">
        <v>41715</v>
      </c>
      <c r="E135" s="1011" t="s">
        <v>216</v>
      </c>
      <c r="F135" s="787" t="s">
        <v>695</v>
      </c>
      <c r="G135" s="996" t="s">
        <v>786</v>
      </c>
      <c r="H135" s="1012">
        <v>5931000</v>
      </c>
      <c r="I135" s="1012">
        <v>200000</v>
      </c>
      <c r="J135" s="1012">
        <v>0</v>
      </c>
      <c r="K135" s="1012">
        <v>0</v>
      </c>
      <c r="L135" s="1013">
        <f t="shared" si="0"/>
        <v>6131000</v>
      </c>
      <c r="M135" s="1014">
        <v>24</v>
      </c>
      <c r="N135" s="1013">
        <f t="shared" si="31"/>
        <v>5659385</v>
      </c>
      <c r="O135" s="1015">
        <v>2</v>
      </c>
      <c r="P135" s="1013">
        <f t="shared" si="32"/>
        <v>471615</v>
      </c>
      <c r="Q135" s="1016">
        <v>0</v>
      </c>
      <c r="R135" s="1013">
        <f t="shared" si="33"/>
        <v>0</v>
      </c>
      <c r="S135" s="1013">
        <f t="shared" si="34"/>
        <v>6131000</v>
      </c>
      <c r="T135" s="1017">
        <v>0</v>
      </c>
      <c r="U135" s="785">
        <v>0</v>
      </c>
      <c r="V135" s="785">
        <v>200000</v>
      </c>
      <c r="W135" s="1017">
        <v>500000</v>
      </c>
      <c r="X135" s="1017">
        <v>0</v>
      </c>
      <c r="Y135" s="1017">
        <v>400000</v>
      </c>
      <c r="Z135" s="1017">
        <v>488057</v>
      </c>
      <c r="AA135" s="1018"/>
      <c r="AB135" s="1013"/>
      <c r="AC135" s="1017">
        <v>100000</v>
      </c>
      <c r="AD135" s="1017">
        <v>0</v>
      </c>
      <c r="AE135" s="1013">
        <v>44213.9453125</v>
      </c>
      <c r="AF135" s="1019"/>
      <c r="AG135" s="1019">
        <f t="shared" si="1"/>
        <v>7863271</v>
      </c>
      <c r="AH135" s="1014">
        <v>52</v>
      </c>
      <c r="AI135" s="1014">
        <v>0</v>
      </c>
      <c r="AJ135" s="1014">
        <v>0</v>
      </c>
      <c r="AK135" s="1018">
        <v>0</v>
      </c>
      <c r="AL135" s="1020">
        <v>0</v>
      </c>
      <c r="AM135" s="1013">
        <f t="shared" ref="AM135:AM198" si="37">ROUND((N135/IF(M135&gt;26,26,M135)/8*(AH135*$AH$5+AI135*$AI$5+AJ135*$AJ$5+AK135*$AK$5+AL135*$AL$5)),0)</f>
        <v>2299125</v>
      </c>
      <c r="AN135" s="1045">
        <f>ROUND(AG135+AM135,0)</f>
        <v>10162396</v>
      </c>
      <c r="AO135" s="1013">
        <v>643755</v>
      </c>
      <c r="AP135" s="1013">
        <v>44100</v>
      </c>
      <c r="AQ135" s="1013">
        <v>0</v>
      </c>
      <c r="AR135" s="1013">
        <v>0</v>
      </c>
      <c r="AS135" s="1013">
        <v>0</v>
      </c>
      <c r="AT135" s="1045">
        <f t="shared" si="4"/>
        <v>9474541</v>
      </c>
      <c r="AU135" s="1004"/>
      <c r="AV135" s="870"/>
      <c r="AW135" s="782" t="s">
        <v>3582</v>
      </c>
      <c r="AX135" s="782" t="s">
        <v>3583</v>
      </c>
      <c r="AY135" s="1007" t="s">
        <v>287</v>
      </c>
      <c r="AZ135" s="1007">
        <v>622</v>
      </c>
      <c r="BA135" s="347" t="str">
        <f t="shared" ref="BA135:BA198" si="38">+IF(AY135="SK1 Box","Box",IF(AY135="Seaman","Seaman","Bag"))</f>
        <v>Box</v>
      </c>
      <c r="BB135" s="1008"/>
      <c r="BC135" s="1009"/>
      <c r="BD135" s="1009"/>
    </row>
    <row r="136" spans="1:56" s="1010" customFormat="1" ht="36.75" customHeight="1">
      <c r="A136" s="661">
        <f>SUBTOTAL(3,B$6:B136)</f>
        <v>131</v>
      </c>
      <c r="B136" s="661" t="s">
        <v>1057</v>
      </c>
      <c r="C136" s="662" t="s">
        <v>1058</v>
      </c>
      <c r="D136" s="1011">
        <v>41730</v>
      </c>
      <c r="E136" s="1011" t="s">
        <v>216</v>
      </c>
      <c r="F136" s="787" t="s">
        <v>695</v>
      </c>
      <c r="G136" s="996" t="s">
        <v>797</v>
      </c>
      <c r="H136" s="1012">
        <v>5931000</v>
      </c>
      <c r="I136" s="1012">
        <v>0</v>
      </c>
      <c r="J136" s="1012">
        <v>0</v>
      </c>
      <c r="K136" s="1012">
        <v>0</v>
      </c>
      <c r="L136" s="1013">
        <f t="shared" si="0"/>
        <v>5931000</v>
      </c>
      <c r="M136" s="1014">
        <v>22.7</v>
      </c>
      <c r="N136" s="1013">
        <f t="shared" si="31"/>
        <v>5178219</v>
      </c>
      <c r="O136" s="1015">
        <v>3</v>
      </c>
      <c r="P136" s="1013">
        <f t="shared" si="32"/>
        <v>684346</v>
      </c>
      <c r="Q136" s="1016">
        <v>0</v>
      </c>
      <c r="R136" s="1013">
        <f t="shared" si="33"/>
        <v>0</v>
      </c>
      <c r="S136" s="1013">
        <f t="shared" si="34"/>
        <v>5862565</v>
      </c>
      <c r="T136" s="1017">
        <v>0</v>
      </c>
      <c r="U136" s="785">
        <v>0</v>
      </c>
      <c r="V136" s="785">
        <v>200000</v>
      </c>
      <c r="W136" s="1017">
        <v>500000</v>
      </c>
      <c r="X136" s="1017">
        <v>0</v>
      </c>
      <c r="Y136" s="1017">
        <v>400000</v>
      </c>
      <c r="Z136" s="1017">
        <v>452003</v>
      </c>
      <c r="AA136" s="1018"/>
      <c r="AB136" s="1013"/>
      <c r="AC136" s="1017">
        <v>0</v>
      </c>
      <c r="AD136" s="1017">
        <v>0</v>
      </c>
      <c r="AE136" s="1013">
        <v>42771.632709251098</v>
      </c>
      <c r="AF136" s="1019"/>
      <c r="AG136" s="1019">
        <f t="shared" si="1"/>
        <v>7457340</v>
      </c>
      <c r="AH136" s="1014">
        <v>48</v>
      </c>
      <c r="AI136" s="1014">
        <v>0</v>
      </c>
      <c r="AJ136" s="1014">
        <v>0</v>
      </c>
      <c r="AK136" s="1018">
        <v>0</v>
      </c>
      <c r="AL136" s="1020">
        <v>0</v>
      </c>
      <c r="AM136" s="1013">
        <f t="shared" si="37"/>
        <v>2053038</v>
      </c>
      <c r="AN136" s="1045">
        <f t="shared" ref="AN136:AN143" si="39">ROUND(AG136+AM136,0)</f>
        <v>9510378</v>
      </c>
      <c r="AO136" s="1013">
        <v>622755</v>
      </c>
      <c r="AP136" s="1013">
        <v>44100</v>
      </c>
      <c r="AQ136" s="1013">
        <v>0</v>
      </c>
      <c r="AR136" s="1013">
        <v>0</v>
      </c>
      <c r="AS136" s="1013">
        <v>0</v>
      </c>
      <c r="AT136" s="1045">
        <f t="shared" si="4"/>
        <v>8843523</v>
      </c>
      <c r="AU136" s="1004"/>
      <c r="AV136" s="870"/>
      <c r="AW136" s="782" t="s">
        <v>3584</v>
      </c>
      <c r="AX136" s="782" t="s">
        <v>3585</v>
      </c>
      <c r="AY136" s="1007" t="s">
        <v>287</v>
      </c>
      <c r="AZ136" s="1007">
        <v>622</v>
      </c>
      <c r="BA136" s="347" t="str">
        <f t="shared" si="38"/>
        <v>Box</v>
      </c>
      <c r="BB136" s="1008"/>
      <c r="BC136" s="1009"/>
      <c r="BD136" s="1009"/>
    </row>
    <row r="137" spans="1:56" s="1010" customFormat="1" ht="36.75" customHeight="1">
      <c r="A137" s="661">
        <f>SUBTOTAL(3,B$6:B137)</f>
        <v>132</v>
      </c>
      <c r="B137" s="661" t="s">
        <v>1059</v>
      </c>
      <c r="C137" s="662" t="s">
        <v>1060</v>
      </c>
      <c r="D137" s="1011">
        <v>41744</v>
      </c>
      <c r="E137" s="1011" t="s">
        <v>216</v>
      </c>
      <c r="F137" s="787" t="s">
        <v>695</v>
      </c>
      <c r="G137" s="996" t="s">
        <v>786</v>
      </c>
      <c r="H137" s="1012">
        <v>5931000</v>
      </c>
      <c r="I137" s="1012">
        <v>200000</v>
      </c>
      <c r="J137" s="1012">
        <v>0</v>
      </c>
      <c r="K137" s="1012">
        <v>0</v>
      </c>
      <c r="L137" s="1013">
        <f t="shared" si="0"/>
        <v>6131000</v>
      </c>
      <c r="M137" s="1014">
        <v>23.9</v>
      </c>
      <c r="N137" s="1013">
        <f t="shared" si="31"/>
        <v>5635804</v>
      </c>
      <c r="O137" s="1015">
        <v>2</v>
      </c>
      <c r="P137" s="1013">
        <f t="shared" si="32"/>
        <v>471615</v>
      </c>
      <c r="Q137" s="1016">
        <v>0</v>
      </c>
      <c r="R137" s="1013">
        <f t="shared" si="33"/>
        <v>0</v>
      </c>
      <c r="S137" s="1013">
        <f t="shared" si="34"/>
        <v>6107419</v>
      </c>
      <c r="T137" s="1017">
        <v>0</v>
      </c>
      <c r="U137" s="785">
        <v>0</v>
      </c>
      <c r="V137" s="785">
        <v>200000</v>
      </c>
      <c r="W137" s="1017">
        <v>500000</v>
      </c>
      <c r="X137" s="1017">
        <v>0</v>
      </c>
      <c r="Y137" s="1017">
        <v>400000</v>
      </c>
      <c r="Z137" s="1017">
        <v>436178</v>
      </c>
      <c r="AA137" s="1018"/>
      <c r="AB137" s="1013"/>
      <c r="AC137" s="1017">
        <v>0</v>
      </c>
      <c r="AD137" s="1017">
        <v>0</v>
      </c>
      <c r="AE137" s="1013">
        <v>44213.94351464435</v>
      </c>
      <c r="AF137" s="1019"/>
      <c r="AG137" s="1019">
        <f t="shared" si="1"/>
        <v>7687811</v>
      </c>
      <c r="AH137" s="1014">
        <v>52</v>
      </c>
      <c r="AI137" s="1014">
        <v>0</v>
      </c>
      <c r="AJ137" s="1014">
        <v>0</v>
      </c>
      <c r="AK137" s="1018">
        <v>0</v>
      </c>
      <c r="AL137" s="1020">
        <v>0</v>
      </c>
      <c r="AM137" s="1013">
        <f t="shared" si="37"/>
        <v>2299125</v>
      </c>
      <c r="AN137" s="1045">
        <f t="shared" si="39"/>
        <v>9986936</v>
      </c>
      <c r="AO137" s="1013">
        <v>643755</v>
      </c>
      <c r="AP137" s="1013">
        <v>44100</v>
      </c>
      <c r="AQ137" s="1013">
        <v>0</v>
      </c>
      <c r="AR137" s="1013">
        <v>0</v>
      </c>
      <c r="AS137" s="1013">
        <v>0</v>
      </c>
      <c r="AT137" s="1045">
        <f t="shared" si="4"/>
        <v>9299081</v>
      </c>
      <c r="AU137" s="1004"/>
      <c r="AV137" s="870"/>
      <c r="AW137" s="782" t="s">
        <v>3586</v>
      </c>
      <c r="AX137" s="782" t="s">
        <v>3587</v>
      </c>
      <c r="AY137" s="1007" t="s">
        <v>287</v>
      </c>
      <c r="AZ137" s="1007">
        <v>622</v>
      </c>
      <c r="BA137" s="347" t="str">
        <f t="shared" si="38"/>
        <v>Box</v>
      </c>
      <c r="BB137" s="1008"/>
      <c r="BC137" s="1009"/>
      <c r="BD137" s="1009"/>
    </row>
    <row r="138" spans="1:56" s="1010" customFormat="1" ht="36.75" customHeight="1">
      <c r="A138" s="661">
        <f>SUBTOTAL(3,B$6:B138)</f>
        <v>133</v>
      </c>
      <c r="B138" s="661" t="s">
        <v>1061</v>
      </c>
      <c r="C138" s="662" t="s">
        <v>1062</v>
      </c>
      <c r="D138" s="1011">
        <v>42786</v>
      </c>
      <c r="E138" s="1011" t="s">
        <v>216</v>
      </c>
      <c r="F138" s="787" t="s">
        <v>695</v>
      </c>
      <c r="G138" s="996" t="s">
        <v>786</v>
      </c>
      <c r="H138" s="1012">
        <v>5931000</v>
      </c>
      <c r="I138" s="1012">
        <v>200000</v>
      </c>
      <c r="J138" s="1012">
        <v>0</v>
      </c>
      <c r="K138" s="1012">
        <v>0</v>
      </c>
      <c r="L138" s="1013">
        <f t="shared" si="0"/>
        <v>6131000</v>
      </c>
      <c r="M138" s="1014">
        <v>24</v>
      </c>
      <c r="N138" s="1013">
        <f t="shared" si="31"/>
        <v>5659385</v>
      </c>
      <c r="O138" s="1015">
        <v>2</v>
      </c>
      <c r="P138" s="1013">
        <f t="shared" si="32"/>
        <v>471615</v>
      </c>
      <c r="Q138" s="1016">
        <v>0</v>
      </c>
      <c r="R138" s="1013">
        <f t="shared" si="33"/>
        <v>0</v>
      </c>
      <c r="S138" s="1013">
        <f t="shared" si="34"/>
        <v>6131000</v>
      </c>
      <c r="T138" s="1017">
        <v>0</v>
      </c>
      <c r="U138" s="785">
        <v>0</v>
      </c>
      <c r="V138" s="785">
        <v>200000</v>
      </c>
      <c r="W138" s="1017">
        <v>500000</v>
      </c>
      <c r="X138" s="1017">
        <v>0</v>
      </c>
      <c r="Y138" s="1017">
        <v>300000</v>
      </c>
      <c r="Z138" s="1017">
        <v>323904</v>
      </c>
      <c r="AA138" s="1018"/>
      <c r="AB138" s="1013"/>
      <c r="AC138" s="1017">
        <v>0</v>
      </c>
      <c r="AD138" s="1017">
        <v>0</v>
      </c>
      <c r="AE138" s="1013">
        <v>44213.9453125</v>
      </c>
      <c r="AF138" s="1019"/>
      <c r="AG138" s="1019">
        <f t="shared" si="1"/>
        <v>7499118</v>
      </c>
      <c r="AH138" s="1014">
        <v>0</v>
      </c>
      <c r="AI138" s="1014">
        <v>0</v>
      </c>
      <c r="AJ138" s="1014">
        <v>0</v>
      </c>
      <c r="AK138" s="1018">
        <v>0</v>
      </c>
      <c r="AL138" s="1020">
        <v>0</v>
      </c>
      <c r="AM138" s="1013">
        <f t="shared" si="37"/>
        <v>0</v>
      </c>
      <c r="AN138" s="1045">
        <f t="shared" si="39"/>
        <v>7499118</v>
      </c>
      <c r="AO138" s="1013">
        <v>643755</v>
      </c>
      <c r="AP138" s="1013">
        <v>44100</v>
      </c>
      <c r="AQ138" s="1013">
        <v>0</v>
      </c>
      <c r="AR138" s="1013">
        <v>0</v>
      </c>
      <c r="AS138" s="1013">
        <v>0</v>
      </c>
      <c r="AT138" s="1045">
        <f t="shared" si="4"/>
        <v>6811263</v>
      </c>
      <c r="AU138" s="1004"/>
      <c r="AV138" s="870"/>
      <c r="AW138" s="782" t="s">
        <v>3588</v>
      </c>
      <c r="AX138" s="782" t="s">
        <v>3589</v>
      </c>
      <c r="AY138" s="1007" t="s">
        <v>287</v>
      </c>
      <c r="AZ138" s="1007">
        <v>622</v>
      </c>
      <c r="BA138" s="347" t="str">
        <f t="shared" si="38"/>
        <v>Box</v>
      </c>
      <c r="BB138" s="1008"/>
      <c r="BC138" s="1009"/>
      <c r="BD138" s="1009"/>
    </row>
    <row r="139" spans="1:56" s="1010" customFormat="1" ht="36.75" customHeight="1">
      <c r="A139" s="661">
        <f>SUBTOTAL(3,B$6:B139)</f>
        <v>134</v>
      </c>
      <c r="B139" s="661" t="s">
        <v>1063</v>
      </c>
      <c r="C139" s="662" t="s">
        <v>1064</v>
      </c>
      <c r="D139" s="1011">
        <v>43201</v>
      </c>
      <c r="E139" s="1011" t="s">
        <v>216</v>
      </c>
      <c r="F139" s="787" t="s">
        <v>695</v>
      </c>
      <c r="G139" s="996" t="s">
        <v>786</v>
      </c>
      <c r="H139" s="1012">
        <v>5931000</v>
      </c>
      <c r="I139" s="1012">
        <v>200000</v>
      </c>
      <c r="J139" s="1012">
        <v>0</v>
      </c>
      <c r="K139" s="1012">
        <v>0</v>
      </c>
      <c r="L139" s="1013">
        <f t="shared" si="0"/>
        <v>6131000</v>
      </c>
      <c r="M139" s="1014">
        <v>23.9</v>
      </c>
      <c r="N139" s="1013">
        <f t="shared" si="31"/>
        <v>5635804</v>
      </c>
      <c r="O139" s="1015">
        <v>2</v>
      </c>
      <c r="P139" s="1013">
        <f t="shared" si="32"/>
        <v>471615</v>
      </c>
      <c r="Q139" s="1016">
        <v>0</v>
      </c>
      <c r="R139" s="1013">
        <f t="shared" si="33"/>
        <v>0</v>
      </c>
      <c r="S139" s="1013">
        <f t="shared" si="34"/>
        <v>6107419</v>
      </c>
      <c r="T139" s="1017">
        <v>0</v>
      </c>
      <c r="U139" s="785">
        <v>0</v>
      </c>
      <c r="V139" s="785">
        <v>200000</v>
      </c>
      <c r="W139" s="1017">
        <v>500000</v>
      </c>
      <c r="X139" s="1017">
        <v>0</v>
      </c>
      <c r="Y139" s="1017">
        <v>400000</v>
      </c>
      <c r="Z139" s="1017">
        <v>488057</v>
      </c>
      <c r="AA139" s="1018"/>
      <c r="AB139" s="1013"/>
      <c r="AC139" s="1017">
        <v>0</v>
      </c>
      <c r="AD139" s="1017">
        <v>0</v>
      </c>
      <c r="AE139" s="1013">
        <v>44213.94351464435</v>
      </c>
      <c r="AF139" s="1019"/>
      <c r="AG139" s="1019">
        <f t="shared" si="1"/>
        <v>7739690</v>
      </c>
      <c r="AH139" s="1014">
        <v>48</v>
      </c>
      <c r="AI139" s="1014">
        <v>0</v>
      </c>
      <c r="AJ139" s="1014">
        <v>0</v>
      </c>
      <c r="AK139" s="1018">
        <v>0</v>
      </c>
      <c r="AL139" s="1020">
        <v>0</v>
      </c>
      <c r="AM139" s="1013">
        <f t="shared" si="37"/>
        <v>2122269</v>
      </c>
      <c r="AN139" s="1045">
        <f t="shared" si="39"/>
        <v>9861959</v>
      </c>
      <c r="AO139" s="1013">
        <v>643755</v>
      </c>
      <c r="AP139" s="1013">
        <v>44100</v>
      </c>
      <c r="AQ139" s="1013">
        <v>0</v>
      </c>
      <c r="AR139" s="1013">
        <v>0</v>
      </c>
      <c r="AS139" s="1013">
        <v>0</v>
      </c>
      <c r="AT139" s="1045">
        <f t="shared" si="4"/>
        <v>9174104</v>
      </c>
      <c r="AU139" s="1004"/>
      <c r="AV139" s="870"/>
      <c r="AW139" s="782" t="s">
        <v>3590</v>
      </c>
      <c r="AX139" s="782" t="s">
        <v>3591</v>
      </c>
      <c r="AY139" s="1007" t="s">
        <v>287</v>
      </c>
      <c r="AZ139" s="1007">
        <v>622</v>
      </c>
      <c r="BA139" s="347" t="str">
        <f t="shared" si="38"/>
        <v>Box</v>
      </c>
      <c r="BB139" s="1008"/>
      <c r="BC139" s="1009"/>
      <c r="BD139" s="1009"/>
    </row>
    <row r="140" spans="1:56" s="1010" customFormat="1" ht="36.75" customHeight="1">
      <c r="A140" s="661">
        <f>SUBTOTAL(3,B$6:B140)</f>
        <v>135</v>
      </c>
      <c r="B140" s="661" t="s">
        <v>1065</v>
      </c>
      <c r="C140" s="662" t="s">
        <v>1066</v>
      </c>
      <c r="D140" s="1011">
        <v>43398</v>
      </c>
      <c r="E140" s="1011" t="s">
        <v>216</v>
      </c>
      <c r="F140" s="787" t="s">
        <v>695</v>
      </c>
      <c r="G140" s="996" t="s">
        <v>786</v>
      </c>
      <c r="H140" s="1012">
        <v>5931000</v>
      </c>
      <c r="I140" s="1012">
        <v>200000</v>
      </c>
      <c r="J140" s="1012">
        <v>0</v>
      </c>
      <c r="K140" s="1012">
        <v>0</v>
      </c>
      <c r="L140" s="1013">
        <f t="shared" si="0"/>
        <v>6131000</v>
      </c>
      <c r="M140" s="1014">
        <v>24</v>
      </c>
      <c r="N140" s="1013">
        <f t="shared" si="31"/>
        <v>5659385</v>
      </c>
      <c r="O140" s="1015">
        <v>2</v>
      </c>
      <c r="P140" s="1013">
        <f t="shared" si="32"/>
        <v>471615</v>
      </c>
      <c r="Q140" s="1016">
        <v>0</v>
      </c>
      <c r="R140" s="1013">
        <f t="shared" si="33"/>
        <v>0</v>
      </c>
      <c r="S140" s="1013">
        <f t="shared" si="34"/>
        <v>6131000</v>
      </c>
      <c r="T140" s="1017">
        <v>0</v>
      </c>
      <c r="U140" s="785">
        <v>0</v>
      </c>
      <c r="V140" s="785">
        <v>200000</v>
      </c>
      <c r="W140" s="1017">
        <v>500000</v>
      </c>
      <c r="X140" s="1017">
        <v>0</v>
      </c>
      <c r="Y140" s="1017">
        <v>400000</v>
      </c>
      <c r="Z140" s="1017">
        <v>472537</v>
      </c>
      <c r="AA140" s="1018"/>
      <c r="AB140" s="1013"/>
      <c r="AC140" s="1017">
        <v>0</v>
      </c>
      <c r="AD140" s="1017">
        <v>0</v>
      </c>
      <c r="AE140" s="1013">
        <v>44213.9453125</v>
      </c>
      <c r="AF140" s="1019"/>
      <c r="AG140" s="1019">
        <f t="shared" si="1"/>
        <v>7747751</v>
      </c>
      <c r="AH140" s="1014">
        <v>52</v>
      </c>
      <c r="AI140" s="1014">
        <v>0</v>
      </c>
      <c r="AJ140" s="1014">
        <v>0</v>
      </c>
      <c r="AK140" s="1018">
        <v>0</v>
      </c>
      <c r="AL140" s="1020">
        <v>0</v>
      </c>
      <c r="AM140" s="1013">
        <f t="shared" si="37"/>
        <v>2299125</v>
      </c>
      <c r="AN140" s="1045">
        <f t="shared" si="39"/>
        <v>10046876</v>
      </c>
      <c r="AO140" s="1013">
        <v>643755</v>
      </c>
      <c r="AP140" s="1013">
        <v>44100</v>
      </c>
      <c r="AQ140" s="1013">
        <v>0</v>
      </c>
      <c r="AR140" s="1013">
        <v>0</v>
      </c>
      <c r="AS140" s="1013">
        <v>0</v>
      </c>
      <c r="AT140" s="1045">
        <f t="shared" si="4"/>
        <v>9359021</v>
      </c>
      <c r="AU140" s="1004"/>
      <c r="AV140" s="870"/>
      <c r="AW140" s="782" t="s">
        <v>3592</v>
      </c>
      <c r="AX140" s="782" t="s">
        <v>3593</v>
      </c>
      <c r="AY140" s="1007" t="s">
        <v>287</v>
      </c>
      <c r="AZ140" s="1007">
        <v>622</v>
      </c>
      <c r="BA140" s="347" t="str">
        <f t="shared" si="38"/>
        <v>Box</v>
      </c>
      <c r="BB140" s="1008"/>
      <c r="BC140" s="1009"/>
      <c r="BD140" s="1009"/>
    </row>
    <row r="141" spans="1:56" s="1010" customFormat="1" ht="36.75" customHeight="1">
      <c r="A141" s="661">
        <f>SUBTOTAL(3,B$6:B141)</f>
        <v>136</v>
      </c>
      <c r="B141" s="661" t="s">
        <v>1067</v>
      </c>
      <c r="C141" s="662" t="s">
        <v>1068</v>
      </c>
      <c r="D141" s="1011">
        <v>42597</v>
      </c>
      <c r="E141" s="1011" t="s">
        <v>216</v>
      </c>
      <c r="F141" s="787" t="s">
        <v>695</v>
      </c>
      <c r="G141" s="996" t="s">
        <v>920</v>
      </c>
      <c r="H141" s="1012">
        <v>5931000</v>
      </c>
      <c r="I141" s="1012">
        <v>0</v>
      </c>
      <c r="J141" s="1012">
        <v>0</v>
      </c>
      <c r="K141" s="1012">
        <v>0</v>
      </c>
      <c r="L141" s="1013">
        <f t="shared" si="0"/>
        <v>5931000</v>
      </c>
      <c r="M141" s="1014">
        <v>18</v>
      </c>
      <c r="N141" s="1013">
        <f t="shared" si="31"/>
        <v>4106077</v>
      </c>
      <c r="O141" s="1015">
        <v>2</v>
      </c>
      <c r="P141" s="1013">
        <f t="shared" si="32"/>
        <v>456231</v>
      </c>
      <c r="Q141" s="1016">
        <v>0</v>
      </c>
      <c r="R141" s="1013">
        <f t="shared" si="33"/>
        <v>0</v>
      </c>
      <c r="S141" s="1013">
        <f t="shared" si="34"/>
        <v>4562308</v>
      </c>
      <c r="T141" s="1017">
        <v>0</v>
      </c>
      <c r="U141" s="785">
        <v>0</v>
      </c>
      <c r="V141" s="785">
        <v>200000</v>
      </c>
      <c r="W141" s="1017">
        <v>0</v>
      </c>
      <c r="X141" s="1017">
        <v>0</v>
      </c>
      <c r="Y141" s="1017">
        <v>0</v>
      </c>
      <c r="Z141" s="1017">
        <v>317427</v>
      </c>
      <c r="AA141" s="1018"/>
      <c r="AB141" s="1013"/>
      <c r="AC141" s="1017">
        <v>0</v>
      </c>
      <c r="AD141" s="1017">
        <v>0</v>
      </c>
      <c r="AE141" s="1013">
        <v>42771.635416666664</v>
      </c>
      <c r="AF141" s="1019"/>
      <c r="AG141" s="1019">
        <f t="shared" si="1"/>
        <v>5122507</v>
      </c>
      <c r="AH141" s="1014">
        <v>36</v>
      </c>
      <c r="AI141" s="1014">
        <v>0</v>
      </c>
      <c r="AJ141" s="1014">
        <v>0</v>
      </c>
      <c r="AK141" s="1018">
        <v>0</v>
      </c>
      <c r="AL141" s="1020">
        <v>0</v>
      </c>
      <c r="AM141" s="1013">
        <f t="shared" si="37"/>
        <v>1539779</v>
      </c>
      <c r="AN141" s="1045">
        <f t="shared" si="39"/>
        <v>6662286</v>
      </c>
      <c r="AO141" s="1013">
        <v>622755</v>
      </c>
      <c r="AP141" s="1013">
        <v>44100</v>
      </c>
      <c r="AQ141" s="1013">
        <v>0</v>
      </c>
      <c r="AR141" s="1013">
        <v>0</v>
      </c>
      <c r="AS141" s="1013">
        <v>0</v>
      </c>
      <c r="AT141" s="1045">
        <f t="shared" si="4"/>
        <v>5995431</v>
      </c>
      <c r="AU141" s="1004"/>
      <c r="AV141" s="870"/>
      <c r="AW141" s="782" t="s">
        <v>3594</v>
      </c>
      <c r="AX141" s="782" t="s">
        <v>3595</v>
      </c>
      <c r="AY141" s="1007" t="s">
        <v>287</v>
      </c>
      <c r="AZ141" s="1007">
        <v>622</v>
      </c>
      <c r="BA141" s="347" t="str">
        <f t="shared" si="38"/>
        <v>Box</v>
      </c>
      <c r="BB141" s="1008"/>
      <c r="BC141" s="1009"/>
      <c r="BD141" s="1009"/>
    </row>
    <row r="142" spans="1:56" s="1010" customFormat="1" ht="36.75" customHeight="1">
      <c r="A142" s="661">
        <f>SUBTOTAL(3,B$6:B142)</f>
        <v>137</v>
      </c>
      <c r="B142" s="661" t="s">
        <v>1069</v>
      </c>
      <c r="C142" s="662" t="s">
        <v>1070</v>
      </c>
      <c r="D142" s="1011">
        <v>45701</v>
      </c>
      <c r="E142" s="1011" t="s">
        <v>216</v>
      </c>
      <c r="F142" s="787" t="s">
        <v>237</v>
      </c>
      <c r="G142" s="996" t="s">
        <v>1512</v>
      </c>
      <c r="H142" s="1012">
        <v>5023000</v>
      </c>
      <c r="I142" s="1012">
        <v>300000</v>
      </c>
      <c r="J142" s="1012">
        <v>0</v>
      </c>
      <c r="K142" s="1012">
        <v>600000</v>
      </c>
      <c r="L142" s="1013">
        <f t="shared" si="0"/>
        <v>5923000</v>
      </c>
      <c r="M142" s="1014">
        <v>20.9</v>
      </c>
      <c r="N142" s="1013">
        <f t="shared" si="31"/>
        <v>4761181</v>
      </c>
      <c r="O142" s="1015">
        <v>2</v>
      </c>
      <c r="P142" s="1013">
        <f t="shared" si="32"/>
        <v>455615</v>
      </c>
      <c r="Q142" s="1016">
        <v>0</v>
      </c>
      <c r="R142" s="1013">
        <f t="shared" si="33"/>
        <v>0</v>
      </c>
      <c r="S142" s="1013">
        <f t="shared" si="34"/>
        <v>5216796</v>
      </c>
      <c r="T142" s="1017">
        <v>0</v>
      </c>
      <c r="U142" s="785">
        <v>0</v>
      </c>
      <c r="V142" s="785">
        <v>200000</v>
      </c>
      <c r="W142" s="1017">
        <v>0</v>
      </c>
      <c r="X142" s="1017">
        <v>0</v>
      </c>
      <c r="Y142" s="1017">
        <v>0</v>
      </c>
      <c r="Z142" s="1017">
        <v>0</v>
      </c>
      <c r="AA142" s="1018"/>
      <c r="AB142" s="1013"/>
      <c r="AC142" s="1017">
        <v>0</v>
      </c>
      <c r="AD142" s="1017">
        <v>0</v>
      </c>
      <c r="AE142" s="1013">
        <v>42713.94437799044</v>
      </c>
      <c r="AF142" s="1019"/>
      <c r="AG142" s="1019">
        <f t="shared" si="1"/>
        <v>5459510</v>
      </c>
      <c r="AH142" s="1014">
        <v>44</v>
      </c>
      <c r="AI142" s="1014">
        <v>0</v>
      </c>
      <c r="AJ142" s="1014">
        <v>0</v>
      </c>
      <c r="AK142" s="1018">
        <v>0</v>
      </c>
      <c r="AL142" s="1020">
        <v>0</v>
      </c>
      <c r="AM142" s="1013">
        <f t="shared" si="37"/>
        <v>1879414</v>
      </c>
      <c r="AN142" s="1045">
        <f t="shared" si="39"/>
        <v>7338924</v>
      </c>
      <c r="AO142" s="1013">
        <v>621915</v>
      </c>
      <c r="AP142" s="1013">
        <v>44100</v>
      </c>
      <c r="AQ142" s="1013">
        <v>0</v>
      </c>
      <c r="AR142" s="1013">
        <v>0</v>
      </c>
      <c r="AS142" s="1013">
        <v>0</v>
      </c>
      <c r="AT142" s="1045">
        <f t="shared" si="4"/>
        <v>6672909</v>
      </c>
      <c r="AU142" s="1004"/>
      <c r="AV142" s="870"/>
      <c r="AW142" s="782" t="s">
        <v>3596</v>
      </c>
      <c r="AX142" s="782" t="s">
        <v>3597</v>
      </c>
      <c r="AY142" s="1007" t="s">
        <v>287</v>
      </c>
      <c r="AZ142" s="1007">
        <v>622</v>
      </c>
      <c r="BA142" s="347" t="str">
        <f t="shared" si="38"/>
        <v>Box</v>
      </c>
      <c r="BB142" s="1008"/>
      <c r="BC142" s="1009"/>
      <c r="BD142" s="1009"/>
    </row>
    <row r="143" spans="1:56" s="1010" customFormat="1" ht="36.75" customHeight="1">
      <c r="A143" s="661">
        <f>SUBTOTAL(3,B$6:B143)</f>
        <v>138</v>
      </c>
      <c r="B143" s="661" t="s">
        <v>1071</v>
      </c>
      <c r="C143" s="662" t="s">
        <v>1072</v>
      </c>
      <c r="D143" s="1011">
        <v>39631</v>
      </c>
      <c r="E143" s="1011" t="s">
        <v>216</v>
      </c>
      <c r="F143" s="787" t="s">
        <v>696</v>
      </c>
      <c r="G143" s="996" t="s">
        <v>992</v>
      </c>
      <c r="H143" s="1012">
        <v>5931000</v>
      </c>
      <c r="I143" s="1012">
        <v>400000</v>
      </c>
      <c r="J143" s="1012">
        <v>0</v>
      </c>
      <c r="K143" s="1012">
        <v>0</v>
      </c>
      <c r="L143" s="1013">
        <f t="shared" si="0"/>
        <v>6331000</v>
      </c>
      <c r="M143" s="1014">
        <v>22.8</v>
      </c>
      <c r="N143" s="1013">
        <f t="shared" si="31"/>
        <v>5551800</v>
      </c>
      <c r="O143" s="1015">
        <v>3</v>
      </c>
      <c r="P143" s="1013">
        <f t="shared" si="32"/>
        <v>730500</v>
      </c>
      <c r="Q143" s="1016">
        <v>0</v>
      </c>
      <c r="R143" s="1013">
        <f t="shared" si="33"/>
        <v>0</v>
      </c>
      <c r="S143" s="1013">
        <f t="shared" si="34"/>
        <v>6282300</v>
      </c>
      <c r="T143" s="1017">
        <v>0</v>
      </c>
      <c r="U143" s="785">
        <v>0</v>
      </c>
      <c r="V143" s="785">
        <v>200000</v>
      </c>
      <c r="W143" s="1017">
        <v>500000</v>
      </c>
      <c r="X143" s="1017">
        <v>0</v>
      </c>
      <c r="Y143" s="1017">
        <v>400000</v>
      </c>
      <c r="Z143" s="1017">
        <v>404386</v>
      </c>
      <c r="AA143" s="1018"/>
      <c r="AB143" s="1013"/>
      <c r="AC143" s="1017">
        <v>0</v>
      </c>
      <c r="AD143" s="1017">
        <v>0</v>
      </c>
      <c r="AE143" s="1013">
        <v>45656.25</v>
      </c>
      <c r="AF143" s="1019"/>
      <c r="AG143" s="1019">
        <f t="shared" si="1"/>
        <v>7832342</v>
      </c>
      <c r="AH143" s="1014">
        <v>48</v>
      </c>
      <c r="AI143" s="1014">
        <v>0</v>
      </c>
      <c r="AJ143" s="1014">
        <v>0</v>
      </c>
      <c r="AK143" s="1018">
        <v>0</v>
      </c>
      <c r="AL143" s="1020">
        <v>0</v>
      </c>
      <c r="AM143" s="1013">
        <f t="shared" si="37"/>
        <v>2191500</v>
      </c>
      <c r="AN143" s="1045">
        <f t="shared" si="39"/>
        <v>10023842</v>
      </c>
      <c r="AO143" s="1013">
        <v>664755</v>
      </c>
      <c r="AP143" s="1013">
        <v>44100</v>
      </c>
      <c r="AQ143" s="1013">
        <v>0</v>
      </c>
      <c r="AR143" s="1013">
        <v>0</v>
      </c>
      <c r="AS143" s="1013">
        <v>0</v>
      </c>
      <c r="AT143" s="1045">
        <f t="shared" si="4"/>
        <v>9314987</v>
      </c>
      <c r="AU143" s="1004"/>
      <c r="AV143" s="870"/>
      <c r="AW143" s="782" t="s">
        <v>3598</v>
      </c>
      <c r="AX143" s="782" t="s">
        <v>3599</v>
      </c>
      <c r="AY143" s="1007" t="s">
        <v>287</v>
      </c>
      <c r="AZ143" s="1007">
        <v>622</v>
      </c>
      <c r="BA143" s="347" t="str">
        <f t="shared" si="38"/>
        <v>Box</v>
      </c>
      <c r="BB143" s="1008"/>
      <c r="BC143" s="1009"/>
      <c r="BD143" s="1009"/>
    </row>
    <row r="144" spans="1:56" s="1010" customFormat="1" ht="36.75" customHeight="1">
      <c r="A144" s="661">
        <f>SUBTOTAL(3,B$6:B144)</f>
        <v>139</v>
      </c>
      <c r="B144" s="661" t="s">
        <v>1073</v>
      </c>
      <c r="C144" s="662" t="s">
        <v>1074</v>
      </c>
      <c r="D144" s="1011">
        <v>39707</v>
      </c>
      <c r="E144" s="1011" t="s">
        <v>216</v>
      </c>
      <c r="F144" s="787" t="s">
        <v>696</v>
      </c>
      <c r="G144" s="996" t="s">
        <v>786</v>
      </c>
      <c r="H144" s="1012">
        <v>5931000</v>
      </c>
      <c r="I144" s="1012">
        <v>200000</v>
      </c>
      <c r="J144" s="1012">
        <v>0</v>
      </c>
      <c r="K144" s="1012">
        <v>0</v>
      </c>
      <c r="L144" s="1013">
        <f t="shared" si="0"/>
        <v>6131000</v>
      </c>
      <c r="M144" s="1014">
        <v>24</v>
      </c>
      <c r="N144" s="1013">
        <f t="shared" si="31"/>
        <v>5659385</v>
      </c>
      <c r="O144" s="1015">
        <v>2</v>
      </c>
      <c r="P144" s="1013">
        <f t="shared" si="32"/>
        <v>471615</v>
      </c>
      <c r="Q144" s="1016">
        <v>0</v>
      </c>
      <c r="R144" s="1013">
        <f t="shared" si="33"/>
        <v>0</v>
      </c>
      <c r="S144" s="1013">
        <f t="shared" si="34"/>
        <v>6131000</v>
      </c>
      <c r="T144" s="1017">
        <v>0</v>
      </c>
      <c r="U144" s="785">
        <v>0</v>
      </c>
      <c r="V144" s="785">
        <v>200000</v>
      </c>
      <c r="W144" s="1017">
        <v>500000</v>
      </c>
      <c r="X144" s="1017">
        <v>0</v>
      </c>
      <c r="Y144" s="1017">
        <v>400000</v>
      </c>
      <c r="Z144" s="1017">
        <v>429671</v>
      </c>
      <c r="AA144" s="1018"/>
      <c r="AB144" s="1013"/>
      <c r="AC144" s="1017">
        <v>0</v>
      </c>
      <c r="AD144" s="1017">
        <v>0</v>
      </c>
      <c r="AE144" s="1013">
        <v>44213.9453125</v>
      </c>
      <c r="AF144" s="1019"/>
      <c r="AG144" s="1019">
        <f t="shared" si="1"/>
        <v>7704885</v>
      </c>
      <c r="AH144" s="1014">
        <v>52</v>
      </c>
      <c r="AI144" s="1014">
        <v>0</v>
      </c>
      <c r="AJ144" s="1014">
        <v>0</v>
      </c>
      <c r="AK144" s="1018">
        <v>0</v>
      </c>
      <c r="AL144" s="1020">
        <v>0</v>
      </c>
      <c r="AM144" s="1013">
        <f t="shared" si="37"/>
        <v>2299125</v>
      </c>
      <c r="AN144" s="1045">
        <f>ROUND(AG144+AM144,0)</f>
        <v>10004010</v>
      </c>
      <c r="AO144" s="1013">
        <v>643755</v>
      </c>
      <c r="AP144" s="1013">
        <v>44100</v>
      </c>
      <c r="AQ144" s="1013">
        <v>0</v>
      </c>
      <c r="AR144" s="1013">
        <v>0</v>
      </c>
      <c r="AS144" s="1013">
        <v>0</v>
      </c>
      <c r="AT144" s="1045">
        <f t="shared" si="4"/>
        <v>9316155</v>
      </c>
      <c r="AU144" s="1004"/>
      <c r="AV144" s="870"/>
      <c r="AW144" s="782" t="s">
        <v>3600</v>
      </c>
      <c r="AX144" s="782" t="s">
        <v>3601</v>
      </c>
      <c r="AY144" s="1007" t="s">
        <v>287</v>
      </c>
      <c r="AZ144" s="1007">
        <v>622</v>
      </c>
      <c r="BA144" s="347" t="str">
        <f t="shared" si="38"/>
        <v>Box</v>
      </c>
      <c r="BB144" s="1008"/>
      <c r="BC144" s="1009"/>
      <c r="BD144" s="1009"/>
    </row>
    <row r="145" spans="1:56" s="1010" customFormat="1" ht="36.75" customHeight="1">
      <c r="A145" s="661">
        <f>SUBTOTAL(3,B$6:B145)</f>
        <v>140</v>
      </c>
      <c r="B145" s="661" t="s">
        <v>1075</v>
      </c>
      <c r="C145" s="662" t="s">
        <v>1076</v>
      </c>
      <c r="D145" s="1011">
        <v>43567</v>
      </c>
      <c r="E145" s="1011" t="s">
        <v>216</v>
      </c>
      <c r="F145" s="787" t="s">
        <v>696</v>
      </c>
      <c r="G145" s="996" t="s">
        <v>786</v>
      </c>
      <c r="H145" s="1012">
        <v>5931000</v>
      </c>
      <c r="I145" s="1012">
        <v>200000</v>
      </c>
      <c r="J145" s="1012">
        <v>0</v>
      </c>
      <c r="K145" s="1012">
        <v>0</v>
      </c>
      <c r="L145" s="1013">
        <f t="shared" si="0"/>
        <v>6131000</v>
      </c>
      <c r="M145" s="1014">
        <v>22.9</v>
      </c>
      <c r="N145" s="1013">
        <f t="shared" si="31"/>
        <v>5399996</v>
      </c>
      <c r="O145" s="1015">
        <v>3</v>
      </c>
      <c r="P145" s="1013">
        <f t="shared" si="32"/>
        <v>707423</v>
      </c>
      <c r="Q145" s="1016">
        <v>0</v>
      </c>
      <c r="R145" s="1013">
        <f t="shared" si="33"/>
        <v>0</v>
      </c>
      <c r="S145" s="1013">
        <f t="shared" si="34"/>
        <v>6107419</v>
      </c>
      <c r="T145" s="1017">
        <v>0</v>
      </c>
      <c r="U145" s="785">
        <v>0</v>
      </c>
      <c r="V145" s="785">
        <v>200000</v>
      </c>
      <c r="W145" s="1017">
        <v>500000</v>
      </c>
      <c r="X145" s="1017">
        <v>0</v>
      </c>
      <c r="Y145" s="1017">
        <v>400000</v>
      </c>
      <c r="Z145" s="1017">
        <v>409073</v>
      </c>
      <c r="AA145" s="1018"/>
      <c r="AB145" s="1013"/>
      <c r="AC145" s="1017">
        <v>0</v>
      </c>
      <c r="AD145" s="1017">
        <v>0</v>
      </c>
      <c r="AE145" s="1013">
        <v>44213.94104803494</v>
      </c>
      <c r="AF145" s="1019"/>
      <c r="AG145" s="1019">
        <f t="shared" si="1"/>
        <v>7660706</v>
      </c>
      <c r="AH145" s="1014">
        <v>48</v>
      </c>
      <c r="AI145" s="1014">
        <v>0</v>
      </c>
      <c r="AJ145" s="1014">
        <v>0</v>
      </c>
      <c r="AK145" s="1018">
        <v>0</v>
      </c>
      <c r="AL145" s="1020">
        <v>0</v>
      </c>
      <c r="AM145" s="1013">
        <f t="shared" si="37"/>
        <v>2122269</v>
      </c>
      <c r="AN145" s="1045">
        <f t="shared" ref="AN145:AN155" si="40">ROUND(AG145+AM145,0)</f>
        <v>9782975</v>
      </c>
      <c r="AO145" s="1013">
        <v>643755</v>
      </c>
      <c r="AP145" s="1013">
        <v>44100</v>
      </c>
      <c r="AQ145" s="1013">
        <v>0</v>
      </c>
      <c r="AR145" s="1013">
        <v>0</v>
      </c>
      <c r="AS145" s="1013">
        <v>0</v>
      </c>
      <c r="AT145" s="1045">
        <f t="shared" si="4"/>
        <v>9095120</v>
      </c>
      <c r="AU145" s="1004"/>
      <c r="AV145" s="870"/>
      <c r="AW145" s="782" t="s">
        <v>3602</v>
      </c>
      <c r="AX145" s="782" t="s">
        <v>3603</v>
      </c>
      <c r="AY145" s="1007" t="s">
        <v>287</v>
      </c>
      <c r="AZ145" s="1007">
        <v>622</v>
      </c>
      <c r="BA145" s="347" t="str">
        <f t="shared" si="38"/>
        <v>Box</v>
      </c>
      <c r="BB145" s="1008"/>
      <c r="BC145" s="1009"/>
      <c r="BD145" s="1009"/>
    </row>
    <row r="146" spans="1:56" s="1010" customFormat="1" ht="36.75" customHeight="1">
      <c r="A146" s="661">
        <f>SUBTOTAL(3,B$6:B146)</f>
        <v>141</v>
      </c>
      <c r="B146" s="661" t="s">
        <v>1077</v>
      </c>
      <c r="C146" s="662" t="s">
        <v>1078</v>
      </c>
      <c r="D146" s="1011">
        <v>43882</v>
      </c>
      <c r="E146" s="1011" t="s">
        <v>216</v>
      </c>
      <c r="F146" s="787" t="s">
        <v>696</v>
      </c>
      <c r="G146" s="996" t="s">
        <v>786</v>
      </c>
      <c r="H146" s="1012">
        <v>5931000</v>
      </c>
      <c r="I146" s="1012">
        <v>200000</v>
      </c>
      <c r="J146" s="1012">
        <v>0</v>
      </c>
      <c r="K146" s="1012">
        <v>0</v>
      </c>
      <c r="L146" s="1013">
        <f t="shared" si="0"/>
        <v>6131000</v>
      </c>
      <c r="M146" s="1014">
        <v>7</v>
      </c>
      <c r="N146" s="1013">
        <f t="shared" si="31"/>
        <v>1650654</v>
      </c>
      <c r="O146" s="1015">
        <v>2</v>
      </c>
      <c r="P146" s="1013">
        <f t="shared" si="32"/>
        <v>471615</v>
      </c>
      <c r="Q146" s="1016">
        <v>0</v>
      </c>
      <c r="R146" s="1013">
        <f t="shared" si="33"/>
        <v>0</v>
      </c>
      <c r="S146" s="1013">
        <f t="shared" si="34"/>
        <v>2122269</v>
      </c>
      <c r="T146" s="1017">
        <v>0</v>
      </c>
      <c r="U146" s="785">
        <v>0</v>
      </c>
      <c r="V146" s="785">
        <v>0</v>
      </c>
      <c r="W146" s="1017">
        <v>0</v>
      </c>
      <c r="X146" s="1017">
        <v>0</v>
      </c>
      <c r="Y146" s="1017">
        <v>0</v>
      </c>
      <c r="Z146" s="1017">
        <v>0</v>
      </c>
      <c r="AA146" s="1018"/>
      <c r="AB146" s="1013"/>
      <c r="AC146" s="1017">
        <v>0</v>
      </c>
      <c r="AD146" s="1017">
        <v>0</v>
      </c>
      <c r="AE146" s="1013">
        <v>0</v>
      </c>
      <c r="AF146" s="1019"/>
      <c r="AG146" s="1019">
        <f t="shared" si="1"/>
        <v>2122269</v>
      </c>
      <c r="AH146" s="1014">
        <v>0</v>
      </c>
      <c r="AI146" s="1014">
        <v>0</v>
      </c>
      <c r="AJ146" s="1014">
        <v>0</v>
      </c>
      <c r="AK146" s="1018">
        <v>0</v>
      </c>
      <c r="AL146" s="1020">
        <v>0</v>
      </c>
      <c r="AM146" s="1013">
        <f t="shared" si="37"/>
        <v>0</v>
      </c>
      <c r="AN146" s="1045">
        <f t="shared" si="40"/>
        <v>2122269</v>
      </c>
      <c r="AO146" s="1013">
        <v>0</v>
      </c>
      <c r="AP146" s="1013">
        <v>44100</v>
      </c>
      <c r="AQ146" s="1013">
        <v>0</v>
      </c>
      <c r="AR146" s="1013">
        <v>0</v>
      </c>
      <c r="AS146" s="1013">
        <v>0</v>
      </c>
      <c r="AT146" s="1045">
        <f t="shared" si="4"/>
        <v>2078169</v>
      </c>
      <c r="AU146" s="1004"/>
      <c r="AV146" s="870"/>
      <c r="AW146" s="782" t="s">
        <v>3604</v>
      </c>
      <c r="AX146" s="782" t="s">
        <v>3605</v>
      </c>
      <c r="AY146" s="1007" t="s">
        <v>287</v>
      </c>
      <c r="AZ146" s="1007">
        <v>622</v>
      </c>
      <c r="BA146" s="347" t="str">
        <f t="shared" si="38"/>
        <v>Box</v>
      </c>
      <c r="BB146" s="1008"/>
      <c r="BC146" s="1009"/>
      <c r="BD146" s="1009"/>
    </row>
    <row r="147" spans="1:56" s="1010" customFormat="1" ht="36.75" customHeight="1">
      <c r="A147" s="661">
        <f>SUBTOTAL(3,B$6:B147)</f>
        <v>142</v>
      </c>
      <c r="B147" s="661" t="s">
        <v>1079</v>
      </c>
      <c r="C147" s="662" t="s">
        <v>1080</v>
      </c>
      <c r="D147" s="1011">
        <v>44034</v>
      </c>
      <c r="E147" s="1011" t="s">
        <v>216</v>
      </c>
      <c r="F147" s="787" t="s">
        <v>696</v>
      </c>
      <c r="G147" s="996" t="s">
        <v>786</v>
      </c>
      <c r="H147" s="1012">
        <v>5931000</v>
      </c>
      <c r="I147" s="1012">
        <v>200000</v>
      </c>
      <c r="J147" s="1012">
        <v>0</v>
      </c>
      <c r="K147" s="1012">
        <v>0</v>
      </c>
      <c r="L147" s="1013">
        <f t="shared" si="0"/>
        <v>6131000</v>
      </c>
      <c r="M147" s="1014">
        <v>23</v>
      </c>
      <c r="N147" s="1013">
        <f t="shared" si="31"/>
        <v>5423577</v>
      </c>
      <c r="O147" s="1015">
        <v>3</v>
      </c>
      <c r="P147" s="1013">
        <f t="shared" si="32"/>
        <v>707423</v>
      </c>
      <c r="Q147" s="1016">
        <v>0</v>
      </c>
      <c r="R147" s="1013">
        <f t="shared" si="33"/>
        <v>0</v>
      </c>
      <c r="S147" s="1013">
        <f t="shared" si="34"/>
        <v>6131000</v>
      </c>
      <c r="T147" s="1017">
        <v>0</v>
      </c>
      <c r="U147" s="785">
        <v>0</v>
      </c>
      <c r="V147" s="785">
        <v>200000</v>
      </c>
      <c r="W147" s="1017">
        <v>500000</v>
      </c>
      <c r="X147" s="1017">
        <v>0</v>
      </c>
      <c r="Y147" s="1017">
        <v>400000</v>
      </c>
      <c r="Z147" s="1017">
        <v>400686</v>
      </c>
      <c r="AA147" s="1018"/>
      <c r="AB147" s="1013"/>
      <c r="AC147" s="1017">
        <v>0</v>
      </c>
      <c r="AD147" s="1017">
        <v>0</v>
      </c>
      <c r="AE147" s="1013">
        <v>44213.942934782608</v>
      </c>
      <c r="AF147" s="1019"/>
      <c r="AG147" s="1019">
        <f t="shared" si="1"/>
        <v>7675900</v>
      </c>
      <c r="AH147" s="1014">
        <v>42.5</v>
      </c>
      <c r="AI147" s="1014">
        <v>0</v>
      </c>
      <c r="AJ147" s="1014">
        <v>0</v>
      </c>
      <c r="AK147" s="1018">
        <v>0</v>
      </c>
      <c r="AL147" s="1020">
        <v>0</v>
      </c>
      <c r="AM147" s="1013">
        <f t="shared" si="37"/>
        <v>1879093</v>
      </c>
      <c r="AN147" s="1045">
        <f t="shared" si="40"/>
        <v>9554993</v>
      </c>
      <c r="AO147" s="1013">
        <v>643755</v>
      </c>
      <c r="AP147" s="1013">
        <v>44100</v>
      </c>
      <c r="AQ147" s="1013">
        <v>0</v>
      </c>
      <c r="AR147" s="1013">
        <v>0</v>
      </c>
      <c r="AS147" s="1013">
        <v>0</v>
      </c>
      <c r="AT147" s="1045">
        <f t="shared" si="4"/>
        <v>8867138</v>
      </c>
      <c r="AU147" s="1004"/>
      <c r="AV147" s="870"/>
      <c r="AW147" s="782" t="s">
        <v>3606</v>
      </c>
      <c r="AX147" s="782" t="s">
        <v>3607</v>
      </c>
      <c r="AY147" s="1007" t="s">
        <v>287</v>
      </c>
      <c r="AZ147" s="1007">
        <v>622</v>
      </c>
      <c r="BA147" s="347" t="str">
        <f t="shared" si="38"/>
        <v>Box</v>
      </c>
      <c r="BB147" s="1008"/>
      <c r="BC147" s="1009"/>
      <c r="BD147" s="1009"/>
    </row>
    <row r="148" spans="1:56" s="1010" customFormat="1" ht="36.75" customHeight="1">
      <c r="A148" s="661">
        <f>SUBTOTAL(3,B$6:B148)</f>
        <v>143</v>
      </c>
      <c r="B148" s="661" t="s">
        <v>1082</v>
      </c>
      <c r="C148" s="662" t="s">
        <v>1083</v>
      </c>
      <c r="D148" s="1011">
        <v>44079</v>
      </c>
      <c r="E148" s="1011" t="s">
        <v>216</v>
      </c>
      <c r="F148" s="787" t="s">
        <v>696</v>
      </c>
      <c r="G148" s="996" t="s">
        <v>920</v>
      </c>
      <c r="H148" s="1012">
        <v>5931000</v>
      </c>
      <c r="I148" s="1012">
        <v>0</v>
      </c>
      <c r="J148" s="1012">
        <v>0</v>
      </c>
      <c r="K148" s="1012">
        <v>0</v>
      </c>
      <c r="L148" s="1013">
        <f t="shared" si="0"/>
        <v>5931000</v>
      </c>
      <c r="M148" s="1014">
        <v>21.8</v>
      </c>
      <c r="N148" s="1013">
        <f t="shared" si="31"/>
        <v>4972915</v>
      </c>
      <c r="O148" s="1015">
        <v>3</v>
      </c>
      <c r="P148" s="1013">
        <f t="shared" si="32"/>
        <v>684346</v>
      </c>
      <c r="Q148" s="1016">
        <v>0</v>
      </c>
      <c r="R148" s="1013">
        <f t="shared" si="33"/>
        <v>0</v>
      </c>
      <c r="S148" s="1013">
        <f t="shared" si="34"/>
        <v>5657261</v>
      </c>
      <c r="T148" s="1017">
        <v>0</v>
      </c>
      <c r="U148" s="785">
        <v>0</v>
      </c>
      <c r="V148" s="785">
        <v>200000</v>
      </c>
      <c r="W148" s="1017">
        <v>0</v>
      </c>
      <c r="X148" s="1017">
        <v>0</v>
      </c>
      <c r="Y148" s="1017">
        <v>400000</v>
      </c>
      <c r="Z148" s="1017">
        <v>409654</v>
      </c>
      <c r="AA148" s="1018"/>
      <c r="AB148" s="1013"/>
      <c r="AC148" s="1017">
        <v>0</v>
      </c>
      <c r="AD148" s="1017">
        <v>0</v>
      </c>
      <c r="AE148" s="1013">
        <v>42771.631307339449</v>
      </c>
      <c r="AF148" s="1019"/>
      <c r="AG148" s="1019">
        <f t="shared" si="1"/>
        <v>6709687</v>
      </c>
      <c r="AH148" s="1014">
        <v>52</v>
      </c>
      <c r="AI148" s="1014">
        <v>0</v>
      </c>
      <c r="AJ148" s="1014">
        <v>0</v>
      </c>
      <c r="AK148" s="1018">
        <v>0</v>
      </c>
      <c r="AL148" s="1020">
        <v>0</v>
      </c>
      <c r="AM148" s="1013">
        <f t="shared" si="37"/>
        <v>2224125</v>
      </c>
      <c r="AN148" s="1045">
        <f t="shared" si="40"/>
        <v>8933812</v>
      </c>
      <c r="AO148" s="1013">
        <v>622755</v>
      </c>
      <c r="AP148" s="1013">
        <v>44100</v>
      </c>
      <c r="AQ148" s="1013">
        <v>0</v>
      </c>
      <c r="AR148" s="1013">
        <v>0</v>
      </c>
      <c r="AS148" s="1013">
        <v>0</v>
      </c>
      <c r="AT148" s="1045">
        <f t="shared" si="4"/>
        <v>8266957</v>
      </c>
      <c r="AU148" s="1004"/>
      <c r="AV148" s="870"/>
      <c r="AW148" s="782" t="s">
        <v>3608</v>
      </c>
      <c r="AX148" s="782" t="s">
        <v>3609</v>
      </c>
      <c r="AY148" s="1007" t="s">
        <v>287</v>
      </c>
      <c r="AZ148" s="1007">
        <v>622</v>
      </c>
      <c r="BA148" s="347" t="str">
        <f t="shared" si="38"/>
        <v>Box</v>
      </c>
      <c r="BB148" s="1008"/>
      <c r="BC148" s="1009"/>
      <c r="BD148" s="1009"/>
    </row>
    <row r="149" spans="1:56" s="1010" customFormat="1" ht="36.75" customHeight="1">
      <c r="A149" s="661">
        <f>SUBTOTAL(3,B$6:B149)</f>
        <v>144</v>
      </c>
      <c r="B149" s="661" t="s">
        <v>1084</v>
      </c>
      <c r="C149" s="662" t="s">
        <v>1085</v>
      </c>
      <c r="D149" s="1011">
        <v>44298</v>
      </c>
      <c r="E149" s="1011" t="s">
        <v>216</v>
      </c>
      <c r="F149" s="787" t="s">
        <v>696</v>
      </c>
      <c r="G149" s="996" t="s">
        <v>797</v>
      </c>
      <c r="H149" s="1012">
        <v>5931000</v>
      </c>
      <c r="I149" s="1012">
        <v>0</v>
      </c>
      <c r="J149" s="1012">
        <v>0</v>
      </c>
      <c r="K149" s="1012">
        <v>0</v>
      </c>
      <c r="L149" s="1013">
        <f t="shared" si="0"/>
        <v>5931000</v>
      </c>
      <c r="M149" s="1014">
        <v>22</v>
      </c>
      <c r="N149" s="1013">
        <f t="shared" si="31"/>
        <v>5018538</v>
      </c>
      <c r="O149" s="1015">
        <v>3</v>
      </c>
      <c r="P149" s="1013">
        <f t="shared" si="32"/>
        <v>684346</v>
      </c>
      <c r="Q149" s="1016">
        <v>0</v>
      </c>
      <c r="R149" s="1013">
        <f t="shared" si="33"/>
        <v>0</v>
      </c>
      <c r="S149" s="1013">
        <f t="shared" si="34"/>
        <v>5702884</v>
      </c>
      <c r="T149" s="1017">
        <v>0</v>
      </c>
      <c r="U149" s="785">
        <v>0</v>
      </c>
      <c r="V149" s="785">
        <v>200000</v>
      </c>
      <c r="W149" s="1017">
        <v>0</v>
      </c>
      <c r="X149" s="1017">
        <v>0</v>
      </c>
      <c r="Y149" s="1017">
        <v>150000</v>
      </c>
      <c r="Z149" s="1017">
        <v>387785</v>
      </c>
      <c r="AA149" s="1018"/>
      <c r="AB149" s="1013"/>
      <c r="AC149" s="1017">
        <v>0</v>
      </c>
      <c r="AD149" s="1017">
        <v>0</v>
      </c>
      <c r="AE149" s="1013">
        <v>0</v>
      </c>
      <c r="AF149" s="1019"/>
      <c r="AG149" s="1019">
        <f t="shared" si="1"/>
        <v>6440669</v>
      </c>
      <c r="AH149" s="1014">
        <v>44</v>
      </c>
      <c r="AI149" s="1014">
        <v>0</v>
      </c>
      <c r="AJ149" s="1014">
        <v>0</v>
      </c>
      <c r="AK149" s="1018">
        <v>0</v>
      </c>
      <c r="AL149" s="1020">
        <v>0</v>
      </c>
      <c r="AM149" s="1013">
        <f t="shared" si="37"/>
        <v>1881952</v>
      </c>
      <c r="AN149" s="1045">
        <f t="shared" si="40"/>
        <v>8322621</v>
      </c>
      <c r="AO149" s="1013">
        <v>622755</v>
      </c>
      <c r="AP149" s="1013">
        <v>44100</v>
      </c>
      <c r="AQ149" s="1013">
        <v>0</v>
      </c>
      <c r="AR149" s="1013">
        <v>0</v>
      </c>
      <c r="AS149" s="1013">
        <v>0</v>
      </c>
      <c r="AT149" s="1045">
        <f t="shared" si="4"/>
        <v>7655766</v>
      </c>
      <c r="AU149" s="1004"/>
      <c r="AV149" s="870"/>
      <c r="AW149" s="782" t="s">
        <v>3610</v>
      </c>
      <c r="AX149" s="782" t="s">
        <v>3611</v>
      </c>
      <c r="AY149" s="1007" t="s">
        <v>287</v>
      </c>
      <c r="AZ149" s="1007">
        <v>622</v>
      </c>
      <c r="BA149" s="347" t="str">
        <f t="shared" si="38"/>
        <v>Box</v>
      </c>
      <c r="BB149" s="1008"/>
      <c r="BC149" s="1009"/>
      <c r="BD149" s="1009"/>
    </row>
    <row r="150" spans="1:56" s="1010" customFormat="1" ht="36.75" customHeight="1">
      <c r="A150" s="661">
        <f>SUBTOTAL(3,B$6:B150)</f>
        <v>145</v>
      </c>
      <c r="B150" s="661" t="s">
        <v>1086</v>
      </c>
      <c r="C150" s="662" t="s">
        <v>1087</v>
      </c>
      <c r="D150" s="1011">
        <v>44601</v>
      </c>
      <c r="E150" s="1011" t="s">
        <v>216</v>
      </c>
      <c r="F150" s="787" t="s">
        <v>696</v>
      </c>
      <c r="G150" s="996" t="s">
        <v>810</v>
      </c>
      <c r="H150" s="1012">
        <v>5931000</v>
      </c>
      <c r="I150" s="1012">
        <v>700000</v>
      </c>
      <c r="J150" s="1012">
        <v>0</v>
      </c>
      <c r="K150" s="1012">
        <v>0</v>
      </c>
      <c r="L150" s="1013">
        <f t="shared" si="0"/>
        <v>6631000</v>
      </c>
      <c r="M150" s="1014">
        <v>24</v>
      </c>
      <c r="N150" s="1013">
        <f t="shared" si="31"/>
        <v>6120923</v>
      </c>
      <c r="O150" s="1015">
        <v>2</v>
      </c>
      <c r="P150" s="1013">
        <f t="shared" si="32"/>
        <v>510077</v>
      </c>
      <c r="Q150" s="1016">
        <v>0</v>
      </c>
      <c r="R150" s="1013">
        <f t="shared" si="33"/>
        <v>0</v>
      </c>
      <c r="S150" s="1013">
        <f t="shared" si="34"/>
        <v>6631000</v>
      </c>
      <c r="T150" s="1017">
        <v>0</v>
      </c>
      <c r="U150" s="785">
        <v>0</v>
      </c>
      <c r="V150" s="785">
        <v>200000</v>
      </c>
      <c r="W150" s="1017">
        <v>500000</v>
      </c>
      <c r="X150" s="1017">
        <v>0</v>
      </c>
      <c r="Y150" s="1017">
        <v>400000</v>
      </c>
      <c r="Z150" s="1017">
        <v>397614</v>
      </c>
      <c r="AA150" s="1018"/>
      <c r="AB150" s="1013"/>
      <c r="AC150" s="1017">
        <v>0</v>
      </c>
      <c r="AD150" s="1017">
        <v>0</v>
      </c>
      <c r="AE150" s="1013">
        <v>0</v>
      </c>
      <c r="AF150" s="1019"/>
      <c r="AG150" s="1019">
        <f t="shared" si="1"/>
        <v>8128614</v>
      </c>
      <c r="AH150" s="1014">
        <v>50.5</v>
      </c>
      <c r="AI150" s="1014">
        <v>0</v>
      </c>
      <c r="AJ150" s="1014">
        <v>0</v>
      </c>
      <c r="AK150" s="1018">
        <v>0</v>
      </c>
      <c r="AL150" s="1020">
        <v>0</v>
      </c>
      <c r="AM150" s="1013">
        <f t="shared" si="37"/>
        <v>2414895</v>
      </c>
      <c r="AN150" s="1045">
        <f t="shared" si="40"/>
        <v>10543509</v>
      </c>
      <c r="AO150" s="1013">
        <v>696255</v>
      </c>
      <c r="AP150" s="1013">
        <v>44100</v>
      </c>
      <c r="AQ150" s="1013">
        <v>0</v>
      </c>
      <c r="AR150" s="1013">
        <v>0</v>
      </c>
      <c r="AS150" s="1013">
        <v>0</v>
      </c>
      <c r="AT150" s="1045">
        <f t="shared" si="4"/>
        <v>9803154</v>
      </c>
      <c r="AU150" s="1004"/>
      <c r="AV150" s="870"/>
      <c r="AW150" s="782" t="s">
        <v>3612</v>
      </c>
      <c r="AX150" s="782" t="s">
        <v>3613</v>
      </c>
      <c r="AY150" s="1007" t="s">
        <v>287</v>
      </c>
      <c r="AZ150" s="1007">
        <v>622</v>
      </c>
      <c r="BA150" s="347" t="str">
        <f t="shared" si="38"/>
        <v>Box</v>
      </c>
      <c r="BB150" s="1008"/>
      <c r="BC150" s="1009"/>
      <c r="BD150" s="1009"/>
    </row>
    <row r="151" spans="1:56" s="1010" customFormat="1" ht="36.75" customHeight="1">
      <c r="A151" s="661">
        <f>SUBTOTAL(3,B$6:B151)</f>
        <v>146</v>
      </c>
      <c r="B151" s="661" t="s">
        <v>1088</v>
      </c>
      <c r="C151" s="662" t="s">
        <v>1089</v>
      </c>
      <c r="D151" s="1011">
        <v>44609</v>
      </c>
      <c r="E151" s="1011" t="s">
        <v>216</v>
      </c>
      <c r="F151" s="787" t="s">
        <v>696</v>
      </c>
      <c r="G151" s="996" t="s">
        <v>992</v>
      </c>
      <c r="H151" s="1012">
        <v>5931000</v>
      </c>
      <c r="I151" s="1012">
        <v>400000</v>
      </c>
      <c r="J151" s="1012">
        <v>0</v>
      </c>
      <c r="K151" s="1012">
        <v>0</v>
      </c>
      <c r="L151" s="1013">
        <f t="shared" si="0"/>
        <v>6331000</v>
      </c>
      <c r="M151" s="1014">
        <v>23.6</v>
      </c>
      <c r="N151" s="1013">
        <f t="shared" si="31"/>
        <v>5746600</v>
      </c>
      <c r="O151" s="1015">
        <v>2</v>
      </c>
      <c r="P151" s="1013">
        <f t="shared" si="32"/>
        <v>487000</v>
      </c>
      <c r="Q151" s="1016">
        <v>0</v>
      </c>
      <c r="R151" s="1013">
        <f t="shared" si="33"/>
        <v>0</v>
      </c>
      <c r="S151" s="1013">
        <f t="shared" si="34"/>
        <v>6233600</v>
      </c>
      <c r="T151" s="1017">
        <v>0</v>
      </c>
      <c r="U151" s="785">
        <v>0</v>
      </c>
      <c r="V151" s="785">
        <v>200000</v>
      </c>
      <c r="W151" s="1017">
        <v>500000</v>
      </c>
      <c r="X151" s="1017">
        <v>0</v>
      </c>
      <c r="Y151" s="1017">
        <v>400000</v>
      </c>
      <c r="Z151" s="1017">
        <v>423349</v>
      </c>
      <c r="AA151" s="1018"/>
      <c r="AB151" s="1013"/>
      <c r="AC151" s="1017">
        <v>100000</v>
      </c>
      <c r="AD151" s="1017">
        <v>0</v>
      </c>
      <c r="AE151" s="1013">
        <v>45656.249999999993</v>
      </c>
      <c r="AF151" s="1019"/>
      <c r="AG151" s="1019">
        <f t="shared" si="1"/>
        <v>7902605</v>
      </c>
      <c r="AH151" s="1014">
        <v>52</v>
      </c>
      <c r="AI151" s="1014">
        <v>0</v>
      </c>
      <c r="AJ151" s="1014">
        <v>0</v>
      </c>
      <c r="AK151" s="1018">
        <v>0</v>
      </c>
      <c r="AL151" s="1020">
        <v>0</v>
      </c>
      <c r="AM151" s="1013">
        <f t="shared" si="37"/>
        <v>2374125</v>
      </c>
      <c r="AN151" s="1045">
        <f t="shared" si="40"/>
        <v>10276730</v>
      </c>
      <c r="AO151" s="1013">
        <v>664755</v>
      </c>
      <c r="AP151" s="1013">
        <v>44100</v>
      </c>
      <c r="AQ151" s="1013">
        <v>0</v>
      </c>
      <c r="AR151" s="1013">
        <v>0</v>
      </c>
      <c r="AS151" s="1013">
        <v>0</v>
      </c>
      <c r="AT151" s="1045">
        <f t="shared" si="4"/>
        <v>9567875</v>
      </c>
      <c r="AU151" s="1004"/>
      <c r="AV151" s="870"/>
      <c r="AW151" s="782" t="s">
        <v>3614</v>
      </c>
      <c r="AX151" s="782" t="s">
        <v>3615</v>
      </c>
      <c r="AY151" s="1007" t="s">
        <v>287</v>
      </c>
      <c r="AZ151" s="1007">
        <v>622</v>
      </c>
      <c r="BA151" s="347" t="str">
        <f t="shared" si="38"/>
        <v>Box</v>
      </c>
      <c r="BB151" s="1008"/>
      <c r="BC151" s="1009"/>
      <c r="BD151" s="1009"/>
    </row>
    <row r="152" spans="1:56" s="1010" customFormat="1" ht="36.75" customHeight="1">
      <c r="A152" s="661">
        <f>SUBTOTAL(3,B$6:B152)</f>
        <v>147</v>
      </c>
      <c r="B152" s="661" t="s">
        <v>1090</v>
      </c>
      <c r="C152" s="662" t="s">
        <v>1091</v>
      </c>
      <c r="D152" s="1011">
        <v>45166</v>
      </c>
      <c r="E152" s="1011" t="s">
        <v>216</v>
      </c>
      <c r="F152" s="787" t="s">
        <v>696</v>
      </c>
      <c r="G152" s="996" t="s">
        <v>1081</v>
      </c>
      <c r="H152" s="1012">
        <v>5538000</v>
      </c>
      <c r="I152" s="1012">
        <v>300000</v>
      </c>
      <c r="J152" s="1012">
        <v>0</v>
      </c>
      <c r="K152" s="1012">
        <v>0</v>
      </c>
      <c r="L152" s="1013">
        <f t="shared" si="0"/>
        <v>5838000</v>
      </c>
      <c r="M152" s="1014">
        <v>24</v>
      </c>
      <c r="N152" s="1013">
        <f t="shared" si="31"/>
        <v>5388923</v>
      </c>
      <c r="O152" s="1015">
        <v>2</v>
      </c>
      <c r="P152" s="1013">
        <f t="shared" si="32"/>
        <v>449077</v>
      </c>
      <c r="Q152" s="1016">
        <v>0</v>
      </c>
      <c r="R152" s="1013">
        <f t="shared" si="33"/>
        <v>0</v>
      </c>
      <c r="S152" s="1013">
        <f t="shared" si="34"/>
        <v>5838000</v>
      </c>
      <c r="T152" s="1017">
        <v>0</v>
      </c>
      <c r="U152" s="785">
        <v>0</v>
      </c>
      <c r="V152" s="785">
        <v>200000</v>
      </c>
      <c r="W152" s="1017">
        <v>500000</v>
      </c>
      <c r="X152" s="1017">
        <v>0</v>
      </c>
      <c r="Y152" s="1017">
        <v>400000</v>
      </c>
      <c r="Z152" s="1017">
        <v>427768</v>
      </c>
      <c r="AA152" s="1018"/>
      <c r="AB152" s="1013"/>
      <c r="AC152" s="1017">
        <v>0</v>
      </c>
      <c r="AD152" s="1017">
        <v>0</v>
      </c>
      <c r="AE152" s="1013">
        <v>42100.9609375</v>
      </c>
      <c r="AF152" s="1019"/>
      <c r="AG152" s="1019">
        <f t="shared" si="1"/>
        <v>7407869</v>
      </c>
      <c r="AH152" s="1014">
        <v>52</v>
      </c>
      <c r="AI152" s="1014">
        <v>0</v>
      </c>
      <c r="AJ152" s="1014">
        <v>0</v>
      </c>
      <c r="AK152" s="1018">
        <v>0</v>
      </c>
      <c r="AL152" s="1020">
        <v>0</v>
      </c>
      <c r="AM152" s="1013">
        <f t="shared" si="37"/>
        <v>2189250</v>
      </c>
      <c r="AN152" s="1045">
        <f t="shared" si="40"/>
        <v>9597119</v>
      </c>
      <c r="AO152" s="1013">
        <v>612990</v>
      </c>
      <c r="AP152" s="1013">
        <v>44100</v>
      </c>
      <c r="AQ152" s="1013">
        <v>0</v>
      </c>
      <c r="AR152" s="1013">
        <v>0</v>
      </c>
      <c r="AS152" s="1013">
        <v>0</v>
      </c>
      <c r="AT152" s="1045">
        <f t="shared" si="4"/>
        <v>8940029</v>
      </c>
      <c r="AU152" s="1004"/>
      <c r="AV152" s="870"/>
      <c r="AW152" s="782" t="s">
        <v>3616</v>
      </c>
      <c r="AX152" s="782" t="s">
        <v>3617</v>
      </c>
      <c r="AY152" s="1007" t="s">
        <v>287</v>
      </c>
      <c r="AZ152" s="1007">
        <v>622</v>
      </c>
      <c r="BA152" s="347" t="str">
        <f t="shared" si="38"/>
        <v>Box</v>
      </c>
      <c r="BB152" s="1008"/>
      <c r="BC152" s="1009"/>
      <c r="BD152" s="1009"/>
    </row>
    <row r="153" spans="1:56" s="1010" customFormat="1" ht="36.75" customHeight="1">
      <c r="A153" s="661">
        <f>SUBTOTAL(3,B$6:B153)</f>
        <v>148</v>
      </c>
      <c r="B153" s="661" t="s">
        <v>1092</v>
      </c>
      <c r="C153" s="662" t="s">
        <v>1093</v>
      </c>
      <c r="D153" s="1011">
        <v>45204</v>
      </c>
      <c r="E153" s="1011" t="s">
        <v>216</v>
      </c>
      <c r="F153" s="787" t="s">
        <v>696</v>
      </c>
      <c r="G153" s="996" t="s">
        <v>797</v>
      </c>
      <c r="H153" s="1012">
        <v>5538000</v>
      </c>
      <c r="I153" s="1012">
        <v>0</v>
      </c>
      <c r="J153" s="1012">
        <v>0</v>
      </c>
      <c r="K153" s="1012">
        <v>0</v>
      </c>
      <c r="L153" s="1013">
        <f t="shared" si="0"/>
        <v>5538000</v>
      </c>
      <c r="M153" s="1014">
        <v>22.6</v>
      </c>
      <c r="N153" s="1013">
        <f t="shared" si="31"/>
        <v>4813800</v>
      </c>
      <c r="O153" s="1015">
        <v>3</v>
      </c>
      <c r="P153" s="1013">
        <f t="shared" si="32"/>
        <v>639000</v>
      </c>
      <c r="Q153" s="1016">
        <v>0</v>
      </c>
      <c r="R153" s="1013">
        <f t="shared" si="33"/>
        <v>0</v>
      </c>
      <c r="S153" s="1013">
        <f t="shared" si="34"/>
        <v>5452800</v>
      </c>
      <c r="T153" s="1017">
        <v>0</v>
      </c>
      <c r="U153" s="785">
        <v>0</v>
      </c>
      <c r="V153" s="785">
        <v>200000</v>
      </c>
      <c r="W153" s="1017">
        <v>500000</v>
      </c>
      <c r="X153" s="1017">
        <v>0</v>
      </c>
      <c r="Y153" s="1017">
        <v>400000</v>
      </c>
      <c r="Z153" s="1017">
        <v>412608</v>
      </c>
      <c r="AA153" s="1018"/>
      <c r="AB153" s="1013"/>
      <c r="AC153" s="1017">
        <v>0</v>
      </c>
      <c r="AD153" s="1017">
        <v>0</v>
      </c>
      <c r="AE153" s="1013">
        <v>0</v>
      </c>
      <c r="AF153" s="1019"/>
      <c r="AG153" s="1019">
        <f t="shared" si="1"/>
        <v>6965408</v>
      </c>
      <c r="AH153" s="1014">
        <v>52</v>
      </c>
      <c r="AI153" s="1014">
        <v>0</v>
      </c>
      <c r="AJ153" s="1014">
        <v>0</v>
      </c>
      <c r="AK153" s="1018">
        <v>0</v>
      </c>
      <c r="AL153" s="1020">
        <v>0</v>
      </c>
      <c r="AM153" s="1013">
        <f t="shared" si="37"/>
        <v>2076750</v>
      </c>
      <c r="AN153" s="1045">
        <f t="shared" si="40"/>
        <v>9042158</v>
      </c>
      <c r="AO153" s="1013">
        <v>581490</v>
      </c>
      <c r="AP153" s="1013">
        <v>44100</v>
      </c>
      <c r="AQ153" s="1013">
        <v>0</v>
      </c>
      <c r="AR153" s="1013">
        <v>0</v>
      </c>
      <c r="AS153" s="1013">
        <v>0</v>
      </c>
      <c r="AT153" s="1045">
        <f t="shared" si="4"/>
        <v>8416568</v>
      </c>
      <c r="AU153" s="1004"/>
      <c r="AV153" s="870"/>
      <c r="AW153" s="782" t="s">
        <v>3618</v>
      </c>
      <c r="AX153" s="782" t="s">
        <v>3619</v>
      </c>
      <c r="AY153" s="1007" t="s">
        <v>287</v>
      </c>
      <c r="AZ153" s="1007">
        <v>622</v>
      </c>
      <c r="BA153" s="347" t="str">
        <f t="shared" si="38"/>
        <v>Box</v>
      </c>
      <c r="BB153" s="1008"/>
      <c r="BC153" s="1009"/>
      <c r="BD153" s="1009"/>
    </row>
    <row r="154" spans="1:56" s="1010" customFormat="1" ht="36.75" customHeight="1">
      <c r="A154" s="661">
        <f>SUBTOTAL(3,B$6:B154)</f>
        <v>149</v>
      </c>
      <c r="B154" s="661" t="s">
        <v>1094</v>
      </c>
      <c r="C154" s="662" t="s">
        <v>1095</v>
      </c>
      <c r="D154" s="1011">
        <v>45206</v>
      </c>
      <c r="E154" s="1011" t="s">
        <v>216</v>
      </c>
      <c r="F154" s="787" t="s">
        <v>696</v>
      </c>
      <c r="G154" s="996" t="s">
        <v>797</v>
      </c>
      <c r="H154" s="1012">
        <v>5538000</v>
      </c>
      <c r="I154" s="1012">
        <v>0</v>
      </c>
      <c r="J154" s="1012">
        <v>0</v>
      </c>
      <c r="K154" s="1012">
        <v>0</v>
      </c>
      <c r="L154" s="1013">
        <f t="shared" si="0"/>
        <v>5538000</v>
      </c>
      <c r="M154" s="1014">
        <v>23.9</v>
      </c>
      <c r="N154" s="1013">
        <f t="shared" si="31"/>
        <v>5090700</v>
      </c>
      <c r="O154" s="1015">
        <v>2</v>
      </c>
      <c r="P154" s="1013">
        <f t="shared" si="32"/>
        <v>426000</v>
      </c>
      <c r="Q154" s="1016">
        <v>0</v>
      </c>
      <c r="R154" s="1013">
        <f t="shared" si="33"/>
        <v>0</v>
      </c>
      <c r="S154" s="1013">
        <f t="shared" si="34"/>
        <v>5516700</v>
      </c>
      <c r="T154" s="1017">
        <v>0</v>
      </c>
      <c r="U154" s="785">
        <v>0</v>
      </c>
      <c r="V154" s="785">
        <v>200000</v>
      </c>
      <c r="W154" s="1017">
        <v>500000</v>
      </c>
      <c r="X154" s="1017">
        <v>0</v>
      </c>
      <c r="Y154" s="1017">
        <v>300000</v>
      </c>
      <c r="Z154" s="1017">
        <v>324188</v>
      </c>
      <c r="AA154" s="1018"/>
      <c r="AB154" s="1013"/>
      <c r="AC154" s="1017">
        <v>0</v>
      </c>
      <c r="AD154" s="1017">
        <v>0</v>
      </c>
      <c r="AE154" s="1013">
        <v>39937.5</v>
      </c>
      <c r="AF154" s="1019"/>
      <c r="AG154" s="1019">
        <f t="shared" si="1"/>
        <v>6880826</v>
      </c>
      <c r="AH154" s="1014">
        <v>0</v>
      </c>
      <c r="AI154" s="1014">
        <v>0</v>
      </c>
      <c r="AJ154" s="1014">
        <v>0</v>
      </c>
      <c r="AK154" s="1018">
        <v>0</v>
      </c>
      <c r="AL154" s="1020">
        <v>0</v>
      </c>
      <c r="AM154" s="1013">
        <f t="shared" si="37"/>
        <v>0</v>
      </c>
      <c r="AN154" s="1045">
        <f t="shared" si="40"/>
        <v>6880826</v>
      </c>
      <c r="AO154" s="1013">
        <v>581490</v>
      </c>
      <c r="AP154" s="1013">
        <v>44100</v>
      </c>
      <c r="AQ154" s="1013">
        <v>0</v>
      </c>
      <c r="AR154" s="1013">
        <v>0</v>
      </c>
      <c r="AS154" s="1013">
        <v>0</v>
      </c>
      <c r="AT154" s="1045">
        <f t="shared" si="4"/>
        <v>6255236</v>
      </c>
      <c r="AU154" s="1004"/>
      <c r="AV154" s="870"/>
      <c r="AW154" s="782" t="s">
        <v>3620</v>
      </c>
      <c r="AX154" s="782" t="s">
        <v>3621</v>
      </c>
      <c r="AY154" s="1007" t="s">
        <v>287</v>
      </c>
      <c r="AZ154" s="1007">
        <v>622</v>
      </c>
      <c r="BA154" s="347" t="str">
        <f t="shared" si="38"/>
        <v>Box</v>
      </c>
      <c r="BB154" s="1008"/>
      <c r="BC154" s="1009"/>
      <c r="BD154" s="1009"/>
    </row>
    <row r="155" spans="1:56" s="1010" customFormat="1" ht="36.75" customHeight="1">
      <c r="A155" s="661">
        <f>SUBTOTAL(3,B$6:B155)</f>
        <v>150</v>
      </c>
      <c r="B155" s="661" t="s">
        <v>1096</v>
      </c>
      <c r="C155" s="662" t="s">
        <v>1097</v>
      </c>
      <c r="D155" s="1011">
        <v>45209</v>
      </c>
      <c r="E155" s="1011" t="s">
        <v>216</v>
      </c>
      <c r="F155" s="787" t="s">
        <v>696</v>
      </c>
      <c r="G155" s="996" t="s">
        <v>797</v>
      </c>
      <c r="H155" s="1012">
        <v>5538000</v>
      </c>
      <c r="I155" s="1012">
        <v>0</v>
      </c>
      <c r="J155" s="1012">
        <v>0</v>
      </c>
      <c r="K155" s="1012">
        <v>0</v>
      </c>
      <c r="L155" s="1013">
        <f t="shared" si="0"/>
        <v>5538000</v>
      </c>
      <c r="M155" s="1014">
        <v>24</v>
      </c>
      <c r="N155" s="1013">
        <f t="shared" si="31"/>
        <v>5112000</v>
      </c>
      <c r="O155" s="1015">
        <v>2</v>
      </c>
      <c r="P155" s="1013">
        <f t="shared" si="32"/>
        <v>426000</v>
      </c>
      <c r="Q155" s="1016">
        <v>0</v>
      </c>
      <c r="R155" s="1013">
        <f t="shared" si="33"/>
        <v>0</v>
      </c>
      <c r="S155" s="1013">
        <f t="shared" si="34"/>
        <v>5538000</v>
      </c>
      <c r="T155" s="1017">
        <v>0</v>
      </c>
      <c r="U155" s="785">
        <v>0</v>
      </c>
      <c r="V155" s="785">
        <v>200000</v>
      </c>
      <c r="W155" s="1017">
        <v>500000</v>
      </c>
      <c r="X155" s="1017">
        <v>0</v>
      </c>
      <c r="Y155" s="1017">
        <v>400000</v>
      </c>
      <c r="Z155" s="1017">
        <v>429671</v>
      </c>
      <c r="AA155" s="1018"/>
      <c r="AB155" s="1013"/>
      <c r="AC155" s="1017">
        <v>0</v>
      </c>
      <c r="AD155" s="1017">
        <v>0</v>
      </c>
      <c r="AE155" s="1013">
        <v>39937.5</v>
      </c>
      <c r="AF155" s="1019"/>
      <c r="AG155" s="1019">
        <f t="shared" si="1"/>
        <v>7107609</v>
      </c>
      <c r="AH155" s="1014">
        <v>52</v>
      </c>
      <c r="AI155" s="1014">
        <v>0</v>
      </c>
      <c r="AJ155" s="1014">
        <v>0</v>
      </c>
      <c r="AK155" s="1018">
        <v>0</v>
      </c>
      <c r="AL155" s="1020">
        <v>0</v>
      </c>
      <c r="AM155" s="1013">
        <f t="shared" si="37"/>
        <v>2076750</v>
      </c>
      <c r="AN155" s="1045">
        <f t="shared" si="40"/>
        <v>9184359</v>
      </c>
      <c r="AO155" s="1013">
        <v>581490</v>
      </c>
      <c r="AP155" s="1013">
        <v>44100</v>
      </c>
      <c r="AQ155" s="1013">
        <v>0</v>
      </c>
      <c r="AR155" s="1013">
        <v>0</v>
      </c>
      <c r="AS155" s="1013">
        <v>0</v>
      </c>
      <c r="AT155" s="1045">
        <f t="shared" si="4"/>
        <v>8558769</v>
      </c>
      <c r="AU155" s="1004"/>
      <c r="AV155" s="870"/>
      <c r="AW155" s="782" t="s">
        <v>3622</v>
      </c>
      <c r="AX155" s="782" t="s">
        <v>3623</v>
      </c>
      <c r="AY155" s="1007" t="s">
        <v>287</v>
      </c>
      <c r="AZ155" s="1007">
        <v>622</v>
      </c>
      <c r="BA155" s="347" t="str">
        <f t="shared" si="38"/>
        <v>Box</v>
      </c>
      <c r="BB155" s="1008"/>
      <c r="BC155" s="1009"/>
      <c r="BD155" s="1009"/>
    </row>
    <row r="156" spans="1:56" s="1010" customFormat="1" ht="36.75" customHeight="1">
      <c r="A156" s="661">
        <f>SUBTOTAL(3,B$6:B156)</f>
        <v>151</v>
      </c>
      <c r="B156" s="661" t="s">
        <v>1098</v>
      </c>
      <c r="C156" s="662" t="s">
        <v>1099</v>
      </c>
      <c r="D156" s="1011">
        <v>45349</v>
      </c>
      <c r="E156" s="1011" t="s">
        <v>216</v>
      </c>
      <c r="F156" s="787" t="s">
        <v>696</v>
      </c>
      <c r="G156" s="996" t="s">
        <v>992</v>
      </c>
      <c r="H156" s="1012">
        <v>5538000</v>
      </c>
      <c r="I156" s="1012">
        <v>400000</v>
      </c>
      <c r="J156" s="1012">
        <v>0</v>
      </c>
      <c r="K156" s="1012">
        <v>0</v>
      </c>
      <c r="L156" s="1013">
        <f t="shared" ref="L156:L200" si="41">SUM(H156:K156)</f>
        <v>5938000</v>
      </c>
      <c r="M156" s="1014">
        <v>19.100000000000001</v>
      </c>
      <c r="N156" s="1013">
        <f t="shared" ref="N156:N200" si="42">ROUND((H156+I156+J156+K156)/IF($M$2&gt;26,26,$M$2)*M156,0)</f>
        <v>4362146</v>
      </c>
      <c r="O156" s="1015">
        <v>3</v>
      </c>
      <c r="P156" s="1013">
        <f t="shared" ref="P156:P200" si="43">ROUND((H156+I156+J156+K156)/IF($M$2&gt;26,26,$M$2)*O156,0)</f>
        <v>685154</v>
      </c>
      <c r="Q156" s="1016">
        <v>0</v>
      </c>
      <c r="R156" s="1013">
        <f t="shared" ref="R156:R200" si="44">IF(M156&gt;0,ROUND(N156/IF(M156&gt;26,26,M156)/8*Q156*30%,0),0)</f>
        <v>0</v>
      </c>
      <c r="S156" s="1013">
        <f t="shared" ref="S156:S200" si="45">N156+P156+R156</f>
        <v>5047300</v>
      </c>
      <c r="T156" s="1017">
        <v>0</v>
      </c>
      <c r="U156" s="785">
        <v>0</v>
      </c>
      <c r="V156" s="785">
        <v>200000</v>
      </c>
      <c r="W156" s="1017">
        <v>0</v>
      </c>
      <c r="X156" s="1017">
        <v>0</v>
      </c>
      <c r="Y156" s="1017">
        <v>0</v>
      </c>
      <c r="Z156" s="1017">
        <v>352219</v>
      </c>
      <c r="AA156" s="1018"/>
      <c r="AB156" s="1013"/>
      <c r="AC156" s="1017">
        <v>100000</v>
      </c>
      <c r="AD156" s="1017">
        <v>0</v>
      </c>
      <c r="AE156" s="1013">
        <v>42822.113874345552</v>
      </c>
      <c r="AF156" s="1019"/>
      <c r="AG156" s="1019">
        <f t="shared" ref="AG156:AG200" si="46">ROUND(SUM(S156:AF156)-AA156,0)</f>
        <v>5742341</v>
      </c>
      <c r="AH156" s="1014">
        <v>38</v>
      </c>
      <c r="AI156" s="1014">
        <v>0</v>
      </c>
      <c r="AJ156" s="1014">
        <v>0</v>
      </c>
      <c r="AK156" s="1018">
        <v>0</v>
      </c>
      <c r="AL156" s="1020">
        <v>0</v>
      </c>
      <c r="AM156" s="1013">
        <f t="shared" si="37"/>
        <v>1627240</v>
      </c>
      <c r="AN156" s="1045">
        <f t="shared" ref="AN156:AN161" si="47">ROUND(AG156+AM156,0)</f>
        <v>7369581</v>
      </c>
      <c r="AO156" s="1013">
        <v>623490</v>
      </c>
      <c r="AP156" s="1013">
        <v>44100</v>
      </c>
      <c r="AQ156" s="1013">
        <v>0</v>
      </c>
      <c r="AR156" s="1013">
        <v>0</v>
      </c>
      <c r="AS156" s="1013">
        <v>0</v>
      </c>
      <c r="AT156" s="1045">
        <f t="shared" si="4"/>
        <v>6701991</v>
      </c>
      <c r="AU156" s="1004"/>
      <c r="AV156" s="870"/>
      <c r="AW156" s="782" t="s">
        <v>3624</v>
      </c>
      <c r="AX156" s="782" t="s">
        <v>3625</v>
      </c>
      <c r="AY156" s="1007" t="s">
        <v>287</v>
      </c>
      <c r="AZ156" s="1007">
        <v>622</v>
      </c>
      <c r="BA156" s="347" t="str">
        <f t="shared" si="38"/>
        <v>Box</v>
      </c>
      <c r="BB156" s="1008"/>
      <c r="BC156" s="1009"/>
      <c r="BD156" s="1009"/>
    </row>
    <row r="157" spans="1:56" s="1010" customFormat="1" ht="36.75" customHeight="1">
      <c r="A157" s="661">
        <f>SUBTOTAL(3,B$6:B157)</f>
        <v>152</v>
      </c>
      <c r="B157" s="661" t="s">
        <v>1100</v>
      </c>
      <c r="C157" s="662" t="s">
        <v>1101</v>
      </c>
      <c r="D157" s="1011">
        <v>45352</v>
      </c>
      <c r="E157" s="1011" t="s">
        <v>216</v>
      </c>
      <c r="F157" s="787" t="s">
        <v>696</v>
      </c>
      <c r="G157" s="996" t="s">
        <v>797</v>
      </c>
      <c r="H157" s="1012">
        <v>5538000</v>
      </c>
      <c r="I157" s="1012">
        <v>0</v>
      </c>
      <c r="J157" s="1012">
        <v>0</v>
      </c>
      <c r="K157" s="1012">
        <v>0</v>
      </c>
      <c r="L157" s="1013">
        <f t="shared" si="41"/>
        <v>5538000</v>
      </c>
      <c r="M157" s="1014">
        <v>23.7</v>
      </c>
      <c r="N157" s="1013">
        <f t="shared" si="42"/>
        <v>5048100</v>
      </c>
      <c r="O157" s="1015">
        <v>2</v>
      </c>
      <c r="P157" s="1013">
        <f t="shared" si="43"/>
        <v>426000</v>
      </c>
      <c r="Q157" s="1016">
        <v>0</v>
      </c>
      <c r="R157" s="1013">
        <f t="shared" si="44"/>
        <v>0</v>
      </c>
      <c r="S157" s="1013">
        <f t="shared" si="45"/>
        <v>5474100</v>
      </c>
      <c r="T157" s="1017">
        <v>0</v>
      </c>
      <c r="U157" s="785">
        <v>0</v>
      </c>
      <c r="V157" s="785">
        <v>200000</v>
      </c>
      <c r="W157" s="1017">
        <v>500000</v>
      </c>
      <c r="X157" s="1017">
        <v>0</v>
      </c>
      <c r="Y157" s="1017">
        <v>400000</v>
      </c>
      <c r="Z157" s="1017">
        <v>427768</v>
      </c>
      <c r="AA157" s="1018"/>
      <c r="AB157" s="1013"/>
      <c r="AC157" s="1017">
        <v>100000</v>
      </c>
      <c r="AD157" s="1017">
        <v>0</v>
      </c>
      <c r="AE157" s="1013">
        <v>39937.5</v>
      </c>
      <c r="AF157" s="1019"/>
      <c r="AG157" s="1019">
        <f t="shared" si="46"/>
        <v>7141806</v>
      </c>
      <c r="AH157" s="1014">
        <v>52</v>
      </c>
      <c r="AI157" s="1014">
        <v>0</v>
      </c>
      <c r="AJ157" s="1014">
        <v>0</v>
      </c>
      <c r="AK157" s="1018">
        <v>0</v>
      </c>
      <c r="AL157" s="1020">
        <v>0</v>
      </c>
      <c r="AM157" s="1013">
        <f t="shared" si="37"/>
        <v>2076750</v>
      </c>
      <c r="AN157" s="1045">
        <f t="shared" si="47"/>
        <v>9218556</v>
      </c>
      <c r="AO157" s="1013">
        <v>581490</v>
      </c>
      <c r="AP157" s="1013">
        <v>44100</v>
      </c>
      <c r="AQ157" s="1013">
        <v>0</v>
      </c>
      <c r="AR157" s="1013">
        <v>0</v>
      </c>
      <c r="AS157" s="1013">
        <v>0</v>
      </c>
      <c r="AT157" s="1045">
        <f t="shared" si="4"/>
        <v>8592966</v>
      </c>
      <c r="AU157" s="1004"/>
      <c r="AV157" s="870"/>
      <c r="AW157" s="782" t="s">
        <v>3626</v>
      </c>
      <c r="AX157" s="782" t="s">
        <v>3627</v>
      </c>
      <c r="AY157" s="1007" t="s">
        <v>287</v>
      </c>
      <c r="AZ157" s="1007">
        <v>622</v>
      </c>
      <c r="BA157" s="347" t="str">
        <f t="shared" si="38"/>
        <v>Box</v>
      </c>
      <c r="BB157" s="1008"/>
      <c r="BC157" s="1009"/>
      <c r="BD157" s="1009"/>
    </row>
    <row r="158" spans="1:56" s="1010" customFormat="1" ht="36.75" customHeight="1">
      <c r="A158" s="661">
        <f>SUBTOTAL(3,B$6:B158)</f>
        <v>153</v>
      </c>
      <c r="B158" s="661" t="s">
        <v>1102</v>
      </c>
      <c r="C158" s="662" t="s">
        <v>1103</v>
      </c>
      <c r="D158" s="1011">
        <v>45360</v>
      </c>
      <c r="E158" s="1011" t="s">
        <v>216</v>
      </c>
      <c r="F158" s="787" t="s">
        <v>696</v>
      </c>
      <c r="G158" s="996" t="s">
        <v>797</v>
      </c>
      <c r="H158" s="1012">
        <v>5538000</v>
      </c>
      <c r="I158" s="1012">
        <v>0</v>
      </c>
      <c r="J158" s="1012">
        <v>0</v>
      </c>
      <c r="K158" s="1012">
        <v>0</v>
      </c>
      <c r="L158" s="1013">
        <f t="shared" si="41"/>
        <v>5538000</v>
      </c>
      <c r="M158" s="1014">
        <v>22.8</v>
      </c>
      <c r="N158" s="1013">
        <f t="shared" si="42"/>
        <v>4856400</v>
      </c>
      <c r="O158" s="1015">
        <v>3</v>
      </c>
      <c r="P158" s="1013">
        <f t="shared" si="43"/>
        <v>639000</v>
      </c>
      <c r="Q158" s="1016">
        <v>0</v>
      </c>
      <c r="R158" s="1013">
        <f t="shared" si="44"/>
        <v>0</v>
      </c>
      <c r="S158" s="1013">
        <f t="shared" si="45"/>
        <v>5495400</v>
      </c>
      <c r="T158" s="1017">
        <v>0</v>
      </c>
      <c r="U158" s="785">
        <v>0</v>
      </c>
      <c r="V158" s="785">
        <v>200000</v>
      </c>
      <c r="W158" s="1017">
        <v>500000</v>
      </c>
      <c r="X158" s="1017">
        <v>0</v>
      </c>
      <c r="Y158" s="1017">
        <v>400000</v>
      </c>
      <c r="Z158" s="1017">
        <v>407124</v>
      </c>
      <c r="AA158" s="1018"/>
      <c r="AB158" s="1013"/>
      <c r="AC158" s="1017">
        <v>0</v>
      </c>
      <c r="AD158" s="1017">
        <v>0</v>
      </c>
      <c r="AE158" s="1013">
        <v>39937.5</v>
      </c>
      <c r="AF158" s="1019"/>
      <c r="AG158" s="1019">
        <f t="shared" si="46"/>
        <v>7042462</v>
      </c>
      <c r="AH158" s="1014">
        <v>48</v>
      </c>
      <c r="AI158" s="1014">
        <v>0</v>
      </c>
      <c r="AJ158" s="1014">
        <v>0</v>
      </c>
      <c r="AK158" s="1018">
        <v>0</v>
      </c>
      <c r="AL158" s="1020">
        <v>0</v>
      </c>
      <c r="AM158" s="1013">
        <f t="shared" si="37"/>
        <v>1917000</v>
      </c>
      <c r="AN158" s="1045">
        <f t="shared" si="47"/>
        <v>8959462</v>
      </c>
      <c r="AO158" s="1013">
        <v>581490</v>
      </c>
      <c r="AP158" s="1013">
        <v>44100</v>
      </c>
      <c r="AQ158" s="1013">
        <v>0</v>
      </c>
      <c r="AR158" s="1013">
        <v>0</v>
      </c>
      <c r="AS158" s="1013">
        <v>0</v>
      </c>
      <c r="AT158" s="1045">
        <f t="shared" si="4"/>
        <v>8333872</v>
      </c>
      <c r="AU158" s="1004"/>
      <c r="AV158" s="870"/>
      <c r="AW158" s="782" t="s">
        <v>3628</v>
      </c>
      <c r="AX158" s="782" t="s">
        <v>3629</v>
      </c>
      <c r="AY158" s="1007" t="s">
        <v>287</v>
      </c>
      <c r="AZ158" s="1007">
        <v>622</v>
      </c>
      <c r="BA158" s="347" t="str">
        <f t="shared" si="38"/>
        <v>Box</v>
      </c>
      <c r="BB158" s="1008"/>
      <c r="BC158" s="1009"/>
      <c r="BD158" s="1009"/>
    </row>
    <row r="159" spans="1:56" s="1010" customFormat="1" ht="36.75" customHeight="1">
      <c r="A159" s="661">
        <f>SUBTOTAL(3,B$6:B159)</f>
        <v>154</v>
      </c>
      <c r="B159" s="661" t="s">
        <v>1104</v>
      </c>
      <c r="C159" s="662" t="s">
        <v>1105</v>
      </c>
      <c r="D159" s="1011">
        <v>45621</v>
      </c>
      <c r="E159" s="1011" t="s">
        <v>216</v>
      </c>
      <c r="F159" s="787" t="s">
        <v>696</v>
      </c>
      <c r="G159" s="996" t="s">
        <v>797</v>
      </c>
      <c r="H159" s="1012">
        <v>5023000</v>
      </c>
      <c r="I159" s="1012">
        <v>0</v>
      </c>
      <c r="J159" s="1012">
        <v>0</v>
      </c>
      <c r="K159" s="1012">
        <v>0</v>
      </c>
      <c r="L159" s="1013">
        <f t="shared" si="41"/>
        <v>5023000</v>
      </c>
      <c r="M159" s="1014">
        <v>19</v>
      </c>
      <c r="N159" s="1013">
        <f t="shared" si="42"/>
        <v>3670654</v>
      </c>
      <c r="O159" s="1015">
        <v>2</v>
      </c>
      <c r="P159" s="1013">
        <f t="shared" si="43"/>
        <v>386385</v>
      </c>
      <c r="Q159" s="1016">
        <v>0</v>
      </c>
      <c r="R159" s="1013">
        <f t="shared" si="44"/>
        <v>0</v>
      </c>
      <c r="S159" s="1013">
        <f t="shared" si="45"/>
        <v>4057039</v>
      </c>
      <c r="T159" s="1017">
        <v>0</v>
      </c>
      <c r="U159" s="785">
        <v>0</v>
      </c>
      <c r="V159" s="785">
        <v>200000</v>
      </c>
      <c r="W159" s="1017">
        <v>0</v>
      </c>
      <c r="X159" s="1017">
        <v>0</v>
      </c>
      <c r="Y159" s="1017">
        <v>0</v>
      </c>
      <c r="Z159" s="1017">
        <v>330128</v>
      </c>
      <c r="AA159" s="1018"/>
      <c r="AB159" s="1013"/>
      <c r="AC159" s="1017">
        <v>0</v>
      </c>
      <c r="AD159" s="1017">
        <v>0</v>
      </c>
      <c r="AE159" s="1013">
        <v>36223.559210526313</v>
      </c>
      <c r="AF159" s="1019"/>
      <c r="AG159" s="1019">
        <f t="shared" si="46"/>
        <v>4623391</v>
      </c>
      <c r="AH159" s="1014">
        <v>36</v>
      </c>
      <c r="AI159" s="1014">
        <v>0</v>
      </c>
      <c r="AJ159" s="1014">
        <v>0</v>
      </c>
      <c r="AK159" s="1018">
        <v>0</v>
      </c>
      <c r="AL159" s="1020">
        <v>0</v>
      </c>
      <c r="AM159" s="1013">
        <f t="shared" si="37"/>
        <v>1304048</v>
      </c>
      <c r="AN159" s="1045">
        <f t="shared" si="47"/>
        <v>5927439</v>
      </c>
      <c r="AO159" s="1013">
        <v>527415</v>
      </c>
      <c r="AP159" s="1013">
        <v>44100</v>
      </c>
      <c r="AQ159" s="1013">
        <v>0</v>
      </c>
      <c r="AR159" s="1013">
        <v>0</v>
      </c>
      <c r="AS159" s="1013">
        <v>0</v>
      </c>
      <c r="AT159" s="1045">
        <f t="shared" si="4"/>
        <v>5355924</v>
      </c>
      <c r="AU159" s="1004"/>
      <c r="AV159" s="870"/>
      <c r="AW159" s="782" t="s">
        <v>3630</v>
      </c>
      <c r="AX159" s="782" t="s">
        <v>3631</v>
      </c>
      <c r="AY159" s="1007" t="s">
        <v>287</v>
      </c>
      <c r="AZ159" s="1007">
        <v>622</v>
      </c>
      <c r="BA159" s="347" t="str">
        <f t="shared" si="38"/>
        <v>Box</v>
      </c>
      <c r="BB159" s="1008"/>
      <c r="BC159" s="1009"/>
      <c r="BD159" s="1009"/>
    </row>
    <row r="160" spans="1:56" s="1010" customFormat="1" ht="36.75" customHeight="1">
      <c r="A160" s="661">
        <f>SUBTOTAL(3,B$6:B160)</f>
        <v>155</v>
      </c>
      <c r="B160" s="661" t="s">
        <v>1106</v>
      </c>
      <c r="C160" s="662" t="s">
        <v>1107</v>
      </c>
      <c r="D160" s="1011">
        <v>45666</v>
      </c>
      <c r="E160" s="1011" t="s">
        <v>216</v>
      </c>
      <c r="F160" s="787" t="s">
        <v>696</v>
      </c>
      <c r="G160" s="996" t="s">
        <v>1108</v>
      </c>
      <c r="H160" s="1012">
        <v>5023000</v>
      </c>
      <c r="I160" s="1012">
        <v>300000</v>
      </c>
      <c r="J160" s="1012">
        <v>0</v>
      </c>
      <c r="K160" s="1012">
        <v>0</v>
      </c>
      <c r="L160" s="1013">
        <f t="shared" si="41"/>
        <v>5323000</v>
      </c>
      <c r="M160" s="1014">
        <v>18</v>
      </c>
      <c r="N160" s="1013">
        <f t="shared" si="42"/>
        <v>3685154</v>
      </c>
      <c r="O160" s="1015">
        <v>2</v>
      </c>
      <c r="P160" s="1013">
        <f t="shared" si="43"/>
        <v>409462</v>
      </c>
      <c r="Q160" s="1016">
        <v>0</v>
      </c>
      <c r="R160" s="1013">
        <f t="shared" si="44"/>
        <v>0</v>
      </c>
      <c r="S160" s="1013">
        <f t="shared" si="45"/>
        <v>4094616</v>
      </c>
      <c r="T160" s="1017">
        <v>0</v>
      </c>
      <c r="U160" s="785">
        <v>0</v>
      </c>
      <c r="V160" s="785">
        <v>200000</v>
      </c>
      <c r="W160" s="1017">
        <v>0</v>
      </c>
      <c r="X160" s="1017">
        <v>0</v>
      </c>
      <c r="Y160" s="1017">
        <v>0</v>
      </c>
      <c r="Z160" s="1017">
        <v>275443</v>
      </c>
      <c r="AA160" s="1018"/>
      <c r="AB160" s="1013"/>
      <c r="AC160" s="1017">
        <v>0</v>
      </c>
      <c r="AD160" s="1017">
        <v>0</v>
      </c>
      <c r="AE160" s="1013">
        <v>38387.020833333336</v>
      </c>
      <c r="AF160" s="1019"/>
      <c r="AG160" s="1019">
        <f t="shared" si="46"/>
        <v>4608446</v>
      </c>
      <c r="AH160" s="1014">
        <v>32</v>
      </c>
      <c r="AI160" s="1014">
        <v>0</v>
      </c>
      <c r="AJ160" s="1014">
        <v>0</v>
      </c>
      <c r="AK160" s="1018">
        <v>0</v>
      </c>
      <c r="AL160" s="1020">
        <v>0</v>
      </c>
      <c r="AM160" s="1013">
        <f t="shared" si="37"/>
        <v>1228385</v>
      </c>
      <c r="AN160" s="1045">
        <f t="shared" si="47"/>
        <v>5836831</v>
      </c>
      <c r="AO160" s="1013">
        <v>558915</v>
      </c>
      <c r="AP160" s="1013">
        <v>44100</v>
      </c>
      <c r="AQ160" s="1013">
        <v>0</v>
      </c>
      <c r="AR160" s="1013">
        <v>0</v>
      </c>
      <c r="AS160" s="1013">
        <v>0</v>
      </c>
      <c r="AT160" s="1045">
        <f t="shared" si="4"/>
        <v>5233816</v>
      </c>
      <c r="AU160" s="1004"/>
      <c r="AV160" s="870"/>
      <c r="AW160" s="782" t="s">
        <v>3632</v>
      </c>
      <c r="AX160" s="782" t="s">
        <v>3633</v>
      </c>
      <c r="AY160" s="1007" t="s">
        <v>287</v>
      </c>
      <c r="AZ160" s="1007">
        <v>622</v>
      </c>
      <c r="BA160" s="347" t="str">
        <f t="shared" si="38"/>
        <v>Box</v>
      </c>
      <c r="BB160" s="1008"/>
      <c r="BC160" s="1009"/>
      <c r="BD160" s="1009"/>
    </row>
    <row r="161" spans="1:56" s="1010" customFormat="1" ht="36.75" customHeight="1">
      <c r="A161" s="661">
        <f>SUBTOTAL(3,B$6:B161)</f>
        <v>156</v>
      </c>
      <c r="B161" s="661" t="s">
        <v>1109</v>
      </c>
      <c r="C161" s="662" t="s">
        <v>1110</v>
      </c>
      <c r="D161" s="1011">
        <v>45701</v>
      </c>
      <c r="E161" s="1011" t="s">
        <v>216</v>
      </c>
      <c r="F161" s="787" t="s">
        <v>696</v>
      </c>
      <c r="G161" s="996" t="s">
        <v>797</v>
      </c>
      <c r="H161" s="1012">
        <v>5023000</v>
      </c>
      <c r="I161" s="1012">
        <v>0</v>
      </c>
      <c r="J161" s="1012">
        <v>0</v>
      </c>
      <c r="K161" s="1012">
        <v>0</v>
      </c>
      <c r="L161" s="1013">
        <f t="shared" si="41"/>
        <v>5023000</v>
      </c>
      <c r="M161" s="1014">
        <v>22.7</v>
      </c>
      <c r="N161" s="1013">
        <f t="shared" si="42"/>
        <v>4385465</v>
      </c>
      <c r="O161" s="1015">
        <v>3</v>
      </c>
      <c r="P161" s="1013">
        <f t="shared" si="43"/>
        <v>579577</v>
      </c>
      <c r="Q161" s="1016">
        <v>0</v>
      </c>
      <c r="R161" s="1013">
        <f t="shared" si="44"/>
        <v>0</v>
      </c>
      <c r="S161" s="1013">
        <f t="shared" si="45"/>
        <v>4965042</v>
      </c>
      <c r="T161" s="1017">
        <v>0</v>
      </c>
      <c r="U161" s="785">
        <v>0</v>
      </c>
      <c r="V161" s="785">
        <v>200000</v>
      </c>
      <c r="W161" s="1017">
        <v>500000</v>
      </c>
      <c r="X161" s="1017">
        <v>0</v>
      </c>
      <c r="Y161" s="1017">
        <v>400000</v>
      </c>
      <c r="Z161" s="1017">
        <v>409566</v>
      </c>
      <c r="AA161" s="1018"/>
      <c r="AB161" s="1013"/>
      <c r="AC161" s="1017">
        <v>0</v>
      </c>
      <c r="AD161" s="1017">
        <v>0</v>
      </c>
      <c r="AE161" s="1013">
        <v>0</v>
      </c>
      <c r="AF161" s="1019"/>
      <c r="AG161" s="1019">
        <f t="shared" si="46"/>
        <v>6474608</v>
      </c>
      <c r="AH161" s="1014">
        <v>48</v>
      </c>
      <c r="AI161" s="1014">
        <v>0</v>
      </c>
      <c r="AJ161" s="1014">
        <v>0</v>
      </c>
      <c r="AK161" s="1018">
        <v>0</v>
      </c>
      <c r="AL161" s="1020">
        <v>0</v>
      </c>
      <c r="AM161" s="1013">
        <f t="shared" si="37"/>
        <v>1738731</v>
      </c>
      <c r="AN161" s="1045">
        <f t="shared" si="47"/>
        <v>8213339</v>
      </c>
      <c r="AO161" s="1013">
        <v>527415</v>
      </c>
      <c r="AP161" s="1013">
        <v>44100</v>
      </c>
      <c r="AQ161" s="1013">
        <v>0</v>
      </c>
      <c r="AR161" s="1013">
        <v>0</v>
      </c>
      <c r="AS161" s="1013">
        <v>0</v>
      </c>
      <c r="AT161" s="1045">
        <f t="shared" si="4"/>
        <v>7641824</v>
      </c>
      <c r="AU161" s="1004"/>
      <c r="AV161" s="870"/>
      <c r="AW161" s="782" t="s">
        <v>3634</v>
      </c>
      <c r="AX161" s="782" t="s">
        <v>3635</v>
      </c>
      <c r="AY161" s="1007" t="s">
        <v>287</v>
      </c>
      <c r="AZ161" s="1007">
        <v>622</v>
      </c>
      <c r="BA161" s="347" t="str">
        <f t="shared" si="38"/>
        <v>Box</v>
      </c>
      <c r="BB161" s="1008"/>
      <c r="BC161" s="1009"/>
      <c r="BD161" s="1009"/>
    </row>
    <row r="162" spans="1:56" s="1010" customFormat="1" ht="36.75" customHeight="1">
      <c r="A162" s="661">
        <f>SUBTOTAL(3,B$6:B162)</f>
        <v>157</v>
      </c>
      <c r="B162" s="661" t="s">
        <v>1111</v>
      </c>
      <c r="C162" s="662" t="s">
        <v>1112</v>
      </c>
      <c r="D162" s="1011">
        <v>45710</v>
      </c>
      <c r="E162" s="1011" t="s">
        <v>216</v>
      </c>
      <c r="F162" s="787" t="s">
        <v>696</v>
      </c>
      <c r="G162" s="996" t="s">
        <v>797</v>
      </c>
      <c r="H162" s="1012">
        <v>5023000</v>
      </c>
      <c r="I162" s="1012">
        <v>0</v>
      </c>
      <c r="J162" s="1012">
        <v>0</v>
      </c>
      <c r="K162" s="1012">
        <v>0</v>
      </c>
      <c r="L162" s="1013">
        <f t="shared" si="41"/>
        <v>5023000</v>
      </c>
      <c r="M162" s="1014">
        <v>22.9</v>
      </c>
      <c r="N162" s="1013">
        <f t="shared" si="42"/>
        <v>4424104</v>
      </c>
      <c r="O162" s="1015">
        <v>3</v>
      </c>
      <c r="P162" s="1013">
        <f t="shared" si="43"/>
        <v>579577</v>
      </c>
      <c r="Q162" s="1016">
        <v>0</v>
      </c>
      <c r="R162" s="1013">
        <f t="shared" si="44"/>
        <v>0</v>
      </c>
      <c r="S162" s="1013">
        <f t="shared" si="45"/>
        <v>5003681</v>
      </c>
      <c r="T162" s="1017">
        <v>0</v>
      </c>
      <c r="U162" s="785">
        <v>0</v>
      </c>
      <c r="V162" s="785">
        <v>200000</v>
      </c>
      <c r="W162" s="1017">
        <v>500000</v>
      </c>
      <c r="X162" s="1017">
        <v>0</v>
      </c>
      <c r="Y162" s="1017">
        <v>400000</v>
      </c>
      <c r="Z162" s="1017">
        <v>408922</v>
      </c>
      <c r="AA162" s="1018"/>
      <c r="AB162" s="1013"/>
      <c r="AC162" s="1017">
        <v>0</v>
      </c>
      <c r="AD162" s="1017">
        <v>0</v>
      </c>
      <c r="AE162" s="1013">
        <v>36223.558951965068</v>
      </c>
      <c r="AF162" s="1019"/>
      <c r="AG162" s="1019">
        <f t="shared" si="46"/>
        <v>6548827</v>
      </c>
      <c r="AH162" s="1014">
        <v>48</v>
      </c>
      <c r="AI162" s="1014">
        <v>0</v>
      </c>
      <c r="AJ162" s="1014">
        <v>0</v>
      </c>
      <c r="AK162" s="1018">
        <v>0</v>
      </c>
      <c r="AL162" s="1020">
        <v>0</v>
      </c>
      <c r="AM162" s="1013">
        <f t="shared" si="37"/>
        <v>1738731</v>
      </c>
      <c r="AN162" s="1045">
        <f>ROUND(AG162+AM162,0)</f>
        <v>8287558</v>
      </c>
      <c r="AO162" s="1013">
        <v>527415</v>
      </c>
      <c r="AP162" s="1013">
        <v>0</v>
      </c>
      <c r="AQ162" s="1013">
        <v>0</v>
      </c>
      <c r="AR162" s="1013">
        <v>0</v>
      </c>
      <c r="AS162" s="1013">
        <v>0</v>
      </c>
      <c r="AT162" s="1045">
        <f t="shared" si="4"/>
        <v>7760143</v>
      </c>
      <c r="AU162" s="1004"/>
      <c r="AV162" s="870"/>
      <c r="AW162" s="782" t="s">
        <v>3636</v>
      </c>
      <c r="AX162" s="782" t="s">
        <v>3637</v>
      </c>
      <c r="AY162" s="1007" t="s">
        <v>287</v>
      </c>
      <c r="AZ162" s="1007">
        <v>622</v>
      </c>
      <c r="BA162" s="347" t="str">
        <f t="shared" si="38"/>
        <v>Box</v>
      </c>
      <c r="BB162" s="1008"/>
      <c r="BC162" s="1009"/>
      <c r="BD162" s="1009"/>
    </row>
    <row r="163" spans="1:56" s="1010" customFormat="1" ht="36.75" customHeight="1">
      <c r="A163" s="661">
        <f>SUBTOTAL(3,B$6:B163)</f>
        <v>158</v>
      </c>
      <c r="B163" s="661" t="s">
        <v>1113</v>
      </c>
      <c r="C163" s="662" t="s">
        <v>1114</v>
      </c>
      <c r="D163" s="1011">
        <v>45710</v>
      </c>
      <c r="E163" s="1011" t="s">
        <v>216</v>
      </c>
      <c r="F163" s="787" t="s">
        <v>696</v>
      </c>
      <c r="G163" s="996" t="s">
        <v>797</v>
      </c>
      <c r="H163" s="1012">
        <v>5023000</v>
      </c>
      <c r="I163" s="1012">
        <v>0</v>
      </c>
      <c r="J163" s="1012">
        <v>0</v>
      </c>
      <c r="K163" s="1012">
        <v>0</v>
      </c>
      <c r="L163" s="1013">
        <f t="shared" si="41"/>
        <v>5023000</v>
      </c>
      <c r="M163" s="1014">
        <v>22.7</v>
      </c>
      <c r="N163" s="1013">
        <f t="shared" si="42"/>
        <v>4385465</v>
      </c>
      <c r="O163" s="1015">
        <v>3</v>
      </c>
      <c r="P163" s="1013">
        <f t="shared" si="43"/>
        <v>579577</v>
      </c>
      <c r="Q163" s="1016">
        <v>0</v>
      </c>
      <c r="R163" s="1013">
        <f t="shared" si="44"/>
        <v>0</v>
      </c>
      <c r="S163" s="1013">
        <f t="shared" si="45"/>
        <v>4965042</v>
      </c>
      <c r="T163" s="1017">
        <v>0</v>
      </c>
      <c r="U163" s="785">
        <v>0</v>
      </c>
      <c r="V163" s="785">
        <v>200000</v>
      </c>
      <c r="W163" s="1017">
        <v>500000</v>
      </c>
      <c r="X163" s="1017">
        <v>0</v>
      </c>
      <c r="Y163" s="1017">
        <v>400000</v>
      </c>
      <c r="Z163" s="1017">
        <v>407941</v>
      </c>
      <c r="AA163" s="1018"/>
      <c r="AB163" s="1013"/>
      <c r="AC163" s="1017">
        <v>0</v>
      </c>
      <c r="AD163" s="1017">
        <v>0</v>
      </c>
      <c r="AE163" s="1013">
        <v>36223.554515418509</v>
      </c>
      <c r="AF163" s="1019"/>
      <c r="AG163" s="1019">
        <f t="shared" si="46"/>
        <v>6509207</v>
      </c>
      <c r="AH163" s="1014">
        <v>49</v>
      </c>
      <c r="AI163" s="1014">
        <v>0</v>
      </c>
      <c r="AJ163" s="1014">
        <v>0</v>
      </c>
      <c r="AK163" s="1018">
        <v>0</v>
      </c>
      <c r="AL163" s="1020">
        <v>0</v>
      </c>
      <c r="AM163" s="1013">
        <f t="shared" si="37"/>
        <v>1774954</v>
      </c>
      <c r="AN163" s="1045">
        <f t="shared" ref="AN163:AN170" si="48">ROUND(AG163+AM163,0)</f>
        <v>8284161</v>
      </c>
      <c r="AO163" s="1013">
        <v>527415</v>
      </c>
      <c r="AP163" s="1013">
        <v>0</v>
      </c>
      <c r="AQ163" s="1013">
        <v>0</v>
      </c>
      <c r="AR163" s="1013">
        <v>0</v>
      </c>
      <c r="AS163" s="1013">
        <v>0</v>
      </c>
      <c r="AT163" s="1045">
        <f t="shared" si="4"/>
        <v>7756746</v>
      </c>
      <c r="AU163" s="1004"/>
      <c r="AV163" s="870"/>
      <c r="AW163" s="782" t="s">
        <v>3638</v>
      </c>
      <c r="AX163" s="782" t="s">
        <v>3639</v>
      </c>
      <c r="AY163" s="1007" t="s">
        <v>287</v>
      </c>
      <c r="AZ163" s="1007">
        <v>622</v>
      </c>
      <c r="BA163" s="347" t="str">
        <f t="shared" si="38"/>
        <v>Box</v>
      </c>
      <c r="BB163" s="1008"/>
      <c r="BC163" s="1009"/>
      <c r="BD163" s="1009"/>
    </row>
    <row r="164" spans="1:56" s="1010" customFormat="1" ht="36.75" customHeight="1">
      <c r="A164" s="661">
        <f>SUBTOTAL(3,B$6:B164)</f>
        <v>159</v>
      </c>
      <c r="B164" s="661" t="s">
        <v>1115</v>
      </c>
      <c r="C164" s="662" t="s">
        <v>1116</v>
      </c>
      <c r="D164" s="1011">
        <v>45715</v>
      </c>
      <c r="E164" s="1011" t="s">
        <v>216</v>
      </c>
      <c r="F164" s="787" t="s">
        <v>696</v>
      </c>
      <c r="G164" s="996" t="s">
        <v>797</v>
      </c>
      <c r="H164" s="1012">
        <v>5023000</v>
      </c>
      <c r="I164" s="1012">
        <v>0</v>
      </c>
      <c r="J164" s="1012">
        <v>0</v>
      </c>
      <c r="K164" s="1012">
        <v>0</v>
      </c>
      <c r="L164" s="1013">
        <f t="shared" si="41"/>
        <v>5023000</v>
      </c>
      <c r="M164" s="1014">
        <v>22</v>
      </c>
      <c r="N164" s="1013">
        <f t="shared" si="42"/>
        <v>4250231</v>
      </c>
      <c r="O164" s="1015">
        <v>2</v>
      </c>
      <c r="P164" s="1013">
        <f t="shared" si="43"/>
        <v>386385</v>
      </c>
      <c r="Q164" s="1016">
        <v>0</v>
      </c>
      <c r="R164" s="1013">
        <f t="shared" si="44"/>
        <v>0</v>
      </c>
      <c r="S164" s="1013">
        <f t="shared" si="45"/>
        <v>4636616</v>
      </c>
      <c r="T164" s="1017">
        <v>0</v>
      </c>
      <c r="U164" s="785">
        <v>0</v>
      </c>
      <c r="V164" s="785">
        <v>200000</v>
      </c>
      <c r="W164" s="1017">
        <v>0</v>
      </c>
      <c r="X164" s="1017">
        <v>0</v>
      </c>
      <c r="Y164" s="1017">
        <v>150000</v>
      </c>
      <c r="Z164" s="1017">
        <v>396693</v>
      </c>
      <c r="AA164" s="1018"/>
      <c r="AB164" s="1013"/>
      <c r="AC164" s="1017">
        <v>0</v>
      </c>
      <c r="AD164" s="1017">
        <v>0</v>
      </c>
      <c r="AE164" s="1013">
        <v>36223.559659090912</v>
      </c>
      <c r="AF164" s="1019"/>
      <c r="AG164" s="1019">
        <f t="shared" si="46"/>
        <v>5419533</v>
      </c>
      <c r="AH164" s="1014">
        <v>48</v>
      </c>
      <c r="AI164" s="1014">
        <v>0</v>
      </c>
      <c r="AJ164" s="1014">
        <v>0</v>
      </c>
      <c r="AK164" s="1018">
        <v>0</v>
      </c>
      <c r="AL164" s="1020">
        <v>0</v>
      </c>
      <c r="AM164" s="1013">
        <f t="shared" si="37"/>
        <v>1738731</v>
      </c>
      <c r="AN164" s="1045">
        <f t="shared" si="48"/>
        <v>7158264</v>
      </c>
      <c r="AO164" s="1013">
        <v>527415</v>
      </c>
      <c r="AP164" s="1013">
        <v>0</v>
      </c>
      <c r="AQ164" s="1013">
        <v>0</v>
      </c>
      <c r="AR164" s="1013">
        <v>0</v>
      </c>
      <c r="AS164" s="1013">
        <v>0</v>
      </c>
      <c r="AT164" s="1045">
        <f t="shared" si="4"/>
        <v>6630849</v>
      </c>
      <c r="AU164" s="1004"/>
      <c r="AV164" s="870"/>
      <c r="AW164" s="782" t="s">
        <v>3640</v>
      </c>
      <c r="AX164" s="782" t="s">
        <v>3641</v>
      </c>
      <c r="AY164" s="1007" t="s">
        <v>287</v>
      </c>
      <c r="AZ164" s="1007">
        <v>622</v>
      </c>
      <c r="BA164" s="347" t="str">
        <f t="shared" si="38"/>
        <v>Box</v>
      </c>
      <c r="BB164" s="1008"/>
      <c r="BC164" s="1009"/>
      <c r="BD164" s="1009"/>
    </row>
    <row r="165" spans="1:56" s="1010" customFormat="1" ht="36.75" customHeight="1">
      <c r="A165" s="661">
        <f>SUBTOTAL(3,B$6:B165)</f>
        <v>160</v>
      </c>
      <c r="B165" s="661" t="s">
        <v>1117</v>
      </c>
      <c r="C165" s="662" t="s">
        <v>1118</v>
      </c>
      <c r="D165" s="1011">
        <v>45729</v>
      </c>
      <c r="E165" s="1011" t="s">
        <v>216</v>
      </c>
      <c r="F165" s="787" t="s">
        <v>696</v>
      </c>
      <c r="G165" s="1341" t="s">
        <v>797</v>
      </c>
      <c r="H165" s="1012">
        <v>5023000</v>
      </c>
      <c r="I165" s="1012">
        <v>0</v>
      </c>
      <c r="J165" s="1012">
        <v>0</v>
      </c>
      <c r="K165" s="1012">
        <v>0</v>
      </c>
      <c r="L165" s="1013">
        <f t="shared" si="41"/>
        <v>5023000</v>
      </c>
      <c r="M165" s="1014">
        <v>23</v>
      </c>
      <c r="N165" s="1013">
        <f t="shared" si="42"/>
        <v>4443423</v>
      </c>
      <c r="O165" s="1015">
        <v>3</v>
      </c>
      <c r="P165" s="1013">
        <f t="shared" si="43"/>
        <v>579577</v>
      </c>
      <c r="Q165" s="1016">
        <v>0</v>
      </c>
      <c r="R165" s="1013">
        <f t="shared" si="44"/>
        <v>0</v>
      </c>
      <c r="S165" s="1013">
        <f t="shared" si="45"/>
        <v>5023000</v>
      </c>
      <c r="T165" s="1017">
        <v>0</v>
      </c>
      <c r="U165" s="785">
        <v>0</v>
      </c>
      <c r="V165" s="785">
        <v>200000</v>
      </c>
      <c r="W165" s="1017">
        <v>500000</v>
      </c>
      <c r="X165" s="1017">
        <v>0</v>
      </c>
      <c r="Y165" s="1017">
        <v>400000</v>
      </c>
      <c r="Z165" s="1017">
        <v>407495</v>
      </c>
      <c r="AA165" s="1018"/>
      <c r="AB165" s="1013"/>
      <c r="AC165" s="1017">
        <v>0</v>
      </c>
      <c r="AD165" s="1017">
        <v>0</v>
      </c>
      <c r="AE165" s="1013">
        <v>36223.557065217392</v>
      </c>
      <c r="AF165" s="1019"/>
      <c r="AG165" s="1019">
        <f t="shared" si="46"/>
        <v>6566719</v>
      </c>
      <c r="AH165" s="1014">
        <v>48</v>
      </c>
      <c r="AI165" s="1014">
        <v>0</v>
      </c>
      <c r="AJ165" s="1014">
        <v>0</v>
      </c>
      <c r="AK165" s="1018">
        <v>0</v>
      </c>
      <c r="AL165" s="1020">
        <v>0</v>
      </c>
      <c r="AM165" s="1013">
        <f t="shared" si="37"/>
        <v>1738731</v>
      </c>
      <c r="AN165" s="1045">
        <f t="shared" si="48"/>
        <v>8305450</v>
      </c>
      <c r="AO165" s="1013">
        <v>512800</v>
      </c>
      <c r="AP165" s="1013">
        <v>0</v>
      </c>
      <c r="AQ165" s="1013">
        <v>0</v>
      </c>
      <c r="AR165" s="1013">
        <v>0</v>
      </c>
      <c r="AS165" s="1013">
        <v>177154</v>
      </c>
      <c r="AT165" s="1045">
        <f t="shared" si="4"/>
        <v>7615496</v>
      </c>
      <c r="AU165" s="1004"/>
      <c r="AV165" s="870"/>
      <c r="AW165" s="782" t="s">
        <v>3642</v>
      </c>
      <c r="AX165" s="782" t="s">
        <v>3643</v>
      </c>
      <c r="AY165" s="1007" t="s">
        <v>287</v>
      </c>
      <c r="AZ165" s="1007">
        <v>622</v>
      </c>
      <c r="BA165" s="347" t="str">
        <f t="shared" si="38"/>
        <v>Box</v>
      </c>
      <c r="BB165" s="1008"/>
      <c r="BC165" s="1009"/>
      <c r="BD165" s="1009"/>
    </row>
    <row r="166" spans="1:56" s="1010" customFormat="1" ht="36.75" customHeight="1">
      <c r="A166" s="661">
        <f>SUBTOTAL(3,B$6:B166)</f>
        <v>161</v>
      </c>
      <c r="B166" s="661" t="s">
        <v>1119</v>
      </c>
      <c r="C166" s="662" t="s">
        <v>1120</v>
      </c>
      <c r="D166" s="1011">
        <v>45734</v>
      </c>
      <c r="E166" s="1011" t="s">
        <v>216</v>
      </c>
      <c r="F166" s="787" t="s">
        <v>696</v>
      </c>
      <c r="G166" s="1341" t="s">
        <v>797</v>
      </c>
      <c r="H166" s="1012">
        <v>4694000</v>
      </c>
      <c r="I166" s="1012">
        <v>0</v>
      </c>
      <c r="J166" s="1012">
        <v>0</v>
      </c>
      <c r="K166" s="1012">
        <v>0</v>
      </c>
      <c r="L166" s="1013">
        <f t="shared" si="41"/>
        <v>4694000</v>
      </c>
      <c r="M166" s="1014">
        <v>22.7</v>
      </c>
      <c r="N166" s="1013">
        <f t="shared" si="42"/>
        <v>4098223</v>
      </c>
      <c r="O166" s="1015">
        <v>3</v>
      </c>
      <c r="P166" s="1013">
        <f t="shared" si="43"/>
        <v>541615</v>
      </c>
      <c r="Q166" s="1016">
        <v>0</v>
      </c>
      <c r="R166" s="1013">
        <f t="shared" si="44"/>
        <v>0</v>
      </c>
      <c r="S166" s="1013">
        <f t="shared" si="45"/>
        <v>4639838</v>
      </c>
      <c r="T166" s="1017">
        <v>0</v>
      </c>
      <c r="U166" s="785">
        <v>0</v>
      </c>
      <c r="V166" s="785">
        <v>200000</v>
      </c>
      <c r="W166" s="1017">
        <v>500000</v>
      </c>
      <c r="X166" s="1017">
        <v>0</v>
      </c>
      <c r="Y166" s="1017">
        <v>400000</v>
      </c>
      <c r="Z166" s="1017">
        <v>413702</v>
      </c>
      <c r="AA166" s="1018"/>
      <c r="AB166" s="1013"/>
      <c r="AC166" s="1017">
        <v>0</v>
      </c>
      <c r="AD166" s="1017">
        <v>186644</v>
      </c>
      <c r="AE166" s="1013">
        <v>33850.960903083702</v>
      </c>
      <c r="AF166" s="1019"/>
      <c r="AG166" s="1019">
        <f t="shared" si="46"/>
        <v>6374035</v>
      </c>
      <c r="AH166" s="1014">
        <v>52</v>
      </c>
      <c r="AI166" s="1014">
        <v>0</v>
      </c>
      <c r="AJ166" s="1014">
        <v>0</v>
      </c>
      <c r="AK166" s="1018">
        <v>0</v>
      </c>
      <c r="AL166" s="1020">
        <v>0</v>
      </c>
      <c r="AM166" s="1013">
        <f t="shared" si="37"/>
        <v>1760250</v>
      </c>
      <c r="AN166" s="1045">
        <f t="shared" si="48"/>
        <v>8134285</v>
      </c>
      <c r="AO166" s="1013">
        <v>0</v>
      </c>
      <c r="AP166" s="1013">
        <v>0</v>
      </c>
      <c r="AQ166" s="1013">
        <v>0</v>
      </c>
      <c r="AR166" s="1013">
        <v>0</v>
      </c>
      <c r="AS166" s="1013">
        <v>0</v>
      </c>
      <c r="AT166" s="1045">
        <f t="shared" si="4"/>
        <v>8134285</v>
      </c>
      <c r="AU166" s="1004"/>
      <c r="AV166" s="870"/>
      <c r="AW166" s="782" t="s">
        <v>5821</v>
      </c>
      <c r="AX166" s="782" t="s">
        <v>5822</v>
      </c>
      <c r="AY166" s="1007" t="s">
        <v>287</v>
      </c>
      <c r="AZ166" s="1007">
        <v>622</v>
      </c>
      <c r="BA166" s="347" t="str">
        <f t="shared" si="38"/>
        <v>Box</v>
      </c>
      <c r="BB166" s="1008"/>
      <c r="BC166" s="1009"/>
      <c r="BD166" s="1009"/>
    </row>
    <row r="167" spans="1:56" s="1010" customFormat="1" ht="36.75" customHeight="1">
      <c r="A167" s="661">
        <f>SUBTOTAL(3,B$6:B167)</f>
        <v>162</v>
      </c>
      <c r="B167" s="661" t="s">
        <v>1121</v>
      </c>
      <c r="C167" s="662" t="s">
        <v>1122</v>
      </c>
      <c r="D167" s="1011">
        <v>45745</v>
      </c>
      <c r="E167" s="1011" t="s">
        <v>216</v>
      </c>
      <c r="F167" s="787" t="s">
        <v>696</v>
      </c>
      <c r="G167" s="996" t="s">
        <v>554</v>
      </c>
      <c r="H167" s="1012">
        <v>4694000</v>
      </c>
      <c r="I167" s="1012">
        <v>0</v>
      </c>
      <c r="J167" s="1012">
        <v>0</v>
      </c>
      <c r="K167" s="1012">
        <v>0</v>
      </c>
      <c r="L167" s="1013">
        <f t="shared" si="41"/>
        <v>4694000</v>
      </c>
      <c r="M167" s="1014">
        <v>22</v>
      </c>
      <c r="N167" s="1013">
        <f t="shared" si="42"/>
        <v>3971846</v>
      </c>
      <c r="O167" s="1015">
        <v>3</v>
      </c>
      <c r="P167" s="1013">
        <f t="shared" si="43"/>
        <v>541615</v>
      </c>
      <c r="Q167" s="1016">
        <v>0</v>
      </c>
      <c r="R167" s="1013">
        <f t="shared" si="44"/>
        <v>0</v>
      </c>
      <c r="S167" s="1013">
        <f t="shared" si="45"/>
        <v>4513461</v>
      </c>
      <c r="T167" s="1017">
        <v>0</v>
      </c>
      <c r="U167" s="785">
        <v>0</v>
      </c>
      <c r="V167" s="785">
        <v>200000</v>
      </c>
      <c r="W167" s="1017">
        <v>0</v>
      </c>
      <c r="X167" s="1017">
        <v>0</v>
      </c>
      <c r="Y167" s="1017">
        <v>150000</v>
      </c>
      <c r="Z167" s="1017">
        <v>287175</v>
      </c>
      <c r="AA167" s="1018"/>
      <c r="AB167" s="1013"/>
      <c r="AC167" s="1017">
        <v>0</v>
      </c>
      <c r="AD167" s="1017">
        <v>25308</v>
      </c>
      <c r="AE167" s="1013">
        <v>33850.960227272728</v>
      </c>
      <c r="AF167" s="1019"/>
      <c r="AG167" s="1019">
        <f t="shared" si="46"/>
        <v>5209795</v>
      </c>
      <c r="AH167" s="1014">
        <v>44</v>
      </c>
      <c r="AI167" s="1014">
        <v>0</v>
      </c>
      <c r="AJ167" s="1014">
        <v>0</v>
      </c>
      <c r="AK167" s="1018">
        <v>0</v>
      </c>
      <c r="AL167" s="1020">
        <v>0</v>
      </c>
      <c r="AM167" s="1013">
        <f t="shared" si="37"/>
        <v>1489442</v>
      </c>
      <c r="AN167" s="1045">
        <f t="shared" si="48"/>
        <v>6699237</v>
      </c>
      <c r="AO167" s="1013">
        <v>0</v>
      </c>
      <c r="AP167" s="1013">
        <v>0</v>
      </c>
      <c r="AQ167" s="1013">
        <v>0</v>
      </c>
      <c r="AR167" s="1013">
        <v>0</v>
      </c>
      <c r="AS167" s="1013">
        <v>0</v>
      </c>
      <c r="AT167" s="1045">
        <f t="shared" si="4"/>
        <v>6699237</v>
      </c>
      <c r="AU167" s="1004"/>
      <c r="AV167" s="870"/>
      <c r="AW167" s="782" t="s">
        <v>5823</v>
      </c>
      <c r="AX167" s="782" t="s">
        <v>5824</v>
      </c>
      <c r="AY167" s="1007" t="s">
        <v>287</v>
      </c>
      <c r="AZ167" s="1007">
        <v>622</v>
      </c>
      <c r="BA167" s="347" t="str">
        <f t="shared" si="38"/>
        <v>Box</v>
      </c>
      <c r="BB167" s="1008"/>
      <c r="BC167" s="1009"/>
      <c r="BD167" s="1009"/>
    </row>
    <row r="168" spans="1:56" s="1010" customFormat="1" ht="36.75" customHeight="1">
      <c r="A168" s="661">
        <f>SUBTOTAL(3,B$6:B168)</f>
        <v>163</v>
      </c>
      <c r="B168" s="661" t="s">
        <v>1123</v>
      </c>
      <c r="C168" s="662" t="s">
        <v>1124</v>
      </c>
      <c r="D168" s="1011">
        <v>45745</v>
      </c>
      <c r="E168" s="1011" t="s">
        <v>216</v>
      </c>
      <c r="F168" s="787" t="s">
        <v>696</v>
      </c>
      <c r="G168" s="996" t="s">
        <v>554</v>
      </c>
      <c r="H168" s="1012">
        <v>4694000</v>
      </c>
      <c r="I168" s="1012">
        <v>0</v>
      </c>
      <c r="J168" s="1012">
        <v>0</v>
      </c>
      <c r="K168" s="1012">
        <v>0</v>
      </c>
      <c r="L168" s="1013">
        <f t="shared" si="41"/>
        <v>4694000</v>
      </c>
      <c r="M168" s="1014">
        <v>23.1</v>
      </c>
      <c r="N168" s="1013">
        <f t="shared" si="42"/>
        <v>4170438</v>
      </c>
      <c r="O168" s="1015">
        <v>2</v>
      </c>
      <c r="P168" s="1013">
        <f t="shared" si="43"/>
        <v>361077</v>
      </c>
      <c r="Q168" s="1016">
        <v>0</v>
      </c>
      <c r="R168" s="1013">
        <f t="shared" si="44"/>
        <v>0</v>
      </c>
      <c r="S168" s="1013">
        <f t="shared" si="45"/>
        <v>4531515</v>
      </c>
      <c r="T168" s="1017">
        <v>0</v>
      </c>
      <c r="U168" s="785">
        <v>0</v>
      </c>
      <c r="V168" s="785">
        <v>200000</v>
      </c>
      <c r="W168" s="1017">
        <v>0</v>
      </c>
      <c r="X168" s="1017">
        <v>0</v>
      </c>
      <c r="Y168" s="1017">
        <v>400000</v>
      </c>
      <c r="Z168" s="1017">
        <v>226039</v>
      </c>
      <c r="AA168" s="1018"/>
      <c r="AB168" s="1013"/>
      <c r="AC168" s="1017">
        <v>0</v>
      </c>
      <c r="AD168" s="1017">
        <v>25307</v>
      </c>
      <c r="AE168" s="1013">
        <v>33850.957792207788</v>
      </c>
      <c r="AF168" s="1019"/>
      <c r="AG168" s="1019">
        <f t="shared" si="46"/>
        <v>5416712</v>
      </c>
      <c r="AH168" s="1014">
        <v>44</v>
      </c>
      <c r="AI168" s="1014">
        <v>0</v>
      </c>
      <c r="AJ168" s="1014">
        <v>0</v>
      </c>
      <c r="AK168" s="1018">
        <v>0</v>
      </c>
      <c r="AL168" s="1020">
        <v>0</v>
      </c>
      <c r="AM168" s="1013">
        <f t="shared" si="37"/>
        <v>1489442</v>
      </c>
      <c r="AN168" s="1045">
        <f t="shared" si="48"/>
        <v>6906154</v>
      </c>
      <c r="AO168" s="1013">
        <v>0</v>
      </c>
      <c r="AP168" s="1013">
        <v>0</v>
      </c>
      <c r="AQ168" s="1013">
        <v>0</v>
      </c>
      <c r="AR168" s="1013">
        <v>0</v>
      </c>
      <c r="AS168" s="1013">
        <v>0</v>
      </c>
      <c r="AT168" s="1045">
        <f t="shared" si="4"/>
        <v>6906154</v>
      </c>
      <c r="AU168" s="1004"/>
      <c r="AV168" s="870"/>
      <c r="AW168" s="782" t="s">
        <v>5825</v>
      </c>
      <c r="AX168" s="782" t="s">
        <v>5826</v>
      </c>
      <c r="AY168" s="1007" t="s">
        <v>287</v>
      </c>
      <c r="AZ168" s="1007">
        <v>622</v>
      </c>
      <c r="BA168" s="347" t="str">
        <f t="shared" si="38"/>
        <v>Box</v>
      </c>
      <c r="BB168" s="1008"/>
      <c r="BC168" s="1009"/>
      <c r="BD168" s="1009"/>
    </row>
    <row r="169" spans="1:56" s="1010" customFormat="1" ht="36.75" customHeight="1">
      <c r="A169" s="661">
        <f>SUBTOTAL(3,B$6:B169)</f>
        <v>164</v>
      </c>
      <c r="B169" s="661" t="s">
        <v>5726</v>
      </c>
      <c r="C169" s="662" t="s">
        <v>5727</v>
      </c>
      <c r="D169" s="1011">
        <v>45750</v>
      </c>
      <c r="E169" s="1011" t="s">
        <v>216</v>
      </c>
      <c r="F169" s="787" t="s">
        <v>696</v>
      </c>
      <c r="G169" s="996" t="s">
        <v>554</v>
      </c>
      <c r="H169" s="1012">
        <v>4694000</v>
      </c>
      <c r="I169" s="1012">
        <v>0</v>
      </c>
      <c r="J169" s="1012">
        <v>0</v>
      </c>
      <c r="K169" s="1012">
        <v>0</v>
      </c>
      <c r="L169" s="1013">
        <f t="shared" si="41"/>
        <v>4694000</v>
      </c>
      <c r="M169" s="1014">
        <v>20.9</v>
      </c>
      <c r="N169" s="1013">
        <f t="shared" si="42"/>
        <v>3773254</v>
      </c>
      <c r="O169" s="1015">
        <v>2</v>
      </c>
      <c r="P169" s="1013">
        <f t="shared" si="43"/>
        <v>361077</v>
      </c>
      <c r="Q169" s="1016">
        <v>0</v>
      </c>
      <c r="R169" s="1013">
        <f t="shared" si="44"/>
        <v>0</v>
      </c>
      <c r="S169" s="1013">
        <f t="shared" si="45"/>
        <v>4134331</v>
      </c>
      <c r="T169" s="1017">
        <v>0</v>
      </c>
      <c r="U169" s="785">
        <v>0</v>
      </c>
      <c r="V169" s="785">
        <v>176000</v>
      </c>
      <c r="W169" s="1017">
        <v>440000</v>
      </c>
      <c r="X169" s="1017">
        <v>0</v>
      </c>
      <c r="Y169" s="1017">
        <v>132000</v>
      </c>
      <c r="Z169" s="1017">
        <v>287971</v>
      </c>
      <c r="AA169" s="1018"/>
      <c r="AB169" s="1013"/>
      <c r="AC169" s="1017">
        <v>0</v>
      </c>
      <c r="AD169" s="1017">
        <v>0</v>
      </c>
      <c r="AE169" s="1013">
        <v>33850.962918660291</v>
      </c>
      <c r="AF169" s="1019"/>
      <c r="AG169" s="1019">
        <f t="shared" si="46"/>
        <v>5204153</v>
      </c>
      <c r="AH169" s="1014">
        <v>40</v>
      </c>
      <c r="AI169" s="1014">
        <v>0</v>
      </c>
      <c r="AJ169" s="1014">
        <v>0</v>
      </c>
      <c r="AK169" s="1018">
        <v>0</v>
      </c>
      <c r="AL169" s="1020">
        <v>0</v>
      </c>
      <c r="AM169" s="1013">
        <f t="shared" si="37"/>
        <v>1354039</v>
      </c>
      <c r="AN169" s="1045">
        <f t="shared" si="48"/>
        <v>6558192</v>
      </c>
      <c r="AO169" s="1013">
        <v>0</v>
      </c>
      <c r="AP169" s="1013">
        <v>0</v>
      </c>
      <c r="AQ169" s="1013">
        <v>0</v>
      </c>
      <c r="AR169" s="1013">
        <v>0</v>
      </c>
      <c r="AS169" s="1013">
        <v>0</v>
      </c>
      <c r="AT169" s="1045">
        <f t="shared" si="4"/>
        <v>6558192</v>
      </c>
      <c r="AU169" s="1004"/>
      <c r="AV169" s="870"/>
      <c r="AW169" s="782" t="s">
        <v>5827</v>
      </c>
      <c r="AX169" s="782" t="s">
        <v>5828</v>
      </c>
      <c r="AY169" s="1007" t="s">
        <v>287</v>
      </c>
      <c r="AZ169" s="1007">
        <v>622</v>
      </c>
      <c r="BA169" s="347" t="str">
        <f t="shared" si="38"/>
        <v>Box</v>
      </c>
      <c r="BB169" s="1008"/>
      <c r="BC169" s="1009"/>
      <c r="BD169" s="1009"/>
    </row>
    <row r="170" spans="1:56" s="1010" customFormat="1" ht="36.75" customHeight="1">
      <c r="A170" s="661">
        <f>SUBTOTAL(3,B$6:B170)</f>
        <v>165</v>
      </c>
      <c r="B170" s="661" t="s">
        <v>5728</v>
      </c>
      <c r="C170" s="662" t="s">
        <v>5729</v>
      </c>
      <c r="D170" s="1011">
        <v>45752</v>
      </c>
      <c r="E170" s="1011" t="s">
        <v>216</v>
      </c>
      <c r="F170" s="787" t="s">
        <v>696</v>
      </c>
      <c r="G170" s="996" t="s">
        <v>554</v>
      </c>
      <c r="H170" s="1012">
        <v>4694000</v>
      </c>
      <c r="I170" s="1012">
        <v>0</v>
      </c>
      <c r="J170" s="1012">
        <v>0</v>
      </c>
      <c r="K170" s="1012">
        <v>0</v>
      </c>
      <c r="L170" s="1013">
        <f t="shared" si="41"/>
        <v>4694000</v>
      </c>
      <c r="M170" s="1014">
        <v>18.100000000000001</v>
      </c>
      <c r="N170" s="1013">
        <f t="shared" si="42"/>
        <v>3267746</v>
      </c>
      <c r="O170" s="1015">
        <v>2</v>
      </c>
      <c r="P170" s="1013">
        <f t="shared" si="43"/>
        <v>361077</v>
      </c>
      <c r="Q170" s="1016">
        <v>0</v>
      </c>
      <c r="R170" s="1013">
        <f t="shared" si="44"/>
        <v>0</v>
      </c>
      <c r="S170" s="1013">
        <f t="shared" si="45"/>
        <v>3628823</v>
      </c>
      <c r="T170" s="1017">
        <v>0</v>
      </c>
      <c r="U170" s="785">
        <v>0</v>
      </c>
      <c r="V170" s="785">
        <v>155000</v>
      </c>
      <c r="W170" s="1017">
        <v>387000</v>
      </c>
      <c r="X170" s="1017">
        <v>0</v>
      </c>
      <c r="Y170" s="1017">
        <v>116000</v>
      </c>
      <c r="Z170" s="1017">
        <v>0</v>
      </c>
      <c r="AA170" s="1018"/>
      <c r="AB170" s="1013"/>
      <c r="AC170" s="1017">
        <v>0</v>
      </c>
      <c r="AD170" s="1017">
        <v>0</v>
      </c>
      <c r="AE170" s="1013">
        <v>33850.959944751376</v>
      </c>
      <c r="AF170" s="1019"/>
      <c r="AG170" s="1019">
        <f t="shared" si="46"/>
        <v>4320674</v>
      </c>
      <c r="AH170" s="1014">
        <v>40</v>
      </c>
      <c r="AI170" s="1014">
        <v>0</v>
      </c>
      <c r="AJ170" s="1014">
        <v>0</v>
      </c>
      <c r="AK170" s="1018">
        <v>0</v>
      </c>
      <c r="AL170" s="1020">
        <v>0</v>
      </c>
      <c r="AM170" s="1013">
        <f t="shared" si="37"/>
        <v>1354038</v>
      </c>
      <c r="AN170" s="1045">
        <f t="shared" si="48"/>
        <v>5674712</v>
      </c>
      <c r="AO170" s="1013">
        <v>0</v>
      </c>
      <c r="AP170" s="1013">
        <v>0</v>
      </c>
      <c r="AQ170" s="1013">
        <v>0</v>
      </c>
      <c r="AR170" s="1013">
        <v>0</v>
      </c>
      <c r="AS170" s="1013">
        <v>0</v>
      </c>
      <c r="AT170" s="1045">
        <f t="shared" si="4"/>
        <v>5674712</v>
      </c>
      <c r="AU170" s="1004"/>
      <c r="AV170" s="870"/>
      <c r="AW170" s="782" t="s">
        <v>5829</v>
      </c>
      <c r="AX170" s="782" t="s">
        <v>5830</v>
      </c>
      <c r="AY170" s="1007" t="s">
        <v>287</v>
      </c>
      <c r="AZ170" s="1007">
        <v>622</v>
      </c>
      <c r="BA170" s="347" t="str">
        <f t="shared" si="38"/>
        <v>Box</v>
      </c>
      <c r="BB170" s="1008"/>
      <c r="BC170" s="1009"/>
      <c r="BD170" s="1009"/>
    </row>
    <row r="171" spans="1:56" s="1010" customFormat="1" ht="36.75" customHeight="1">
      <c r="A171" s="661">
        <f>SUBTOTAL(3,B$6:B171)</f>
        <v>166</v>
      </c>
      <c r="B171" s="661" t="s">
        <v>5730</v>
      </c>
      <c r="C171" s="662" t="s">
        <v>5731</v>
      </c>
      <c r="D171" s="1011">
        <v>45762</v>
      </c>
      <c r="E171" s="1011" t="s">
        <v>216</v>
      </c>
      <c r="F171" s="787" t="s">
        <v>696</v>
      </c>
      <c r="G171" s="996" t="s">
        <v>554</v>
      </c>
      <c r="H171" s="1012">
        <v>4694000</v>
      </c>
      <c r="I171" s="1012">
        <v>0</v>
      </c>
      <c r="J171" s="1012">
        <v>0</v>
      </c>
      <c r="K171" s="1012">
        <v>0</v>
      </c>
      <c r="L171" s="1013">
        <f t="shared" si="41"/>
        <v>4694000</v>
      </c>
      <c r="M171" s="1014">
        <v>10.6</v>
      </c>
      <c r="N171" s="1013">
        <f t="shared" si="42"/>
        <v>1913708</v>
      </c>
      <c r="O171" s="1015">
        <v>1</v>
      </c>
      <c r="P171" s="1013">
        <f t="shared" si="43"/>
        <v>180538</v>
      </c>
      <c r="Q171" s="1016">
        <v>0</v>
      </c>
      <c r="R171" s="1013">
        <f t="shared" si="44"/>
        <v>0</v>
      </c>
      <c r="S171" s="1013">
        <f t="shared" si="45"/>
        <v>2094246</v>
      </c>
      <c r="T171" s="1017">
        <v>0</v>
      </c>
      <c r="U171" s="785">
        <v>0</v>
      </c>
      <c r="V171" s="785">
        <v>89000</v>
      </c>
      <c r="W171" s="1017">
        <v>223000</v>
      </c>
      <c r="X171" s="1017">
        <v>0</v>
      </c>
      <c r="Y171" s="1017">
        <v>67000</v>
      </c>
      <c r="Z171" s="1017">
        <v>0</v>
      </c>
      <c r="AA171" s="1018"/>
      <c r="AB171" s="1013"/>
      <c r="AC171" s="1017">
        <v>0</v>
      </c>
      <c r="AD171" s="1017">
        <v>0</v>
      </c>
      <c r="AE171" s="1013">
        <v>0</v>
      </c>
      <c r="AF171" s="1019"/>
      <c r="AG171" s="1019">
        <f t="shared" si="46"/>
        <v>2473246</v>
      </c>
      <c r="AH171" s="1014">
        <v>16</v>
      </c>
      <c r="AI171" s="1014">
        <v>0</v>
      </c>
      <c r="AJ171" s="1014">
        <v>0</v>
      </c>
      <c r="AK171" s="1018">
        <v>0</v>
      </c>
      <c r="AL171" s="1020">
        <v>0</v>
      </c>
      <c r="AM171" s="1013">
        <f t="shared" si="37"/>
        <v>541615</v>
      </c>
      <c r="AN171" s="1045">
        <f>ROUND(AG171+AM171,0)</f>
        <v>3014861</v>
      </c>
      <c r="AO171" s="1013">
        <v>0</v>
      </c>
      <c r="AP171" s="1013">
        <v>0</v>
      </c>
      <c r="AQ171" s="1013">
        <v>0</v>
      </c>
      <c r="AR171" s="1013">
        <v>0</v>
      </c>
      <c r="AS171" s="1013">
        <v>0</v>
      </c>
      <c r="AT171" s="1045">
        <f t="shared" si="4"/>
        <v>3014861</v>
      </c>
      <c r="AU171" s="1004"/>
      <c r="AV171" s="870"/>
      <c r="AW171" s="782" t="s">
        <v>5831</v>
      </c>
      <c r="AX171" s="782" t="s">
        <v>5832</v>
      </c>
      <c r="AY171" s="1007" t="s">
        <v>287</v>
      </c>
      <c r="AZ171" s="1007">
        <v>622</v>
      </c>
      <c r="BA171" s="347" t="str">
        <f t="shared" si="38"/>
        <v>Box</v>
      </c>
      <c r="BB171" s="1008"/>
      <c r="BC171" s="1009"/>
      <c r="BD171" s="1009"/>
    </row>
    <row r="172" spans="1:56" s="1010" customFormat="1" ht="36.75" customHeight="1">
      <c r="A172" s="661">
        <f>SUBTOTAL(3,B$6:B172)</f>
        <v>167</v>
      </c>
      <c r="B172" s="661" t="s">
        <v>5732</v>
      </c>
      <c r="C172" s="662" t="s">
        <v>5733</v>
      </c>
      <c r="D172" s="1011">
        <v>45762</v>
      </c>
      <c r="E172" s="1011" t="s">
        <v>216</v>
      </c>
      <c r="F172" s="787" t="s">
        <v>696</v>
      </c>
      <c r="G172" s="996" t="s">
        <v>554</v>
      </c>
      <c r="H172" s="1012">
        <v>4694000</v>
      </c>
      <c r="I172" s="1012">
        <v>0</v>
      </c>
      <c r="J172" s="1012">
        <v>0</v>
      </c>
      <c r="K172" s="1012">
        <v>0</v>
      </c>
      <c r="L172" s="1013">
        <f t="shared" si="41"/>
        <v>4694000</v>
      </c>
      <c r="M172" s="1014">
        <v>12.7</v>
      </c>
      <c r="N172" s="1013">
        <f t="shared" si="42"/>
        <v>2292838</v>
      </c>
      <c r="O172" s="1015">
        <v>1</v>
      </c>
      <c r="P172" s="1013">
        <f t="shared" si="43"/>
        <v>180538</v>
      </c>
      <c r="Q172" s="1016">
        <v>0</v>
      </c>
      <c r="R172" s="1013">
        <f t="shared" si="44"/>
        <v>0</v>
      </c>
      <c r="S172" s="1013">
        <f t="shared" si="45"/>
        <v>2473376</v>
      </c>
      <c r="T172" s="1017">
        <v>0</v>
      </c>
      <c r="U172" s="785">
        <v>0</v>
      </c>
      <c r="V172" s="785">
        <v>105000</v>
      </c>
      <c r="W172" s="1017">
        <v>263000</v>
      </c>
      <c r="X172" s="1017">
        <v>0</v>
      </c>
      <c r="Y172" s="1017">
        <v>79000</v>
      </c>
      <c r="Z172" s="1017">
        <v>0</v>
      </c>
      <c r="AA172" s="1018"/>
      <c r="AB172" s="1013"/>
      <c r="AC172" s="1017">
        <v>0</v>
      </c>
      <c r="AD172" s="1017">
        <v>0</v>
      </c>
      <c r="AE172" s="1013">
        <v>33850.95472440945</v>
      </c>
      <c r="AF172" s="1019"/>
      <c r="AG172" s="1019">
        <f t="shared" si="46"/>
        <v>2954227</v>
      </c>
      <c r="AH172" s="1014">
        <v>16</v>
      </c>
      <c r="AI172" s="1014">
        <v>0</v>
      </c>
      <c r="AJ172" s="1014">
        <v>0</v>
      </c>
      <c r="AK172" s="1018">
        <v>0</v>
      </c>
      <c r="AL172" s="1020">
        <v>0</v>
      </c>
      <c r="AM172" s="1013">
        <f t="shared" si="37"/>
        <v>541615</v>
      </c>
      <c r="AN172" s="1045">
        <f t="shared" ref="AN172:AN179" si="49">ROUND(AG172+AM172,0)</f>
        <v>3495842</v>
      </c>
      <c r="AO172" s="1013">
        <v>0</v>
      </c>
      <c r="AP172" s="1013">
        <v>0</v>
      </c>
      <c r="AQ172" s="1013">
        <v>0</v>
      </c>
      <c r="AR172" s="1013">
        <v>0</v>
      </c>
      <c r="AS172" s="1013">
        <v>0</v>
      </c>
      <c r="AT172" s="1045">
        <f t="shared" si="4"/>
        <v>3495842</v>
      </c>
      <c r="AU172" s="1004"/>
      <c r="AV172" s="870"/>
      <c r="AW172" s="782" t="s">
        <v>5833</v>
      </c>
      <c r="AX172" s="782" t="s">
        <v>5834</v>
      </c>
      <c r="AY172" s="1007" t="s">
        <v>287</v>
      </c>
      <c r="AZ172" s="1007">
        <v>622</v>
      </c>
      <c r="BA172" s="347" t="str">
        <f t="shared" si="38"/>
        <v>Box</v>
      </c>
      <c r="BB172" s="1008"/>
      <c r="BC172" s="1009"/>
      <c r="BD172" s="1009"/>
    </row>
    <row r="173" spans="1:56" s="1010" customFormat="1" ht="36.75" customHeight="1">
      <c r="A173" s="661">
        <f>SUBTOTAL(3,B$6:B173)</f>
        <v>168</v>
      </c>
      <c r="B173" s="661" t="s">
        <v>5734</v>
      </c>
      <c r="C173" s="662" t="s">
        <v>5735</v>
      </c>
      <c r="D173" s="1011">
        <v>45771</v>
      </c>
      <c r="E173" s="1011" t="s">
        <v>216</v>
      </c>
      <c r="F173" s="787" t="s">
        <v>696</v>
      </c>
      <c r="G173" s="996" t="s">
        <v>554</v>
      </c>
      <c r="H173" s="1012">
        <v>4694000</v>
      </c>
      <c r="I173" s="1012">
        <v>0</v>
      </c>
      <c r="J173" s="1012">
        <v>0</v>
      </c>
      <c r="K173" s="1012">
        <v>0</v>
      </c>
      <c r="L173" s="1013">
        <f t="shared" si="41"/>
        <v>4694000</v>
      </c>
      <c r="M173" s="1014">
        <v>5</v>
      </c>
      <c r="N173" s="1013">
        <f t="shared" si="42"/>
        <v>902692</v>
      </c>
      <c r="O173" s="1015">
        <v>1</v>
      </c>
      <c r="P173" s="1013">
        <f t="shared" si="43"/>
        <v>180538</v>
      </c>
      <c r="Q173" s="1016">
        <v>0</v>
      </c>
      <c r="R173" s="1013">
        <f t="shared" si="44"/>
        <v>0</v>
      </c>
      <c r="S173" s="1013">
        <f t="shared" si="45"/>
        <v>1083230</v>
      </c>
      <c r="T173" s="1017">
        <v>0</v>
      </c>
      <c r="U173" s="785">
        <v>0</v>
      </c>
      <c r="V173" s="785">
        <v>46000</v>
      </c>
      <c r="W173" s="1017">
        <v>115000</v>
      </c>
      <c r="X173" s="1017">
        <v>0</v>
      </c>
      <c r="Y173" s="1017">
        <v>35000</v>
      </c>
      <c r="Z173" s="1017">
        <v>0</v>
      </c>
      <c r="AA173" s="1018"/>
      <c r="AB173" s="1013"/>
      <c r="AC173" s="1017">
        <v>0</v>
      </c>
      <c r="AD173" s="1017">
        <v>0</v>
      </c>
      <c r="AE173" s="1013">
        <v>0</v>
      </c>
      <c r="AF173" s="1019"/>
      <c r="AG173" s="1019">
        <f t="shared" si="46"/>
        <v>1279230</v>
      </c>
      <c r="AH173" s="1014">
        <v>4</v>
      </c>
      <c r="AI173" s="1014">
        <v>0</v>
      </c>
      <c r="AJ173" s="1014">
        <v>0</v>
      </c>
      <c r="AK173" s="1018">
        <v>0</v>
      </c>
      <c r="AL173" s="1020">
        <v>0</v>
      </c>
      <c r="AM173" s="1013">
        <f t="shared" si="37"/>
        <v>135404</v>
      </c>
      <c r="AN173" s="1045">
        <f t="shared" si="49"/>
        <v>1414634</v>
      </c>
      <c r="AO173" s="1013">
        <v>0</v>
      </c>
      <c r="AP173" s="1013">
        <v>0</v>
      </c>
      <c r="AQ173" s="1013">
        <v>0</v>
      </c>
      <c r="AR173" s="1013">
        <v>0</v>
      </c>
      <c r="AS173" s="1013">
        <v>0</v>
      </c>
      <c r="AT173" s="1045">
        <f t="shared" si="4"/>
        <v>1414634</v>
      </c>
      <c r="AU173" s="1004"/>
      <c r="AV173" s="870"/>
      <c r="AW173" s="782" t="s">
        <v>5835</v>
      </c>
      <c r="AX173" s="782" t="s">
        <v>5836</v>
      </c>
      <c r="AY173" s="1007" t="s">
        <v>287</v>
      </c>
      <c r="AZ173" s="1007">
        <v>622</v>
      </c>
      <c r="BA173" s="347" t="str">
        <f t="shared" si="38"/>
        <v>Box</v>
      </c>
      <c r="BB173" s="1008"/>
      <c r="BC173" s="1009"/>
      <c r="BD173" s="1009"/>
    </row>
    <row r="174" spans="1:56" s="1010" customFormat="1" ht="36.75" customHeight="1">
      <c r="A174" s="661">
        <f>SUBTOTAL(3,B$6:B174)</f>
        <v>169</v>
      </c>
      <c r="B174" s="661" t="s">
        <v>1125</v>
      </c>
      <c r="C174" s="662" t="s">
        <v>1126</v>
      </c>
      <c r="D174" s="1011">
        <v>39973</v>
      </c>
      <c r="E174" s="1011" t="s">
        <v>216</v>
      </c>
      <c r="F174" s="787" t="s">
        <v>696</v>
      </c>
      <c r="G174" s="996" t="s">
        <v>920</v>
      </c>
      <c r="H174" s="1012">
        <v>5931000</v>
      </c>
      <c r="I174" s="1012">
        <v>0</v>
      </c>
      <c r="J174" s="1012">
        <v>0</v>
      </c>
      <c r="K174" s="1012">
        <v>0</v>
      </c>
      <c r="L174" s="1013">
        <f t="shared" si="41"/>
        <v>5931000</v>
      </c>
      <c r="M174" s="1014">
        <v>24</v>
      </c>
      <c r="N174" s="1013">
        <f t="shared" si="42"/>
        <v>5474769</v>
      </c>
      <c r="O174" s="1015">
        <v>2</v>
      </c>
      <c r="P174" s="1013">
        <f t="shared" si="43"/>
        <v>456231</v>
      </c>
      <c r="Q174" s="1016">
        <v>0</v>
      </c>
      <c r="R174" s="1013">
        <f t="shared" si="44"/>
        <v>0</v>
      </c>
      <c r="S174" s="1013">
        <f t="shared" si="45"/>
        <v>5931000</v>
      </c>
      <c r="T174" s="1017">
        <v>0</v>
      </c>
      <c r="U174" s="785">
        <v>0</v>
      </c>
      <c r="V174" s="785">
        <v>200000</v>
      </c>
      <c r="W174" s="1017">
        <v>500000</v>
      </c>
      <c r="X174" s="1017">
        <v>0</v>
      </c>
      <c r="Y174" s="1017">
        <v>400000</v>
      </c>
      <c r="Z174" s="1017">
        <v>427917</v>
      </c>
      <c r="AA174" s="1018"/>
      <c r="AB174" s="1013"/>
      <c r="AC174" s="1017">
        <v>0</v>
      </c>
      <c r="AD174" s="1017">
        <v>0</v>
      </c>
      <c r="AE174" s="1013">
        <v>42771.6328125</v>
      </c>
      <c r="AF174" s="1019"/>
      <c r="AG174" s="1019">
        <f t="shared" si="46"/>
        <v>7501689</v>
      </c>
      <c r="AH174" s="1014">
        <v>52</v>
      </c>
      <c r="AI174" s="1014">
        <v>0</v>
      </c>
      <c r="AJ174" s="1014">
        <v>0</v>
      </c>
      <c r="AK174" s="1018">
        <v>0</v>
      </c>
      <c r="AL174" s="1020">
        <v>0</v>
      </c>
      <c r="AM174" s="1013">
        <f t="shared" si="37"/>
        <v>2224125</v>
      </c>
      <c r="AN174" s="1045">
        <f t="shared" si="49"/>
        <v>9725814</v>
      </c>
      <c r="AO174" s="1013">
        <v>622755</v>
      </c>
      <c r="AP174" s="1013">
        <v>44100</v>
      </c>
      <c r="AQ174" s="1013">
        <v>0</v>
      </c>
      <c r="AR174" s="1013">
        <v>0</v>
      </c>
      <c r="AS174" s="1013">
        <v>0</v>
      </c>
      <c r="AT174" s="1045">
        <f t="shared" ref="AT174:AT237" si="50">+ROUND(SUM(AN174:AN174)-SUM(AO174:AS174),0)</f>
        <v>9058959</v>
      </c>
      <c r="AU174" s="1004"/>
      <c r="AV174" s="870"/>
      <c r="AW174" s="782" t="s">
        <v>3645</v>
      </c>
      <c r="AX174" s="782" t="s">
        <v>3646</v>
      </c>
      <c r="AY174" s="1007" t="s">
        <v>287</v>
      </c>
      <c r="AZ174" s="1007">
        <v>622</v>
      </c>
      <c r="BA174" s="347" t="str">
        <f t="shared" si="38"/>
        <v>Box</v>
      </c>
      <c r="BB174" s="1008"/>
      <c r="BC174" s="1009"/>
      <c r="BD174" s="1009"/>
    </row>
    <row r="175" spans="1:56" s="1010" customFormat="1" ht="36.75" customHeight="1">
      <c r="A175" s="661">
        <f>SUBTOTAL(3,B$6:B175)</f>
        <v>170</v>
      </c>
      <c r="B175" s="661" t="s">
        <v>1127</v>
      </c>
      <c r="C175" s="662" t="s">
        <v>1128</v>
      </c>
      <c r="D175" s="1011">
        <v>40233</v>
      </c>
      <c r="E175" s="1011" t="s">
        <v>216</v>
      </c>
      <c r="F175" s="787" t="s">
        <v>696</v>
      </c>
      <c r="G175" s="996" t="s">
        <v>992</v>
      </c>
      <c r="H175" s="1012">
        <v>5931000</v>
      </c>
      <c r="I175" s="1012">
        <v>400000</v>
      </c>
      <c r="J175" s="1012">
        <v>0</v>
      </c>
      <c r="K175" s="1012">
        <v>0</v>
      </c>
      <c r="L175" s="1013">
        <f t="shared" si="41"/>
        <v>6331000</v>
      </c>
      <c r="M175" s="1014">
        <v>23.9</v>
      </c>
      <c r="N175" s="1013">
        <f t="shared" si="42"/>
        <v>5819650</v>
      </c>
      <c r="O175" s="1015">
        <v>2</v>
      </c>
      <c r="P175" s="1013">
        <f t="shared" si="43"/>
        <v>487000</v>
      </c>
      <c r="Q175" s="1016">
        <v>0</v>
      </c>
      <c r="R175" s="1013">
        <f t="shared" si="44"/>
        <v>0</v>
      </c>
      <c r="S175" s="1013">
        <f t="shared" si="45"/>
        <v>6306650</v>
      </c>
      <c r="T175" s="1017">
        <v>0</v>
      </c>
      <c r="U175" s="785">
        <v>0</v>
      </c>
      <c r="V175" s="785">
        <v>200000</v>
      </c>
      <c r="W175" s="1017">
        <v>500000</v>
      </c>
      <c r="X175" s="1017">
        <v>0</v>
      </c>
      <c r="Y175" s="1017">
        <v>400000</v>
      </c>
      <c r="Z175" s="1017">
        <v>427917</v>
      </c>
      <c r="AA175" s="1018"/>
      <c r="AB175" s="1013"/>
      <c r="AC175" s="1017">
        <v>100000</v>
      </c>
      <c r="AD175" s="1017">
        <v>0</v>
      </c>
      <c r="AE175" s="1013">
        <v>45656.25</v>
      </c>
      <c r="AF175" s="1019"/>
      <c r="AG175" s="1019">
        <f t="shared" si="46"/>
        <v>7980223</v>
      </c>
      <c r="AH175" s="1014">
        <v>52</v>
      </c>
      <c r="AI175" s="1014">
        <v>0</v>
      </c>
      <c r="AJ175" s="1014">
        <v>0</v>
      </c>
      <c r="AK175" s="1018">
        <v>0</v>
      </c>
      <c r="AL175" s="1020">
        <v>0</v>
      </c>
      <c r="AM175" s="1013">
        <f t="shared" si="37"/>
        <v>2374125</v>
      </c>
      <c r="AN175" s="1045">
        <f t="shared" si="49"/>
        <v>10354348</v>
      </c>
      <c r="AO175" s="1013">
        <v>664755</v>
      </c>
      <c r="AP175" s="1013">
        <v>44100</v>
      </c>
      <c r="AQ175" s="1013">
        <v>0</v>
      </c>
      <c r="AR175" s="1013">
        <v>0</v>
      </c>
      <c r="AS175" s="1013">
        <v>0</v>
      </c>
      <c r="AT175" s="1045">
        <f t="shared" si="50"/>
        <v>9645493</v>
      </c>
      <c r="AU175" s="1004"/>
      <c r="AV175" s="870"/>
      <c r="AW175" s="782" t="s">
        <v>3647</v>
      </c>
      <c r="AX175" s="782" t="s">
        <v>3648</v>
      </c>
      <c r="AY175" s="1007" t="s">
        <v>287</v>
      </c>
      <c r="AZ175" s="1007">
        <v>622</v>
      </c>
      <c r="BA175" s="347" t="str">
        <f t="shared" si="38"/>
        <v>Box</v>
      </c>
      <c r="BB175" s="1008"/>
      <c r="BC175" s="1009"/>
      <c r="BD175" s="1009"/>
    </row>
    <row r="176" spans="1:56" s="1010" customFormat="1" ht="36.75" customHeight="1">
      <c r="A176" s="661">
        <f>SUBTOTAL(3,B$6:B176)</f>
        <v>171</v>
      </c>
      <c r="B176" s="661" t="s">
        <v>1129</v>
      </c>
      <c r="C176" s="662" t="s">
        <v>1130</v>
      </c>
      <c r="D176" s="1011">
        <v>40591</v>
      </c>
      <c r="E176" s="1011" t="s">
        <v>216</v>
      </c>
      <c r="F176" s="787" t="s">
        <v>696</v>
      </c>
      <c r="G176" s="996" t="s">
        <v>992</v>
      </c>
      <c r="H176" s="1012">
        <v>5931000</v>
      </c>
      <c r="I176" s="1012">
        <v>400000</v>
      </c>
      <c r="J176" s="1012">
        <v>0</v>
      </c>
      <c r="K176" s="1012">
        <v>0</v>
      </c>
      <c r="L176" s="1013">
        <f t="shared" si="41"/>
        <v>6331000</v>
      </c>
      <c r="M176" s="1014">
        <v>24</v>
      </c>
      <c r="N176" s="1013">
        <f t="shared" si="42"/>
        <v>5844000</v>
      </c>
      <c r="O176" s="1015">
        <v>2</v>
      </c>
      <c r="P176" s="1013">
        <f t="shared" si="43"/>
        <v>487000</v>
      </c>
      <c r="Q176" s="1016">
        <v>0</v>
      </c>
      <c r="R176" s="1013">
        <f t="shared" si="44"/>
        <v>0</v>
      </c>
      <c r="S176" s="1013">
        <f t="shared" si="45"/>
        <v>6331000</v>
      </c>
      <c r="T176" s="1017">
        <v>0</v>
      </c>
      <c r="U176" s="785">
        <v>0</v>
      </c>
      <c r="V176" s="785">
        <v>200000</v>
      </c>
      <c r="W176" s="1017">
        <v>500000</v>
      </c>
      <c r="X176" s="1017">
        <v>0</v>
      </c>
      <c r="Y176" s="1017">
        <v>400000</v>
      </c>
      <c r="Z176" s="1017">
        <v>429671</v>
      </c>
      <c r="AA176" s="1018"/>
      <c r="AB176" s="1013"/>
      <c r="AC176" s="1017">
        <v>0</v>
      </c>
      <c r="AD176" s="1017">
        <v>0</v>
      </c>
      <c r="AE176" s="1013">
        <v>45656.25</v>
      </c>
      <c r="AF176" s="1019"/>
      <c r="AG176" s="1019">
        <f t="shared" si="46"/>
        <v>7906327</v>
      </c>
      <c r="AH176" s="1014">
        <v>52</v>
      </c>
      <c r="AI176" s="1014">
        <v>0</v>
      </c>
      <c r="AJ176" s="1014">
        <v>0</v>
      </c>
      <c r="AK176" s="1018">
        <v>0</v>
      </c>
      <c r="AL176" s="1020">
        <v>0</v>
      </c>
      <c r="AM176" s="1013">
        <f t="shared" si="37"/>
        <v>2374125</v>
      </c>
      <c r="AN176" s="1045">
        <f t="shared" si="49"/>
        <v>10280452</v>
      </c>
      <c r="AO176" s="1013">
        <v>664755</v>
      </c>
      <c r="AP176" s="1013">
        <v>44100</v>
      </c>
      <c r="AQ176" s="1013">
        <v>0</v>
      </c>
      <c r="AR176" s="1013">
        <v>0</v>
      </c>
      <c r="AS176" s="1013">
        <v>0</v>
      </c>
      <c r="AT176" s="1045">
        <f t="shared" si="50"/>
        <v>9571597</v>
      </c>
      <c r="AU176" s="1004"/>
      <c r="AV176" s="870"/>
      <c r="AW176" s="782" t="s">
        <v>3649</v>
      </c>
      <c r="AX176" s="782" t="s">
        <v>3650</v>
      </c>
      <c r="AY176" s="1007" t="s">
        <v>287</v>
      </c>
      <c r="AZ176" s="1007">
        <v>622</v>
      </c>
      <c r="BA176" s="347" t="str">
        <f t="shared" si="38"/>
        <v>Box</v>
      </c>
      <c r="BB176" s="1008"/>
      <c r="BC176" s="1009"/>
      <c r="BD176" s="1009"/>
    </row>
    <row r="177" spans="1:56" s="1010" customFormat="1" ht="36.75" customHeight="1">
      <c r="A177" s="661">
        <f>SUBTOTAL(3,B$6:B177)</f>
        <v>172</v>
      </c>
      <c r="B177" s="661" t="s">
        <v>1131</v>
      </c>
      <c r="C177" s="662" t="s">
        <v>1132</v>
      </c>
      <c r="D177" s="1011">
        <v>41165</v>
      </c>
      <c r="E177" s="1011" t="s">
        <v>216</v>
      </c>
      <c r="F177" s="787" t="s">
        <v>696</v>
      </c>
      <c r="G177" s="996" t="s">
        <v>850</v>
      </c>
      <c r="H177" s="1012">
        <v>5931000</v>
      </c>
      <c r="I177" s="1012">
        <v>700000</v>
      </c>
      <c r="J177" s="1012">
        <v>0</v>
      </c>
      <c r="K177" s="1012">
        <v>0</v>
      </c>
      <c r="L177" s="1013">
        <f t="shared" si="41"/>
        <v>6631000</v>
      </c>
      <c r="M177" s="1014">
        <v>24</v>
      </c>
      <c r="N177" s="1013">
        <f t="shared" si="42"/>
        <v>6120923</v>
      </c>
      <c r="O177" s="1015">
        <v>2</v>
      </c>
      <c r="P177" s="1013">
        <f t="shared" si="43"/>
        <v>510077</v>
      </c>
      <c r="Q177" s="1016">
        <v>0</v>
      </c>
      <c r="R177" s="1013">
        <f t="shared" si="44"/>
        <v>0</v>
      </c>
      <c r="S177" s="1013">
        <f t="shared" si="45"/>
        <v>6631000</v>
      </c>
      <c r="T177" s="1017">
        <v>0</v>
      </c>
      <c r="U177" s="785">
        <v>0</v>
      </c>
      <c r="V177" s="785">
        <v>200000</v>
      </c>
      <c r="W177" s="1017">
        <v>500000</v>
      </c>
      <c r="X177" s="1017">
        <v>0</v>
      </c>
      <c r="Y177" s="1017">
        <v>400000</v>
      </c>
      <c r="Z177" s="1017">
        <v>397614</v>
      </c>
      <c r="AA177" s="1018"/>
      <c r="AB177" s="1013"/>
      <c r="AC177" s="1017">
        <v>200000</v>
      </c>
      <c r="AD177" s="1017">
        <v>0</v>
      </c>
      <c r="AE177" s="1013">
        <v>47819.7109375</v>
      </c>
      <c r="AF177" s="1019"/>
      <c r="AG177" s="1019">
        <f t="shared" si="46"/>
        <v>8376434</v>
      </c>
      <c r="AH177" s="1014">
        <v>52</v>
      </c>
      <c r="AI177" s="1014">
        <v>0</v>
      </c>
      <c r="AJ177" s="1014">
        <v>0</v>
      </c>
      <c r="AK177" s="1018">
        <v>0</v>
      </c>
      <c r="AL177" s="1020">
        <v>0</v>
      </c>
      <c r="AM177" s="1013">
        <f t="shared" si="37"/>
        <v>2486625</v>
      </c>
      <c r="AN177" s="1045">
        <f t="shared" si="49"/>
        <v>10863059</v>
      </c>
      <c r="AO177" s="1013">
        <v>696255</v>
      </c>
      <c r="AP177" s="1013">
        <v>44100</v>
      </c>
      <c r="AQ177" s="1013">
        <v>0</v>
      </c>
      <c r="AR177" s="1013">
        <v>0</v>
      </c>
      <c r="AS177" s="1013">
        <v>0</v>
      </c>
      <c r="AT177" s="1045">
        <f t="shared" si="50"/>
        <v>10122704</v>
      </c>
      <c r="AU177" s="1004"/>
      <c r="AV177" s="870"/>
      <c r="AW177" s="782" t="s">
        <v>3651</v>
      </c>
      <c r="AX177" s="782" t="s">
        <v>3652</v>
      </c>
      <c r="AY177" s="1007" t="s">
        <v>287</v>
      </c>
      <c r="AZ177" s="1007">
        <v>622</v>
      </c>
      <c r="BA177" s="347" t="str">
        <f t="shared" si="38"/>
        <v>Box</v>
      </c>
      <c r="BB177" s="1008"/>
      <c r="BC177" s="1009"/>
      <c r="BD177" s="1009"/>
    </row>
    <row r="178" spans="1:56" s="1010" customFormat="1" ht="36.75" customHeight="1">
      <c r="A178" s="661">
        <f>SUBTOTAL(3,B$6:B178)</f>
        <v>173</v>
      </c>
      <c r="B178" s="661" t="s">
        <v>1133</v>
      </c>
      <c r="C178" s="662" t="s">
        <v>1134</v>
      </c>
      <c r="D178" s="1011">
        <v>41263</v>
      </c>
      <c r="E178" s="1011" t="s">
        <v>216</v>
      </c>
      <c r="F178" s="787" t="s">
        <v>696</v>
      </c>
      <c r="G178" s="996" t="s">
        <v>786</v>
      </c>
      <c r="H178" s="1012">
        <v>5931000</v>
      </c>
      <c r="I178" s="1012">
        <v>200000</v>
      </c>
      <c r="J178" s="1012">
        <v>0</v>
      </c>
      <c r="K178" s="1012">
        <v>0</v>
      </c>
      <c r="L178" s="1013">
        <f t="shared" si="41"/>
        <v>6131000</v>
      </c>
      <c r="M178" s="1014">
        <v>21.8</v>
      </c>
      <c r="N178" s="1013">
        <f t="shared" si="42"/>
        <v>5140608</v>
      </c>
      <c r="O178" s="1015">
        <v>3</v>
      </c>
      <c r="P178" s="1013">
        <f t="shared" si="43"/>
        <v>707423</v>
      </c>
      <c r="Q178" s="1016">
        <v>0</v>
      </c>
      <c r="R178" s="1013">
        <f t="shared" si="44"/>
        <v>0</v>
      </c>
      <c r="S178" s="1013">
        <f t="shared" si="45"/>
        <v>5848031</v>
      </c>
      <c r="T178" s="1017">
        <v>0</v>
      </c>
      <c r="U178" s="785">
        <v>0</v>
      </c>
      <c r="V178" s="785">
        <v>200000</v>
      </c>
      <c r="W178" s="1017">
        <v>0</v>
      </c>
      <c r="X178" s="1017">
        <v>0</v>
      </c>
      <c r="Y178" s="1017">
        <v>150000</v>
      </c>
      <c r="Z178" s="1017">
        <v>393904</v>
      </c>
      <c r="AA178" s="1018"/>
      <c r="AB178" s="1013"/>
      <c r="AC178" s="1017">
        <v>100000</v>
      </c>
      <c r="AD178" s="1017">
        <v>0</v>
      </c>
      <c r="AE178" s="1013">
        <v>44213.944954128441</v>
      </c>
      <c r="AF178" s="1019"/>
      <c r="AG178" s="1019">
        <f t="shared" si="46"/>
        <v>6736149</v>
      </c>
      <c r="AH178" s="1014">
        <v>48</v>
      </c>
      <c r="AI178" s="1014">
        <v>0</v>
      </c>
      <c r="AJ178" s="1014">
        <v>0</v>
      </c>
      <c r="AK178" s="1018">
        <v>0</v>
      </c>
      <c r="AL178" s="1020">
        <v>0</v>
      </c>
      <c r="AM178" s="1013">
        <f t="shared" si="37"/>
        <v>2122269</v>
      </c>
      <c r="AN178" s="1045">
        <f t="shared" si="49"/>
        <v>8858418</v>
      </c>
      <c r="AO178" s="1013">
        <v>643755</v>
      </c>
      <c r="AP178" s="1013">
        <v>44100</v>
      </c>
      <c r="AQ178" s="1013">
        <v>0</v>
      </c>
      <c r="AR178" s="1013">
        <v>0</v>
      </c>
      <c r="AS178" s="1013">
        <v>0</v>
      </c>
      <c r="AT178" s="1045">
        <f t="shared" si="50"/>
        <v>8170563</v>
      </c>
      <c r="AU178" s="1004"/>
      <c r="AV178" s="870"/>
      <c r="AW178" s="782" t="s">
        <v>3653</v>
      </c>
      <c r="AX178" s="782" t="s">
        <v>3654</v>
      </c>
      <c r="AY178" s="1007" t="s">
        <v>287</v>
      </c>
      <c r="AZ178" s="1007">
        <v>622</v>
      </c>
      <c r="BA178" s="347" t="str">
        <f t="shared" si="38"/>
        <v>Box</v>
      </c>
      <c r="BB178" s="1008"/>
      <c r="BC178" s="1009"/>
      <c r="BD178" s="1009"/>
    </row>
    <row r="179" spans="1:56" s="1010" customFormat="1" ht="36.75" customHeight="1">
      <c r="A179" s="661">
        <f>SUBTOTAL(3,B$6:B179)</f>
        <v>174</v>
      </c>
      <c r="B179" s="661" t="s">
        <v>1135</v>
      </c>
      <c r="C179" s="662" t="s">
        <v>1136</v>
      </c>
      <c r="D179" s="1011">
        <v>41396</v>
      </c>
      <c r="E179" s="1011" t="s">
        <v>216</v>
      </c>
      <c r="F179" s="787" t="s">
        <v>696</v>
      </c>
      <c r="G179" s="996" t="s">
        <v>786</v>
      </c>
      <c r="H179" s="1012">
        <v>5931000</v>
      </c>
      <c r="I179" s="1012">
        <v>200000</v>
      </c>
      <c r="J179" s="1012">
        <v>0</v>
      </c>
      <c r="K179" s="1012">
        <v>0</v>
      </c>
      <c r="L179" s="1013">
        <f t="shared" si="41"/>
        <v>6131000</v>
      </c>
      <c r="M179" s="1014">
        <v>24</v>
      </c>
      <c r="N179" s="1013">
        <f t="shared" si="42"/>
        <v>5659385</v>
      </c>
      <c r="O179" s="1015">
        <v>2</v>
      </c>
      <c r="P179" s="1013">
        <f t="shared" si="43"/>
        <v>471615</v>
      </c>
      <c r="Q179" s="1016">
        <v>0</v>
      </c>
      <c r="R179" s="1013">
        <f t="shared" si="44"/>
        <v>0</v>
      </c>
      <c r="S179" s="1013">
        <f t="shared" si="45"/>
        <v>6131000</v>
      </c>
      <c r="T179" s="1017">
        <v>0</v>
      </c>
      <c r="U179" s="785">
        <v>0</v>
      </c>
      <c r="V179" s="785">
        <v>200000</v>
      </c>
      <c r="W179" s="1017">
        <v>500000</v>
      </c>
      <c r="X179" s="1017">
        <v>0</v>
      </c>
      <c r="Y179" s="1017">
        <v>400000</v>
      </c>
      <c r="Z179" s="1017">
        <v>427917</v>
      </c>
      <c r="AA179" s="1018"/>
      <c r="AB179" s="1013"/>
      <c r="AC179" s="1017">
        <v>0</v>
      </c>
      <c r="AD179" s="1017">
        <v>0</v>
      </c>
      <c r="AE179" s="1013">
        <v>44213.9453125</v>
      </c>
      <c r="AF179" s="1019"/>
      <c r="AG179" s="1019">
        <f t="shared" si="46"/>
        <v>7703131</v>
      </c>
      <c r="AH179" s="1014">
        <v>52</v>
      </c>
      <c r="AI179" s="1014">
        <v>0</v>
      </c>
      <c r="AJ179" s="1014">
        <v>0</v>
      </c>
      <c r="AK179" s="1018">
        <v>0</v>
      </c>
      <c r="AL179" s="1020">
        <v>0</v>
      </c>
      <c r="AM179" s="1013">
        <f t="shared" si="37"/>
        <v>2299125</v>
      </c>
      <c r="AN179" s="1045">
        <f t="shared" si="49"/>
        <v>10002256</v>
      </c>
      <c r="AO179" s="1013">
        <v>643755</v>
      </c>
      <c r="AP179" s="1013">
        <v>44100</v>
      </c>
      <c r="AQ179" s="1013">
        <v>0</v>
      </c>
      <c r="AR179" s="1013">
        <v>0</v>
      </c>
      <c r="AS179" s="1013">
        <v>0</v>
      </c>
      <c r="AT179" s="1045">
        <f t="shared" si="50"/>
        <v>9314401</v>
      </c>
      <c r="AU179" s="1004"/>
      <c r="AV179" s="870"/>
      <c r="AW179" s="782" t="s">
        <v>3655</v>
      </c>
      <c r="AX179" s="782" t="s">
        <v>3656</v>
      </c>
      <c r="AY179" s="1007" t="s">
        <v>287</v>
      </c>
      <c r="AZ179" s="1007">
        <v>622</v>
      </c>
      <c r="BA179" s="347" t="str">
        <f t="shared" si="38"/>
        <v>Box</v>
      </c>
      <c r="BB179" s="1008"/>
      <c r="BC179" s="1009"/>
      <c r="BD179" s="1009"/>
    </row>
    <row r="180" spans="1:56" s="1010" customFormat="1" ht="36.75" customHeight="1">
      <c r="A180" s="661">
        <f>SUBTOTAL(3,B$6:B180)</f>
        <v>175</v>
      </c>
      <c r="B180" s="661" t="s">
        <v>1137</v>
      </c>
      <c r="C180" s="662" t="s">
        <v>1138</v>
      </c>
      <c r="D180" s="1011">
        <v>41401</v>
      </c>
      <c r="E180" s="1011" t="s">
        <v>216</v>
      </c>
      <c r="F180" s="787" t="s">
        <v>696</v>
      </c>
      <c r="G180" s="996" t="s">
        <v>797</v>
      </c>
      <c r="H180" s="1012">
        <v>5931000</v>
      </c>
      <c r="I180" s="1012">
        <v>0</v>
      </c>
      <c r="J180" s="1012">
        <v>0</v>
      </c>
      <c r="K180" s="1012">
        <v>0</v>
      </c>
      <c r="L180" s="1013">
        <f t="shared" si="41"/>
        <v>5931000</v>
      </c>
      <c r="M180" s="1014">
        <v>21.7</v>
      </c>
      <c r="N180" s="1013">
        <f t="shared" si="42"/>
        <v>4950104</v>
      </c>
      <c r="O180" s="1015">
        <v>3</v>
      </c>
      <c r="P180" s="1013">
        <f t="shared" si="43"/>
        <v>684346</v>
      </c>
      <c r="Q180" s="1016">
        <v>0</v>
      </c>
      <c r="R180" s="1013">
        <f t="shared" si="44"/>
        <v>0</v>
      </c>
      <c r="S180" s="1013">
        <f t="shared" si="45"/>
        <v>5634450</v>
      </c>
      <c r="T180" s="1017">
        <v>0</v>
      </c>
      <c r="U180" s="785">
        <v>0</v>
      </c>
      <c r="V180" s="785">
        <v>200000</v>
      </c>
      <c r="W180" s="1017">
        <v>0</v>
      </c>
      <c r="X180" s="1017">
        <v>0</v>
      </c>
      <c r="Y180" s="1017">
        <v>150000</v>
      </c>
      <c r="Z180" s="1017">
        <v>386796</v>
      </c>
      <c r="AA180" s="1018"/>
      <c r="AB180" s="1013"/>
      <c r="AC180" s="1017">
        <v>100000</v>
      </c>
      <c r="AD180" s="1017">
        <v>0</v>
      </c>
      <c r="AE180" s="1013">
        <v>42771.635944700465</v>
      </c>
      <c r="AF180" s="1019"/>
      <c r="AG180" s="1019">
        <f t="shared" si="46"/>
        <v>6514018</v>
      </c>
      <c r="AH180" s="1014">
        <v>44</v>
      </c>
      <c r="AI180" s="1014">
        <v>0</v>
      </c>
      <c r="AJ180" s="1014">
        <v>0</v>
      </c>
      <c r="AK180" s="1018">
        <v>0</v>
      </c>
      <c r="AL180" s="1020">
        <v>0</v>
      </c>
      <c r="AM180" s="1013">
        <f t="shared" si="37"/>
        <v>1881952</v>
      </c>
      <c r="AN180" s="1045">
        <f>ROUND(AG180+AM180,0)</f>
        <v>8395970</v>
      </c>
      <c r="AO180" s="1013">
        <v>622755</v>
      </c>
      <c r="AP180" s="1013">
        <v>44100</v>
      </c>
      <c r="AQ180" s="1013">
        <v>0</v>
      </c>
      <c r="AR180" s="1013">
        <v>0</v>
      </c>
      <c r="AS180" s="1013">
        <v>0</v>
      </c>
      <c r="AT180" s="1045">
        <f t="shared" si="50"/>
        <v>7729115</v>
      </c>
      <c r="AU180" s="1004"/>
      <c r="AV180" s="870"/>
      <c r="AW180" s="782" t="s">
        <v>3657</v>
      </c>
      <c r="AX180" s="782" t="s">
        <v>3658</v>
      </c>
      <c r="AY180" s="1007" t="s">
        <v>287</v>
      </c>
      <c r="AZ180" s="1007">
        <v>622</v>
      </c>
      <c r="BA180" s="347" t="str">
        <f t="shared" si="38"/>
        <v>Box</v>
      </c>
      <c r="BB180" s="1008"/>
      <c r="BC180" s="1009"/>
      <c r="BD180" s="1009"/>
    </row>
    <row r="181" spans="1:56" s="1010" customFormat="1" ht="36.75" customHeight="1">
      <c r="A181" s="661">
        <f>SUBTOTAL(3,B$6:B181)</f>
        <v>176</v>
      </c>
      <c r="B181" s="661" t="s">
        <v>1139</v>
      </c>
      <c r="C181" s="662" t="s">
        <v>1140</v>
      </c>
      <c r="D181" s="1011">
        <v>41459</v>
      </c>
      <c r="E181" s="1011" t="s">
        <v>216</v>
      </c>
      <c r="F181" s="787" t="s">
        <v>696</v>
      </c>
      <c r="G181" s="996" t="s">
        <v>920</v>
      </c>
      <c r="H181" s="1012">
        <v>5931000</v>
      </c>
      <c r="I181" s="1012">
        <v>0</v>
      </c>
      <c r="J181" s="1012">
        <v>0</v>
      </c>
      <c r="K181" s="1012">
        <v>0</v>
      </c>
      <c r="L181" s="1013">
        <f t="shared" si="41"/>
        <v>5931000</v>
      </c>
      <c r="M181" s="1014">
        <v>24</v>
      </c>
      <c r="N181" s="1013">
        <f t="shared" si="42"/>
        <v>5474769</v>
      </c>
      <c r="O181" s="1015">
        <v>2</v>
      </c>
      <c r="P181" s="1013">
        <f t="shared" si="43"/>
        <v>456231</v>
      </c>
      <c r="Q181" s="1016">
        <v>0</v>
      </c>
      <c r="R181" s="1013">
        <f t="shared" si="44"/>
        <v>0</v>
      </c>
      <c r="S181" s="1013">
        <f t="shared" si="45"/>
        <v>5931000</v>
      </c>
      <c r="T181" s="1017">
        <v>0</v>
      </c>
      <c r="U181" s="785">
        <v>0</v>
      </c>
      <c r="V181" s="785">
        <v>200000</v>
      </c>
      <c r="W181" s="1017">
        <v>500000</v>
      </c>
      <c r="X181" s="1017">
        <v>0</v>
      </c>
      <c r="Y181" s="1017">
        <v>300000</v>
      </c>
      <c r="Z181" s="1017">
        <v>327267</v>
      </c>
      <c r="AA181" s="1018"/>
      <c r="AB181" s="1013"/>
      <c r="AC181" s="1017">
        <v>0</v>
      </c>
      <c r="AD181" s="1017">
        <v>0</v>
      </c>
      <c r="AE181" s="1013">
        <v>42771.6328125</v>
      </c>
      <c r="AF181" s="1019"/>
      <c r="AG181" s="1019">
        <f t="shared" si="46"/>
        <v>7301039</v>
      </c>
      <c r="AH181" s="1014">
        <v>0</v>
      </c>
      <c r="AI181" s="1014">
        <v>0</v>
      </c>
      <c r="AJ181" s="1014">
        <v>0</v>
      </c>
      <c r="AK181" s="1018">
        <v>0</v>
      </c>
      <c r="AL181" s="1020">
        <v>0</v>
      </c>
      <c r="AM181" s="1013">
        <f t="shared" si="37"/>
        <v>0</v>
      </c>
      <c r="AN181" s="1045">
        <f t="shared" ref="AN181:AN188" si="51">ROUND(AG181+AM181,0)</f>
        <v>7301039</v>
      </c>
      <c r="AO181" s="1013">
        <v>622755</v>
      </c>
      <c r="AP181" s="1013">
        <v>44100</v>
      </c>
      <c r="AQ181" s="1013">
        <v>0</v>
      </c>
      <c r="AR181" s="1013">
        <v>0</v>
      </c>
      <c r="AS181" s="1013">
        <v>0</v>
      </c>
      <c r="AT181" s="1045">
        <f t="shared" si="50"/>
        <v>6634184</v>
      </c>
      <c r="AU181" s="1004"/>
      <c r="AV181" s="870"/>
      <c r="AW181" s="782" t="s">
        <v>3659</v>
      </c>
      <c r="AX181" s="782" t="s">
        <v>3660</v>
      </c>
      <c r="AY181" s="1007" t="s">
        <v>287</v>
      </c>
      <c r="AZ181" s="1007">
        <v>622</v>
      </c>
      <c r="BA181" s="347" t="str">
        <f t="shared" si="38"/>
        <v>Box</v>
      </c>
      <c r="BB181" s="1008"/>
      <c r="BC181" s="1009"/>
      <c r="BD181" s="1009"/>
    </row>
    <row r="182" spans="1:56" s="1010" customFormat="1" ht="36.75" customHeight="1">
      <c r="A182" s="661">
        <f>SUBTOTAL(3,B$6:B182)</f>
        <v>177</v>
      </c>
      <c r="B182" s="661" t="s">
        <v>5736</v>
      </c>
      <c r="C182" s="662" t="s">
        <v>5737</v>
      </c>
      <c r="D182" s="1011">
        <v>41717</v>
      </c>
      <c r="E182" s="1011" t="s">
        <v>216</v>
      </c>
      <c r="F182" s="787" t="s">
        <v>696</v>
      </c>
      <c r="G182" s="996" t="s">
        <v>786</v>
      </c>
      <c r="H182" s="1012">
        <v>5931000</v>
      </c>
      <c r="I182" s="1012">
        <v>200000</v>
      </c>
      <c r="J182" s="1012">
        <v>0</v>
      </c>
      <c r="K182" s="1012">
        <v>0</v>
      </c>
      <c r="L182" s="1013">
        <f t="shared" si="41"/>
        <v>6131000</v>
      </c>
      <c r="M182" s="1014">
        <v>2</v>
      </c>
      <c r="N182" s="1013">
        <f t="shared" si="42"/>
        <v>471615</v>
      </c>
      <c r="O182" s="1015">
        <v>1</v>
      </c>
      <c r="P182" s="1013">
        <f t="shared" si="43"/>
        <v>235808</v>
      </c>
      <c r="Q182" s="1016">
        <v>0</v>
      </c>
      <c r="R182" s="1013">
        <f t="shared" si="44"/>
        <v>0</v>
      </c>
      <c r="S182" s="1013">
        <f t="shared" si="45"/>
        <v>707423</v>
      </c>
      <c r="T182" s="1017">
        <v>0</v>
      </c>
      <c r="U182" s="785">
        <v>0</v>
      </c>
      <c r="V182" s="785">
        <v>0</v>
      </c>
      <c r="W182" s="1017">
        <v>0</v>
      </c>
      <c r="X182" s="1017">
        <v>0</v>
      </c>
      <c r="Y182" s="1017">
        <v>0</v>
      </c>
      <c r="Z182" s="1017">
        <v>0</v>
      </c>
      <c r="AA182" s="1018"/>
      <c r="AB182" s="1013"/>
      <c r="AC182" s="1017">
        <v>0</v>
      </c>
      <c r="AD182" s="1017">
        <v>0</v>
      </c>
      <c r="AE182" s="1013">
        <v>0</v>
      </c>
      <c r="AF182" s="1019"/>
      <c r="AG182" s="1019">
        <f t="shared" si="46"/>
        <v>707423</v>
      </c>
      <c r="AH182" s="1014">
        <v>0</v>
      </c>
      <c r="AI182" s="1014">
        <v>0</v>
      </c>
      <c r="AJ182" s="1014">
        <v>0</v>
      </c>
      <c r="AK182" s="1018">
        <v>0</v>
      </c>
      <c r="AL182" s="1020">
        <v>0</v>
      </c>
      <c r="AM182" s="1013">
        <f t="shared" si="37"/>
        <v>0</v>
      </c>
      <c r="AN182" s="1045">
        <f t="shared" si="51"/>
        <v>707423</v>
      </c>
      <c r="AO182" s="1013">
        <v>0</v>
      </c>
      <c r="AP182" s="1013">
        <v>44100</v>
      </c>
      <c r="AQ182" s="1013">
        <v>0</v>
      </c>
      <c r="AR182" s="1013">
        <v>0</v>
      </c>
      <c r="AS182" s="1013">
        <v>0</v>
      </c>
      <c r="AT182" s="1045">
        <f t="shared" si="50"/>
        <v>663323</v>
      </c>
      <c r="AU182" s="1004"/>
      <c r="AV182" s="870"/>
      <c r="AW182" s="782" t="s">
        <v>5837</v>
      </c>
      <c r="AX182" s="782" t="s">
        <v>5838</v>
      </c>
      <c r="AY182" s="1007" t="s">
        <v>287</v>
      </c>
      <c r="AZ182" s="1007">
        <v>622</v>
      </c>
      <c r="BA182" s="347" t="str">
        <f t="shared" si="38"/>
        <v>Box</v>
      </c>
      <c r="BB182" s="1008"/>
      <c r="BC182" s="1009"/>
      <c r="BD182" s="1009"/>
    </row>
    <row r="183" spans="1:56" s="1010" customFormat="1" ht="36.75" customHeight="1">
      <c r="A183" s="661">
        <f>SUBTOTAL(3,B$6:B183)</f>
        <v>178</v>
      </c>
      <c r="B183" s="661" t="s">
        <v>1141</v>
      </c>
      <c r="C183" s="662" t="s">
        <v>1142</v>
      </c>
      <c r="D183" s="1011">
        <v>42195</v>
      </c>
      <c r="E183" s="1011" t="s">
        <v>216</v>
      </c>
      <c r="F183" s="787" t="s">
        <v>696</v>
      </c>
      <c r="G183" s="996" t="s">
        <v>810</v>
      </c>
      <c r="H183" s="1012">
        <v>5931000</v>
      </c>
      <c r="I183" s="1012">
        <v>1100000</v>
      </c>
      <c r="J183" s="1012">
        <v>0</v>
      </c>
      <c r="K183" s="1012">
        <v>0</v>
      </c>
      <c r="L183" s="1013">
        <f t="shared" si="41"/>
        <v>7031000</v>
      </c>
      <c r="M183" s="1014">
        <v>22.9</v>
      </c>
      <c r="N183" s="1013">
        <f t="shared" si="42"/>
        <v>6192688</v>
      </c>
      <c r="O183" s="1015">
        <v>3</v>
      </c>
      <c r="P183" s="1013">
        <f t="shared" si="43"/>
        <v>811269</v>
      </c>
      <c r="Q183" s="1016">
        <v>0</v>
      </c>
      <c r="R183" s="1013">
        <f t="shared" si="44"/>
        <v>0</v>
      </c>
      <c r="S183" s="1013">
        <f t="shared" si="45"/>
        <v>7003957</v>
      </c>
      <c r="T183" s="1017">
        <v>0</v>
      </c>
      <c r="U183" s="785">
        <v>0</v>
      </c>
      <c r="V183" s="785">
        <v>200000</v>
      </c>
      <c r="W183" s="1017">
        <v>500000</v>
      </c>
      <c r="X183" s="1017">
        <v>200000</v>
      </c>
      <c r="Y183" s="1017">
        <v>400000</v>
      </c>
      <c r="Z183" s="1017">
        <v>566093</v>
      </c>
      <c r="AA183" s="1018"/>
      <c r="AB183" s="1013"/>
      <c r="AC183" s="1017">
        <v>0</v>
      </c>
      <c r="AD183" s="1017">
        <v>0</v>
      </c>
      <c r="AE183" s="1013">
        <v>50704.323144104812</v>
      </c>
      <c r="AF183" s="1019"/>
      <c r="AG183" s="1019">
        <f t="shared" si="46"/>
        <v>8920754</v>
      </c>
      <c r="AH183" s="1014">
        <v>48</v>
      </c>
      <c r="AI183" s="1014">
        <v>0</v>
      </c>
      <c r="AJ183" s="1014">
        <v>0</v>
      </c>
      <c r="AK183" s="1018">
        <v>0</v>
      </c>
      <c r="AL183" s="1020">
        <v>0</v>
      </c>
      <c r="AM183" s="1013">
        <f t="shared" si="37"/>
        <v>2433808</v>
      </c>
      <c r="AN183" s="1045">
        <f t="shared" si="51"/>
        <v>11354562</v>
      </c>
      <c r="AO183" s="1013">
        <v>738255</v>
      </c>
      <c r="AP183" s="1013">
        <v>44100</v>
      </c>
      <c r="AQ183" s="1013">
        <v>0</v>
      </c>
      <c r="AR183" s="1013">
        <v>0</v>
      </c>
      <c r="AS183" s="1013">
        <v>0</v>
      </c>
      <c r="AT183" s="1045">
        <f t="shared" si="50"/>
        <v>10572207</v>
      </c>
      <c r="AU183" s="1004"/>
      <c r="AV183" s="870"/>
      <c r="AW183" s="782" t="s">
        <v>3661</v>
      </c>
      <c r="AX183" s="782" t="s">
        <v>3662</v>
      </c>
      <c r="AY183" s="1007" t="s">
        <v>287</v>
      </c>
      <c r="AZ183" s="1007">
        <v>622</v>
      </c>
      <c r="BA183" s="347" t="str">
        <f t="shared" si="38"/>
        <v>Box</v>
      </c>
      <c r="BB183" s="1008"/>
      <c r="BC183" s="1009"/>
      <c r="BD183" s="1009"/>
    </row>
    <row r="184" spans="1:56" s="1010" customFormat="1" ht="36.75" customHeight="1">
      <c r="A184" s="661">
        <f>SUBTOTAL(3,B$6:B184)</f>
        <v>179</v>
      </c>
      <c r="B184" s="661" t="s">
        <v>1143</v>
      </c>
      <c r="C184" s="662" t="s">
        <v>1144</v>
      </c>
      <c r="D184" s="1011">
        <v>42781</v>
      </c>
      <c r="E184" s="1011" t="s">
        <v>216</v>
      </c>
      <c r="F184" s="787" t="s">
        <v>696</v>
      </c>
      <c r="G184" s="996" t="s">
        <v>786</v>
      </c>
      <c r="H184" s="1012">
        <v>5931000</v>
      </c>
      <c r="I184" s="1012">
        <v>200000</v>
      </c>
      <c r="J184" s="1012">
        <v>0</v>
      </c>
      <c r="K184" s="1012">
        <v>0</v>
      </c>
      <c r="L184" s="1013">
        <f t="shared" si="41"/>
        <v>6131000</v>
      </c>
      <c r="M184" s="1014">
        <v>22.9</v>
      </c>
      <c r="N184" s="1013">
        <f t="shared" si="42"/>
        <v>5399996</v>
      </c>
      <c r="O184" s="1015">
        <v>3</v>
      </c>
      <c r="P184" s="1013">
        <f t="shared" si="43"/>
        <v>707423</v>
      </c>
      <c r="Q184" s="1016">
        <v>0</v>
      </c>
      <c r="R184" s="1013">
        <f t="shared" si="44"/>
        <v>0</v>
      </c>
      <c r="S184" s="1013">
        <f t="shared" si="45"/>
        <v>6107419</v>
      </c>
      <c r="T184" s="1017">
        <v>0</v>
      </c>
      <c r="U184" s="785">
        <v>0</v>
      </c>
      <c r="V184" s="785">
        <v>200000</v>
      </c>
      <c r="W184" s="1017">
        <v>500000</v>
      </c>
      <c r="X184" s="1017">
        <v>0</v>
      </c>
      <c r="Y184" s="1017">
        <v>400000</v>
      </c>
      <c r="Z184" s="1017">
        <v>407480</v>
      </c>
      <c r="AA184" s="1018"/>
      <c r="AB184" s="1013"/>
      <c r="AC184" s="1017">
        <v>0</v>
      </c>
      <c r="AD184" s="1017">
        <v>0</v>
      </c>
      <c r="AE184" s="1013">
        <v>44213.94104803494</v>
      </c>
      <c r="AF184" s="1019"/>
      <c r="AG184" s="1019">
        <f t="shared" si="46"/>
        <v>7659113</v>
      </c>
      <c r="AH184" s="1014">
        <v>48</v>
      </c>
      <c r="AI184" s="1014">
        <v>0</v>
      </c>
      <c r="AJ184" s="1014">
        <v>0</v>
      </c>
      <c r="AK184" s="1018">
        <v>0</v>
      </c>
      <c r="AL184" s="1020">
        <v>0</v>
      </c>
      <c r="AM184" s="1013">
        <f t="shared" si="37"/>
        <v>2122269</v>
      </c>
      <c r="AN184" s="1045">
        <f t="shared" si="51"/>
        <v>9781382</v>
      </c>
      <c r="AO184" s="1013">
        <v>643755</v>
      </c>
      <c r="AP184" s="1013">
        <v>44100</v>
      </c>
      <c r="AQ184" s="1013">
        <v>0</v>
      </c>
      <c r="AR184" s="1013">
        <v>0</v>
      </c>
      <c r="AS184" s="1013">
        <v>0</v>
      </c>
      <c r="AT184" s="1045">
        <f t="shared" si="50"/>
        <v>9093527</v>
      </c>
      <c r="AU184" s="1004"/>
      <c r="AV184" s="870"/>
      <c r="AW184" s="782" t="s">
        <v>3663</v>
      </c>
      <c r="AX184" s="782" t="s">
        <v>3664</v>
      </c>
      <c r="AY184" s="1007" t="s">
        <v>287</v>
      </c>
      <c r="AZ184" s="1007">
        <v>622</v>
      </c>
      <c r="BA184" s="347" t="str">
        <f t="shared" si="38"/>
        <v>Box</v>
      </c>
      <c r="BB184" s="1008"/>
      <c r="BC184" s="1009"/>
      <c r="BD184" s="1009"/>
    </row>
    <row r="185" spans="1:56" s="1010" customFormat="1" ht="36.75" customHeight="1">
      <c r="A185" s="661">
        <f>SUBTOTAL(3,B$6:B185)</f>
        <v>180</v>
      </c>
      <c r="B185" s="661" t="s">
        <v>1145</v>
      </c>
      <c r="C185" s="662" t="s">
        <v>1146</v>
      </c>
      <c r="D185" s="1011">
        <v>42781</v>
      </c>
      <c r="E185" s="1011" t="s">
        <v>216</v>
      </c>
      <c r="F185" s="787" t="s">
        <v>696</v>
      </c>
      <c r="G185" s="996" t="s">
        <v>1081</v>
      </c>
      <c r="H185" s="1012">
        <v>5931000</v>
      </c>
      <c r="I185" s="1012">
        <v>300000</v>
      </c>
      <c r="J185" s="1012">
        <v>0</v>
      </c>
      <c r="K185" s="1012">
        <v>0</v>
      </c>
      <c r="L185" s="1013">
        <f t="shared" si="41"/>
        <v>6231000</v>
      </c>
      <c r="M185" s="1014">
        <v>24</v>
      </c>
      <c r="N185" s="1013">
        <f t="shared" si="42"/>
        <v>5751692</v>
      </c>
      <c r="O185" s="1015">
        <v>2</v>
      </c>
      <c r="P185" s="1013">
        <f t="shared" si="43"/>
        <v>479308</v>
      </c>
      <c r="Q185" s="1016">
        <v>0</v>
      </c>
      <c r="R185" s="1013">
        <f t="shared" si="44"/>
        <v>0</v>
      </c>
      <c r="S185" s="1013">
        <f t="shared" si="45"/>
        <v>6231000</v>
      </c>
      <c r="T185" s="1017">
        <v>0</v>
      </c>
      <c r="U185" s="785">
        <v>0</v>
      </c>
      <c r="V185" s="785">
        <v>200000</v>
      </c>
      <c r="W185" s="1017">
        <v>500000</v>
      </c>
      <c r="X185" s="1017">
        <v>0</v>
      </c>
      <c r="Y185" s="1017">
        <v>400000</v>
      </c>
      <c r="Z185" s="1017">
        <v>427917</v>
      </c>
      <c r="AA185" s="1018"/>
      <c r="AB185" s="1013"/>
      <c r="AC185" s="1017">
        <v>0</v>
      </c>
      <c r="AD185" s="1017">
        <v>0</v>
      </c>
      <c r="AE185" s="1013">
        <v>44935.09375</v>
      </c>
      <c r="AF185" s="1019"/>
      <c r="AG185" s="1019">
        <f t="shared" si="46"/>
        <v>7803852</v>
      </c>
      <c r="AH185" s="1014">
        <v>52</v>
      </c>
      <c r="AI185" s="1014">
        <v>0</v>
      </c>
      <c r="AJ185" s="1014">
        <v>0</v>
      </c>
      <c r="AK185" s="1018">
        <v>0</v>
      </c>
      <c r="AL185" s="1020">
        <v>0</v>
      </c>
      <c r="AM185" s="1013">
        <f t="shared" si="37"/>
        <v>2336625</v>
      </c>
      <c r="AN185" s="1045">
        <f t="shared" si="51"/>
        <v>10140477</v>
      </c>
      <c r="AO185" s="1013">
        <v>654255</v>
      </c>
      <c r="AP185" s="1013">
        <v>44100</v>
      </c>
      <c r="AQ185" s="1013">
        <v>0</v>
      </c>
      <c r="AR185" s="1013">
        <v>0</v>
      </c>
      <c r="AS185" s="1013">
        <v>0</v>
      </c>
      <c r="AT185" s="1045">
        <f t="shared" si="50"/>
        <v>9442122</v>
      </c>
      <c r="AU185" s="1004"/>
      <c r="AV185" s="870"/>
      <c r="AW185" s="782" t="s">
        <v>3665</v>
      </c>
      <c r="AX185" s="782" t="s">
        <v>3666</v>
      </c>
      <c r="AY185" s="1007" t="s">
        <v>287</v>
      </c>
      <c r="AZ185" s="1007">
        <v>622</v>
      </c>
      <c r="BA185" s="347" t="str">
        <f t="shared" si="38"/>
        <v>Box</v>
      </c>
      <c r="BB185" s="1008"/>
      <c r="BC185" s="1009"/>
      <c r="BD185" s="1009"/>
    </row>
    <row r="186" spans="1:56" s="1010" customFormat="1" ht="36.75" customHeight="1">
      <c r="A186" s="661">
        <f>SUBTOTAL(3,B$6:B186)</f>
        <v>181</v>
      </c>
      <c r="B186" s="661" t="s">
        <v>1147</v>
      </c>
      <c r="C186" s="662" t="s">
        <v>1148</v>
      </c>
      <c r="D186" s="1011">
        <v>43200</v>
      </c>
      <c r="E186" s="1011" t="s">
        <v>216</v>
      </c>
      <c r="F186" s="787" t="s">
        <v>696</v>
      </c>
      <c r="G186" s="996" t="s">
        <v>920</v>
      </c>
      <c r="H186" s="1012">
        <v>5931000</v>
      </c>
      <c r="I186" s="1012">
        <v>0</v>
      </c>
      <c r="J186" s="1012">
        <v>0</v>
      </c>
      <c r="K186" s="1012">
        <v>0</v>
      </c>
      <c r="L186" s="1013">
        <f t="shared" si="41"/>
        <v>5931000</v>
      </c>
      <c r="M186" s="1014">
        <v>24</v>
      </c>
      <c r="N186" s="1013">
        <f t="shared" si="42"/>
        <v>5474769</v>
      </c>
      <c r="O186" s="1015">
        <v>2</v>
      </c>
      <c r="P186" s="1013">
        <f t="shared" si="43"/>
        <v>456231</v>
      </c>
      <c r="Q186" s="1016">
        <v>0</v>
      </c>
      <c r="R186" s="1013">
        <f t="shared" si="44"/>
        <v>0</v>
      </c>
      <c r="S186" s="1013">
        <f t="shared" si="45"/>
        <v>5931000</v>
      </c>
      <c r="T186" s="1017">
        <v>0</v>
      </c>
      <c r="U186" s="785">
        <v>0</v>
      </c>
      <c r="V186" s="785">
        <v>200000</v>
      </c>
      <c r="W186" s="1017">
        <v>500000</v>
      </c>
      <c r="X186" s="1017">
        <v>0</v>
      </c>
      <c r="Y186" s="1017">
        <v>400000</v>
      </c>
      <c r="Z186" s="1017">
        <v>427768</v>
      </c>
      <c r="AA186" s="1018"/>
      <c r="AB186" s="1013"/>
      <c r="AC186" s="1017">
        <v>0</v>
      </c>
      <c r="AD186" s="1017">
        <v>0</v>
      </c>
      <c r="AE186" s="1013">
        <v>0</v>
      </c>
      <c r="AF186" s="1019"/>
      <c r="AG186" s="1019">
        <f t="shared" si="46"/>
        <v>7458768</v>
      </c>
      <c r="AH186" s="1014">
        <v>52</v>
      </c>
      <c r="AI186" s="1014">
        <v>0</v>
      </c>
      <c r="AJ186" s="1014">
        <v>0</v>
      </c>
      <c r="AK186" s="1018">
        <v>0</v>
      </c>
      <c r="AL186" s="1020">
        <v>0</v>
      </c>
      <c r="AM186" s="1013">
        <f t="shared" si="37"/>
        <v>2224125</v>
      </c>
      <c r="AN186" s="1045">
        <f t="shared" si="51"/>
        <v>9682893</v>
      </c>
      <c r="AO186" s="1013">
        <v>622755</v>
      </c>
      <c r="AP186" s="1013">
        <v>44100</v>
      </c>
      <c r="AQ186" s="1013">
        <v>0</v>
      </c>
      <c r="AR186" s="1013">
        <v>0</v>
      </c>
      <c r="AS186" s="1013">
        <v>0</v>
      </c>
      <c r="AT186" s="1045">
        <f t="shared" si="50"/>
        <v>9016038</v>
      </c>
      <c r="AU186" s="1004"/>
      <c r="AV186" s="870"/>
      <c r="AW186" s="782" t="s">
        <v>3667</v>
      </c>
      <c r="AX186" s="782" t="s">
        <v>3668</v>
      </c>
      <c r="AY186" s="1007" t="s">
        <v>287</v>
      </c>
      <c r="AZ186" s="1007">
        <v>622</v>
      </c>
      <c r="BA186" s="347" t="str">
        <f t="shared" si="38"/>
        <v>Box</v>
      </c>
      <c r="BB186" s="1008"/>
      <c r="BC186" s="1009"/>
      <c r="BD186" s="1009"/>
    </row>
    <row r="187" spans="1:56" s="1010" customFormat="1" ht="36.75" customHeight="1">
      <c r="A187" s="661">
        <f>SUBTOTAL(3,B$6:B187)</f>
        <v>182</v>
      </c>
      <c r="B187" s="661" t="s">
        <v>1149</v>
      </c>
      <c r="C187" s="662" t="s">
        <v>1150</v>
      </c>
      <c r="D187" s="1011">
        <v>43490</v>
      </c>
      <c r="E187" s="1011" t="s">
        <v>216</v>
      </c>
      <c r="F187" s="787" t="s">
        <v>696</v>
      </c>
      <c r="G187" s="996" t="s">
        <v>920</v>
      </c>
      <c r="H187" s="1012">
        <v>5931000</v>
      </c>
      <c r="I187" s="1012">
        <v>0</v>
      </c>
      <c r="J187" s="1012">
        <v>0</v>
      </c>
      <c r="K187" s="1012">
        <v>0</v>
      </c>
      <c r="L187" s="1013">
        <f t="shared" si="41"/>
        <v>5931000</v>
      </c>
      <c r="M187" s="1014">
        <v>23.9</v>
      </c>
      <c r="N187" s="1013">
        <f t="shared" si="42"/>
        <v>5451958</v>
      </c>
      <c r="O187" s="1015">
        <v>2</v>
      </c>
      <c r="P187" s="1013">
        <f t="shared" si="43"/>
        <v>456231</v>
      </c>
      <c r="Q187" s="1016">
        <v>0</v>
      </c>
      <c r="R187" s="1013">
        <f t="shared" si="44"/>
        <v>0</v>
      </c>
      <c r="S187" s="1013">
        <f t="shared" si="45"/>
        <v>5908189</v>
      </c>
      <c r="T187" s="1017">
        <v>0</v>
      </c>
      <c r="U187" s="785">
        <v>0</v>
      </c>
      <c r="V187" s="785">
        <v>200000</v>
      </c>
      <c r="W187" s="1017">
        <v>500000</v>
      </c>
      <c r="X187" s="1017">
        <v>0</v>
      </c>
      <c r="Y187" s="1017">
        <v>400000</v>
      </c>
      <c r="Z187" s="1017">
        <v>427917</v>
      </c>
      <c r="AA187" s="1018"/>
      <c r="AB187" s="1013"/>
      <c r="AC187" s="1017">
        <v>0</v>
      </c>
      <c r="AD187" s="1017">
        <v>0</v>
      </c>
      <c r="AE187" s="1013">
        <v>42771.6370292887</v>
      </c>
      <c r="AF187" s="1019"/>
      <c r="AG187" s="1019">
        <f t="shared" si="46"/>
        <v>7478878</v>
      </c>
      <c r="AH187" s="1014">
        <v>52</v>
      </c>
      <c r="AI187" s="1014">
        <v>0</v>
      </c>
      <c r="AJ187" s="1014">
        <v>0</v>
      </c>
      <c r="AK187" s="1018">
        <v>0</v>
      </c>
      <c r="AL187" s="1020">
        <v>0</v>
      </c>
      <c r="AM187" s="1013">
        <f t="shared" si="37"/>
        <v>2224125</v>
      </c>
      <c r="AN187" s="1045">
        <f t="shared" si="51"/>
        <v>9703003</v>
      </c>
      <c r="AO187" s="1013">
        <v>622755</v>
      </c>
      <c r="AP187" s="1013">
        <v>44100</v>
      </c>
      <c r="AQ187" s="1013">
        <v>0</v>
      </c>
      <c r="AR187" s="1013">
        <v>0</v>
      </c>
      <c r="AS187" s="1013">
        <v>0</v>
      </c>
      <c r="AT187" s="1045">
        <f t="shared" si="50"/>
        <v>9036148</v>
      </c>
      <c r="AU187" s="1004"/>
      <c r="AV187" s="870"/>
      <c r="AW187" s="782" t="s">
        <v>3669</v>
      </c>
      <c r="AX187" s="782" t="s">
        <v>3670</v>
      </c>
      <c r="AY187" s="1007" t="s">
        <v>287</v>
      </c>
      <c r="AZ187" s="1007">
        <v>622</v>
      </c>
      <c r="BA187" s="347" t="str">
        <f t="shared" si="38"/>
        <v>Box</v>
      </c>
      <c r="BB187" s="1008"/>
      <c r="BC187" s="1009"/>
      <c r="BD187" s="1009"/>
    </row>
    <row r="188" spans="1:56" s="1010" customFormat="1" ht="36.75" customHeight="1">
      <c r="A188" s="661">
        <f>SUBTOTAL(3,B$6:B188)</f>
        <v>183</v>
      </c>
      <c r="B188" s="661" t="s">
        <v>1151</v>
      </c>
      <c r="C188" s="662" t="s">
        <v>1152</v>
      </c>
      <c r="D188" s="1011">
        <v>39707</v>
      </c>
      <c r="E188" s="1011" t="s">
        <v>216</v>
      </c>
      <c r="F188" s="787" t="s">
        <v>697</v>
      </c>
      <c r="G188" s="996" t="s">
        <v>786</v>
      </c>
      <c r="H188" s="1012">
        <v>5931000</v>
      </c>
      <c r="I188" s="1012">
        <v>200000</v>
      </c>
      <c r="J188" s="1012">
        <v>0</v>
      </c>
      <c r="K188" s="1012">
        <v>0</v>
      </c>
      <c r="L188" s="1013">
        <f t="shared" si="41"/>
        <v>6131000</v>
      </c>
      <c r="M188" s="1014">
        <v>23.9</v>
      </c>
      <c r="N188" s="1013">
        <f t="shared" si="42"/>
        <v>5635804</v>
      </c>
      <c r="O188" s="1015">
        <v>2</v>
      </c>
      <c r="P188" s="1013">
        <f t="shared" si="43"/>
        <v>471615</v>
      </c>
      <c r="Q188" s="1016">
        <v>0</v>
      </c>
      <c r="R188" s="1013">
        <f t="shared" si="44"/>
        <v>0</v>
      </c>
      <c r="S188" s="1013">
        <f t="shared" si="45"/>
        <v>6107419</v>
      </c>
      <c r="T188" s="1017">
        <v>0</v>
      </c>
      <c r="U188" s="785">
        <v>0</v>
      </c>
      <c r="V188" s="785">
        <v>200000</v>
      </c>
      <c r="W188" s="1017">
        <v>500000</v>
      </c>
      <c r="X188" s="1017">
        <v>0</v>
      </c>
      <c r="Y188" s="1017">
        <v>400000</v>
      </c>
      <c r="Z188" s="1017">
        <v>396960</v>
      </c>
      <c r="AA188" s="1018"/>
      <c r="AB188" s="1013"/>
      <c r="AC188" s="1017">
        <v>0</v>
      </c>
      <c r="AD188" s="1017">
        <v>0</v>
      </c>
      <c r="AE188" s="1013">
        <v>44213.94351464435</v>
      </c>
      <c r="AF188" s="1019"/>
      <c r="AG188" s="1019">
        <f t="shared" si="46"/>
        <v>7648593</v>
      </c>
      <c r="AH188" s="1014">
        <v>52</v>
      </c>
      <c r="AI188" s="1014">
        <v>0</v>
      </c>
      <c r="AJ188" s="1014">
        <v>0</v>
      </c>
      <c r="AK188" s="1018">
        <v>0</v>
      </c>
      <c r="AL188" s="1020">
        <v>0</v>
      </c>
      <c r="AM188" s="1013">
        <f t="shared" si="37"/>
        <v>2299125</v>
      </c>
      <c r="AN188" s="1045">
        <f t="shared" si="51"/>
        <v>9947718</v>
      </c>
      <c r="AO188" s="1013">
        <v>643755</v>
      </c>
      <c r="AP188" s="1013">
        <v>44100</v>
      </c>
      <c r="AQ188" s="1013">
        <v>0</v>
      </c>
      <c r="AR188" s="1013">
        <v>0</v>
      </c>
      <c r="AS188" s="1013">
        <v>0</v>
      </c>
      <c r="AT188" s="1045">
        <f t="shared" si="50"/>
        <v>9259863</v>
      </c>
      <c r="AU188" s="1004"/>
      <c r="AV188" s="870"/>
      <c r="AW188" s="782" t="s">
        <v>3671</v>
      </c>
      <c r="AX188" s="782" t="s">
        <v>3672</v>
      </c>
      <c r="AY188" s="1007" t="s">
        <v>287</v>
      </c>
      <c r="AZ188" s="1007">
        <v>622</v>
      </c>
      <c r="BA188" s="347" t="str">
        <f t="shared" si="38"/>
        <v>Box</v>
      </c>
      <c r="BB188" s="1008"/>
      <c r="BC188" s="1009"/>
      <c r="BD188" s="1009"/>
    </row>
    <row r="189" spans="1:56" s="1010" customFormat="1" ht="36.75" customHeight="1">
      <c r="A189" s="661">
        <f>SUBTOTAL(3,B$6:B189)</f>
        <v>184</v>
      </c>
      <c r="B189" s="661" t="s">
        <v>1153</v>
      </c>
      <c r="C189" s="662" t="s">
        <v>1154</v>
      </c>
      <c r="D189" s="1011">
        <v>43579</v>
      </c>
      <c r="E189" s="1011" t="s">
        <v>216</v>
      </c>
      <c r="F189" s="787" t="s">
        <v>697</v>
      </c>
      <c r="G189" s="996" t="s">
        <v>786</v>
      </c>
      <c r="H189" s="1012">
        <v>5931000</v>
      </c>
      <c r="I189" s="1012">
        <v>200000</v>
      </c>
      <c r="J189" s="1012">
        <v>0</v>
      </c>
      <c r="K189" s="1012">
        <v>0</v>
      </c>
      <c r="L189" s="1013">
        <f t="shared" si="41"/>
        <v>6131000</v>
      </c>
      <c r="M189" s="1014">
        <v>23</v>
      </c>
      <c r="N189" s="1013">
        <f t="shared" si="42"/>
        <v>5423577</v>
      </c>
      <c r="O189" s="1015">
        <v>3</v>
      </c>
      <c r="P189" s="1013">
        <f t="shared" si="43"/>
        <v>707423</v>
      </c>
      <c r="Q189" s="1016">
        <v>0</v>
      </c>
      <c r="R189" s="1013">
        <f t="shared" si="44"/>
        <v>0</v>
      </c>
      <c r="S189" s="1013">
        <f t="shared" si="45"/>
        <v>6131000</v>
      </c>
      <c r="T189" s="1017">
        <v>0</v>
      </c>
      <c r="U189" s="785">
        <v>0</v>
      </c>
      <c r="V189" s="785">
        <v>200000</v>
      </c>
      <c r="W189" s="1017">
        <v>500000</v>
      </c>
      <c r="X189" s="1017">
        <v>0</v>
      </c>
      <c r="Y189" s="1017">
        <v>400000</v>
      </c>
      <c r="Z189" s="1017">
        <v>379822</v>
      </c>
      <c r="AA189" s="1018"/>
      <c r="AB189" s="1013"/>
      <c r="AC189" s="1017">
        <v>0</v>
      </c>
      <c r="AD189" s="1017">
        <v>0</v>
      </c>
      <c r="AE189" s="1013">
        <v>44213.942934782608</v>
      </c>
      <c r="AF189" s="1019"/>
      <c r="AG189" s="1019">
        <f t="shared" si="46"/>
        <v>7655036</v>
      </c>
      <c r="AH189" s="1014">
        <v>48</v>
      </c>
      <c r="AI189" s="1014">
        <v>0</v>
      </c>
      <c r="AJ189" s="1014">
        <v>0</v>
      </c>
      <c r="AK189" s="1018">
        <v>0</v>
      </c>
      <c r="AL189" s="1020">
        <v>0</v>
      </c>
      <c r="AM189" s="1013">
        <f t="shared" si="37"/>
        <v>2122269</v>
      </c>
      <c r="AN189" s="1045">
        <f>ROUND(AG189+AM189,0)</f>
        <v>9777305</v>
      </c>
      <c r="AO189" s="1013">
        <v>643755</v>
      </c>
      <c r="AP189" s="1013">
        <v>44100</v>
      </c>
      <c r="AQ189" s="1013">
        <v>0</v>
      </c>
      <c r="AR189" s="1013">
        <v>0</v>
      </c>
      <c r="AS189" s="1013">
        <v>0</v>
      </c>
      <c r="AT189" s="1045">
        <f t="shared" si="50"/>
        <v>9089450</v>
      </c>
      <c r="AU189" s="1004"/>
      <c r="AV189" s="870"/>
      <c r="AW189" s="782" t="s">
        <v>3649</v>
      </c>
      <c r="AX189" s="782" t="s">
        <v>3673</v>
      </c>
      <c r="AY189" s="1007" t="s">
        <v>287</v>
      </c>
      <c r="AZ189" s="1007">
        <v>622</v>
      </c>
      <c r="BA189" s="347" t="str">
        <f t="shared" si="38"/>
        <v>Box</v>
      </c>
      <c r="BB189" s="1008"/>
      <c r="BC189" s="1009"/>
      <c r="BD189" s="1009"/>
    </row>
    <row r="190" spans="1:56" s="1010" customFormat="1" ht="36.75" customHeight="1">
      <c r="A190" s="661">
        <f>SUBTOTAL(3,B$6:B190)</f>
        <v>185</v>
      </c>
      <c r="B190" s="661" t="s">
        <v>1155</v>
      </c>
      <c r="C190" s="662" t="s">
        <v>1156</v>
      </c>
      <c r="D190" s="1011">
        <v>43649</v>
      </c>
      <c r="E190" s="1011" t="s">
        <v>216</v>
      </c>
      <c r="F190" s="787" t="s">
        <v>697</v>
      </c>
      <c r="G190" s="996" t="s">
        <v>885</v>
      </c>
      <c r="H190" s="1012">
        <v>5931000</v>
      </c>
      <c r="I190" s="1012">
        <v>2500000</v>
      </c>
      <c r="J190" s="1012">
        <v>0</v>
      </c>
      <c r="K190" s="1012">
        <v>0</v>
      </c>
      <c r="L190" s="1013">
        <f t="shared" si="41"/>
        <v>8431000</v>
      </c>
      <c r="M190" s="1014">
        <v>24</v>
      </c>
      <c r="N190" s="1013">
        <f t="shared" si="42"/>
        <v>7782462</v>
      </c>
      <c r="O190" s="1015">
        <v>2</v>
      </c>
      <c r="P190" s="1013">
        <f t="shared" si="43"/>
        <v>648538</v>
      </c>
      <c r="Q190" s="1016">
        <v>0</v>
      </c>
      <c r="R190" s="1013">
        <f t="shared" si="44"/>
        <v>0</v>
      </c>
      <c r="S190" s="1013">
        <f t="shared" si="45"/>
        <v>8431000</v>
      </c>
      <c r="T190" s="1017">
        <v>0</v>
      </c>
      <c r="U190" s="785">
        <v>0</v>
      </c>
      <c r="V190" s="785">
        <v>200000</v>
      </c>
      <c r="W190" s="1017">
        <v>500000</v>
      </c>
      <c r="X190" s="1017">
        <v>0</v>
      </c>
      <c r="Y190" s="1017">
        <v>400000</v>
      </c>
      <c r="Z190" s="1017">
        <v>399637</v>
      </c>
      <c r="AA190" s="1018"/>
      <c r="AB190" s="1013"/>
      <c r="AC190" s="1017">
        <v>0</v>
      </c>
      <c r="AD190" s="1017">
        <v>0</v>
      </c>
      <c r="AE190" s="1013">
        <v>0</v>
      </c>
      <c r="AF190" s="1019"/>
      <c r="AG190" s="1019">
        <f t="shared" si="46"/>
        <v>9930637</v>
      </c>
      <c r="AH190" s="1014">
        <v>52</v>
      </c>
      <c r="AI190" s="1014">
        <v>0</v>
      </c>
      <c r="AJ190" s="1014">
        <v>0</v>
      </c>
      <c r="AK190" s="1018">
        <v>0</v>
      </c>
      <c r="AL190" s="1020">
        <v>0</v>
      </c>
      <c r="AM190" s="1013">
        <f t="shared" si="37"/>
        <v>3161625</v>
      </c>
      <c r="AN190" s="1045">
        <f t="shared" ref="AN190:AN200" si="52">ROUND(AG190+AM190,0)</f>
        <v>13092262</v>
      </c>
      <c r="AO190" s="1013">
        <v>885255</v>
      </c>
      <c r="AP190" s="1013">
        <v>44100</v>
      </c>
      <c r="AQ190" s="1013">
        <v>12657</v>
      </c>
      <c r="AR190" s="1013">
        <v>0</v>
      </c>
      <c r="AS190" s="1013">
        <v>0</v>
      </c>
      <c r="AT190" s="1045">
        <f t="shared" si="50"/>
        <v>12150250</v>
      </c>
      <c r="AU190" s="1004"/>
      <c r="AV190" s="870"/>
      <c r="AW190" s="782" t="s">
        <v>3674</v>
      </c>
      <c r="AX190" s="782" t="s">
        <v>3675</v>
      </c>
      <c r="AY190" s="1007" t="s">
        <v>287</v>
      </c>
      <c r="AZ190" s="1007">
        <v>622</v>
      </c>
      <c r="BA190" s="347" t="str">
        <f t="shared" si="38"/>
        <v>Box</v>
      </c>
      <c r="BB190" s="1008"/>
      <c r="BC190" s="1009"/>
      <c r="BD190" s="1009"/>
    </row>
    <row r="191" spans="1:56" s="1010" customFormat="1" ht="36.75" customHeight="1">
      <c r="A191" s="661">
        <f>SUBTOTAL(3,B$6:B191)</f>
        <v>186</v>
      </c>
      <c r="B191" s="661" t="s">
        <v>1157</v>
      </c>
      <c r="C191" s="662" t="s">
        <v>1158</v>
      </c>
      <c r="D191" s="1011">
        <v>43673</v>
      </c>
      <c r="E191" s="1011" t="s">
        <v>216</v>
      </c>
      <c r="F191" s="787" t="s">
        <v>697</v>
      </c>
      <c r="G191" s="996" t="s">
        <v>786</v>
      </c>
      <c r="H191" s="1012">
        <v>5931000</v>
      </c>
      <c r="I191" s="1012">
        <v>200000</v>
      </c>
      <c r="J191" s="1012">
        <v>0</v>
      </c>
      <c r="K191" s="1012">
        <v>0</v>
      </c>
      <c r="L191" s="1013">
        <f t="shared" si="41"/>
        <v>6131000</v>
      </c>
      <c r="M191" s="1014">
        <v>24</v>
      </c>
      <c r="N191" s="1013">
        <f t="shared" si="42"/>
        <v>5659385</v>
      </c>
      <c r="O191" s="1015">
        <v>2</v>
      </c>
      <c r="P191" s="1013">
        <f t="shared" si="43"/>
        <v>471615</v>
      </c>
      <c r="Q191" s="1016">
        <v>0</v>
      </c>
      <c r="R191" s="1013">
        <f t="shared" si="44"/>
        <v>0</v>
      </c>
      <c r="S191" s="1013">
        <f t="shared" si="45"/>
        <v>6131000</v>
      </c>
      <c r="T191" s="1017">
        <v>0</v>
      </c>
      <c r="U191" s="785">
        <v>0</v>
      </c>
      <c r="V191" s="785">
        <v>200000</v>
      </c>
      <c r="W191" s="1017">
        <v>500000</v>
      </c>
      <c r="X191" s="1017">
        <v>0</v>
      </c>
      <c r="Y191" s="1017">
        <v>400000</v>
      </c>
      <c r="Z191" s="1017">
        <v>399480</v>
      </c>
      <c r="AA191" s="1018"/>
      <c r="AB191" s="1013"/>
      <c r="AC191" s="1017">
        <v>100000</v>
      </c>
      <c r="AD191" s="1017">
        <v>0</v>
      </c>
      <c r="AE191" s="1013">
        <v>44213.9453125</v>
      </c>
      <c r="AF191" s="1019"/>
      <c r="AG191" s="1019">
        <f t="shared" si="46"/>
        <v>7774694</v>
      </c>
      <c r="AH191" s="1014">
        <v>52</v>
      </c>
      <c r="AI191" s="1014">
        <v>0</v>
      </c>
      <c r="AJ191" s="1014">
        <v>0</v>
      </c>
      <c r="AK191" s="1018">
        <v>0</v>
      </c>
      <c r="AL191" s="1020">
        <v>0</v>
      </c>
      <c r="AM191" s="1013">
        <f t="shared" si="37"/>
        <v>2299125</v>
      </c>
      <c r="AN191" s="1045">
        <f t="shared" si="52"/>
        <v>10073819</v>
      </c>
      <c r="AO191" s="1013">
        <v>643755</v>
      </c>
      <c r="AP191" s="1013">
        <v>44100</v>
      </c>
      <c r="AQ191" s="1013">
        <v>0</v>
      </c>
      <c r="AR191" s="1013">
        <v>0</v>
      </c>
      <c r="AS191" s="1013">
        <v>0</v>
      </c>
      <c r="AT191" s="1045">
        <f t="shared" si="50"/>
        <v>9385964</v>
      </c>
      <c r="AU191" s="1004"/>
      <c r="AV191" s="870"/>
      <c r="AW191" s="782" t="s">
        <v>3676</v>
      </c>
      <c r="AX191" s="782" t="s">
        <v>3677</v>
      </c>
      <c r="AY191" s="1007" t="s">
        <v>287</v>
      </c>
      <c r="AZ191" s="1007">
        <v>622</v>
      </c>
      <c r="BA191" s="347" t="str">
        <f t="shared" si="38"/>
        <v>Box</v>
      </c>
      <c r="BB191" s="1008"/>
      <c r="BC191" s="1009"/>
      <c r="BD191" s="1009"/>
    </row>
    <row r="192" spans="1:56" s="1010" customFormat="1" ht="36.75" customHeight="1">
      <c r="A192" s="661">
        <f>SUBTOTAL(3,B$6:B192)</f>
        <v>187</v>
      </c>
      <c r="B192" s="661" t="s">
        <v>1159</v>
      </c>
      <c r="C192" s="662" t="s">
        <v>1160</v>
      </c>
      <c r="D192" s="1011">
        <v>43673</v>
      </c>
      <c r="E192" s="1011" t="s">
        <v>216</v>
      </c>
      <c r="F192" s="787" t="s">
        <v>697</v>
      </c>
      <c r="G192" s="996" t="s">
        <v>885</v>
      </c>
      <c r="H192" s="1012">
        <v>5931000</v>
      </c>
      <c r="I192" s="1012">
        <v>2500000</v>
      </c>
      <c r="J192" s="1012">
        <v>0</v>
      </c>
      <c r="K192" s="1012">
        <v>0</v>
      </c>
      <c r="L192" s="1013">
        <f t="shared" si="41"/>
        <v>8431000</v>
      </c>
      <c r="M192" s="1014">
        <v>24</v>
      </c>
      <c r="N192" s="1013">
        <f t="shared" si="42"/>
        <v>7782462</v>
      </c>
      <c r="O192" s="1015">
        <v>2</v>
      </c>
      <c r="P192" s="1013">
        <f t="shared" si="43"/>
        <v>648538</v>
      </c>
      <c r="Q192" s="1016">
        <v>0</v>
      </c>
      <c r="R192" s="1013">
        <f t="shared" si="44"/>
        <v>0</v>
      </c>
      <c r="S192" s="1013">
        <f t="shared" si="45"/>
        <v>8431000</v>
      </c>
      <c r="T192" s="1017">
        <v>0</v>
      </c>
      <c r="U192" s="785">
        <v>0</v>
      </c>
      <c r="V192" s="785">
        <v>200000</v>
      </c>
      <c r="W192" s="1017">
        <v>500000</v>
      </c>
      <c r="X192" s="1017">
        <v>0</v>
      </c>
      <c r="Y192" s="1017">
        <v>400000</v>
      </c>
      <c r="Z192" s="1017">
        <v>399828</v>
      </c>
      <c r="AA192" s="1018"/>
      <c r="AB192" s="1013"/>
      <c r="AC192" s="1017">
        <v>0</v>
      </c>
      <c r="AD192" s="1017">
        <v>0</v>
      </c>
      <c r="AE192" s="1013">
        <v>0</v>
      </c>
      <c r="AF192" s="1019"/>
      <c r="AG192" s="1019">
        <f t="shared" si="46"/>
        <v>9930828</v>
      </c>
      <c r="AH192" s="1014">
        <v>52</v>
      </c>
      <c r="AI192" s="1014">
        <v>0</v>
      </c>
      <c r="AJ192" s="1014">
        <v>0</v>
      </c>
      <c r="AK192" s="1018">
        <v>0</v>
      </c>
      <c r="AL192" s="1020">
        <v>0</v>
      </c>
      <c r="AM192" s="1013">
        <f t="shared" si="37"/>
        <v>3161625</v>
      </c>
      <c r="AN192" s="1045">
        <f t="shared" si="52"/>
        <v>13092453</v>
      </c>
      <c r="AO192" s="1013">
        <v>885255</v>
      </c>
      <c r="AP192" s="1013">
        <v>44100</v>
      </c>
      <c r="AQ192" s="1013">
        <v>0</v>
      </c>
      <c r="AR192" s="1013">
        <v>0</v>
      </c>
      <c r="AS192" s="1013">
        <v>0</v>
      </c>
      <c r="AT192" s="1045">
        <f t="shared" si="50"/>
        <v>12163098</v>
      </c>
      <c r="AU192" s="1004"/>
      <c r="AV192" s="870"/>
      <c r="AW192" s="782" t="s">
        <v>3678</v>
      </c>
      <c r="AX192" s="782" t="s">
        <v>3679</v>
      </c>
      <c r="AY192" s="1007" t="s">
        <v>287</v>
      </c>
      <c r="AZ192" s="1007">
        <v>622</v>
      </c>
      <c r="BA192" s="347" t="str">
        <f t="shared" si="38"/>
        <v>Box</v>
      </c>
      <c r="BB192" s="1008"/>
      <c r="BC192" s="1009"/>
      <c r="BD192" s="1009"/>
    </row>
    <row r="193" spans="1:56" s="1010" customFormat="1" ht="36.75" customHeight="1">
      <c r="A193" s="661">
        <f>SUBTOTAL(3,B$6:B193)</f>
        <v>188</v>
      </c>
      <c r="B193" s="661" t="s">
        <v>1161</v>
      </c>
      <c r="C193" s="662" t="s">
        <v>1162</v>
      </c>
      <c r="D193" s="1011">
        <v>44061</v>
      </c>
      <c r="E193" s="1011" t="s">
        <v>216</v>
      </c>
      <c r="F193" s="787" t="s">
        <v>697</v>
      </c>
      <c r="G193" s="996" t="s">
        <v>1163</v>
      </c>
      <c r="H193" s="1012">
        <v>5931000</v>
      </c>
      <c r="I193" s="1012">
        <v>900000</v>
      </c>
      <c r="J193" s="1012">
        <v>0</v>
      </c>
      <c r="K193" s="1012">
        <v>0</v>
      </c>
      <c r="L193" s="1013">
        <f t="shared" si="41"/>
        <v>6831000</v>
      </c>
      <c r="M193" s="1014">
        <v>19</v>
      </c>
      <c r="N193" s="1013">
        <f t="shared" si="42"/>
        <v>4991885</v>
      </c>
      <c r="O193" s="1015">
        <v>2</v>
      </c>
      <c r="P193" s="1013">
        <f t="shared" si="43"/>
        <v>525462</v>
      </c>
      <c r="Q193" s="1016">
        <v>0</v>
      </c>
      <c r="R193" s="1013">
        <f t="shared" si="44"/>
        <v>0</v>
      </c>
      <c r="S193" s="1013">
        <f t="shared" si="45"/>
        <v>5517347</v>
      </c>
      <c r="T193" s="1017">
        <v>0</v>
      </c>
      <c r="U193" s="785">
        <v>0</v>
      </c>
      <c r="V193" s="785">
        <v>200000</v>
      </c>
      <c r="W193" s="1017">
        <v>0</v>
      </c>
      <c r="X193" s="1017">
        <v>0</v>
      </c>
      <c r="Y193" s="1017">
        <v>0</v>
      </c>
      <c r="Z193" s="1017">
        <v>315604</v>
      </c>
      <c r="AA193" s="1018"/>
      <c r="AB193" s="1013"/>
      <c r="AC193" s="1017">
        <v>0</v>
      </c>
      <c r="AD193" s="1017">
        <v>0</v>
      </c>
      <c r="AE193" s="1013">
        <v>0</v>
      </c>
      <c r="AF193" s="1019"/>
      <c r="AG193" s="1019">
        <f t="shared" si="46"/>
        <v>6032951</v>
      </c>
      <c r="AH193" s="1014">
        <v>40</v>
      </c>
      <c r="AI193" s="1014">
        <v>0</v>
      </c>
      <c r="AJ193" s="1014">
        <v>0</v>
      </c>
      <c r="AK193" s="1018">
        <v>0</v>
      </c>
      <c r="AL193" s="1020">
        <v>0</v>
      </c>
      <c r="AM193" s="1013">
        <f t="shared" si="37"/>
        <v>1970481</v>
      </c>
      <c r="AN193" s="1045">
        <f t="shared" si="52"/>
        <v>8003432</v>
      </c>
      <c r="AO193" s="1013">
        <v>717255</v>
      </c>
      <c r="AP193" s="1013">
        <v>44100</v>
      </c>
      <c r="AQ193" s="1013">
        <v>0</v>
      </c>
      <c r="AR193" s="1013">
        <v>0</v>
      </c>
      <c r="AS193" s="1013">
        <v>0</v>
      </c>
      <c r="AT193" s="1045">
        <f t="shared" si="50"/>
        <v>7242077</v>
      </c>
      <c r="AU193" s="1004"/>
      <c r="AV193" s="870"/>
      <c r="AW193" s="782" t="s">
        <v>3680</v>
      </c>
      <c r="AX193" s="782" t="s">
        <v>3681</v>
      </c>
      <c r="AY193" s="1007" t="s">
        <v>287</v>
      </c>
      <c r="AZ193" s="1007">
        <v>622</v>
      </c>
      <c r="BA193" s="347" t="str">
        <f t="shared" si="38"/>
        <v>Box</v>
      </c>
      <c r="BB193" s="1008"/>
      <c r="BC193" s="1009"/>
      <c r="BD193" s="1009"/>
    </row>
    <row r="194" spans="1:56" s="1010" customFormat="1" ht="36.75" customHeight="1">
      <c r="A194" s="661">
        <f>SUBTOTAL(3,B$6:B194)</f>
        <v>189</v>
      </c>
      <c r="B194" s="661" t="s">
        <v>1164</v>
      </c>
      <c r="C194" s="662" t="s">
        <v>1165</v>
      </c>
      <c r="D194" s="1011">
        <v>44257</v>
      </c>
      <c r="E194" s="1011" t="s">
        <v>216</v>
      </c>
      <c r="F194" s="787" t="s">
        <v>697</v>
      </c>
      <c r="G194" s="996" t="s">
        <v>899</v>
      </c>
      <c r="H194" s="1012">
        <v>5931000</v>
      </c>
      <c r="I194" s="1012">
        <v>800000</v>
      </c>
      <c r="J194" s="1012">
        <v>0</v>
      </c>
      <c r="K194" s="1012">
        <v>0</v>
      </c>
      <c r="L194" s="1013">
        <f t="shared" si="41"/>
        <v>6731000</v>
      </c>
      <c r="M194" s="1014">
        <v>15.9</v>
      </c>
      <c r="N194" s="1013">
        <f t="shared" si="42"/>
        <v>4116265</v>
      </c>
      <c r="O194" s="1015">
        <v>2</v>
      </c>
      <c r="P194" s="1013">
        <f t="shared" si="43"/>
        <v>517769</v>
      </c>
      <c r="Q194" s="1016">
        <v>0</v>
      </c>
      <c r="R194" s="1013">
        <f t="shared" si="44"/>
        <v>0</v>
      </c>
      <c r="S194" s="1013">
        <f t="shared" si="45"/>
        <v>4634034</v>
      </c>
      <c r="T194" s="1017">
        <v>0</v>
      </c>
      <c r="U194" s="785">
        <v>0</v>
      </c>
      <c r="V194" s="785">
        <v>200000</v>
      </c>
      <c r="W194" s="1017">
        <v>0</v>
      </c>
      <c r="X194" s="1017">
        <v>0</v>
      </c>
      <c r="Y194" s="1017">
        <v>0</v>
      </c>
      <c r="Z194" s="1017">
        <v>270106</v>
      </c>
      <c r="AA194" s="1018"/>
      <c r="AB194" s="1013"/>
      <c r="AC194" s="1017">
        <v>0</v>
      </c>
      <c r="AD194" s="1017">
        <v>0</v>
      </c>
      <c r="AE194" s="1013">
        <v>0</v>
      </c>
      <c r="AF194" s="1019"/>
      <c r="AG194" s="1019">
        <f t="shared" si="46"/>
        <v>5104140</v>
      </c>
      <c r="AH194" s="1014">
        <v>37</v>
      </c>
      <c r="AI194" s="1014">
        <v>0</v>
      </c>
      <c r="AJ194" s="1014">
        <v>0</v>
      </c>
      <c r="AK194" s="1018">
        <v>0</v>
      </c>
      <c r="AL194" s="1020">
        <v>0</v>
      </c>
      <c r="AM194" s="1013">
        <f t="shared" si="37"/>
        <v>1796012</v>
      </c>
      <c r="AN194" s="1045">
        <f t="shared" si="52"/>
        <v>6900152</v>
      </c>
      <c r="AO194" s="1013">
        <v>706755</v>
      </c>
      <c r="AP194" s="1013">
        <v>44100</v>
      </c>
      <c r="AQ194" s="1013">
        <v>0</v>
      </c>
      <c r="AR194" s="1013">
        <v>0</v>
      </c>
      <c r="AS194" s="1013">
        <v>0</v>
      </c>
      <c r="AT194" s="1045">
        <f t="shared" si="50"/>
        <v>6149297</v>
      </c>
      <c r="AU194" s="1004"/>
      <c r="AV194" s="870"/>
      <c r="AW194" s="782" t="s">
        <v>3682</v>
      </c>
      <c r="AX194" s="782" t="s">
        <v>3683</v>
      </c>
      <c r="AY194" s="1007" t="s">
        <v>287</v>
      </c>
      <c r="AZ194" s="1007">
        <v>622</v>
      </c>
      <c r="BA194" s="347" t="str">
        <f t="shared" si="38"/>
        <v>Box</v>
      </c>
      <c r="BB194" s="1008"/>
      <c r="BC194" s="1009"/>
      <c r="BD194" s="1009"/>
    </row>
    <row r="195" spans="1:56" s="1010" customFormat="1" ht="36.75" customHeight="1">
      <c r="A195" s="661">
        <f>SUBTOTAL(3,B$6:B195)</f>
        <v>190</v>
      </c>
      <c r="B195" s="661" t="s">
        <v>1166</v>
      </c>
      <c r="C195" s="662" t="s">
        <v>1167</v>
      </c>
      <c r="D195" s="1011">
        <v>44340</v>
      </c>
      <c r="E195" s="1011" t="s">
        <v>216</v>
      </c>
      <c r="F195" s="787" t="s">
        <v>697</v>
      </c>
      <c r="G195" s="996" t="s">
        <v>1081</v>
      </c>
      <c r="H195" s="1012">
        <v>5931000</v>
      </c>
      <c r="I195" s="1012">
        <v>300000</v>
      </c>
      <c r="J195" s="1012">
        <v>0</v>
      </c>
      <c r="K195" s="1012">
        <v>0</v>
      </c>
      <c r="L195" s="1013">
        <f t="shared" si="41"/>
        <v>6231000</v>
      </c>
      <c r="M195" s="1014">
        <v>24</v>
      </c>
      <c r="N195" s="1013">
        <f t="shared" si="42"/>
        <v>5751692</v>
      </c>
      <c r="O195" s="1015">
        <v>2</v>
      </c>
      <c r="P195" s="1013">
        <f t="shared" si="43"/>
        <v>479308</v>
      </c>
      <c r="Q195" s="1016">
        <v>0</v>
      </c>
      <c r="R195" s="1013">
        <f t="shared" si="44"/>
        <v>0</v>
      </c>
      <c r="S195" s="1013">
        <f t="shared" si="45"/>
        <v>6231000</v>
      </c>
      <c r="T195" s="1017">
        <v>0</v>
      </c>
      <c r="U195" s="785">
        <v>0</v>
      </c>
      <c r="V195" s="785">
        <v>200000</v>
      </c>
      <c r="W195" s="1017">
        <v>500000</v>
      </c>
      <c r="X195" s="1017">
        <v>0</v>
      </c>
      <c r="Y195" s="1017">
        <v>400000</v>
      </c>
      <c r="Z195" s="1017">
        <v>405245</v>
      </c>
      <c r="AA195" s="1018"/>
      <c r="AB195" s="1013"/>
      <c r="AC195" s="1017">
        <v>0</v>
      </c>
      <c r="AD195" s="1017">
        <v>0</v>
      </c>
      <c r="AE195" s="1013">
        <v>44935.09375</v>
      </c>
      <c r="AF195" s="1019"/>
      <c r="AG195" s="1019">
        <f t="shared" si="46"/>
        <v>7781180</v>
      </c>
      <c r="AH195" s="1014">
        <v>52</v>
      </c>
      <c r="AI195" s="1014">
        <v>0</v>
      </c>
      <c r="AJ195" s="1014">
        <v>0</v>
      </c>
      <c r="AK195" s="1018">
        <v>0</v>
      </c>
      <c r="AL195" s="1020">
        <v>0</v>
      </c>
      <c r="AM195" s="1013">
        <f t="shared" si="37"/>
        <v>2336625</v>
      </c>
      <c r="AN195" s="1045">
        <f t="shared" si="52"/>
        <v>10117805</v>
      </c>
      <c r="AO195" s="1013">
        <v>654255</v>
      </c>
      <c r="AP195" s="1013">
        <v>44100</v>
      </c>
      <c r="AQ195" s="1013">
        <v>0</v>
      </c>
      <c r="AR195" s="1013">
        <v>0</v>
      </c>
      <c r="AS195" s="1013">
        <v>0</v>
      </c>
      <c r="AT195" s="1045">
        <f t="shared" si="50"/>
        <v>9419450</v>
      </c>
      <c r="AU195" s="1004"/>
      <c r="AV195" s="870"/>
      <c r="AW195" s="782" t="s">
        <v>3684</v>
      </c>
      <c r="AX195" s="782" t="s">
        <v>3685</v>
      </c>
      <c r="AY195" s="1007" t="s">
        <v>287</v>
      </c>
      <c r="AZ195" s="1007">
        <v>622</v>
      </c>
      <c r="BA195" s="347" t="str">
        <f t="shared" si="38"/>
        <v>Box</v>
      </c>
      <c r="BB195" s="1008"/>
      <c r="BC195" s="1009"/>
      <c r="BD195" s="1009"/>
    </row>
    <row r="196" spans="1:56" s="1010" customFormat="1" ht="36.75" customHeight="1">
      <c r="A196" s="661">
        <f>SUBTOTAL(3,B$6:B196)</f>
        <v>191</v>
      </c>
      <c r="B196" s="661" t="s">
        <v>1168</v>
      </c>
      <c r="C196" s="662" t="s">
        <v>1169</v>
      </c>
      <c r="D196" s="1011">
        <v>44607</v>
      </c>
      <c r="E196" s="1011" t="s">
        <v>216</v>
      </c>
      <c r="F196" s="787" t="s">
        <v>697</v>
      </c>
      <c r="G196" s="996" t="s">
        <v>1163</v>
      </c>
      <c r="H196" s="1012">
        <v>5931000</v>
      </c>
      <c r="I196" s="1012">
        <v>1100000</v>
      </c>
      <c r="J196" s="1012">
        <v>0</v>
      </c>
      <c r="K196" s="1012">
        <v>0</v>
      </c>
      <c r="L196" s="1013">
        <f t="shared" si="41"/>
        <v>7031000</v>
      </c>
      <c r="M196" s="1014">
        <v>17</v>
      </c>
      <c r="N196" s="1013">
        <f t="shared" si="42"/>
        <v>4597192</v>
      </c>
      <c r="O196" s="1015">
        <v>9</v>
      </c>
      <c r="P196" s="1013">
        <f t="shared" si="43"/>
        <v>2433808</v>
      </c>
      <c r="Q196" s="1016">
        <v>0</v>
      </c>
      <c r="R196" s="1013">
        <f t="shared" si="44"/>
        <v>0</v>
      </c>
      <c r="S196" s="1013">
        <f t="shared" si="45"/>
        <v>7031000</v>
      </c>
      <c r="T196" s="1017">
        <v>0</v>
      </c>
      <c r="U196" s="785">
        <v>0</v>
      </c>
      <c r="V196" s="785">
        <v>200000</v>
      </c>
      <c r="W196" s="1017">
        <v>500000</v>
      </c>
      <c r="X196" s="1017">
        <v>0</v>
      </c>
      <c r="Y196" s="1017">
        <v>400000</v>
      </c>
      <c r="Z196" s="1017">
        <v>298575</v>
      </c>
      <c r="AA196" s="1018"/>
      <c r="AB196" s="1013"/>
      <c r="AC196" s="1017">
        <v>0</v>
      </c>
      <c r="AD196" s="1017">
        <v>0</v>
      </c>
      <c r="AE196" s="1013">
        <v>0</v>
      </c>
      <c r="AF196" s="1019"/>
      <c r="AG196" s="1019">
        <f t="shared" si="46"/>
        <v>8429575</v>
      </c>
      <c r="AH196" s="1014">
        <v>40</v>
      </c>
      <c r="AI196" s="1014">
        <v>0</v>
      </c>
      <c r="AJ196" s="1014">
        <v>0</v>
      </c>
      <c r="AK196" s="1018">
        <v>0</v>
      </c>
      <c r="AL196" s="1020">
        <v>0</v>
      </c>
      <c r="AM196" s="1013">
        <f t="shared" si="37"/>
        <v>2028173</v>
      </c>
      <c r="AN196" s="1045">
        <f t="shared" si="52"/>
        <v>10457748</v>
      </c>
      <c r="AO196" s="1013">
        <v>738255</v>
      </c>
      <c r="AP196" s="1013">
        <v>44100</v>
      </c>
      <c r="AQ196" s="1013">
        <v>0</v>
      </c>
      <c r="AR196" s="1013">
        <v>0</v>
      </c>
      <c r="AS196" s="1013">
        <v>0</v>
      </c>
      <c r="AT196" s="1045">
        <f t="shared" si="50"/>
        <v>9675393</v>
      </c>
      <c r="AU196" s="1004"/>
      <c r="AV196" s="870"/>
      <c r="AW196" s="782" t="s">
        <v>3686</v>
      </c>
      <c r="AX196" s="782" t="s">
        <v>3687</v>
      </c>
      <c r="AY196" s="1007" t="s">
        <v>287</v>
      </c>
      <c r="AZ196" s="1007">
        <v>622</v>
      </c>
      <c r="BA196" s="347" t="str">
        <f t="shared" si="38"/>
        <v>Box</v>
      </c>
      <c r="BB196" s="1008"/>
      <c r="BC196" s="1009"/>
      <c r="BD196" s="1009"/>
    </row>
    <row r="197" spans="1:56" s="1010" customFormat="1" ht="36.75" customHeight="1">
      <c r="A197" s="661">
        <f>SUBTOTAL(3,B$6:B197)</f>
        <v>192</v>
      </c>
      <c r="B197" s="661" t="s">
        <v>1170</v>
      </c>
      <c r="C197" s="662" t="s">
        <v>1171</v>
      </c>
      <c r="D197" s="1011">
        <v>44609</v>
      </c>
      <c r="E197" s="1011" t="s">
        <v>216</v>
      </c>
      <c r="F197" s="787" t="s">
        <v>697</v>
      </c>
      <c r="G197" s="996" t="s">
        <v>1172</v>
      </c>
      <c r="H197" s="1012">
        <v>5931000</v>
      </c>
      <c r="I197" s="1012">
        <v>500000</v>
      </c>
      <c r="J197" s="1012">
        <v>0</v>
      </c>
      <c r="K197" s="1012">
        <v>0</v>
      </c>
      <c r="L197" s="1013">
        <f t="shared" si="41"/>
        <v>6431000</v>
      </c>
      <c r="M197" s="1014">
        <v>24</v>
      </c>
      <c r="N197" s="1013">
        <f t="shared" si="42"/>
        <v>5936308</v>
      </c>
      <c r="O197" s="1015">
        <v>2</v>
      </c>
      <c r="P197" s="1013">
        <f t="shared" si="43"/>
        <v>494692</v>
      </c>
      <c r="Q197" s="1016">
        <v>0</v>
      </c>
      <c r="R197" s="1013">
        <f t="shared" si="44"/>
        <v>0</v>
      </c>
      <c r="S197" s="1013">
        <f t="shared" si="45"/>
        <v>6431000</v>
      </c>
      <c r="T197" s="1017">
        <v>0</v>
      </c>
      <c r="U197" s="785">
        <v>0</v>
      </c>
      <c r="V197" s="785">
        <v>200000</v>
      </c>
      <c r="W197" s="1017">
        <v>500000</v>
      </c>
      <c r="X197" s="1017">
        <v>0</v>
      </c>
      <c r="Y197" s="1017">
        <v>400000</v>
      </c>
      <c r="Z197" s="1017">
        <v>593285</v>
      </c>
      <c r="AA197" s="1018"/>
      <c r="AB197" s="1013"/>
      <c r="AC197" s="1017">
        <v>0</v>
      </c>
      <c r="AD197" s="1017">
        <v>0</v>
      </c>
      <c r="AE197" s="1013">
        <v>0</v>
      </c>
      <c r="AF197" s="1019"/>
      <c r="AG197" s="1019">
        <f t="shared" si="46"/>
        <v>8124285</v>
      </c>
      <c r="AH197" s="1014">
        <v>52</v>
      </c>
      <c r="AI197" s="1014">
        <v>0</v>
      </c>
      <c r="AJ197" s="1014">
        <v>0</v>
      </c>
      <c r="AK197" s="1018">
        <v>0</v>
      </c>
      <c r="AL197" s="1020">
        <v>0</v>
      </c>
      <c r="AM197" s="1013">
        <f t="shared" si="37"/>
        <v>2411625</v>
      </c>
      <c r="AN197" s="1045">
        <f t="shared" si="52"/>
        <v>10535910</v>
      </c>
      <c r="AO197" s="1013">
        <v>675255</v>
      </c>
      <c r="AP197" s="1013">
        <v>44100</v>
      </c>
      <c r="AQ197" s="1013">
        <v>0</v>
      </c>
      <c r="AR197" s="1013">
        <v>0</v>
      </c>
      <c r="AS197" s="1013">
        <v>0</v>
      </c>
      <c r="AT197" s="1045">
        <f t="shared" si="50"/>
        <v>9816555</v>
      </c>
      <c r="AU197" s="1004"/>
      <c r="AV197" s="870"/>
      <c r="AW197" s="782" t="s">
        <v>3688</v>
      </c>
      <c r="AX197" s="782" t="s">
        <v>3689</v>
      </c>
      <c r="AY197" s="1007" t="s">
        <v>287</v>
      </c>
      <c r="AZ197" s="1007">
        <v>622</v>
      </c>
      <c r="BA197" s="347" t="str">
        <f t="shared" si="38"/>
        <v>Box</v>
      </c>
      <c r="BB197" s="1008"/>
      <c r="BC197" s="1009"/>
      <c r="BD197" s="1009"/>
    </row>
    <row r="198" spans="1:56" s="1357" customFormat="1" ht="36.75" customHeight="1">
      <c r="A198" s="1337">
        <f>SUBTOTAL(3,B$6:B198)</f>
        <v>193</v>
      </c>
      <c r="B198" s="1337" t="s">
        <v>5738</v>
      </c>
      <c r="C198" s="1338" t="s">
        <v>5739</v>
      </c>
      <c r="D198" s="1339">
        <v>45750</v>
      </c>
      <c r="E198" s="1339" t="s">
        <v>216</v>
      </c>
      <c r="F198" s="1340" t="s">
        <v>697</v>
      </c>
      <c r="G198" s="1341" t="s">
        <v>554</v>
      </c>
      <c r="H198" s="1342">
        <v>4694000</v>
      </c>
      <c r="I198" s="1342">
        <v>0</v>
      </c>
      <c r="J198" s="1342">
        <v>0</v>
      </c>
      <c r="K198" s="1342">
        <v>0</v>
      </c>
      <c r="L198" s="1343">
        <f t="shared" si="41"/>
        <v>4694000</v>
      </c>
      <c r="M198" s="1344">
        <v>20.8</v>
      </c>
      <c r="N198" s="1343">
        <f t="shared" si="42"/>
        <v>3755200</v>
      </c>
      <c r="O198" s="1345">
        <v>2</v>
      </c>
      <c r="P198" s="1343">
        <f t="shared" si="43"/>
        <v>361077</v>
      </c>
      <c r="Q198" s="1346">
        <v>0</v>
      </c>
      <c r="R198" s="1343">
        <f t="shared" si="44"/>
        <v>0</v>
      </c>
      <c r="S198" s="1343">
        <f t="shared" si="45"/>
        <v>4116277</v>
      </c>
      <c r="T198" s="1347">
        <v>0</v>
      </c>
      <c r="U198" s="1348">
        <v>0</v>
      </c>
      <c r="V198" s="1348">
        <v>175000</v>
      </c>
      <c r="W198" s="1347">
        <v>438000</v>
      </c>
      <c r="X198" s="1347">
        <v>0</v>
      </c>
      <c r="Y198" s="1347">
        <v>132000</v>
      </c>
      <c r="Z198" s="1347">
        <v>294339</v>
      </c>
      <c r="AA198" s="1018"/>
      <c r="AB198" s="1013"/>
      <c r="AC198" s="1347">
        <v>0</v>
      </c>
      <c r="AD198" s="1347">
        <v>0</v>
      </c>
      <c r="AE198" s="1343">
        <v>33850.961538461539</v>
      </c>
      <c r="AF198" s="1019"/>
      <c r="AG198" s="1349">
        <f t="shared" si="46"/>
        <v>5189467</v>
      </c>
      <c r="AH198" s="1344">
        <v>24</v>
      </c>
      <c r="AI198" s="1344">
        <v>0</v>
      </c>
      <c r="AJ198" s="1344">
        <v>0</v>
      </c>
      <c r="AK198" s="1350">
        <v>0</v>
      </c>
      <c r="AL198" s="1351">
        <v>0</v>
      </c>
      <c r="AM198" s="1013">
        <f t="shared" si="37"/>
        <v>812423</v>
      </c>
      <c r="AN198" s="1352">
        <f t="shared" si="52"/>
        <v>6001890</v>
      </c>
      <c r="AO198" s="1343">
        <v>0</v>
      </c>
      <c r="AP198" s="1343">
        <v>0</v>
      </c>
      <c r="AQ198" s="1343">
        <v>0</v>
      </c>
      <c r="AR198" s="1343">
        <v>0</v>
      </c>
      <c r="AS198" s="1343">
        <v>0</v>
      </c>
      <c r="AT198" s="1352">
        <f t="shared" si="50"/>
        <v>6001890</v>
      </c>
      <c r="AU198" s="1004"/>
      <c r="AV198" s="870"/>
      <c r="AW198" s="1353" t="s">
        <v>5839</v>
      </c>
      <c r="AX198" s="1353" t="s">
        <v>5840</v>
      </c>
      <c r="AY198" s="1354" t="s">
        <v>287</v>
      </c>
      <c r="AZ198" s="1354">
        <v>622</v>
      </c>
      <c r="BA198" s="347" t="str">
        <f t="shared" si="38"/>
        <v>Box</v>
      </c>
      <c r="BB198" s="1355"/>
      <c r="BC198" s="1356"/>
      <c r="BD198" s="1356"/>
    </row>
    <row r="199" spans="1:56" s="1010" customFormat="1" ht="36.75" customHeight="1">
      <c r="A199" s="661">
        <f>SUBTOTAL(3,B$6:B199)</f>
        <v>194</v>
      </c>
      <c r="B199" s="661" t="s">
        <v>5740</v>
      </c>
      <c r="C199" s="662" t="s">
        <v>5741</v>
      </c>
      <c r="D199" s="1011">
        <v>45750</v>
      </c>
      <c r="E199" s="1011" t="s">
        <v>216</v>
      </c>
      <c r="F199" s="787" t="s">
        <v>697</v>
      </c>
      <c r="G199" s="996" t="s">
        <v>554</v>
      </c>
      <c r="H199" s="1012">
        <v>4694000</v>
      </c>
      <c r="I199" s="1012">
        <v>0</v>
      </c>
      <c r="J199" s="1012">
        <v>0</v>
      </c>
      <c r="K199" s="1012">
        <v>0</v>
      </c>
      <c r="L199" s="1013">
        <f t="shared" si="41"/>
        <v>4694000</v>
      </c>
      <c r="M199" s="1014">
        <v>20.7</v>
      </c>
      <c r="N199" s="1013">
        <f t="shared" si="42"/>
        <v>3737146</v>
      </c>
      <c r="O199" s="1015">
        <v>2</v>
      </c>
      <c r="P199" s="1013">
        <f t="shared" si="43"/>
        <v>361077</v>
      </c>
      <c r="Q199" s="1016">
        <v>0</v>
      </c>
      <c r="R199" s="1013">
        <f t="shared" si="44"/>
        <v>0</v>
      </c>
      <c r="S199" s="1013">
        <f t="shared" si="45"/>
        <v>4098223</v>
      </c>
      <c r="T199" s="1017">
        <v>0</v>
      </c>
      <c r="U199" s="785">
        <v>0</v>
      </c>
      <c r="V199" s="785">
        <v>175000</v>
      </c>
      <c r="W199" s="1017">
        <v>437000</v>
      </c>
      <c r="X199" s="1017">
        <v>0</v>
      </c>
      <c r="Y199" s="1017">
        <v>131000</v>
      </c>
      <c r="Z199" s="1017">
        <v>270506</v>
      </c>
      <c r="AA199" s="1018"/>
      <c r="AB199" s="1013"/>
      <c r="AC199" s="1017">
        <v>0</v>
      </c>
      <c r="AD199" s="1017">
        <v>0</v>
      </c>
      <c r="AE199" s="1013">
        <v>33850.960144927536</v>
      </c>
      <c r="AF199" s="1019"/>
      <c r="AG199" s="1019">
        <f t="shared" si="46"/>
        <v>5145580</v>
      </c>
      <c r="AH199" s="1014">
        <v>28</v>
      </c>
      <c r="AI199" s="1014">
        <v>0</v>
      </c>
      <c r="AJ199" s="1014">
        <v>0</v>
      </c>
      <c r="AK199" s="1018">
        <v>0</v>
      </c>
      <c r="AL199" s="1020">
        <v>0</v>
      </c>
      <c r="AM199" s="1013">
        <f t="shared" ref="AM199:AM262" si="53">ROUND((N199/IF(M199&gt;26,26,M199)/8*(AH199*$AH$5+AI199*$AI$5+AJ199*$AJ$5+AK199*$AK$5+AL199*$AL$5)),0)</f>
        <v>947827</v>
      </c>
      <c r="AN199" s="1045">
        <f t="shared" si="52"/>
        <v>6093407</v>
      </c>
      <c r="AO199" s="1013">
        <v>0</v>
      </c>
      <c r="AP199" s="1013">
        <v>0</v>
      </c>
      <c r="AQ199" s="1013">
        <v>0</v>
      </c>
      <c r="AR199" s="1013">
        <v>0</v>
      </c>
      <c r="AS199" s="1013">
        <v>0</v>
      </c>
      <c r="AT199" s="1045">
        <f t="shared" si="50"/>
        <v>6093407</v>
      </c>
      <c r="AU199" s="1004"/>
      <c r="AV199" s="870"/>
      <c r="AW199" s="782" t="s">
        <v>5841</v>
      </c>
      <c r="AX199" s="782" t="s">
        <v>5842</v>
      </c>
      <c r="AY199" s="1007" t="s">
        <v>287</v>
      </c>
      <c r="AZ199" s="1007">
        <v>622</v>
      </c>
      <c r="BA199" s="347" t="str">
        <f t="shared" ref="BA199:BA261" si="54">+IF(AY199="SK1 Box","Box",IF(AY199="Seaman","Seaman","Bag"))</f>
        <v>Box</v>
      </c>
      <c r="BB199" s="1008"/>
      <c r="BC199" s="1009"/>
      <c r="BD199" s="1009"/>
    </row>
    <row r="200" spans="1:56" s="1010" customFormat="1" ht="36.75" customHeight="1">
      <c r="A200" s="661">
        <f>SUBTOTAL(3,B$6:B200)</f>
        <v>195</v>
      </c>
      <c r="B200" s="661" t="s">
        <v>1173</v>
      </c>
      <c r="C200" s="662" t="s">
        <v>1174</v>
      </c>
      <c r="D200" s="1011">
        <v>40238</v>
      </c>
      <c r="E200" s="1011" t="s">
        <v>216</v>
      </c>
      <c r="F200" s="787" t="s">
        <v>697</v>
      </c>
      <c r="G200" s="996" t="s">
        <v>920</v>
      </c>
      <c r="H200" s="1012">
        <v>5931000</v>
      </c>
      <c r="I200" s="1012">
        <v>0</v>
      </c>
      <c r="J200" s="1012">
        <v>0</v>
      </c>
      <c r="K200" s="1012">
        <v>0</v>
      </c>
      <c r="L200" s="1013">
        <f t="shared" si="41"/>
        <v>5931000</v>
      </c>
      <c r="M200" s="1014">
        <v>23</v>
      </c>
      <c r="N200" s="1013">
        <f t="shared" si="42"/>
        <v>5246654</v>
      </c>
      <c r="O200" s="1015">
        <v>3</v>
      </c>
      <c r="P200" s="1013">
        <f t="shared" si="43"/>
        <v>684346</v>
      </c>
      <c r="Q200" s="1016">
        <v>0</v>
      </c>
      <c r="R200" s="1013">
        <f t="shared" si="44"/>
        <v>0</v>
      </c>
      <c r="S200" s="1013">
        <f t="shared" si="45"/>
        <v>5931000</v>
      </c>
      <c r="T200" s="1017">
        <v>0</v>
      </c>
      <c r="U200" s="785">
        <v>0</v>
      </c>
      <c r="V200" s="785">
        <v>200000</v>
      </c>
      <c r="W200" s="1017">
        <v>500000</v>
      </c>
      <c r="X200" s="1017">
        <v>0</v>
      </c>
      <c r="Y200" s="1017">
        <v>400000</v>
      </c>
      <c r="Z200" s="1017">
        <v>388462</v>
      </c>
      <c r="AA200" s="1018"/>
      <c r="AB200" s="1013"/>
      <c r="AC200" s="1017">
        <v>0</v>
      </c>
      <c r="AD200" s="1017">
        <v>0</v>
      </c>
      <c r="AE200" s="1013">
        <v>42771.635869565216</v>
      </c>
      <c r="AF200" s="1019"/>
      <c r="AG200" s="1019">
        <f t="shared" si="46"/>
        <v>7462234</v>
      </c>
      <c r="AH200" s="1014">
        <v>48</v>
      </c>
      <c r="AI200" s="1014">
        <v>0</v>
      </c>
      <c r="AJ200" s="1014">
        <v>0</v>
      </c>
      <c r="AK200" s="1018">
        <v>0</v>
      </c>
      <c r="AL200" s="1020">
        <v>0</v>
      </c>
      <c r="AM200" s="1013">
        <f t="shared" si="53"/>
        <v>2053039</v>
      </c>
      <c r="AN200" s="1045">
        <f t="shared" si="52"/>
        <v>9515273</v>
      </c>
      <c r="AO200" s="1013">
        <v>622755</v>
      </c>
      <c r="AP200" s="1013">
        <v>44100</v>
      </c>
      <c r="AQ200" s="1013">
        <v>0</v>
      </c>
      <c r="AR200" s="1013">
        <v>0</v>
      </c>
      <c r="AS200" s="1013">
        <v>0</v>
      </c>
      <c r="AT200" s="1045">
        <f t="shared" si="50"/>
        <v>8848418</v>
      </c>
      <c r="AU200" s="1004"/>
      <c r="AV200" s="870"/>
      <c r="AW200" s="782" t="s">
        <v>3690</v>
      </c>
      <c r="AX200" s="782" t="s">
        <v>3691</v>
      </c>
      <c r="AY200" s="1007" t="s">
        <v>287</v>
      </c>
      <c r="AZ200" s="1007">
        <v>622</v>
      </c>
      <c r="BA200" s="347" t="str">
        <f t="shared" si="54"/>
        <v>Box</v>
      </c>
      <c r="BB200" s="1008"/>
      <c r="BC200" s="1009"/>
      <c r="BD200" s="1009"/>
    </row>
    <row r="201" spans="1:56" s="1010" customFormat="1" ht="36.75" customHeight="1">
      <c r="A201" s="661">
        <f>SUBTOTAL(3,B$6:B201)</f>
        <v>196</v>
      </c>
      <c r="B201" s="661" t="s">
        <v>1177</v>
      </c>
      <c r="C201" s="662" t="s">
        <v>1178</v>
      </c>
      <c r="D201" s="1011">
        <v>40708</v>
      </c>
      <c r="E201" s="1011" t="s">
        <v>216</v>
      </c>
      <c r="F201" s="787" t="s">
        <v>697</v>
      </c>
      <c r="G201" s="996" t="s">
        <v>786</v>
      </c>
      <c r="H201" s="1012">
        <v>5931000</v>
      </c>
      <c r="I201" s="1012">
        <v>200000</v>
      </c>
      <c r="J201" s="1012">
        <v>0</v>
      </c>
      <c r="K201" s="1012">
        <v>0</v>
      </c>
      <c r="L201" s="1013">
        <f t="shared" si="0"/>
        <v>6131000</v>
      </c>
      <c r="M201" s="1014">
        <v>23</v>
      </c>
      <c r="N201" s="1013">
        <f t="shared" ref="N201:N209" si="55">ROUND((H201+I201+J201+K201)/IF($M$2&gt;26,26,$M$2)*M201,0)</f>
        <v>5423577</v>
      </c>
      <c r="O201" s="1015">
        <v>3</v>
      </c>
      <c r="P201" s="1013">
        <f t="shared" ref="P201:P209" si="56">ROUND((H201+I201+J201+K201)/IF($M$2&gt;26,26,$M$2)*O201,0)</f>
        <v>707423</v>
      </c>
      <c r="Q201" s="1016">
        <v>0</v>
      </c>
      <c r="R201" s="1013">
        <f t="shared" ref="R201:R209" si="57">IF(M201&gt;0,ROUND(N201/IF(M201&gt;26,26,M201)/8*Q201*30%,0),0)</f>
        <v>0</v>
      </c>
      <c r="S201" s="1013">
        <f t="shared" ref="S201:S209" si="58">N201+P201+R201</f>
        <v>6131000</v>
      </c>
      <c r="T201" s="1017">
        <v>0</v>
      </c>
      <c r="U201" s="785">
        <v>0</v>
      </c>
      <c r="V201" s="785">
        <v>200000</v>
      </c>
      <c r="W201" s="1017">
        <v>500000</v>
      </c>
      <c r="X201" s="1017">
        <v>0</v>
      </c>
      <c r="Y201" s="1017">
        <v>400000</v>
      </c>
      <c r="Z201" s="1017">
        <v>363757</v>
      </c>
      <c r="AA201" s="1018"/>
      <c r="AB201" s="1013"/>
      <c r="AC201" s="1017">
        <v>0</v>
      </c>
      <c r="AD201" s="1017">
        <v>0</v>
      </c>
      <c r="AE201" s="1013">
        <v>44213.942934782608</v>
      </c>
      <c r="AF201" s="1019"/>
      <c r="AG201" s="1019">
        <f t="shared" si="1"/>
        <v>7638971</v>
      </c>
      <c r="AH201" s="1014">
        <v>51</v>
      </c>
      <c r="AI201" s="1014">
        <v>0</v>
      </c>
      <c r="AJ201" s="1014">
        <v>0</v>
      </c>
      <c r="AK201" s="1018">
        <v>0</v>
      </c>
      <c r="AL201" s="1020">
        <v>0</v>
      </c>
      <c r="AM201" s="1013">
        <f t="shared" si="53"/>
        <v>2254911</v>
      </c>
      <c r="AN201" s="1045">
        <f t="shared" si="3"/>
        <v>9893882</v>
      </c>
      <c r="AO201" s="1013">
        <v>643755</v>
      </c>
      <c r="AP201" s="1013">
        <v>44100</v>
      </c>
      <c r="AQ201" s="1013">
        <v>0</v>
      </c>
      <c r="AR201" s="1013">
        <v>0</v>
      </c>
      <c r="AS201" s="1013">
        <v>0</v>
      </c>
      <c r="AT201" s="1045">
        <f t="shared" si="50"/>
        <v>9206027</v>
      </c>
      <c r="AU201" s="1004"/>
      <c r="AV201" s="870"/>
      <c r="AW201" s="782" t="s">
        <v>3694</v>
      </c>
      <c r="AX201" s="782" t="s">
        <v>3695</v>
      </c>
      <c r="AY201" s="1007" t="s">
        <v>287</v>
      </c>
      <c r="AZ201" s="1007">
        <v>622</v>
      </c>
      <c r="BA201" s="347" t="str">
        <f t="shared" si="54"/>
        <v>Box</v>
      </c>
      <c r="BB201" s="1008"/>
      <c r="BC201" s="1009"/>
      <c r="BD201" s="1009"/>
    </row>
    <row r="202" spans="1:56" s="1010" customFormat="1" ht="36.75" customHeight="1">
      <c r="A202" s="661">
        <f>SUBTOTAL(3,B$6:B202)</f>
        <v>197</v>
      </c>
      <c r="B202" s="661" t="s">
        <v>1179</v>
      </c>
      <c r="C202" s="662" t="s">
        <v>1180</v>
      </c>
      <c r="D202" s="1011">
        <v>40943</v>
      </c>
      <c r="E202" s="1011" t="s">
        <v>216</v>
      </c>
      <c r="F202" s="787" t="s">
        <v>697</v>
      </c>
      <c r="G202" s="996" t="s">
        <v>797</v>
      </c>
      <c r="H202" s="1012">
        <v>5931000</v>
      </c>
      <c r="I202" s="1012">
        <v>0</v>
      </c>
      <c r="J202" s="1012">
        <v>0</v>
      </c>
      <c r="K202" s="1012">
        <v>0</v>
      </c>
      <c r="L202" s="1013">
        <f t="shared" si="0"/>
        <v>5931000</v>
      </c>
      <c r="M202" s="1014">
        <v>24</v>
      </c>
      <c r="N202" s="1013">
        <f t="shared" si="55"/>
        <v>5474769</v>
      </c>
      <c r="O202" s="1015">
        <v>2</v>
      </c>
      <c r="P202" s="1013">
        <f t="shared" si="56"/>
        <v>456231</v>
      </c>
      <c r="Q202" s="1016">
        <v>0</v>
      </c>
      <c r="R202" s="1013">
        <f t="shared" si="57"/>
        <v>0</v>
      </c>
      <c r="S202" s="1013">
        <f t="shared" si="58"/>
        <v>5931000</v>
      </c>
      <c r="T202" s="1017">
        <v>0</v>
      </c>
      <c r="U202" s="785">
        <v>0</v>
      </c>
      <c r="V202" s="785">
        <v>200000</v>
      </c>
      <c r="W202" s="1017">
        <v>500000</v>
      </c>
      <c r="X202" s="1017">
        <v>0</v>
      </c>
      <c r="Y202" s="1017">
        <v>400000</v>
      </c>
      <c r="Z202" s="1017">
        <v>413675</v>
      </c>
      <c r="AA202" s="1018"/>
      <c r="AB202" s="1013"/>
      <c r="AC202" s="1017">
        <v>0</v>
      </c>
      <c r="AD202" s="1017">
        <v>0</v>
      </c>
      <c r="AE202" s="1013">
        <v>42771.6328125</v>
      </c>
      <c r="AF202" s="1019"/>
      <c r="AG202" s="1019">
        <f t="shared" si="1"/>
        <v>7487447</v>
      </c>
      <c r="AH202" s="1014">
        <v>44</v>
      </c>
      <c r="AI202" s="1014">
        <v>0</v>
      </c>
      <c r="AJ202" s="1014">
        <v>0</v>
      </c>
      <c r="AK202" s="1018">
        <v>0</v>
      </c>
      <c r="AL202" s="1020">
        <v>0</v>
      </c>
      <c r="AM202" s="1013">
        <f t="shared" si="53"/>
        <v>1881952</v>
      </c>
      <c r="AN202" s="1045">
        <f t="shared" si="3"/>
        <v>9369399</v>
      </c>
      <c r="AO202" s="1013">
        <v>622755</v>
      </c>
      <c r="AP202" s="1013">
        <v>44100</v>
      </c>
      <c r="AQ202" s="1013">
        <v>0</v>
      </c>
      <c r="AR202" s="1013">
        <v>0</v>
      </c>
      <c r="AS202" s="1013">
        <v>0</v>
      </c>
      <c r="AT202" s="1045">
        <f t="shared" si="50"/>
        <v>8702544</v>
      </c>
      <c r="AU202" s="1004"/>
      <c r="AV202" s="870"/>
      <c r="AW202" s="782" t="s">
        <v>3696</v>
      </c>
      <c r="AX202" s="782" t="s">
        <v>3697</v>
      </c>
      <c r="AY202" s="1007" t="s">
        <v>287</v>
      </c>
      <c r="AZ202" s="1007">
        <v>622</v>
      </c>
      <c r="BA202" s="347" t="str">
        <f t="shared" si="54"/>
        <v>Box</v>
      </c>
      <c r="BB202" s="1008"/>
      <c r="BC202" s="1009"/>
      <c r="BD202" s="1009"/>
    </row>
    <row r="203" spans="1:56" s="1010" customFormat="1" ht="36.75" customHeight="1">
      <c r="A203" s="661">
        <f>SUBTOTAL(3,B$6:B203)</f>
        <v>198</v>
      </c>
      <c r="B203" s="661" t="s">
        <v>1185</v>
      </c>
      <c r="C203" s="662" t="s">
        <v>1186</v>
      </c>
      <c r="D203" s="1011">
        <v>41001</v>
      </c>
      <c r="E203" s="1011" t="s">
        <v>216</v>
      </c>
      <c r="F203" s="787" t="s">
        <v>697</v>
      </c>
      <c r="G203" s="996" t="s">
        <v>797</v>
      </c>
      <c r="H203" s="1012">
        <v>5931000</v>
      </c>
      <c r="I203" s="1012">
        <v>0</v>
      </c>
      <c r="J203" s="1012">
        <v>0</v>
      </c>
      <c r="K203" s="1012">
        <v>0</v>
      </c>
      <c r="L203" s="1013">
        <f t="shared" si="0"/>
        <v>5931000</v>
      </c>
      <c r="M203" s="1014">
        <v>21.4</v>
      </c>
      <c r="N203" s="1013">
        <f t="shared" si="55"/>
        <v>4881669</v>
      </c>
      <c r="O203" s="1015">
        <v>3</v>
      </c>
      <c r="P203" s="1013">
        <f t="shared" si="56"/>
        <v>684346</v>
      </c>
      <c r="Q203" s="1016">
        <v>0</v>
      </c>
      <c r="R203" s="1013">
        <f t="shared" si="57"/>
        <v>0</v>
      </c>
      <c r="S203" s="1013">
        <f t="shared" si="58"/>
        <v>5566015</v>
      </c>
      <c r="T203" s="1017">
        <v>0</v>
      </c>
      <c r="U203" s="785">
        <v>0</v>
      </c>
      <c r="V203" s="785">
        <v>200000</v>
      </c>
      <c r="W203" s="1017">
        <v>0</v>
      </c>
      <c r="X203" s="1017">
        <v>0</v>
      </c>
      <c r="Y203" s="1017">
        <v>400000</v>
      </c>
      <c r="Z203" s="1017">
        <v>354928</v>
      </c>
      <c r="AA203" s="1018"/>
      <c r="AB203" s="1013"/>
      <c r="AC203" s="1017">
        <v>0</v>
      </c>
      <c r="AD203" s="1017">
        <v>0</v>
      </c>
      <c r="AE203" s="1013">
        <v>42771.632593457944</v>
      </c>
      <c r="AF203" s="1019"/>
      <c r="AG203" s="1019">
        <f t="shared" si="1"/>
        <v>6563715</v>
      </c>
      <c r="AH203" s="1014">
        <v>24</v>
      </c>
      <c r="AI203" s="1014">
        <v>0</v>
      </c>
      <c r="AJ203" s="1014">
        <v>0</v>
      </c>
      <c r="AK203" s="1018">
        <v>0</v>
      </c>
      <c r="AL203" s="1020">
        <v>0</v>
      </c>
      <c r="AM203" s="1013">
        <f t="shared" si="53"/>
        <v>1026519</v>
      </c>
      <c r="AN203" s="1045">
        <f t="shared" si="3"/>
        <v>7590234</v>
      </c>
      <c r="AO203" s="1013">
        <v>622755</v>
      </c>
      <c r="AP203" s="1013">
        <v>44100</v>
      </c>
      <c r="AQ203" s="1013">
        <v>0</v>
      </c>
      <c r="AR203" s="1013">
        <v>0</v>
      </c>
      <c r="AS203" s="1013">
        <v>0</v>
      </c>
      <c r="AT203" s="1045">
        <f t="shared" si="50"/>
        <v>6923379</v>
      </c>
      <c r="AU203" s="1004"/>
      <c r="AV203" s="870"/>
      <c r="AW203" s="782" t="s">
        <v>3702</v>
      </c>
      <c r="AX203" s="782" t="s">
        <v>3703</v>
      </c>
      <c r="AY203" s="1007" t="s">
        <v>287</v>
      </c>
      <c r="AZ203" s="1007">
        <v>622</v>
      </c>
      <c r="BA203" s="347" t="str">
        <f t="shared" si="54"/>
        <v>Box</v>
      </c>
      <c r="BB203" s="1008"/>
      <c r="BC203" s="1009"/>
      <c r="BD203" s="1009"/>
    </row>
    <row r="204" spans="1:56" s="1010" customFormat="1" ht="36.75" customHeight="1">
      <c r="A204" s="661">
        <f>SUBTOTAL(3,B$6:B204)</f>
        <v>199</v>
      </c>
      <c r="B204" s="661" t="s">
        <v>1189</v>
      </c>
      <c r="C204" s="662" t="s">
        <v>1190</v>
      </c>
      <c r="D204" s="1011">
        <v>41443</v>
      </c>
      <c r="E204" s="1011" t="s">
        <v>216</v>
      </c>
      <c r="F204" s="787" t="s">
        <v>697</v>
      </c>
      <c r="G204" s="996" t="s">
        <v>1191</v>
      </c>
      <c r="H204" s="1012">
        <v>5931000</v>
      </c>
      <c r="I204" s="1012">
        <v>3800000</v>
      </c>
      <c r="J204" s="1012">
        <v>0</v>
      </c>
      <c r="K204" s="1012">
        <v>300000</v>
      </c>
      <c r="L204" s="1013">
        <f t="shared" si="0"/>
        <v>10031000</v>
      </c>
      <c r="M204" s="1014">
        <v>22.8</v>
      </c>
      <c r="N204" s="1013">
        <f t="shared" si="55"/>
        <v>8796415</v>
      </c>
      <c r="O204" s="1015">
        <v>3</v>
      </c>
      <c r="P204" s="1013">
        <f t="shared" si="56"/>
        <v>1157423</v>
      </c>
      <c r="Q204" s="1016">
        <v>0</v>
      </c>
      <c r="R204" s="1013">
        <f t="shared" si="57"/>
        <v>0</v>
      </c>
      <c r="S204" s="1013">
        <f t="shared" si="58"/>
        <v>9953838</v>
      </c>
      <c r="T204" s="1017">
        <v>0</v>
      </c>
      <c r="U204" s="785">
        <v>0</v>
      </c>
      <c r="V204" s="785">
        <v>200000</v>
      </c>
      <c r="W204" s="1017">
        <v>500000</v>
      </c>
      <c r="X204" s="1017">
        <v>0</v>
      </c>
      <c r="Y204" s="1017">
        <v>0</v>
      </c>
      <c r="Z204" s="1017">
        <v>242957</v>
      </c>
      <c r="AA204" s="1018"/>
      <c r="AB204" s="1013"/>
      <c r="AC204" s="1017">
        <v>100000</v>
      </c>
      <c r="AD204" s="1017">
        <v>0</v>
      </c>
      <c r="AE204" s="1013">
        <v>0</v>
      </c>
      <c r="AF204" s="1019"/>
      <c r="AG204" s="1019">
        <f t="shared" si="1"/>
        <v>10996795</v>
      </c>
      <c r="AH204" s="1014">
        <v>52</v>
      </c>
      <c r="AI204" s="1014">
        <v>0</v>
      </c>
      <c r="AJ204" s="1014">
        <v>0</v>
      </c>
      <c r="AK204" s="1018">
        <v>0</v>
      </c>
      <c r="AL204" s="1020">
        <v>0</v>
      </c>
      <c r="AM204" s="1013">
        <f t="shared" si="53"/>
        <v>3761625</v>
      </c>
      <c r="AN204" s="1045">
        <f t="shared" si="3"/>
        <v>14758420</v>
      </c>
      <c r="AO204" s="1013">
        <v>1053255</v>
      </c>
      <c r="AP204" s="1013">
        <v>44100</v>
      </c>
      <c r="AQ204" s="1013">
        <v>0</v>
      </c>
      <c r="AR204" s="1013">
        <v>0</v>
      </c>
      <c r="AS204" s="1013">
        <v>0</v>
      </c>
      <c r="AT204" s="1045">
        <f t="shared" si="50"/>
        <v>13661065</v>
      </c>
      <c r="AU204" s="1004"/>
      <c r="AV204" s="870"/>
      <c r="AW204" s="782" t="s">
        <v>3706</v>
      </c>
      <c r="AX204" s="782" t="s">
        <v>3707</v>
      </c>
      <c r="AY204" s="1007" t="s">
        <v>287</v>
      </c>
      <c r="AZ204" s="1007">
        <v>622</v>
      </c>
      <c r="BA204" s="347" t="str">
        <f t="shared" si="54"/>
        <v>Box</v>
      </c>
      <c r="BB204" s="1008"/>
      <c r="BC204" s="1009"/>
      <c r="BD204" s="1009"/>
    </row>
    <row r="205" spans="1:56" s="1010" customFormat="1" ht="36.75" customHeight="1">
      <c r="A205" s="661">
        <f>SUBTOTAL(3,B$6:B205)</f>
        <v>200</v>
      </c>
      <c r="B205" s="661" t="s">
        <v>1194</v>
      </c>
      <c r="C205" s="662" t="s">
        <v>1195</v>
      </c>
      <c r="D205" s="1011">
        <v>41683</v>
      </c>
      <c r="E205" s="1011" t="s">
        <v>216</v>
      </c>
      <c r="F205" s="787" t="s">
        <v>697</v>
      </c>
      <c r="G205" s="996" t="s">
        <v>872</v>
      </c>
      <c r="H205" s="1012">
        <v>5931000</v>
      </c>
      <c r="I205" s="1012">
        <v>2300000</v>
      </c>
      <c r="J205" s="1012">
        <v>0</v>
      </c>
      <c r="K205" s="1012">
        <v>0</v>
      </c>
      <c r="L205" s="1013">
        <f t="shared" si="0"/>
        <v>8231000</v>
      </c>
      <c r="M205" s="1014">
        <v>23</v>
      </c>
      <c r="N205" s="1013">
        <f t="shared" si="55"/>
        <v>7281269</v>
      </c>
      <c r="O205" s="1015">
        <v>3</v>
      </c>
      <c r="P205" s="1013">
        <f t="shared" si="56"/>
        <v>949731</v>
      </c>
      <c r="Q205" s="1016">
        <v>0</v>
      </c>
      <c r="R205" s="1013">
        <f t="shared" si="57"/>
        <v>0</v>
      </c>
      <c r="S205" s="1013">
        <f t="shared" si="58"/>
        <v>8231000</v>
      </c>
      <c r="T205" s="1017">
        <v>0</v>
      </c>
      <c r="U205" s="785">
        <v>0</v>
      </c>
      <c r="V205" s="785">
        <v>200000</v>
      </c>
      <c r="W205" s="1017">
        <v>500000</v>
      </c>
      <c r="X205" s="1017">
        <v>0</v>
      </c>
      <c r="Y205" s="1017">
        <v>400000</v>
      </c>
      <c r="Z205" s="1017">
        <v>415449</v>
      </c>
      <c r="AA205" s="1018"/>
      <c r="AB205" s="1013"/>
      <c r="AC205" s="1017">
        <v>0</v>
      </c>
      <c r="AD205" s="1017">
        <v>0</v>
      </c>
      <c r="AE205" s="1013">
        <v>0</v>
      </c>
      <c r="AF205" s="1019"/>
      <c r="AG205" s="1019">
        <f t="shared" si="1"/>
        <v>9746449</v>
      </c>
      <c r="AH205" s="1014">
        <v>52</v>
      </c>
      <c r="AI205" s="1014">
        <v>0</v>
      </c>
      <c r="AJ205" s="1014">
        <v>0</v>
      </c>
      <c r="AK205" s="1018">
        <v>0</v>
      </c>
      <c r="AL205" s="1020">
        <v>0</v>
      </c>
      <c r="AM205" s="1013">
        <f t="shared" si="53"/>
        <v>3086625</v>
      </c>
      <c r="AN205" s="1045">
        <f t="shared" si="3"/>
        <v>12833074</v>
      </c>
      <c r="AO205" s="1013">
        <v>864255</v>
      </c>
      <c r="AP205" s="1013">
        <v>44100</v>
      </c>
      <c r="AQ205" s="1013">
        <v>0</v>
      </c>
      <c r="AR205" s="1013">
        <v>0</v>
      </c>
      <c r="AS205" s="1013">
        <v>0</v>
      </c>
      <c r="AT205" s="1045">
        <f t="shared" si="50"/>
        <v>11924719</v>
      </c>
      <c r="AU205" s="1004"/>
      <c r="AV205" s="870"/>
      <c r="AW205" s="782" t="s">
        <v>3710</v>
      </c>
      <c r="AX205" s="782" t="s">
        <v>3711</v>
      </c>
      <c r="AY205" s="1007" t="s">
        <v>287</v>
      </c>
      <c r="AZ205" s="1007">
        <v>622</v>
      </c>
      <c r="BA205" s="347" t="str">
        <f t="shared" si="54"/>
        <v>Box</v>
      </c>
      <c r="BB205" s="1008"/>
      <c r="BC205" s="1009"/>
      <c r="BD205" s="1009"/>
    </row>
    <row r="206" spans="1:56" s="1010" customFormat="1" ht="36.75" customHeight="1">
      <c r="A206" s="661">
        <f>SUBTOTAL(3,B$6:B206)</f>
        <v>201</v>
      </c>
      <c r="B206" s="661" t="s">
        <v>1198</v>
      </c>
      <c r="C206" s="662" t="s">
        <v>1199</v>
      </c>
      <c r="D206" s="1011">
        <v>43517</v>
      </c>
      <c r="E206" s="1011" t="s">
        <v>216</v>
      </c>
      <c r="F206" s="787" t="s">
        <v>697</v>
      </c>
      <c r="G206" s="996" t="s">
        <v>872</v>
      </c>
      <c r="H206" s="1012">
        <v>5931000</v>
      </c>
      <c r="I206" s="1012">
        <v>1300000</v>
      </c>
      <c r="J206" s="1012">
        <v>0</v>
      </c>
      <c r="K206" s="1012">
        <v>0</v>
      </c>
      <c r="L206" s="1013">
        <f t="shared" si="0"/>
        <v>7231000</v>
      </c>
      <c r="M206" s="1014">
        <v>23.8</v>
      </c>
      <c r="N206" s="1013">
        <f t="shared" si="55"/>
        <v>6619146</v>
      </c>
      <c r="O206" s="1015">
        <v>2</v>
      </c>
      <c r="P206" s="1013">
        <f t="shared" si="56"/>
        <v>556231</v>
      </c>
      <c r="Q206" s="1016">
        <v>0</v>
      </c>
      <c r="R206" s="1013">
        <f t="shared" si="57"/>
        <v>0</v>
      </c>
      <c r="S206" s="1013">
        <f t="shared" si="58"/>
        <v>7175377</v>
      </c>
      <c r="T206" s="1017">
        <v>0</v>
      </c>
      <c r="U206" s="785">
        <v>0</v>
      </c>
      <c r="V206" s="785">
        <v>200000</v>
      </c>
      <c r="W206" s="1017">
        <v>500000</v>
      </c>
      <c r="X206" s="1017">
        <v>0</v>
      </c>
      <c r="Y206" s="1017">
        <v>400000</v>
      </c>
      <c r="Z206" s="1017">
        <v>375909</v>
      </c>
      <c r="AA206" s="1018"/>
      <c r="AB206" s="1013"/>
      <c r="AC206" s="1017">
        <v>0</v>
      </c>
      <c r="AD206" s="1017">
        <v>0</v>
      </c>
      <c r="AE206" s="1013">
        <v>0</v>
      </c>
      <c r="AF206" s="1019"/>
      <c r="AG206" s="1019">
        <f t="shared" si="1"/>
        <v>8651286</v>
      </c>
      <c r="AH206" s="1014">
        <v>52</v>
      </c>
      <c r="AI206" s="1014">
        <v>0</v>
      </c>
      <c r="AJ206" s="1014">
        <v>0</v>
      </c>
      <c r="AK206" s="1018">
        <v>0</v>
      </c>
      <c r="AL206" s="1020">
        <v>0</v>
      </c>
      <c r="AM206" s="1013">
        <f t="shared" si="53"/>
        <v>2711625</v>
      </c>
      <c r="AN206" s="1045">
        <f t="shared" si="3"/>
        <v>11362911</v>
      </c>
      <c r="AO206" s="1013">
        <v>759255</v>
      </c>
      <c r="AP206" s="1013">
        <v>44100</v>
      </c>
      <c r="AQ206" s="1013">
        <v>0</v>
      </c>
      <c r="AR206" s="1013">
        <v>0</v>
      </c>
      <c r="AS206" s="1013">
        <v>0</v>
      </c>
      <c r="AT206" s="1045">
        <f t="shared" si="50"/>
        <v>10559556</v>
      </c>
      <c r="AU206" s="1004"/>
      <c r="AV206" s="870"/>
      <c r="AW206" s="782" t="s">
        <v>3714</v>
      </c>
      <c r="AX206" s="782" t="s">
        <v>3715</v>
      </c>
      <c r="AY206" s="1007" t="s">
        <v>287</v>
      </c>
      <c r="AZ206" s="1007">
        <v>622</v>
      </c>
      <c r="BA206" s="347" t="str">
        <f t="shared" si="54"/>
        <v>Box</v>
      </c>
      <c r="BB206" s="1008"/>
      <c r="BC206" s="1009"/>
      <c r="BD206" s="1009"/>
    </row>
    <row r="207" spans="1:56" s="1010" customFormat="1" ht="36.75" customHeight="1">
      <c r="A207" s="661">
        <f>SUBTOTAL(3,B$6:B207)</f>
        <v>202</v>
      </c>
      <c r="B207" s="661" t="s">
        <v>1200</v>
      </c>
      <c r="C207" s="662" t="s">
        <v>1201</v>
      </c>
      <c r="D207" s="1011">
        <v>39707</v>
      </c>
      <c r="E207" s="1011" t="s">
        <v>216</v>
      </c>
      <c r="F207" s="787" t="s">
        <v>698</v>
      </c>
      <c r="G207" s="996" t="s">
        <v>1202</v>
      </c>
      <c r="H207" s="1012">
        <v>5931000</v>
      </c>
      <c r="I207" s="1012">
        <v>200000</v>
      </c>
      <c r="J207" s="1012">
        <v>0</v>
      </c>
      <c r="K207" s="1012">
        <v>0</v>
      </c>
      <c r="L207" s="1013">
        <f t="shared" si="0"/>
        <v>6131000</v>
      </c>
      <c r="M207" s="1014">
        <v>24</v>
      </c>
      <c r="N207" s="1013">
        <f t="shared" si="55"/>
        <v>5659385</v>
      </c>
      <c r="O207" s="1015">
        <v>2</v>
      </c>
      <c r="P207" s="1013">
        <f t="shared" si="56"/>
        <v>471615</v>
      </c>
      <c r="Q207" s="1016">
        <v>0</v>
      </c>
      <c r="R207" s="1013">
        <f t="shared" si="57"/>
        <v>0</v>
      </c>
      <c r="S207" s="1013">
        <f t="shared" si="58"/>
        <v>6131000</v>
      </c>
      <c r="T207" s="1017">
        <v>0</v>
      </c>
      <c r="U207" s="785">
        <v>0</v>
      </c>
      <c r="V207" s="785">
        <v>200000</v>
      </c>
      <c r="W207" s="1017">
        <v>500000</v>
      </c>
      <c r="X207" s="1017">
        <v>0</v>
      </c>
      <c r="Y207" s="1017">
        <v>400000</v>
      </c>
      <c r="Z207" s="1017">
        <v>413842</v>
      </c>
      <c r="AA207" s="1018"/>
      <c r="AB207" s="1013"/>
      <c r="AC207" s="1017">
        <v>0</v>
      </c>
      <c r="AD207" s="1017">
        <v>0</v>
      </c>
      <c r="AE207" s="1013">
        <v>44213.9453125</v>
      </c>
      <c r="AF207" s="1019"/>
      <c r="AG207" s="1019">
        <f t="shared" si="1"/>
        <v>7689056</v>
      </c>
      <c r="AH207" s="1014">
        <v>48</v>
      </c>
      <c r="AI207" s="1014">
        <v>0</v>
      </c>
      <c r="AJ207" s="1014">
        <v>0</v>
      </c>
      <c r="AK207" s="1018">
        <v>0</v>
      </c>
      <c r="AL207" s="1020">
        <v>0</v>
      </c>
      <c r="AM207" s="1013">
        <f t="shared" si="53"/>
        <v>2122269</v>
      </c>
      <c r="AN207" s="1045">
        <f>ROUND(AG207+AM207,0)</f>
        <v>9811325</v>
      </c>
      <c r="AO207" s="1013">
        <v>643755</v>
      </c>
      <c r="AP207" s="1013">
        <v>44100</v>
      </c>
      <c r="AQ207" s="1013">
        <v>0</v>
      </c>
      <c r="AR207" s="1013">
        <v>0</v>
      </c>
      <c r="AS207" s="1013">
        <v>0</v>
      </c>
      <c r="AT207" s="1045">
        <f t="shared" si="50"/>
        <v>9123470</v>
      </c>
      <c r="AU207" s="1004"/>
      <c r="AV207" s="870"/>
      <c r="AW207" s="782" t="s">
        <v>3716</v>
      </c>
      <c r="AX207" s="782" t="s">
        <v>3717</v>
      </c>
      <c r="AY207" s="1007" t="s">
        <v>287</v>
      </c>
      <c r="AZ207" s="1007">
        <v>622</v>
      </c>
      <c r="BA207" s="347" t="str">
        <f t="shared" si="54"/>
        <v>Box</v>
      </c>
      <c r="BB207" s="1008"/>
      <c r="BC207" s="1009"/>
      <c r="BD207" s="1009"/>
    </row>
    <row r="208" spans="1:56" s="1010" customFormat="1" ht="36.75" customHeight="1">
      <c r="A208" s="661">
        <f>SUBTOTAL(3,B$6:B208)</f>
        <v>203</v>
      </c>
      <c r="B208" s="661" t="s">
        <v>1203</v>
      </c>
      <c r="C208" s="662" t="s">
        <v>1204</v>
      </c>
      <c r="D208" s="1011">
        <v>44144</v>
      </c>
      <c r="E208" s="1011" t="s">
        <v>216</v>
      </c>
      <c r="F208" s="787" t="s">
        <v>698</v>
      </c>
      <c r="G208" s="996" t="s">
        <v>810</v>
      </c>
      <c r="H208" s="1012">
        <v>5931000</v>
      </c>
      <c r="I208" s="1012">
        <v>1100000</v>
      </c>
      <c r="J208" s="1012">
        <v>0</v>
      </c>
      <c r="K208" s="1012">
        <v>0</v>
      </c>
      <c r="L208" s="1013">
        <f t="shared" si="0"/>
        <v>7031000</v>
      </c>
      <c r="M208" s="1014">
        <v>20.8</v>
      </c>
      <c r="N208" s="1013">
        <f t="shared" si="55"/>
        <v>5624800</v>
      </c>
      <c r="O208" s="1015">
        <v>3</v>
      </c>
      <c r="P208" s="1013">
        <f t="shared" si="56"/>
        <v>811269</v>
      </c>
      <c r="Q208" s="1016">
        <v>0</v>
      </c>
      <c r="R208" s="1013">
        <f t="shared" si="57"/>
        <v>0</v>
      </c>
      <c r="S208" s="1013">
        <f t="shared" si="58"/>
        <v>6436069</v>
      </c>
      <c r="T208" s="1017">
        <v>0</v>
      </c>
      <c r="U208" s="785">
        <v>0</v>
      </c>
      <c r="V208" s="785">
        <v>200000</v>
      </c>
      <c r="W208" s="1017">
        <v>0</v>
      </c>
      <c r="X208" s="1017">
        <v>0</v>
      </c>
      <c r="Y208" s="1017">
        <v>0</v>
      </c>
      <c r="Z208" s="1017">
        <v>306714</v>
      </c>
      <c r="AA208" s="1018"/>
      <c r="AB208" s="1013"/>
      <c r="AC208" s="1017">
        <v>0</v>
      </c>
      <c r="AD208" s="1017">
        <v>0</v>
      </c>
      <c r="AE208" s="1013">
        <v>0</v>
      </c>
      <c r="AF208" s="1019"/>
      <c r="AG208" s="1019">
        <f t="shared" si="1"/>
        <v>6942783</v>
      </c>
      <c r="AH208" s="1014">
        <v>48</v>
      </c>
      <c r="AI208" s="1014">
        <v>0</v>
      </c>
      <c r="AJ208" s="1014">
        <v>0</v>
      </c>
      <c r="AK208" s="1018">
        <v>0</v>
      </c>
      <c r="AL208" s="1020">
        <v>0</v>
      </c>
      <c r="AM208" s="1013">
        <f t="shared" si="53"/>
        <v>2433808</v>
      </c>
      <c r="AN208" s="1045">
        <f t="shared" ref="AN208:AN209" si="59">ROUND(AG208+AM208,0)</f>
        <v>9376591</v>
      </c>
      <c r="AO208" s="1013">
        <v>738255</v>
      </c>
      <c r="AP208" s="1013">
        <v>44100</v>
      </c>
      <c r="AQ208" s="1013">
        <v>0</v>
      </c>
      <c r="AR208" s="1013">
        <v>0</v>
      </c>
      <c r="AS208" s="1013">
        <v>0</v>
      </c>
      <c r="AT208" s="1045">
        <f t="shared" si="50"/>
        <v>8594236</v>
      </c>
      <c r="AU208" s="1004"/>
      <c r="AV208" s="870"/>
      <c r="AW208" s="782" t="s">
        <v>3718</v>
      </c>
      <c r="AX208" s="782" t="s">
        <v>3719</v>
      </c>
      <c r="AY208" s="1007" t="s">
        <v>287</v>
      </c>
      <c r="AZ208" s="1007">
        <v>622</v>
      </c>
      <c r="BA208" s="347" t="str">
        <f t="shared" si="54"/>
        <v>Box</v>
      </c>
      <c r="BB208" s="1008"/>
      <c r="BC208" s="1009"/>
      <c r="BD208" s="1009"/>
    </row>
    <row r="209" spans="1:56" s="1010" customFormat="1" ht="36.75" customHeight="1">
      <c r="A209" s="661">
        <f>SUBTOTAL(3,B$6:B209)</f>
        <v>204</v>
      </c>
      <c r="B209" s="661" t="s">
        <v>1205</v>
      </c>
      <c r="C209" s="662" t="s">
        <v>824</v>
      </c>
      <c r="D209" s="1011">
        <v>44256</v>
      </c>
      <c r="E209" s="1011" t="s">
        <v>216</v>
      </c>
      <c r="F209" s="787" t="s">
        <v>698</v>
      </c>
      <c r="G209" s="996" t="s">
        <v>1202</v>
      </c>
      <c r="H209" s="1012">
        <v>5931000</v>
      </c>
      <c r="I209" s="1012">
        <v>200000</v>
      </c>
      <c r="J209" s="1012">
        <v>0</v>
      </c>
      <c r="K209" s="1012">
        <v>0</v>
      </c>
      <c r="L209" s="1013">
        <f t="shared" si="0"/>
        <v>6131000</v>
      </c>
      <c r="M209" s="1014">
        <v>22.8</v>
      </c>
      <c r="N209" s="1013">
        <f t="shared" si="55"/>
        <v>5376415</v>
      </c>
      <c r="O209" s="1015">
        <v>3</v>
      </c>
      <c r="P209" s="1013">
        <f t="shared" si="56"/>
        <v>707423</v>
      </c>
      <c r="Q209" s="1016">
        <v>0</v>
      </c>
      <c r="R209" s="1013">
        <f t="shared" si="57"/>
        <v>0</v>
      </c>
      <c r="S209" s="1013">
        <f t="shared" si="58"/>
        <v>6083838</v>
      </c>
      <c r="T209" s="1017">
        <v>0</v>
      </c>
      <c r="U209" s="785">
        <v>0</v>
      </c>
      <c r="V209" s="785">
        <v>200000</v>
      </c>
      <c r="W209" s="1017">
        <v>500000</v>
      </c>
      <c r="X209" s="1017">
        <v>0</v>
      </c>
      <c r="Y209" s="1017">
        <v>400000</v>
      </c>
      <c r="Z209" s="1017">
        <v>398432</v>
      </c>
      <c r="AA209" s="1018"/>
      <c r="AB209" s="1013"/>
      <c r="AC209" s="1017">
        <v>0</v>
      </c>
      <c r="AD209" s="1017">
        <v>0</v>
      </c>
      <c r="AE209" s="1013">
        <v>44213.93914473684</v>
      </c>
      <c r="AF209" s="1019"/>
      <c r="AG209" s="1019">
        <f t="shared" si="1"/>
        <v>7626484</v>
      </c>
      <c r="AH209" s="1014">
        <v>44</v>
      </c>
      <c r="AI209" s="1014">
        <v>0</v>
      </c>
      <c r="AJ209" s="1014">
        <v>0</v>
      </c>
      <c r="AK209" s="1018">
        <v>0</v>
      </c>
      <c r="AL209" s="1020">
        <v>0</v>
      </c>
      <c r="AM209" s="1013">
        <f t="shared" si="53"/>
        <v>1945413</v>
      </c>
      <c r="AN209" s="1045">
        <f t="shared" si="59"/>
        <v>9571897</v>
      </c>
      <c r="AO209" s="1013">
        <v>643755</v>
      </c>
      <c r="AP209" s="1013">
        <v>44100</v>
      </c>
      <c r="AQ209" s="1013">
        <v>0</v>
      </c>
      <c r="AR209" s="1013">
        <v>0</v>
      </c>
      <c r="AS209" s="1013">
        <v>0</v>
      </c>
      <c r="AT209" s="1045">
        <f t="shared" si="50"/>
        <v>8884042</v>
      </c>
      <c r="AU209" s="1004"/>
      <c r="AV209" s="870"/>
      <c r="AW209" s="782" t="s">
        <v>3360</v>
      </c>
      <c r="AX209" s="782" t="s">
        <v>3720</v>
      </c>
      <c r="AY209" s="1007" t="s">
        <v>287</v>
      </c>
      <c r="AZ209" s="1007">
        <v>622</v>
      </c>
      <c r="BA209" s="347" t="str">
        <f t="shared" si="54"/>
        <v>Box</v>
      </c>
      <c r="BB209" s="1008"/>
      <c r="BC209" s="1009"/>
      <c r="BD209" s="1009"/>
    </row>
    <row r="210" spans="1:56" s="1010" customFormat="1" ht="36.75" customHeight="1">
      <c r="A210" s="661">
        <f>SUBTOTAL(3,B$6:B210)</f>
        <v>205</v>
      </c>
      <c r="B210" s="661" t="s">
        <v>1206</v>
      </c>
      <c r="C210" s="662" t="s">
        <v>1207</v>
      </c>
      <c r="D210" s="1011">
        <v>39797</v>
      </c>
      <c r="E210" s="1011" t="s">
        <v>216</v>
      </c>
      <c r="F210" s="787" t="s">
        <v>698</v>
      </c>
      <c r="G210" s="996" t="s">
        <v>1202</v>
      </c>
      <c r="H210" s="1012">
        <v>5931000</v>
      </c>
      <c r="I210" s="1012">
        <v>200000</v>
      </c>
      <c r="J210" s="1012">
        <v>0</v>
      </c>
      <c r="K210" s="1012">
        <v>0</v>
      </c>
      <c r="L210" s="1013">
        <f t="shared" ref="L210:L218" si="60">SUM(H210:K210)</f>
        <v>6131000</v>
      </c>
      <c r="M210" s="1014">
        <v>23.8</v>
      </c>
      <c r="N210" s="1013">
        <f t="shared" ref="N210:N218" si="61">ROUND((H210+I210+J210+K210)/IF($M$2&gt;26,26,$M$2)*M210,0)</f>
        <v>5612223</v>
      </c>
      <c r="O210" s="1015">
        <v>2</v>
      </c>
      <c r="P210" s="1013">
        <f t="shared" ref="P210:P218" si="62">ROUND((H210+I210+J210+K210)/IF($M$2&gt;26,26,$M$2)*O210,0)</f>
        <v>471615</v>
      </c>
      <c r="Q210" s="1016">
        <v>0</v>
      </c>
      <c r="R210" s="1013">
        <f t="shared" ref="R210:R218" si="63">IF(M210&gt;0,ROUND(N210/IF(M210&gt;26,26,M210)/8*Q210*30%,0),0)</f>
        <v>0</v>
      </c>
      <c r="S210" s="1013">
        <f t="shared" ref="S210:S218" si="64">N210+P210+R210</f>
        <v>6083838</v>
      </c>
      <c r="T210" s="1017">
        <v>0</v>
      </c>
      <c r="U210" s="785">
        <v>0</v>
      </c>
      <c r="V210" s="785">
        <v>200000</v>
      </c>
      <c r="W210" s="1017">
        <v>500000</v>
      </c>
      <c r="X210" s="1017">
        <v>0</v>
      </c>
      <c r="Y210" s="1017">
        <v>400000</v>
      </c>
      <c r="Z210" s="1017">
        <v>338489</v>
      </c>
      <c r="AA210" s="1018"/>
      <c r="AB210" s="1013"/>
      <c r="AC210" s="1017">
        <v>0</v>
      </c>
      <c r="AD210" s="1017">
        <v>0</v>
      </c>
      <c r="AE210" s="1013">
        <v>44213.941701680669</v>
      </c>
      <c r="AF210" s="1019"/>
      <c r="AG210" s="1019">
        <f t="shared" ref="AG210:AG218" si="65">ROUND(SUM(S210:AF210)-AA210,0)</f>
        <v>7566541</v>
      </c>
      <c r="AH210" s="1014">
        <v>0</v>
      </c>
      <c r="AI210" s="1014">
        <v>0</v>
      </c>
      <c r="AJ210" s="1014">
        <v>0</v>
      </c>
      <c r="AK210" s="1018">
        <v>0</v>
      </c>
      <c r="AL210" s="1020">
        <v>0</v>
      </c>
      <c r="AM210" s="1013">
        <f t="shared" si="53"/>
        <v>0</v>
      </c>
      <c r="AN210" s="1045">
        <f t="shared" ref="AN210:AN215" si="66">ROUND(AG210+AM210,0)</f>
        <v>7566541</v>
      </c>
      <c r="AO210" s="1013">
        <v>643755</v>
      </c>
      <c r="AP210" s="1013">
        <v>44100</v>
      </c>
      <c r="AQ210" s="1013">
        <v>0</v>
      </c>
      <c r="AR210" s="1013">
        <v>0</v>
      </c>
      <c r="AS210" s="1013">
        <v>0</v>
      </c>
      <c r="AT210" s="1045">
        <f t="shared" si="50"/>
        <v>6878686</v>
      </c>
      <c r="AU210" s="1004"/>
      <c r="AV210" s="870"/>
      <c r="AW210" s="782" t="s">
        <v>3721</v>
      </c>
      <c r="AX210" s="782" t="s">
        <v>3722</v>
      </c>
      <c r="AY210" s="1007" t="s">
        <v>287</v>
      </c>
      <c r="AZ210" s="1007">
        <v>622</v>
      </c>
      <c r="BA210" s="347" t="str">
        <f t="shared" si="54"/>
        <v>Box</v>
      </c>
      <c r="BB210" s="1008"/>
      <c r="BC210" s="1009"/>
      <c r="BD210" s="1009"/>
    </row>
    <row r="211" spans="1:56" s="1010" customFormat="1" ht="36.75" customHeight="1">
      <c r="A211" s="661">
        <f>SUBTOTAL(3,B$6:B211)</f>
        <v>206</v>
      </c>
      <c r="B211" s="661" t="s">
        <v>1208</v>
      </c>
      <c r="C211" s="662" t="s">
        <v>1209</v>
      </c>
      <c r="D211" s="1011">
        <v>44609</v>
      </c>
      <c r="E211" s="1011" t="s">
        <v>216</v>
      </c>
      <c r="F211" s="787" t="s">
        <v>698</v>
      </c>
      <c r="G211" s="996" t="s">
        <v>1202</v>
      </c>
      <c r="H211" s="1012">
        <v>5931000</v>
      </c>
      <c r="I211" s="1012">
        <v>200000</v>
      </c>
      <c r="J211" s="1012">
        <v>0</v>
      </c>
      <c r="K211" s="1012">
        <v>0</v>
      </c>
      <c r="L211" s="1013">
        <f t="shared" si="60"/>
        <v>6131000</v>
      </c>
      <c r="M211" s="1014">
        <v>22.8</v>
      </c>
      <c r="N211" s="1013">
        <f t="shared" si="61"/>
        <v>5376415</v>
      </c>
      <c r="O211" s="1015">
        <v>3</v>
      </c>
      <c r="P211" s="1013">
        <f t="shared" si="62"/>
        <v>707423</v>
      </c>
      <c r="Q211" s="1016">
        <v>0</v>
      </c>
      <c r="R211" s="1013">
        <f t="shared" si="63"/>
        <v>0</v>
      </c>
      <c r="S211" s="1013">
        <f t="shared" si="64"/>
        <v>6083838</v>
      </c>
      <c r="T211" s="1017">
        <v>0</v>
      </c>
      <c r="U211" s="785">
        <v>0</v>
      </c>
      <c r="V211" s="785">
        <v>200000</v>
      </c>
      <c r="W211" s="1017">
        <v>500000</v>
      </c>
      <c r="X211" s="1017">
        <v>0</v>
      </c>
      <c r="Y211" s="1017">
        <v>400000</v>
      </c>
      <c r="Z211" s="1017">
        <v>400589</v>
      </c>
      <c r="AA211" s="1018"/>
      <c r="AB211" s="1013"/>
      <c r="AC211" s="1017">
        <v>200000</v>
      </c>
      <c r="AD211" s="1017">
        <v>0</v>
      </c>
      <c r="AE211" s="1013">
        <v>44213.93914473684</v>
      </c>
      <c r="AF211" s="1019"/>
      <c r="AG211" s="1019">
        <f t="shared" si="65"/>
        <v>7828641</v>
      </c>
      <c r="AH211" s="1014">
        <v>48</v>
      </c>
      <c r="AI211" s="1014">
        <v>0</v>
      </c>
      <c r="AJ211" s="1014">
        <v>0</v>
      </c>
      <c r="AK211" s="1018">
        <v>0</v>
      </c>
      <c r="AL211" s="1020">
        <v>0</v>
      </c>
      <c r="AM211" s="1013">
        <f t="shared" si="53"/>
        <v>2122269</v>
      </c>
      <c r="AN211" s="1045">
        <f t="shared" si="66"/>
        <v>9950910</v>
      </c>
      <c r="AO211" s="1013">
        <v>643755</v>
      </c>
      <c r="AP211" s="1013">
        <v>44100</v>
      </c>
      <c r="AQ211" s="1013">
        <v>0</v>
      </c>
      <c r="AR211" s="1013">
        <v>0</v>
      </c>
      <c r="AS211" s="1013">
        <v>0</v>
      </c>
      <c r="AT211" s="1045">
        <f t="shared" si="50"/>
        <v>9263055</v>
      </c>
      <c r="AU211" s="1004"/>
      <c r="AV211" s="870"/>
      <c r="AW211" s="782" t="s">
        <v>3723</v>
      </c>
      <c r="AX211" s="782" t="s">
        <v>3724</v>
      </c>
      <c r="AY211" s="1007" t="s">
        <v>287</v>
      </c>
      <c r="AZ211" s="1007">
        <v>622</v>
      </c>
      <c r="BA211" s="347" t="str">
        <f t="shared" si="54"/>
        <v>Box</v>
      </c>
      <c r="BB211" s="1008"/>
      <c r="BC211" s="1009"/>
      <c r="BD211" s="1009"/>
    </row>
    <row r="212" spans="1:56" s="1010" customFormat="1" ht="36.75" customHeight="1">
      <c r="A212" s="661">
        <f>SUBTOTAL(3,B$6:B212)</f>
        <v>207</v>
      </c>
      <c r="B212" s="661" t="s">
        <v>1210</v>
      </c>
      <c r="C212" s="662" t="s">
        <v>1211</v>
      </c>
      <c r="D212" s="1011">
        <v>44775</v>
      </c>
      <c r="E212" s="1011" t="s">
        <v>216</v>
      </c>
      <c r="F212" s="787" t="s">
        <v>698</v>
      </c>
      <c r="G212" s="996" t="s">
        <v>1202</v>
      </c>
      <c r="H212" s="1012">
        <v>5815000</v>
      </c>
      <c r="I212" s="1012">
        <v>200000</v>
      </c>
      <c r="J212" s="1012">
        <v>0</v>
      </c>
      <c r="K212" s="1012">
        <v>0</v>
      </c>
      <c r="L212" s="1013">
        <f t="shared" si="60"/>
        <v>6015000</v>
      </c>
      <c r="M212" s="1014">
        <v>23.9</v>
      </c>
      <c r="N212" s="1013">
        <f t="shared" si="61"/>
        <v>5529173</v>
      </c>
      <c r="O212" s="1015">
        <v>2</v>
      </c>
      <c r="P212" s="1013">
        <f t="shared" si="62"/>
        <v>462692</v>
      </c>
      <c r="Q212" s="1016">
        <v>0</v>
      </c>
      <c r="R212" s="1013">
        <f t="shared" si="63"/>
        <v>0</v>
      </c>
      <c r="S212" s="1013">
        <f t="shared" si="64"/>
        <v>5991865</v>
      </c>
      <c r="T212" s="1017">
        <v>0</v>
      </c>
      <c r="U212" s="785">
        <v>0</v>
      </c>
      <c r="V212" s="785">
        <v>200000</v>
      </c>
      <c r="W212" s="1017">
        <v>500000</v>
      </c>
      <c r="X212" s="1017">
        <v>0</v>
      </c>
      <c r="Y212" s="1017">
        <v>400000</v>
      </c>
      <c r="Z212" s="1017">
        <v>417025</v>
      </c>
      <c r="AA212" s="1018"/>
      <c r="AB212" s="1013"/>
      <c r="AC212" s="1017">
        <v>0</v>
      </c>
      <c r="AD212" s="1017">
        <v>0</v>
      </c>
      <c r="AE212" s="1013">
        <v>43377.403242677829</v>
      </c>
      <c r="AF212" s="1019"/>
      <c r="AG212" s="1019">
        <f t="shared" si="65"/>
        <v>7552267</v>
      </c>
      <c r="AH212" s="1014">
        <v>48</v>
      </c>
      <c r="AI212" s="1014">
        <v>0</v>
      </c>
      <c r="AJ212" s="1014">
        <v>0</v>
      </c>
      <c r="AK212" s="1018">
        <v>0</v>
      </c>
      <c r="AL212" s="1020">
        <v>0</v>
      </c>
      <c r="AM212" s="1013">
        <f t="shared" si="53"/>
        <v>2082115</v>
      </c>
      <c r="AN212" s="1045">
        <f t="shared" si="66"/>
        <v>9634382</v>
      </c>
      <c r="AO212" s="1013">
        <v>631575</v>
      </c>
      <c r="AP212" s="1013">
        <v>44100</v>
      </c>
      <c r="AQ212" s="1013">
        <v>0</v>
      </c>
      <c r="AR212" s="1013">
        <v>0</v>
      </c>
      <c r="AS212" s="1013">
        <v>0</v>
      </c>
      <c r="AT212" s="1045">
        <f t="shared" si="50"/>
        <v>8958707</v>
      </c>
      <c r="AU212" s="1004"/>
      <c r="AV212" s="870"/>
      <c r="AW212" s="782" t="s">
        <v>3725</v>
      </c>
      <c r="AX212" s="782" t="s">
        <v>3726</v>
      </c>
      <c r="AY212" s="1007" t="s">
        <v>287</v>
      </c>
      <c r="AZ212" s="1007">
        <v>622</v>
      </c>
      <c r="BA212" s="347" t="str">
        <f t="shared" si="54"/>
        <v>Box</v>
      </c>
      <c r="BB212" s="1008"/>
      <c r="BC212" s="1009"/>
      <c r="BD212" s="1009"/>
    </row>
    <row r="213" spans="1:56" s="1010" customFormat="1" ht="36.75" customHeight="1">
      <c r="A213" s="661">
        <f>SUBTOTAL(3,B$6:B213)</f>
        <v>208</v>
      </c>
      <c r="B213" s="661" t="s">
        <v>1212</v>
      </c>
      <c r="C213" s="662" t="s">
        <v>1213</v>
      </c>
      <c r="D213" s="1011">
        <v>44775</v>
      </c>
      <c r="E213" s="1011" t="s">
        <v>216</v>
      </c>
      <c r="F213" s="787" t="s">
        <v>698</v>
      </c>
      <c r="G213" s="996" t="s">
        <v>1202</v>
      </c>
      <c r="H213" s="1012">
        <v>5815000</v>
      </c>
      <c r="I213" s="1012">
        <v>200000</v>
      </c>
      <c r="J213" s="1012">
        <v>0</v>
      </c>
      <c r="K213" s="1012">
        <v>0</v>
      </c>
      <c r="L213" s="1013">
        <f t="shared" si="60"/>
        <v>6015000</v>
      </c>
      <c r="M213" s="1014">
        <v>23.9</v>
      </c>
      <c r="N213" s="1013">
        <f t="shared" si="61"/>
        <v>5529173</v>
      </c>
      <c r="O213" s="1015">
        <v>2</v>
      </c>
      <c r="P213" s="1013">
        <f t="shared" si="62"/>
        <v>462692</v>
      </c>
      <c r="Q213" s="1016">
        <v>0</v>
      </c>
      <c r="R213" s="1013">
        <f t="shared" si="63"/>
        <v>0</v>
      </c>
      <c r="S213" s="1013">
        <f t="shared" si="64"/>
        <v>5991865</v>
      </c>
      <c r="T213" s="1017">
        <v>0</v>
      </c>
      <c r="U213" s="785">
        <v>0</v>
      </c>
      <c r="V213" s="785">
        <v>200000</v>
      </c>
      <c r="W213" s="1017">
        <v>500000</v>
      </c>
      <c r="X213" s="1017">
        <v>0</v>
      </c>
      <c r="Y213" s="1017">
        <v>400000</v>
      </c>
      <c r="Z213" s="1017">
        <v>431367</v>
      </c>
      <c r="AA213" s="1018"/>
      <c r="AB213" s="1013"/>
      <c r="AC213" s="1017">
        <v>0</v>
      </c>
      <c r="AD213" s="1017">
        <v>0</v>
      </c>
      <c r="AE213" s="1013">
        <v>43377.403242677829</v>
      </c>
      <c r="AF213" s="1019"/>
      <c r="AG213" s="1019">
        <f t="shared" si="65"/>
        <v>7566609</v>
      </c>
      <c r="AH213" s="1014">
        <v>48</v>
      </c>
      <c r="AI213" s="1014">
        <v>0</v>
      </c>
      <c r="AJ213" s="1014">
        <v>0</v>
      </c>
      <c r="AK213" s="1018">
        <v>0</v>
      </c>
      <c r="AL213" s="1020">
        <v>0</v>
      </c>
      <c r="AM213" s="1013">
        <f t="shared" si="53"/>
        <v>2082115</v>
      </c>
      <c r="AN213" s="1045">
        <f t="shared" si="66"/>
        <v>9648724</v>
      </c>
      <c r="AO213" s="1013">
        <v>631575</v>
      </c>
      <c r="AP213" s="1013">
        <v>44100</v>
      </c>
      <c r="AQ213" s="1013">
        <v>0</v>
      </c>
      <c r="AR213" s="1013">
        <v>0</v>
      </c>
      <c r="AS213" s="1013">
        <v>0</v>
      </c>
      <c r="AT213" s="1045">
        <f t="shared" si="50"/>
        <v>8973049</v>
      </c>
      <c r="AU213" s="1004"/>
      <c r="AV213" s="870"/>
      <c r="AW213" s="782" t="s">
        <v>3727</v>
      </c>
      <c r="AX213" s="782" t="s">
        <v>3728</v>
      </c>
      <c r="AY213" s="1007" t="s">
        <v>287</v>
      </c>
      <c r="AZ213" s="1007">
        <v>622</v>
      </c>
      <c r="BA213" s="347" t="str">
        <f t="shared" si="54"/>
        <v>Box</v>
      </c>
      <c r="BB213" s="1008"/>
      <c r="BC213" s="1009"/>
      <c r="BD213" s="1009"/>
    </row>
    <row r="214" spans="1:56" s="1010" customFormat="1" ht="36.75" customHeight="1">
      <c r="A214" s="661">
        <f>SUBTOTAL(3,B$6:B214)</f>
        <v>209</v>
      </c>
      <c r="B214" s="661" t="s">
        <v>1214</v>
      </c>
      <c r="C214" s="662" t="s">
        <v>1215</v>
      </c>
      <c r="D214" s="1011">
        <v>45164</v>
      </c>
      <c r="E214" s="1011" t="s">
        <v>216</v>
      </c>
      <c r="F214" s="787" t="s">
        <v>698</v>
      </c>
      <c r="G214" s="996" t="s">
        <v>1202</v>
      </c>
      <c r="H214" s="1012">
        <v>5538000</v>
      </c>
      <c r="I214" s="1012">
        <v>200000</v>
      </c>
      <c r="J214" s="1012">
        <v>0</v>
      </c>
      <c r="K214" s="1012">
        <v>0</v>
      </c>
      <c r="L214" s="1013">
        <f t="shared" si="60"/>
        <v>5738000</v>
      </c>
      <c r="M214" s="1014">
        <v>24</v>
      </c>
      <c r="N214" s="1013">
        <f t="shared" si="61"/>
        <v>5296615</v>
      </c>
      <c r="O214" s="1015">
        <v>2</v>
      </c>
      <c r="P214" s="1013">
        <f t="shared" si="62"/>
        <v>441385</v>
      </c>
      <c r="Q214" s="1016">
        <v>0</v>
      </c>
      <c r="R214" s="1013">
        <f t="shared" si="63"/>
        <v>0</v>
      </c>
      <c r="S214" s="1013">
        <f t="shared" si="64"/>
        <v>5738000</v>
      </c>
      <c r="T214" s="1017">
        <v>0</v>
      </c>
      <c r="U214" s="785">
        <v>0</v>
      </c>
      <c r="V214" s="785">
        <v>200000</v>
      </c>
      <c r="W214" s="1017">
        <v>500000</v>
      </c>
      <c r="X214" s="1017">
        <v>0</v>
      </c>
      <c r="Y214" s="1017">
        <v>400000</v>
      </c>
      <c r="Z214" s="1017">
        <v>417107</v>
      </c>
      <c r="AA214" s="1018"/>
      <c r="AB214" s="1013"/>
      <c r="AC214" s="1017">
        <v>0</v>
      </c>
      <c r="AD214" s="1017">
        <v>0</v>
      </c>
      <c r="AE214" s="1013">
        <v>41379.8046875</v>
      </c>
      <c r="AF214" s="1019"/>
      <c r="AG214" s="1019">
        <f t="shared" si="65"/>
        <v>7296487</v>
      </c>
      <c r="AH214" s="1014">
        <v>48</v>
      </c>
      <c r="AI214" s="1014">
        <v>0</v>
      </c>
      <c r="AJ214" s="1014">
        <v>0</v>
      </c>
      <c r="AK214" s="1018">
        <v>0</v>
      </c>
      <c r="AL214" s="1020">
        <v>0</v>
      </c>
      <c r="AM214" s="1013">
        <f t="shared" si="53"/>
        <v>1986231</v>
      </c>
      <c r="AN214" s="1045">
        <f t="shared" si="66"/>
        <v>9282718</v>
      </c>
      <c r="AO214" s="1013">
        <v>602490</v>
      </c>
      <c r="AP214" s="1013">
        <v>44100</v>
      </c>
      <c r="AQ214" s="1013">
        <v>0</v>
      </c>
      <c r="AR214" s="1013">
        <v>0</v>
      </c>
      <c r="AS214" s="1013">
        <v>0</v>
      </c>
      <c r="AT214" s="1045">
        <f t="shared" si="50"/>
        <v>8636128</v>
      </c>
      <c r="AU214" s="1004"/>
      <c r="AV214" s="870"/>
      <c r="AW214" s="782" t="s">
        <v>3729</v>
      </c>
      <c r="AX214" s="782" t="s">
        <v>3730</v>
      </c>
      <c r="AY214" s="1007" t="s">
        <v>287</v>
      </c>
      <c r="AZ214" s="1007">
        <v>622</v>
      </c>
      <c r="BA214" s="347" t="str">
        <f t="shared" si="54"/>
        <v>Box</v>
      </c>
      <c r="BB214" s="1008"/>
      <c r="BC214" s="1009"/>
      <c r="BD214" s="1009"/>
    </row>
    <row r="215" spans="1:56" s="1010" customFormat="1" ht="36.75" customHeight="1">
      <c r="A215" s="661">
        <f>SUBTOTAL(3,B$6:B215)</f>
        <v>210</v>
      </c>
      <c r="B215" s="661" t="s">
        <v>1216</v>
      </c>
      <c r="C215" s="662" t="s">
        <v>1217</v>
      </c>
      <c r="D215" s="1011">
        <v>45603</v>
      </c>
      <c r="E215" s="1011" t="s">
        <v>216</v>
      </c>
      <c r="F215" s="787" t="s">
        <v>698</v>
      </c>
      <c r="G215" s="996" t="s">
        <v>797</v>
      </c>
      <c r="H215" s="1012">
        <v>5023000</v>
      </c>
      <c r="I215" s="1012">
        <v>0</v>
      </c>
      <c r="J215" s="1012">
        <v>0</v>
      </c>
      <c r="K215" s="1012">
        <v>0</v>
      </c>
      <c r="L215" s="1013">
        <f t="shared" si="60"/>
        <v>5023000</v>
      </c>
      <c r="M215" s="1014">
        <v>24</v>
      </c>
      <c r="N215" s="1013">
        <f t="shared" si="61"/>
        <v>4636615</v>
      </c>
      <c r="O215" s="1015">
        <v>2</v>
      </c>
      <c r="P215" s="1013">
        <f t="shared" si="62"/>
        <v>386385</v>
      </c>
      <c r="Q215" s="1016">
        <v>0</v>
      </c>
      <c r="R215" s="1013">
        <f t="shared" si="63"/>
        <v>0</v>
      </c>
      <c r="S215" s="1013">
        <f t="shared" si="64"/>
        <v>5023000</v>
      </c>
      <c r="T215" s="1017">
        <v>0</v>
      </c>
      <c r="U215" s="785">
        <v>0</v>
      </c>
      <c r="V215" s="785">
        <v>200000</v>
      </c>
      <c r="W215" s="1017">
        <v>500000</v>
      </c>
      <c r="X215" s="1017">
        <v>0</v>
      </c>
      <c r="Y215" s="1017">
        <v>400000</v>
      </c>
      <c r="Z215" s="1017">
        <v>424689</v>
      </c>
      <c r="AA215" s="1018"/>
      <c r="AB215" s="1013"/>
      <c r="AC215" s="1017">
        <v>0</v>
      </c>
      <c r="AD215" s="1017">
        <v>0</v>
      </c>
      <c r="AE215" s="1013">
        <v>36223.5546875</v>
      </c>
      <c r="AF215" s="1019"/>
      <c r="AG215" s="1019">
        <f t="shared" si="65"/>
        <v>6583913</v>
      </c>
      <c r="AH215" s="1014">
        <v>52</v>
      </c>
      <c r="AI215" s="1014">
        <v>0</v>
      </c>
      <c r="AJ215" s="1014">
        <v>0</v>
      </c>
      <c r="AK215" s="1018">
        <v>0</v>
      </c>
      <c r="AL215" s="1020">
        <v>0</v>
      </c>
      <c r="AM215" s="1013">
        <f t="shared" si="53"/>
        <v>1883625</v>
      </c>
      <c r="AN215" s="1045">
        <f t="shared" si="66"/>
        <v>8467538</v>
      </c>
      <c r="AO215" s="1013">
        <v>527415</v>
      </c>
      <c r="AP215" s="1013">
        <v>44100</v>
      </c>
      <c r="AQ215" s="1013">
        <v>0</v>
      </c>
      <c r="AR215" s="1013">
        <v>0</v>
      </c>
      <c r="AS215" s="1013">
        <v>0</v>
      </c>
      <c r="AT215" s="1045">
        <f t="shared" si="50"/>
        <v>7896023</v>
      </c>
      <c r="AU215" s="1004"/>
      <c r="AV215" s="870"/>
      <c r="AW215" s="782" t="s">
        <v>3731</v>
      </c>
      <c r="AX215" s="782" t="s">
        <v>3732</v>
      </c>
      <c r="AY215" s="1007" t="s">
        <v>287</v>
      </c>
      <c r="AZ215" s="1007">
        <v>622</v>
      </c>
      <c r="BA215" s="347" t="str">
        <f t="shared" si="54"/>
        <v>Box</v>
      </c>
      <c r="BB215" s="1008"/>
      <c r="BC215" s="1009"/>
      <c r="BD215" s="1009"/>
    </row>
    <row r="216" spans="1:56" s="1010" customFormat="1" ht="36.75" customHeight="1">
      <c r="A216" s="661">
        <f>SUBTOTAL(3,B$6:B216)</f>
        <v>211</v>
      </c>
      <c r="B216" s="661" t="s">
        <v>5742</v>
      </c>
      <c r="C216" s="662" t="s">
        <v>5743</v>
      </c>
      <c r="D216" s="1011">
        <v>45762</v>
      </c>
      <c r="E216" s="1011" t="s">
        <v>216</v>
      </c>
      <c r="F216" s="787" t="s">
        <v>698</v>
      </c>
      <c r="G216" s="996" t="s">
        <v>554</v>
      </c>
      <c r="H216" s="1012">
        <v>4694000</v>
      </c>
      <c r="I216" s="1012">
        <v>0</v>
      </c>
      <c r="J216" s="1012">
        <v>0</v>
      </c>
      <c r="K216" s="1012">
        <v>0</v>
      </c>
      <c r="L216" s="1013">
        <f t="shared" si="60"/>
        <v>4694000</v>
      </c>
      <c r="M216" s="1014">
        <v>10.8</v>
      </c>
      <c r="N216" s="1013">
        <f t="shared" si="61"/>
        <v>1949815</v>
      </c>
      <c r="O216" s="1015">
        <v>1</v>
      </c>
      <c r="P216" s="1013">
        <f t="shared" si="62"/>
        <v>180538</v>
      </c>
      <c r="Q216" s="1016">
        <v>0</v>
      </c>
      <c r="R216" s="1013">
        <f t="shared" si="63"/>
        <v>0</v>
      </c>
      <c r="S216" s="1013">
        <f t="shared" si="64"/>
        <v>2130353</v>
      </c>
      <c r="T216" s="1017">
        <v>0</v>
      </c>
      <c r="U216" s="785">
        <v>0</v>
      </c>
      <c r="V216" s="785">
        <v>91000</v>
      </c>
      <c r="W216" s="1017">
        <v>227000</v>
      </c>
      <c r="X216" s="1017">
        <v>0</v>
      </c>
      <c r="Y216" s="1017">
        <v>68000</v>
      </c>
      <c r="Z216" s="1017">
        <v>0</v>
      </c>
      <c r="AA216" s="1018"/>
      <c r="AB216" s="1013"/>
      <c r="AC216" s="1017">
        <v>0</v>
      </c>
      <c r="AD216" s="1017">
        <v>0</v>
      </c>
      <c r="AE216" s="1013">
        <v>0</v>
      </c>
      <c r="AF216" s="1019"/>
      <c r="AG216" s="1019">
        <f t="shared" si="65"/>
        <v>2516353</v>
      </c>
      <c r="AH216" s="1014">
        <v>20</v>
      </c>
      <c r="AI216" s="1014">
        <v>0</v>
      </c>
      <c r="AJ216" s="1014">
        <v>0</v>
      </c>
      <c r="AK216" s="1018">
        <v>0</v>
      </c>
      <c r="AL216" s="1020">
        <v>0</v>
      </c>
      <c r="AM216" s="1013">
        <f t="shared" si="53"/>
        <v>677019</v>
      </c>
      <c r="AN216" s="1045">
        <f>ROUND(AG216+AM216,0)</f>
        <v>3193372</v>
      </c>
      <c r="AO216" s="1013">
        <v>0</v>
      </c>
      <c r="AP216" s="1013">
        <v>0</v>
      </c>
      <c r="AQ216" s="1013">
        <v>0</v>
      </c>
      <c r="AR216" s="1013">
        <v>0</v>
      </c>
      <c r="AS216" s="1013">
        <v>0</v>
      </c>
      <c r="AT216" s="1045">
        <f t="shared" si="50"/>
        <v>3193372</v>
      </c>
      <c r="AU216" s="1004"/>
      <c r="AV216" s="870"/>
      <c r="AW216" s="782" t="s">
        <v>5843</v>
      </c>
      <c r="AX216" s="782" t="s">
        <v>5844</v>
      </c>
      <c r="AY216" s="1007" t="s">
        <v>287</v>
      </c>
      <c r="AZ216" s="1007">
        <v>622</v>
      </c>
      <c r="BA216" s="347" t="str">
        <f t="shared" si="54"/>
        <v>Box</v>
      </c>
      <c r="BB216" s="1008"/>
      <c r="BC216" s="1009"/>
      <c r="BD216" s="1009"/>
    </row>
    <row r="217" spans="1:56" s="1010" customFormat="1" ht="36.75" customHeight="1">
      <c r="A217" s="661">
        <f>SUBTOTAL(3,B$6:B217)</f>
        <v>212</v>
      </c>
      <c r="B217" s="661" t="s">
        <v>1218</v>
      </c>
      <c r="C217" s="662" t="s">
        <v>1219</v>
      </c>
      <c r="D217" s="1011">
        <v>40241</v>
      </c>
      <c r="E217" s="1011" t="s">
        <v>216</v>
      </c>
      <c r="F217" s="787" t="s">
        <v>698</v>
      </c>
      <c r="G217" s="996" t="s">
        <v>1202</v>
      </c>
      <c r="H217" s="1012">
        <v>5931000</v>
      </c>
      <c r="I217" s="1012">
        <v>200000</v>
      </c>
      <c r="J217" s="1012">
        <v>0</v>
      </c>
      <c r="K217" s="1012">
        <v>0</v>
      </c>
      <c r="L217" s="1013">
        <f t="shared" si="60"/>
        <v>6131000</v>
      </c>
      <c r="M217" s="1014">
        <v>24</v>
      </c>
      <c r="N217" s="1013">
        <f t="shared" si="61"/>
        <v>5659385</v>
      </c>
      <c r="O217" s="1015">
        <v>2</v>
      </c>
      <c r="P217" s="1013">
        <f t="shared" si="62"/>
        <v>471615</v>
      </c>
      <c r="Q217" s="1016">
        <v>0</v>
      </c>
      <c r="R217" s="1013">
        <f t="shared" si="63"/>
        <v>0</v>
      </c>
      <c r="S217" s="1013">
        <f t="shared" si="64"/>
        <v>6131000</v>
      </c>
      <c r="T217" s="1017">
        <v>0</v>
      </c>
      <c r="U217" s="785">
        <v>0</v>
      </c>
      <c r="V217" s="785">
        <v>200000</v>
      </c>
      <c r="W217" s="1017">
        <v>500000</v>
      </c>
      <c r="X217" s="1017">
        <v>0</v>
      </c>
      <c r="Y217" s="1017">
        <v>400000</v>
      </c>
      <c r="Z217" s="1017">
        <v>411293</v>
      </c>
      <c r="AA217" s="1018"/>
      <c r="AB217" s="1013"/>
      <c r="AC217" s="1017">
        <v>0</v>
      </c>
      <c r="AD217" s="1017">
        <v>0</v>
      </c>
      <c r="AE217" s="1013">
        <v>44213.9453125</v>
      </c>
      <c r="AF217" s="1019"/>
      <c r="AG217" s="1019">
        <f t="shared" si="65"/>
        <v>7686507</v>
      </c>
      <c r="AH217" s="1014">
        <v>48</v>
      </c>
      <c r="AI217" s="1014">
        <v>0</v>
      </c>
      <c r="AJ217" s="1014">
        <v>0</v>
      </c>
      <c r="AK217" s="1018">
        <v>0</v>
      </c>
      <c r="AL217" s="1020">
        <v>0</v>
      </c>
      <c r="AM217" s="1013">
        <f t="shared" si="53"/>
        <v>2122269</v>
      </c>
      <c r="AN217" s="1045">
        <f t="shared" ref="AN217:AN218" si="67">ROUND(AG217+AM217,0)</f>
        <v>9808776</v>
      </c>
      <c r="AO217" s="1013">
        <v>643755</v>
      </c>
      <c r="AP217" s="1013">
        <v>44100</v>
      </c>
      <c r="AQ217" s="1013">
        <v>0</v>
      </c>
      <c r="AR217" s="1013">
        <v>0</v>
      </c>
      <c r="AS217" s="1013">
        <v>0</v>
      </c>
      <c r="AT217" s="1045">
        <f t="shared" si="50"/>
        <v>9120921</v>
      </c>
      <c r="AU217" s="1004"/>
      <c r="AV217" s="870"/>
      <c r="AW217" s="782" t="s">
        <v>3733</v>
      </c>
      <c r="AX217" s="782" t="s">
        <v>3734</v>
      </c>
      <c r="AY217" s="1007" t="s">
        <v>287</v>
      </c>
      <c r="AZ217" s="1007">
        <v>622</v>
      </c>
      <c r="BA217" s="347" t="str">
        <f t="shared" si="54"/>
        <v>Box</v>
      </c>
      <c r="BB217" s="1008"/>
      <c r="BC217" s="1009"/>
      <c r="BD217" s="1009"/>
    </row>
    <row r="218" spans="1:56" s="1010" customFormat="1" ht="36.75" customHeight="1">
      <c r="A218" s="661">
        <f>SUBTOTAL(3,B$6:B218)</f>
        <v>213</v>
      </c>
      <c r="B218" s="661" t="s">
        <v>1220</v>
      </c>
      <c r="C218" s="662" t="s">
        <v>1221</v>
      </c>
      <c r="D218" s="1011">
        <v>40753</v>
      </c>
      <c r="E218" s="1011" t="s">
        <v>216</v>
      </c>
      <c r="F218" s="787" t="s">
        <v>698</v>
      </c>
      <c r="G218" s="996" t="s">
        <v>1202</v>
      </c>
      <c r="H218" s="1012">
        <v>5931000</v>
      </c>
      <c r="I218" s="1012">
        <v>200000</v>
      </c>
      <c r="J218" s="1012">
        <v>0</v>
      </c>
      <c r="K218" s="1012">
        <v>0</v>
      </c>
      <c r="L218" s="1013">
        <f t="shared" si="60"/>
        <v>6131000</v>
      </c>
      <c r="M218" s="1014">
        <v>24</v>
      </c>
      <c r="N218" s="1013">
        <f t="shared" si="61"/>
        <v>5659385</v>
      </c>
      <c r="O218" s="1015">
        <v>2</v>
      </c>
      <c r="P218" s="1013">
        <f t="shared" si="62"/>
        <v>471615</v>
      </c>
      <c r="Q218" s="1016">
        <v>0</v>
      </c>
      <c r="R218" s="1013">
        <f t="shared" si="63"/>
        <v>0</v>
      </c>
      <c r="S218" s="1013">
        <f t="shared" si="64"/>
        <v>6131000</v>
      </c>
      <c r="T218" s="1017">
        <v>0</v>
      </c>
      <c r="U218" s="785">
        <v>0</v>
      </c>
      <c r="V218" s="785">
        <v>200000</v>
      </c>
      <c r="W218" s="1017">
        <v>500000</v>
      </c>
      <c r="X218" s="1017">
        <v>0</v>
      </c>
      <c r="Y218" s="1017">
        <v>400000</v>
      </c>
      <c r="Z218" s="1017">
        <v>422781</v>
      </c>
      <c r="AA218" s="1018"/>
      <c r="AB218" s="1013"/>
      <c r="AC218" s="1017">
        <v>0</v>
      </c>
      <c r="AD218" s="1017">
        <v>0</v>
      </c>
      <c r="AE218" s="1013">
        <v>44213.9453125</v>
      </c>
      <c r="AF218" s="1019"/>
      <c r="AG218" s="1019">
        <f t="shared" si="65"/>
        <v>7697995</v>
      </c>
      <c r="AH218" s="1014">
        <v>47.5</v>
      </c>
      <c r="AI218" s="1014">
        <v>0</v>
      </c>
      <c r="AJ218" s="1014">
        <v>0</v>
      </c>
      <c r="AK218" s="1018">
        <v>0</v>
      </c>
      <c r="AL218" s="1020">
        <v>0</v>
      </c>
      <c r="AM218" s="1013">
        <f t="shared" si="53"/>
        <v>2100162</v>
      </c>
      <c r="AN218" s="1045">
        <f t="shared" si="67"/>
        <v>9798157</v>
      </c>
      <c r="AO218" s="1013">
        <v>643755</v>
      </c>
      <c r="AP218" s="1013">
        <v>44100</v>
      </c>
      <c r="AQ218" s="1013">
        <v>0</v>
      </c>
      <c r="AR218" s="1013">
        <v>0</v>
      </c>
      <c r="AS218" s="1013">
        <v>0</v>
      </c>
      <c r="AT218" s="1045">
        <f t="shared" si="50"/>
        <v>9110302</v>
      </c>
      <c r="AU218" s="1004"/>
      <c r="AV218" s="870"/>
      <c r="AW218" s="782" t="s">
        <v>3735</v>
      </c>
      <c r="AX218" s="782" t="s">
        <v>3736</v>
      </c>
      <c r="AY218" s="1007" t="s">
        <v>287</v>
      </c>
      <c r="AZ218" s="1007">
        <v>622</v>
      </c>
      <c r="BA218" s="347" t="str">
        <f t="shared" si="54"/>
        <v>Box</v>
      </c>
      <c r="BB218" s="1008"/>
      <c r="BC218" s="1009"/>
      <c r="BD218" s="1009"/>
    </row>
    <row r="219" spans="1:56" s="1010" customFormat="1" ht="36.75" customHeight="1">
      <c r="A219" s="661">
        <f>SUBTOTAL(3,B$6:B219)</f>
        <v>214</v>
      </c>
      <c r="B219" s="661" t="s">
        <v>1222</v>
      </c>
      <c r="C219" s="662" t="s">
        <v>1223</v>
      </c>
      <c r="D219" s="1011">
        <v>40949</v>
      </c>
      <c r="E219" s="1011" t="s">
        <v>216</v>
      </c>
      <c r="F219" s="787" t="s">
        <v>698</v>
      </c>
      <c r="G219" s="996" t="s">
        <v>1202</v>
      </c>
      <c r="H219" s="1012">
        <v>5931000</v>
      </c>
      <c r="I219" s="1012">
        <v>200000</v>
      </c>
      <c r="J219" s="1012">
        <v>0</v>
      </c>
      <c r="K219" s="1012">
        <v>0</v>
      </c>
      <c r="L219" s="1013">
        <f t="shared" si="0"/>
        <v>6131000</v>
      </c>
      <c r="M219" s="1014">
        <v>14</v>
      </c>
      <c r="N219" s="1013">
        <f t="shared" ref="N219:N227" si="68">ROUND((H219+I219+J219+K219)/IF($M$2&gt;26,26,$M$2)*M219,0)</f>
        <v>3301308</v>
      </c>
      <c r="O219" s="1015">
        <v>2</v>
      </c>
      <c r="P219" s="1013">
        <f t="shared" ref="P219:P227" si="69">ROUND((H219+I219+J219+K219)/IF($M$2&gt;26,26,$M$2)*O219,0)</f>
        <v>471615</v>
      </c>
      <c r="Q219" s="1016">
        <v>0</v>
      </c>
      <c r="R219" s="1013">
        <f t="shared" ref="R219:R227" si="70">IF(M219&gt;0,ROUND(N219/IF(M219&gt;26,26,M219)/8*Q219*30%,0),0)</f>
        <v>0</v>
      </c>
      <c r="S219" s="1013">
        <f t="shared" ref="S219:S227" si="71">N219+P219+R219</f>
        <v>3772923</v>
      </c>
      <c r="T219" s="1017">
        <v>0</v>
      </c>
      <c r="U219" s="785">
        <v>0</v>
      </c>
      <c r="V219" s="785">
        <v>200000</v>
      </c>
      <c r="W219" s="1017">
        <v>0</v>
      </c>
      <c r="X219" s="1017">
        <v>0</v>
      </c>
      <c r="Y219" s="1017">
        <v>0</v>
      </c>
      <c r="Z219" s="1017">
        <v>229937</v>
      </c>
      <c r="AA219" s="1018"/>
      <c r="AB219" s="1013"/>
      <c r="AC219" s="1017">
        <v>0</v>
      </c>
      <c r="AD219" s="1017">
        <v>0</v>
      </c>
      <c r="AE219" s="1013">
        <v>44213.946428571428</v>
      </c>
      <c r="AF219" s="1019"/>
      <c r="AG219" s="1019">
        <f t="shared" si="1"/>
        <v>4247074</v>
      </c>
      <c r="AH219" s="1014">
        <v>28</v>
      </c>
      <c r="AI219" s="1014">
        <v>0</v>
      </c>
      <c r="AJ219" s="1014">
        <v>0</v>
      </c>
      <c r="AK219" s="1018">
        <v>0</v>
      </c>
      <c r="AL219" s="1020">
        <v>0</v>
      </c>
      <c r="AM219" s="1013">
        <f t="shared" si="53"/>
        <v>1237991</v>
      </c>
      <c r="AN219" s="1045">
        <f t="shared" si="3"/>
        <v>5485065</v>
      </c>
      <c r="AO219" s="1013">
        <v>643755</v>
      </c>
      <c r="AP219" s="1013">
        <v>44100</v>
      </c>
      <c r="AQ219" s="1013">
        <v>0</v>
      </c>
      <c r="AR219" s="1013">
        <v>0</v>
      </c>
      <c r="AS219" s="1013">
        <v>0</v>
      </c>
      <c r="AT219" s="1045">
        <f t="shared" si="50"/>
        <v>4797210</v>
      </c>
      <c r="AU219" s="1004"/>
      <c r="AV219" s="870"/>
      <c r="AW219" s="782" t="s">
        <v>3737</v>
      </c>
      <c r="AX219" s="782" t="s">
        <v>3738</v>
      </c>
      <c r="AY219" s="1007" t="s">
        <v>287</v>
      </c>
      <c r="AZ219" s="1007">
        <v>622</v>
      </c>
      <c r="BA219" s="347" t="str">
        <f t="shared" si="54"/>
        <v>Box</v>
      </c>
      <c r="BB219" s="1008"/>
      <c r="BC219" s="1009"/>
      <c r="BD219" s="1009"/>
    </row>
    <row r="220" spans="1:56" s="1010" customFormat="1" ht="36.75" customHeight="1">
      <c r="A220" s="661">
        <f>SUBTOTAL(3,B$6:B220)</f>
        <v>215</v>
      </c>
      <c r="B220" s="661" t="s">
        <v>1224</v>
      </c>
      <c r="C220" s="662" t="s">
        <v>1225</v>
      </c>
      <c r="D220" s="1011">
        <v>41326</v>
      </c>
      <c r="E220" s="1011" t="s">
        <v>216</v>
      </c>
      <c r="F220" s="787" t="s">
        <v>698</v>
      </c>
      <c r="G220" s="996" t="s">
        <v>1202</v>
      </c>
      <c r="H220" s="1012">
        <v>5931000</v>
      </c>
      <c r="I220" s="1012">
        <v>200000</v>
      </c>
      <c r="J220" s="1012">
        <v>0</v>
      </c>
      <c r="K220" s="1012">
        <v>0</v>
      </c>
      <c r="L220" s="1013">
        <f t="shared" si="0"/>
        <v>6131000</v>
      </c>
      <c r="M220" s="1014">
        <v>23.6</v>
      </c>
      <c r="N220" s="1013">
        <f t="shared" si="68"/>
        <v>5565062</v>
      </c>
      <c r="O220" s="1015">
        <v>2</v>
      </c>
      <c r="P220" s="1013">
        <f t="shared" si="69"/>
        <v>471615</v>
      </c>
      <c r="Q220" s="1016">
        <v>0</v>
      </c>
      <c r="R220" s="1013">
        <f t="shared" si="70"/>
        <v>0</v>
      </c>
      <c r="S220" s="1013">
        <f t="shared" si="71"/>
        <v>6036677</v>
      </c>
      <c r="T220" s="1017">
        <v>0</v>
      </c>
      <c r="U220" s="785">
        <v>0</v>
      </c>
      <c r="V220" s="785">
        <v>200000</v>
      </c>
      <c r="W220" s="1017">
        <v>500000</v>
      </c>
      <c r="X220" s="1017">
        <v>0</v>
      </c>
      <c r="Y220" s="1017">
        <v>400000</v>
      </c>
      <c r="Z220" s="1017">
        <v>415421</v>
      </c>
      <c r="AA220" s="1018"/>
      <c r="AB220" s="1013"/>
      <c r="AC220" s="1017">
        <v>0</v>
      </c>
      <c r="AD220" s="1017">
        <v>0</v>
      </c>
      <c r="AE220" s="1013">
        <v>44213.945974576272</v>
      </c>
      <c r="AF220" s="1019"/>
      <c r="AG220" s="1019">
        <f t="shared" si="1"/>
        <v>7596312</v>
      </c>
      <c r="AH220" s="1014">
        <v>48</v>
      </c>
      <c r="AI220" s="1014">
        <v>0</v>
      </c>
      <c r="AJ220" s="1014">
        <v>0</v>
      </c>
      <c r="AK220" s="1018">
        <v>0</v>
      </c>
      <c r="AL220" s="1020">
        <v>0</v>
      </c>
      <c r="AM220" s="1013">
        <f t="shared" si="53"/>
        <v>2122269</v>
      </c>
      <c r="AN220" s="1045">
        <f t="shared" si="3"/>
        <v>9718581</v>
      </c>
      <c r="AO220" s="1013">
        <v>643755</v>
      </c>
      <c r="AP220" s="1013">
        <v>44100</v>
      </c>
      <c r="AQ220" s="1013">
        <v>0</v>
      </c>
      <c r="AR220" s="1013">
        <v>0</v>
      </c>
      <c r="AS220" s="1013">
        <v>0</v>
      </c>
      <c r="AT220" s="1045">
        <f t="shared" si="50"/>
        <v>9030726</v>
      </c>
      <c r="AU220" s="1004"/>
      <c r="AV220" s="870"/>
      <c r="AW220" s="782" t="s">
        <v>3739</v>
      </c>
      <c r="AX220" s="782" t="s">
        <v>3740</v>
      </c>
      <c r="AY220" s="1007" t="s">
        <v>287</v>
      </c>
      <c r="AZ220" s="1007">
        <v>622</v>
      </c>
      <c r="BA220" s="347" t="str">
        <f t="shared" si="54"/>
        <v>Box</v>
      </c>
      <c r="BB220" s="1008"/>
      <c r="BC220" s="1009"/>
      <c r="BD220" s="1009"/>
    </row>
    <row r="221" spans="1:56" s="1010" customFormat="1" ht="36.75" customHeight="1">
      <c r="A221" s="661">
        <f>SUBTOTAL(3,B$6:B221)</f>
        <v>216</v>
      </c>
      <c r="B221" s="661" t="s">
        <v>1226</v>
      </c>
      <c r="C221" s="662" t="s">
        <v>1227</v>
      </c>
      <c r="D221" s="1011">
        <v>41348</v>
      </c>
      <c r="E221" s="1011" t="s">
        <v>216</v>
      </c>
      <c r="F221" s="787" t="s">
        <v>698</v>
      </c>
      <c r="G221" s="996" t="s">
        <v>850</v>
      </c>
      <c r="H221" s="1012">
        <v>5931000</v>
      </c>
      <c r="I221" s="1012">
        <v>700000</v>
      </c>
      <c r="J221" s="1012">
        <v>0</v>
      </c>
      <c r="K221" s="1012">
        <v>0</v>
      </c>
      <c r="L221" s="1013">
        <f t="shared" si="0"/>
        <v>6631000</v>
      </c>
      <c r="M221" s="1014">
        <v>24</v>
      </c>
      <c r="N221" s="1013">
        <f t="shared" si="68"/>
        <v>6120923</v>
      </c>
      <c r="O221" s="1015">
        <v>2</v>
      </c>
      <c r="P221" s="1013">
        <f t="shared" si="69"/>
        <v>510077</v>
      </c>
      <c r="Q221" s="1016">
        <v>0</v>
      </c>
      <c r="R221" s="1013">
        <f t="shared" si="70"/>
        <v>0</v>
      </c>
      <c r="S221" s="1013">
        <f t="shared" si="71"/>
        <v>6631000</v>
      </c>
      <c r="T221" s="1017">
        <v>0</v>
      </c>
      <c r="U221" s="785">
        <v>0</v>
      </c>
      <c r="V221" s="785">
        <v>200000</v>
      </c>
      <c r="W221" s="1017">
        <v>500000</v>
      </c>
      <c r="X221" s="1017">
        <v>0</v>
      </c>
      <c r="Y221" s="1017">
        <v>400000</v>
      </c>
      <c r="Z221" s="1017">
        <v>353901</v>
      </c>
      <c r="AA221" s="1018"/>
      <c r="AB221" s="1013"/>
      <c r="AC221" s="1017">
        <v>0</v>
      </c>
      <c r="AD221" s="1017">
        <v>0</v>
      </c>
      <c r="AE221" s="1013">
        <v>47819.7109375</v>
      </c>
      <c r="AF221" s="1019"/>
      <c r="AG221" s="1019">
        <f t="shared" si="1"/>
        <v>8132721</v>
      </c>
      <c r="AH221" s="1014">
        <v>48</v>
      </c>
      <c r="AI221" s="1014">
        <v>0</v>
      </c>
      <c r="AJ221" s="1014">
        <v>0</v>
      </c>
      <c r="AK221" s="1018">
        <v>0</v>
      </c>
      <c r="AL221" s="1020">
        <v>0</v>
      </c>
      <c r="AM221" s="1013">
        <f t="shared" si="53"/>
        <v>2295346</v>
      </c>
      <c r="AN221" s="1045">
        <f t="shared" si="3"/>
        <v>10428067</v>
      </c>
      <c r="AO221" s="1013">
        <v>696255</v>
      </c>
      <c r="AP221" s="1013">
        <v>44100</v>
      </c>
      <c r="AQ221" s="1013">
        <v>0</v>
      </c>
      <c r="AR221" s="1013">
        <v>0</v>
      </c>
      <c r="AS221" s="1013">
        <v>0</v>
      </c>
      <c r="AT221" s="1045">
        <f t="shared" si="50"/>
        <v>9687712</v>
      </c>
      <c r="AU221" s="1004"/>
      <c r="AV221" s="870"/>
      <c r="AW221" s="782" t="s">
        <v>3741</v>
      </c>
      <c r="AX221" s="782" t="s">
        <v>3742</v>
      </c>
      <c r="AY221" s="1007" t="s">
        <v>287</v>
      </c>
      <c r="AZ221" s="1007">
        <v>622</v>
      </c>
      <c r="BA221" s="347" t="str">
        <f t="shared" si="54"/>
        <v>Box</v>
      </c>
      <c r="BB221" s="1008"/>
      <c r="BC221" s="1009"/>
      <c r="BD221" s="1009"/>
    </row>
    <row r="222" spans="1:56" s="1010" customFormat="1" ht="36.75" customHeight="1">
      <c r="A222" s="661">
        <f>SUBTOTAL(3,B$6:B222)</f>
        <v>217</v>
      </c>
      <c r="B222" s="661" t="s">
        <v>1228</v>
      </c>
      <c r="C222" s="662" t="s">
        <v>1229</v>
      </c>
      <c r="D222" s="1011">
        <v>41400</v>
      </c>
      <c r="E222" s="1011" t="s">
        <v>216</v>
      </c>
      <c r="F222" s="787" t="s">
        <v>698</v>
      </c>
      <c r="G222" s="996" t="s">
        <v>1202</v>
      </c>
      <c r="H222" s="1012">
        <v>5931000</v>
      </c>
      <c r="I222" s="1012">
        <v>200000</v>
      </c>
      <c r="J222" s="1012">
        <v>0</v>
      </c>
      <c r="K222" s="1012">
        <v>0</v>
      </c>
      <c r="L222" s="1013">
        <f t="shared" si="0"/>
        <v>6131000</v>
      </c>
      <c r="M222" s="1014">
        <v>22.8</v>
      </c>
      <c r="N222" s="1013">
        <f t="shared" si="68"/>
        <v>5376415</v>
      </c>
      <c r="O222" s="1015">
        <v>3</v>
      </c>
      <c r="P222" s="1013">
        <f t="shared" si="69"/>
        <v>707423</v>
      </c>
      <c r="Q222" s="1016">
        <v>0</v>
      </c>
      <c r="R222" s="1013">
        <f t="shared" si="70"/>
        <v>0</v>
      </c>
      <c r="S222" s="1013">
        <f t="shared" si="71"/>
        <v>6083838</v>
      </c>
      <c r="T222" s="1017">
        <v>0</v>
      </c>
      <c r="U222" s="785">
        <v>0</v>
      </c>
      <c r="V222" s="785">
        <v>200000</v>
      </c>
      <c r="W222" s="1017">
        <v>500000</v>
      </c>
      <c r="X222" s="1017">
        <v>0</v>
      </c>
      <c r="Y222" s="1017">
        <v>400000</v>
      </c>
      <c r="Z222" s="1017">
        <v>396644</v>
      </c>
      <c r="AA222" s="1018"/>
      <c r="AB222" s="1013"/>
      <c r="AC222" s="1017">
        <v>0</v>
      </c>
      <c r="AD222" s="1017">
        <v>0</v>
      </c>
      <c r="AE222" s="1013">
        <v>44213.93914473684</v>
      </c>
      <c r="AF222" s="1019"/>
      <c r="AG222" s="1019">
        <f t="shared" si="1"/>
        <v>7624696</v>
      </c>
      <c r="AH222" s="1014">
        <v>48</v>
      </c>
      <c r="AI222" s="1014">
        <v>0</v>
      </c>
      <c r="AJ222" s="1014">
        <v>0</v>
      </c>
      <c r="AK222" s="1018">
        <v>0</v>
      </c>
      <c r="AL222" s="1020">
        <v>0</v>
      </c>
      <c r="AM222" s="1013">
        <f t="shared" si="53"/>
        <v>2122269</v>
      </c>
      <c r="AN222" s="1045">
        <f t="shared" si="3"/>
        <v>9746965</v>
      </c>
      <c r="AO222" s="1013">
        <v>643755</v>
      </c>
      <c r="AP222" s="1013">
        <v>44100</v>
      </c>
      <c r="AQ222" s="1013">
        <v>0</v>
      </c>
      <c r="AR222" s="1013">
        <v>0</v>
      </c>
      <c r="AS222" s="1013">
        <v>0</v>
      </c>
      <c r="AT222" s="1045">
        <f t="shared" si="50"/>
        <v>9059110</v>
      </c>
      <c r="AU222" s="1004"/>
      <c r="AV222" s="870"/>
      <c r="AW222" s="782" t="s">
        <v>3743</v>
      </c>
      <c r="AX222" s="782" t="s">
        <v>3744</v>
      </c>
      <c r="AY222" s="1007" t="s">
        <v>287</v>
      </c>
      <c r="AZ222" s="1007">
        <v>622</v>
      </c>
      <c r="BA222" s="347" t="str">
        <f t="shared" si="54"/>
        <v>Box</v>
      </c>
      <c r="BB222" s="1008"/>
      <c r="BC222" s="1009"/>
      <c r="BD222" s="1009"/>
    </row>
    <row r="223" spans="1:56" s="1010" customFormat="1" ht="36.75" customHeight="1">
      <c r="A223" s="661">
        <f>SUBTOTAL(3,B$6:B223)</f>
        <v>218</v>
      </c>
      <c r="B223" s="661" t="s">
        <v>1230</v>
      </c>
      <c r="C223" s="662" t="s">
        <v>1231</v>
      </c>
      <c r="D223" s="1011">
        <v>41705</v>
      </c>
      <c r="E223" s="1011" t="s">
        <v>216</v>
      </c>
      <c r="F223" s="787" t="s">
        <v>698</v>
      </c>
      <c r="G223" s="996" t="s">
        <v>1232</v>
      </c>
      <c r="H223" s="1012">
        <v>5931000</v>
      </c>
      <c r="I223" s="1012">
        <v>200000</v>
      </c>
      <c r="J223" s="1012">
        <v>0</v>
      </c>
      <c r="K223" s="1012">
        <v>0</v>
      </c>
      <c r="L223" s="1013">
        <f t="shared" si="0"/>
        <v>6131000</v>
      </c>
      <c r="M223" s="1014">
        <v>24</v>
      </c>
      <c r="N223" s="1013">
        <f t="shared" si="68"/>
        <v>5659385</v>
      </c>
      <c r="O223" s="1015">
        <v>2</v>
      </c>
      <c r="P223" s="1013">
        <f t="shared" si="69"/>
        <v>471615</v>
      </c>
      <c r="Q223" s="1016">
        <v>0</v>
      </c>
      <c r="R223" s="1013">
        <f t="shared" si="70"/>
        <v>0</v>
      </c>
      <c r="S223" s="1013">
        <f t="shared" si="71"/>
        <v>6131000</v>
      </c>
      <c r="T223" s="1017">
        <v>0</v>
      </c>
      <c r="U223" s="785">
        <v>0</v>
      </c>
      <c r="V223" s="785">
        <v>200000</v>
      </c>
      <c r="W223" s="1017">
        <v>500000</v>
      </c>
      <c r="X223" s="1017">
        <v>0</v>
      </c>
      <c r="Y223" s="1017">
        <v>400000</v>
      </c>
      <c r="Z223" s="1017">
        <v>415904</v>
      </c>
      <c r="AA223" s="1018"/>
      <c r="AB223" s="1013"/>
      <c r="AC223" s="1017">
        <v>100000</v>
      </c>
      <c r="AD223" s="1017">
        <v>0</v>
      </c>
      <c r="AE223" s="1013">
        <v>44213.9453125</v>
      </c>
      <c r="AF223" s="1019"/>
      <c r="AG223" s="1019">
        <f t="shared" si="1"/>
        <v>7791118</v>
      </c>
      <c r="AH223" s="1014">
        <v>52</v>
      </c>
      <c r="AI223" s="1014">
        <v>0</v>
      </c>
      <c r="AJ223" s="1014">
        <v>0</v>
      </c>
      <c r="AK223" s="1018">
        <v>0</v>
      </c>
      <c r="AL223" s="1020">
        <v>0</v>
      </c>
      <c r="AM223" s="1013">
        <f t="shared" si="53"/>
        <v>2299125</v>
      </c>
      <c r="AN223" s="1045">
        <f t="shared" si="3"/>
        <v>10090243</v>
      </c>
      <c r="AO223" s="1013">
        <v>643755</v>
      </c>
      <c r="AP223" s="1013">
        <v>44100</v>
      </c>
      <c r="AQ223" s="1013">
        <v>0</v>
      </c>
      <c r="AR223" s="1013">
        <v>0</v>
      </c>
      <c r="AS223" s="1013">
        <v>0</v>
      </c>
      <c r="AT223" s="1045">
        <f t="shared" si="50"/>
        <v>9402388</v>
      </c>
      <c r="AU223" s="1004"/>
      <c r="AV223" s="870"/>
      <c r="AW223" s="782" t="s">
        <v>3745</v>
      </c>
      <c r="AX223" s="782" t="s">
        <v>3746</v>
      </c>
      <c r="AY223" s="1007" t="s">
        <v>287</v>
      </c>
      <c r="AZ223" s="1007">
        <v>622</v>
      </c>
      <c r="BA223" s="347" t="str">
        <f t="shared" si="54"/>
        <v>Box</v>
      </c>
      <c r="BB223" s="1008"/>
      <c r="BC223" s="1009"/>
      <c r="BD223" s="1009"/>
    </row>
    <row r="224" spans="1:56" s="1010" customFormat="1" ht="36.75" customHeight="1">
      <c r="A224" s="661">
        <f>SUBTOTAL(3,B$6:B224)</f>
        <v>219</v>
      </c>
      <c r="B224" s="661" t="s">
        <v>1233</v>
      </c>
      <c r="C224" s="662" t="s">
        <v>1234</v>
      </c>
      <c r="D224" s="1011">
        <v>43398</v>
      </c>
      <c r="E224" s="1011" t="s">
        <v>216</v>
      </c>
      <c r="F224" s="787" t="s">
        <v>698</v>
      </c>
      <c r="G224" s="996" t="s">
        <v>1202</v>
      </c>
      <c r="H224" s="1012">
        <v>5931000</v>
      </c>
      <c r="I224" s="1012">
        <v>200000</v>
      </c>
      <c r="J224" s="1012">
        <v>0</v>
      </c>
      <c r="K224" s="1012">
        <v>0</v>
      </c>
      <c r="L224" s="1013">
        <f t="shared" si="0"/>
        <v>6131000</v>
      </c>
      <c r="M224" s="1014">
        <v>21</v>
      </c>
      <c r="N224" s="1013">
        <f t="shared" si="68"/>
        <v>4951962</v>
      </c>
      <c r="O224" s="1015">
        <v>3</v>
      </c>
      <c r="P224" s="1013">
        <f t="shared" si="69"/>
        <v>707423</v>
      </c>
      <c r="Q224" s="1016">
        <v>0</v>
      </c>
      <c r="R224" s="1013">
        <f t="shared" si="70"/>
        <v>0</v>
      </c>
      <c r="S224" s="1013">
        <f t="shared" si="71"/>
        <v>5659385</v>
      </c>
      <c r="T224" s="1017">
        <v>0</v>
      </c>
      <c r="U224" s="785">
        <v>0</v>
      </c>
      <c r="V224" s="785">
        <v>200000</v>
      </c>
      <c r="W224" s="1017">
        <v>0</v>
      </c>
      <c r="X224" s="1017">
        <v>0</v>
      </c>
      <c r="Y224" s="1017">
        <v>0</v>
      </c>
      <c r="Z224" s="1017">
        <v>366506</v>
      </c>
      <c r="AA224" s="1018"/>
      <c r="AB224" s="1013"/>
      <c r="AC224" s="1017">
        <v>100000</v>
      </c>
      <c r="AD224" s="1017">
        <v>0</v>
      </c>
      <c r="AE224" s="1013">
        <v>44213.946428571428</v>
      </c>
      <c r="AF224" s="1019"/>
      <c r="AG224" s="1019">
        <f t="shared" si="1"/>
        <v>6370105</v>
      </c>
      <c r="AH224" s="1014">
        <v>36</v>
      </c>
      <c r="AI224" s="1014">
        <v>0</v>
      </c>
      <c r="AJ224" s="1014">
        <v>0</v>
      </c>
      <c r="AK224" s="1018">
        <v>0</v>
      </c>
      <c r="AL224" s="1020">
        <v>0</v>
      </c>
      <c r="AM224" s="1013">
        <f t="shared" si="53"/>
        <v>1591702</v>
      </c>
      <c r="AN224" s="1045">
        <f t="shared" si="3"/>
        <v>7961807</v>
      </c>
      <c r="AO224" s="1013">
        <v>643755</v>
      </c>
      <c r="AP224" s="1013">
        <v>44100</v>
      </c>
      <c r="AQ224" s="1013">
        <v>0</v>
      </c>
      <c r="AR224" s="1013">
        <v>0</v>
      </c>
      <c r="AS224" s="1013">
        <v>0</v>
      </c>
      <c r="AT224" s="1045">
        <f t="shared" si="50"/>
        <v>7273952</v>
      </c>
      <c r="AU224" s="1004"/>
      <c r="AV224" s="870"/>
      <c r="AW224" s="782" t="s">
        <v>3747</v>
      </c>
      <c r="AX224" s="782" t="s">
        <v>3748</v>
      </c>
      <c r="AY224" s="1007" t="s">
        <v>287</v>
      </c>
      <c r="AZ224" s="1007">
        <v>622</v>
      </c>
      <c r="BA224" s="347" t="str">
        <f t="shared" si="54"/>
        <v>Box</v>
      </c>
      <c r="BB224" s="1008"/>
      <c r="BC224" s="1009"/>
      <c r="BD224" s="1009"/>
    </row>
    <row r="225" spans="1:56" s="1010" customFormat="1" ht="36.75" customHeight="1">
      <c r="A225" s="661">
        <f>SUBTOTAL(3,B$6:B225)</f>
        <v>220</v>
      </c>
      <c r="B225" s="661" t="s">
        <v>1235</v>
      </c>
      <c r="C225" s="662" t="s">
        <v>1236</v>
      </c>
      <c r="D225" s="1011">
        <v>43453</v>
      </c>
      <c r="E225" s="1011" t="s">
        <v>216</v>
      </c>
      <c r="F225" s="787" t="s">
        <v>698</v>
      </c>
      <c r="G225" s="996" t="s">
        <v>797</v>
      </c>
      <c r="H225" s="1012">
        <v>5931000</v>
      </c>
      <c r="I225" s="1012">
        <v>0</v>
      </c>
      <c r="J225" s="1012">
        <v>0</v>
      </c>
      <c r="K225" s="1012">
        <v>0</v>
      </c>
      <c r="L225" s="1013">
        <f t="shared" si="0"/>
        <v>5931000</v>
      </c>
      <c r="M225" s="1014">
        <v>24</v>
      </c>
      <c r="N225" s="1013">
        <f t="shared" si="68"/>
        <v>5474769</v>
      </c>
      <c r="O225" s="1015">
        <v>2</v>
      </c>
      <c r="P225" s="1013">
        <f t="shared" si="69"/>
        <v>456231</v>
      </c>
      <c r="Q225" s="1016">
        <v>0</v>
      </c>
      <c r="R225" s="1013">
        <f t="shared" si="70"/>
        <v>0</v>
      </c>
      <c r="S225" s="1013">
        <f t="shared" si="71"/>
        <v>5931000</v>
      </c>
      <c r="T225" s="1017">
        <v>0</v>
      </c>
      <c r="U225" s="785">
        <v>0</v>
      </c>
      <c r="V225" s="785">
        <v>200000</v>
      </c>
      <c r="W225" s="1017">
        <v>500000</v>
      </c>
      <c r="X225" s="1017">
        <v>0</v>
      </c>
      <c r="Y225" s="1017">
        <v>400000</v>
      </c>
      <c r="Z225" s="1017">
        <v>415210</v>
      </c>
      <c r="AA225" s="1018"/>
      <c r="AB225" s="1013"/>
      <c r="AC225" s="1017">
        <v>0</v>
      </c>
      <c r="AD225" s="1017">
        <v>0</v>
      </c>
      <c r="AE225" s="1013">
        <v>42771.6328125</v>
      </c>
      <c r="AF225" s="1019"/>
      <c r="AG225" s="1019">
        <f t="shared" si="1"/>
        <v>7488982</v>
      </c>
      <c r="AH225" s="1014">
        <v>48</v>
      </c>
      <c r="AI225" s="1014">
        <v>0</v>
      </c>
      <c r="AJ225" s="1014">
        <v>0</v>
      </c>
      <c r="AK225" s="1018">
        <v>0</v>
      </c>
      <c r="AL225" s="1020">
        <v>0</v>
      </c>
      <c r="AM225" s="1013">
        <f t="shared" si="53"/>
        <v>2053038</v>
      </c>
      <c r="AN225" s="1045">
        <f>ROUND(AG225+AM225,0)</f>
        <v>9542020</v>
      </c>
      <c r="AO225" s="1013">
        <v>622755</v>
      </c>
      <c r="AP225" s="1013">
        <v>44100</v>
      </c>
      <c r="AQ225" s="1013">
        <v>0</v>
      </c>
      <c r="AR225" s="1013">
        <v>0</v>
      </c>
      <c r="AS225" s="1013">
        <v>0</v>
      </c>
      <c r="AT225" s="1045">
        <f t="shared" si="50"/>
        <v>8875165</v>
      </c>
      <c r="AU225" s="1004"/>
      <c r="AV225" s="870"/>
      <c r="AW225" s="782" t="s">
        <v>3749</v>
      </c>
      <c r="AX225" s="782" t="s">
        <v>3750</v>
      </c>
      <c r="AY225" s="1007" t="s">
        <v>287</v>
      </c>
      <c r="AZ225" s="1007">
        <v>622</v>
      </c>
      <c r="BA225" s="347" t="str">
        <f t="shared" si="54"/>
        <v>Box</v>
      </c>
      <c r="BB225" s="1008"/>
      <c r="BC225" s="1009"/>
      <c r="BD225" s="1009"/>
    </row>
    <row r="226" spans="1:56" s="1010" customFormat="1" ht="36.75" customHeight="1">
      <c r="A226" s="661">
        <f>SUBTOTAL(3,B$6:B226)</f>
        <v>221</v>
      </c>
      <c r="B226" s="661" t="s">
        <v>1237</v>
      </c>
      <c r="C226" s="662" t="s">
        <v>1238</v>
      </c>
      <c r="D226" s="1011">
        <v>44658</v>
      </c>
      <c r="E226" s="1011" t="s">
        <v>216</v>
      </c>
      <c r="F226" s="787" t="s">
        <v>238</v>
      </c>
      <c r="G226" s="996" t="s">
        <v>992</v>
      </c>
      <c r="H226" s="1012">
        <v>5931000</v>
      </c>
      <c r="I226" s="1012">
        <v>800000</v>
      </c>
      <c r="J226" s="1012">
        <v>298000</v>
      </c>
      <c r="K226" s="1012">
        <v>200000</v>
      </c>
      <c r="L226" s="1013">
        <f t="shared" si="0"/>
        <v>7229000</v>
      </c>
      <c r="M226" s="1014">
        <v>23.8</v>
      </c>
      <c r="N226" s="1013">
        <f t="shared" si="68"/>
        <v>6617315</v>
      </c>
      <c r="O226" s="1015">
        <v>2</v>
      </c>
      <c r="P226" s="1013">
        <f t="shared" si="69"/>
        <v>556077</v>
      </c>
      <c r="Q226" s="1016">
        <v>0</v>
      </c>
      <c r="R226" s="1013">
        <f t="shared" si="70"/>
        <v>0</v>
      </c>
      <c r="S226" s="1013">
        <f t="shared" si="71"/>
        <v>7173392</v>
      </c>
      <c r="T226" s="1017">
        <v>0</v>
      </c>
      <c r="U226" s="785">
        <v>0</v>
      </c>
      <c r="V226" s="785">
        <v>200000</v>
      </c>
      <c r="W226" s="1017">
        <v>500000</v>
      </c>
      <c r="X226" s="1017">
        <v>0</v>
      </c>
      <c r="Y226" s="1017">
        <v>400000</v>
      </c>
      <c r="Z226" s="1017">
        <v>411209</v>
      </c>
      <c r="AA226" s="1018"/>
      <c r="AB226" s="1013"/>
      <c r="AC226" s="1017">
        <v>0</v>
      </c>
      <c r="AD226" s="1017">
        <v>0</v>
      </c>
      <c r="AE226" s="1013">
        <v>0</v>
      </c>
      <c r="AF226" s="1019"/>
      <c r="AG226" s="1019">
        <f t="shared" si="1"/>
        <v>8684601</v>
      </c>
      <c r="AH226" s="1014">
        <v>52</v>
      </c>
      <c r="AI226" s="1014">
        <v>0</v>
      </c>
      <c r="AJ226" s="1014">
        <v>0</v>
      </c>
      <c r="AK226" s="1018">
        <v>0</v>
      </c>
      <c r="AL226" s="1020">
        <v>0</v>
      </c>
      <c r="AM226" s="1013">
        <f t="shared" si="53"/>
        <v>2710875</v>
      </c>
      <c r="AN226" s="1045">
        <f t="shared" ref="AN226:AN227" si="72">ROUND(AG226+AM226,0)</f>
        <v>11395476</v>
      </c>
      <c r="AO226" s="1013">
        <v>759045</v>
      </c>
      <c r="AP226" s="1013">
        <v>44100</v>
      </c>
      <c r="AQ226" s="1013">
        <v>0</v>
      </c>
      <c r="AR226" s="1013">
        <v>0</v>
      </c>
      <c r="AS226" s="1013">
        <v>0</v>
      </c>
      <c r="AT226" s="1045">
        <f t="shared" si="50"/>
        <v>10592331</v>
      </c>
      <c r="AU226" s="1004"/>
      <c r="AV226" s="870"/>
      <c r="AW226" s="782" t="s">
        <v>3751</v>
      </c>
      <c r="AX226" s="782" t="s">
        <v>3752</v>
      </c>
      <c r="AY226" s="1007" t="s">
        <v>287</v>
      </c>
      <c r="AZ226" s="1007">
        <v>622</v>
      </c>
      <c r="BA226" s="347" t="str">
        <f t="shared" si="54"/>
        <v>Box</v>
      </c>
      <c r="BB226" s="1008"/>
      <c r="BC226" s="1009"/>
      <c r="BD226" s="1009"/>
    </row>
    <row r="227" spans="1:56" s="1010" customFormat="1" ht="36.75" customHeight="1">
      <c r="A227" s="661">
        <f>SUBTOTAL(3,B$6:B227)</f>
        <v>222</v>
      </c>
      <c r="B227" s="661" t="s">
        <v>1239</v>
      </c>
      <c r="C227" s="662" t="s">
        <v>1240</v>
      </c>
      <c r="D227" s="1011">
        <v>41698</v>
      </c>
      <c r="E227" s="1011" t="s">
        <v>216</v>
      </c>
      <c r="F227" s="787" t="s">
        <v>238</v>
      </c>
      <c r="G227" s="996" t="s">
        <v>810</v>
      </c>
      <c r="H227" s="1012">
        <v>5931000</v>
      </c>
      <c r="I227" s="1012">
        <v>1100000</v>
      </c>
      <c r="J227" s="1012">
        <v>298000</v>
      </c>
      <c r="K227" s="1012">
        <v>700000</v>
      </c>
      <c r="L227" s="1013">
        <f t="shared" si="0"/>
        <v>8029000</v>
      </c>
      <c r="M227" s="1014">
        <v>23.9</v>
      </c>
      <c r="N227" s="1013">
        <f t="shared" si="68"/>
        <v>7380504</v>
      </c>
      <c r="O227" s="1015">
        <v>2</v>
      </c>
      <c r="P227" s="1013">
        <f t="shared" si="69"/>
        <v>617615</v>
      </c>
      <c r="Q227" s="1016">
        <v>0</v>
      </c>
      <c r="R227" s="1013">
        <f t="shared" si="70"/>
        <v>0</v>
      </c>
      <c r="S227" s="1013">
        <f t="shared" si="71"/>
        <v>7998119</v>
      </c>
      <c r="T227" s="1017">
        <v>0</v>
      </c>
      <c r="U227" s="785">
        <v>0</v>
      </c>
      <c r="V227" s="785">
        <v>200000</v>
      </c>
      <c r="W227" s="1017">
        <v>500000</v>
      </c>
      <c r="X227" s="1017">
        <v>0</v>
      </c>
      <c r="Y227" s="1017">
        <v>400000</v>
      </c>
      <c r="Z227" s="1017">
        <v>412936</v>
      </c>
      <c r="AA227" s="1018"/>
      <c r="AB227" s="1013"/>
      <c r="AC227" s="1017">
        <v>0</v>
      </c>
      <c r="AD227" s="1017">
        <v>0</v>
      </c>
      <c r="AE227" s="1013">
        <v>0</v>
      </c>
      <c r="AF227" s="1019"/>
      <c r="AG227" s="1019">
        <f t="shared" si="1"/>
        <v>9511055</v>
      </c>
      <c r="AH227" s="1014">
        <v>52</v>
      </c>
      <c r="AI227" s="1014">
        <v>0</v>
      </c>
      <c r="AJ227" s="1014">
        <v>0</v>
      </c>
      <c r="AK227" s="1018">
        <v>0</v>
      </c>
      <c r="AL227" s="1020">
        <v>0</v>
      </c>
      <c r="AM227" s="1013">
        <f t="shared" si="53"/>
        <v>3010875</v>
      </c>
      <c r="AN227" s="1045">
        <f t="shared" si="72"/>
        <v>12521930</v>
      </c>
      <c r="AO227" s="1013">
        <v>843045</v>
      </c>
      <c r="AP227" s="1013">
        <v>44100</v>
      </c>
      <c r="AQ227" s="1013">
        <v>0</v>
      </c>
      <c r="AR227" s="1013">
        <v>0</v>
      </c>
      <c r="AS227" s="1013">
        <v>0</v>
      </c>
      <c r="AT227" s="1045">
        <f t="shared" si="50"/>
        <v>11634785</v>
      </c>
      <c r="AU227" s="1004"/>
      <c r="AV227" s="870"/>
      <c r="AW227" s="782" t="s">
        <v>3753</v>
      </c>
      <c r="AX227" s="782" t="s">
        <v>3754</v>
      </c>
      <c r="AY227" s="1007" t="s">
        <v>287</v>
      </c>
      <c r="AZ227" s="1007">
        <v>622</v>
      </c>
      <c r="BA227" s="347" t="str">
        <f t="shared" si="54"/>
        <v>Box</v>
      </c>
      <c r="BB227" s="1008"/>
      <c r="BC227" s="1009"/>
      <c r="BD227" s="1009"/>
    </row>
    <row r="228" spans="1:56" s="1010" customFormat="1" ht="36.75" customHeight="1">
      <c r="A228" s="661">
        <f>SUBTOTAL(3,B$6:B228)</f>
        <v>223</v>
      </c>
      <c r="B228" s="661" t="s">
        <v>1241</v>
      </c>
      <c r="C228" s="662" t="s">
        <v>1242</v>
      </c>
      <c r="D228" s="1011">
        <v>43575</v>
      </c>
      <c r="E228" s="1011" t="s">
        <v>216</v>
      </c>
      <c r="F228" s="787" t="s">
        <v>699</v>
      </c>
      <c r="G228" s="996" t="s">
        <v>1172</v>
      </c>
      <c r="H228" s="1012">
        <v>5931000</v>
      </c>
      <c r="I228" s="1012">
        <v>600000</v>
      </c>
      <c r="J228" s="1012">
        <v>0</v>
      </c>
      <c r="K228" s="1012">
        <v>0</v>
      </c>
      <c r="L228" s="1013">
        <f t="shared" ref="L228:L240" si="73">SUM(H228:K228)</f>
        <v>6531000</v>
      </c>
      <c r="M228" s="1014">
        <v>23.7</v>
      </c>
      <c r="N228" s="1013">
        <f t="shared" ref="N228:N240" si="74">ROUND((H228+I228+J228+K228)/IF($M$2&gt;26,26,$M$2)*M228,0)</f>
        <v>5953258</v>
      </c>
      <c r="O228" s="1015">
        <v>2</v>
      </c>
      <c r="P228" s="1013">
        <f t="shared" ref="P228:P240" si="75">ROUND((H228+I228+J228+K228)/IF($M$2&gt;26,26,$M$2)*O228,0)</f>
        <v>502385</v>
      </c>
      <c r="Q228" s="1016">
        <v>0</v>
      </c>
      <c r="R228" s="1013">
        <f t="shared" ref="R228:R240" si="76">IF(M228&gt;0,ROUND(N228/IF(M228&gt;26,26,M228)/8*Q228*30%,0),0)</f>
        <v>0</v>
      </c>
      <c r="S228" s="1013">
        <f t="shared" ref="S228:S240" si="77">N228+P228+R228</f>
        <v>6455643</v>
      </c>
      <c r="T228" s="1017">
        <v>0</v>
      </c>
      <c r="U228" s="785">
        <v>0</v>
      </c>
      <c r="V228" s="785">
        <v>200000</v>
      </c>
      <c r="W228" s="1017">
        <v>500000</v>
      </c>
      <c r="X228" s="1017">
        <v>0</v>
      </c>
      <c r="Y228" s="1017">
        <v>400000</v>
      </c>
      <c r="Z228" s="1017">
        <v>585869</v>
      </c>
      <c r="AA228" s="1018"/>
      <c r="AB228" s="1013"/>
      <c r="AC228" s="1017">
        <v>0</v>
      </c>
      <c r="AD228" s="1017">
        <v>0</v>
      </c>
      <c r="AE228" s="1013">
        <v>0</v>
      </c>
      <c r="AF228" s="1019"/>
      <c r="AG228" s="1019">
        <f t="shared" ref="AG228:AG240" si="78">ROUND(SUM(S228:AF228)-AA228,0)</f>
        <v>8141512</v>
      </c>
      <c r="AH228" s="1014">
        <v>52</v>
      </c>
      <c r="AI228" s="1014">
        <v>0</v>
      </c>
      <c r="AJ228" s="1014">
        <v>0</v>
      </c>
      <c r="AK228" s="1018">
        <v>0</v>
      </c>
      <c r="AL228" s="1020">
        <v>0</v>
      </c>
      <c r="AM228" s="1013">
        <f t="shared" si="53"/>
        <v>2449125</v>
      </c>
      <c r="AN228" s="1045">
        <f t="shared" ref="AN228:AN233" si="79">ROUND(AG228+AM228,0)</f>
        <v>10590637</v>
      </c>
      <c r="AO228" s="1013">
        <v>685755</v>
      </c>
      <c r="AP228" s="1013">
        <v>44100</v>
      </c>
      <c r="AQ228" s="1013">
        <v>0</v>
      </c>
      <c r="AR228" s="1013">
        <v>0</v>
      </c>
      <c r="AS228" s="1013">
        <v>0</v>
      </c>
      <c r="AT228" s="1045">
        <f t="shared" si="50"/>
        <v>9860782</v>
      </c>
      <c r="AU228" s="1004"/>
      <c r="AV228" s="870"/>
      <c r="AW228" s="782" t="s">
        <v>3755</v>
      </c>
      <c r="AX228" s="782" t="s">
        <v>3756</v>
      </c>
      <c r="AY228" s="1007" t="s">
        <v>287</v>
      </c>
      <c r="AZ228" s="1007">
        <v>622</v>
      </c>
      <c r="BA228" s="347" t="str">
        <f t="shared" si="54"/>
        <v>Box</v>
      </c>
      <c r="BB228" s="1008"/>
      <c r="BC228" s="1009"/>
      <c r="BD228" s="1009"/>
    </row>
    <row r="229" spans="1:56" s="1010" customFormat="1" ht="36.75" customHeight="1">
      <c r="A229" s="661">
        <f>SUBTOTAL(3,B$6:B229)</f>
        <v>224</v>
      </c>
      <c r="B229" s="661" t="s">
        <v>1243</v>
      </c>
      <c r="C229" s="662" t="s">
        <v>1244</v>
      </c>
      <c r="D229" s="1011">
        <v>43595</v>
      </c>
      <c r="E229" s="1011" t="s">
        <v>216</v>
      </c>
      <c r="F229" s="787" t="s">
        <v>699</v>
      </c>
      <c r="G229" s="996" t="s">
        <v>1172</v>
      </c>
      <c r="H229" s="1012">
        <v>5931000</v>
      </c>
      <c r="I229" s="1012">
        <v>600000</v>
      </c>
      <c r="J229" s="1012">
        <v>0</v>
      </c>
      <c r="K229" s="1012">
        <v>0</v>
      </c>
      <c r="L229" s="1013">
        <f t="shared" si="73"/>
        <v>6531000</v>
      </c>
      <c r="M229" s="1014">
        <v>23</v>
      </c>
      <c r="N229" s="1013">
        <f t="shared" si="74"/>
        <v>5777423</v>
      </c>
      <c r="O229" s="1015">
        <v>3</v>
      </c>
      <c r="P229" s="1013">
        <f t="shared" si="75"/>
        <v>753577</v>
      </c>
      <c r="Q229" s="1016">
        <v>0</v>
      </c>
      <c r="R229" s="1013">
        <f t="shared" si="76"/>
        <v>0</v>
      </c>
      <c r="S229" s="1013">
        <f t="shared" si="77"/>
        <v>6531000</v>
      </c>
      <c r="T229" s="1017">
        <v>0</v>
      </c>
      <c r="U229" s="785">
        <v>0</v>
      </c>
      <c r="V229" s="785">
        <v>200000</v>
      </c>
      <c r="W229" s="1017">
        <v>500000</v>
      </c>
      <c r="X229" s="1017">
        <v>0</v>
      </c>
      <c r="Y229" s="1017">
        <v>400000</v>
      </c>
      <c r="Z229" s="1017">
        <v>568565</v>
      </c>
      <c r="AA229" s="1018"/>
      <c r="AB229" s="1013"/>
      <c r="AC229" s="1017">
        <v>0</v>
      </c>
      <c r="AD229" s="1017">
        <v>0</v>
      </c>
      <c r="AE229" s="1013">
        <v>0</v>
      </c>
      <c r="AF229" s="1019"/>
      <c r="AG229" s="1019">
        <f t="shared" si="78"/>
        <v>8199565</v>
      </c>
      <c r="AH229" s="1014">
        <v>36</v>
      </c>
      <c r="AI229" s="1014">
        <v>0</v>
      </c>
      <c r="AJ229" s="1014">
        <v>0</v>
      </c>
      <c r="AK229" s="1018">
        <v>0</v>
      </c>
      <c r="AL229" s="1020">
        <v>0</v>
      </c>
      <c r="AM229" s="1013">
        <f t="shared" si="53"/>
        <v>1695548</v>
      </c>
      <c r="AN229" s="1045">
        <f t="shared" si="79"/>
        <v>9895113</v>
      </c>
      <c r="AO229" s="1013">
        <v>685755</v>
      </c>
      <c r="AP229" s="1013">
        <v>44100</v>
      </c>
      <c r="AQ229" s="1013">
        <v>0</v>
      </c>
      <c r="AR229" s="1013">
        <v>0</v>
      </c>
      <c r="AS229" s="1013">
        <v>0</v>
      </c>
      <c r="AT229" s="1045">
        <f t="shared" si="50"/>
        <v>9165258</v>
      </c>
      <c r="AU229" s="1004"/>
      <c r="AV229" s="870"/>
      <c r="AW229" s="782" t="s">
        <v>3757</v>
      </c>
      <c r="AX229" s="782" t="s">
        <v>3758</v>
      </c>
      <c r="AY229" s="1007" t="s">
        <v>287</v>
      </c>
      <c r="AZ229" s="1007">
        <v>622</v>
      </c>
      <c r="BA229" s="347" t="str">
        <f t="shared" si="54"/>
        <v>Box</v>
      </c>
      <c r="BB229" s="1008"/>
      <c r="BC229" s="1009"/>
      <c r="BD229" s="1009"/>
    </row>
    <row r="230" spans="1:56" s="1010" customFormat="1" ht="36.75" customHeight="1">
      <c r="A230" s="661">
        <f>SUBTOTAL(3,B$6:B230)</f>
        <v>225</v>
      </c>
      <c r="B230" s="661" t="s">
        <v>1245</v>
      </c>
      <c r="C230" s="662" t="s">
        <v>1246</v>
      </c>
      <c r="D230" s="1011">
        <v>43614</v>
      </c>
      <c r="E230" s="1011" t="s">
        <v>216</v>
      </c>
      <c r="F230" s="787" t="s">
        <v>699</v>
      </c>
      <c r="G230" s="996" t="s">
        <v>1081</v>
      </c>
      <c r="H230" s="1012">
        <v>5931000</v>
      </c>
      <c r="I230" s="1012">
        <v>700000</v>
      </c>
      <c r="J230" s="1012">
        <v>0</v>
      </c>
      <c r="K230" s="1012">
        <v>0</v>
      </c>
      <c r="L230" s="1013">
        <f t="shared" si="73"/>
        <v>6631000</v>
      </c>
      <c r="M230" s="1014">
        <v>24</v>
      </c>
      <c r="N230" s="1013">
        <f t="shared" si="74"/>
        <v>6120923</v>
      </c>
      <c r="O230" s="1015">
        <v>2</v>
      </c>
      <c r="P230" s="1013">
        <f t="shared" si="75"/>
        <v>510077</v>
      </c>
      <c r="Q230" s="1016">
        <v>0</v>
      </c>
      <c r="R230" s="1013">
        <f t="shared" si="76"/>
        <v>0</v>
      </c>
      <c r="S230" s="1013">
        <f t="shared" si="77"/>
        <v>6631000</v>
      </c>
      <c r="T230" s="1017">
        <v>0</v>
      </c>
      <c r="U230" s="785">
        <v>0</v>
      </c>
      <c r="V230" s="785">
        <v>200000</v>
      </c>
      <c r="W230" s="1017">
        <v>500000</v>
      </c>
      <c r="X230" s="1017">
        <v>0</v>
      </c>
      <c r="Y230" s="1017">
        <v>400000</v>
      </c>
      <c r="Z230" s="1017">
        <v>593285</v>
      </c>
      <c r="AA230" s="1018"/>
      <c r="AB230" s="1013"/>
      <c r="AC230" s="1017">
        <v>0</v>
      </c>
      <c r="AD230" s="1017">
        <v>0</v>
      </c>
      <c r="AE230" s="1013">
        <v>47819.7109375</v>
      </c>
      <c r="AF230" s="1019"/>
      <c r="AG230" s="1019">
        <f t="shared" si="78"/>
        <v>8372105</v>
      </c>
      <c r="AH230" s="1014">
        <v>52</v>
      </c>
      <c r="AI230" s="1014">
        <v>0</v>
      </c>
      <c r="AJ230" s="1014">
        <v>0</v>
      </c>
      <c r="AK230" s="1018">
        <v>0</v>
      </c>
      <c r="AL230" s="1020">
        <v>0</v>
      </c>
      <c r="AM230" s="1013">
        <f t="shared" si="53"/>
        <v>2486625</v>
      </c>
      <c r="AN230" s="1045">
        <f t="shared" si="79"/>
        <v>10858730</v>
      </c>
      <c r="AO230" s="1013">
        <v>696255</v>
      </c>
      <c r="AP230" s="1013">
        <v>44100</v>
      </c>
      <c r="AQ230" s="1013">
        <v>0</v>
      </c>
      <c r="AR230" s="1013">
        <v>0</v>
      </c>
      <c r="AS230" s="1013">
        <v>0</v>
      </c>
      <c r="AT230" s="1045">
        <f t="shared" si="50"/>
        <v>10118375</v>
      </c>
      <c r="AU230" s="1004"/>
      <c r="AV230" s="870"/>
      <c r="AW230" s="782" t="s">
        <v>3759</v>
      </c>
      <c r="AX230" s="782" t="s">
        <v>3760</v>
      </c>
      <c r="AY230" s="1007" t="s">
        <v>287</v>
      </c>
      <c r="AZ230" s="1007">
        <v>622</v>
      </c>
      <c r="BA230" s="347" t="str">
        <f t="shared" si="54"/>
        <v>Box</v>
      </c>
      <c r="BB230" s="1008"/>
      <c r="BC230" s="1009"/>
      <c r="BD230" s="1009"/>
    </row>
    <row r="231" spans="1:56" s="1010" customFormat="1" ht="36.75" customHeight="1">
      <c r="A231" s="661">
        <f>SUBTOTAL(3,B$6:B231)</f>
        <v>226</v>
      </c>
      <c r="B231" s="661" t="s">
        <v>1247</v>
      </c>
      <c r="C231" s="662" t="s">
        <v>1248</v>
      </c>
      <c r="D231" s="1011">
        <v>43642</v>
      </c>
      <c r="E231" s="1011" t="s">
        <v>216</v>
      </c>
      <c r="F231" s="787" t="s">
        <v>699</v>
      </c>
      <c r="G231" s="996" t="s">
        <v>1172</v>
      </c>
      <c r="H231" s="1012">
        <v>5931000</v>
      </c>
      <c r="I231" s="1012">
        <v>600000</v>
      </c>
      <c r="J231" s="1012">
        <v>0</v>
      </c>
      <c r="K231" s="1012">
        <v>0</v>
      </c>
      <c r="L231" s="1013">
        <f t="shared" si="73"/>
        <v>6531000</v>
      </c>
      <c r="M231" s="1014">
        <v>23</v>
      </c>
      <c r="N231" s="1013">
        <f t="shared" si="74"/>
        <v>5777423</v>
      </c>
      <c r="O231" s="1015">
        <v>3</v>
      </c>
      <c r="P231" s="1013">
        <f t="shared" si="75"/>
        <v>753577</v>
      </c>
      <c r="Q231" s="1016">
        <v>0</v>
      </c>
      <c r="R231" s="1013">
        <f t="shared" si="76"/>
        <v>0</v>
      </c>
      <c r="S231" s="1013">
        <f t="shared" si="77"/>
        <v>6531000</v>
      </c>
      <c r="T231" s="1017">
        <v>0</v>
      </c>
      <c r="U231" s="785">
        <v>0</v>
      </c>
      <c r="V231" s="785">
        <v>200000</v>
      </c>
      <c r="W231" s="1017">
        <v>500000</v>
      </c>
      <c r="X231" s="1017">
        <v>0</v>
      </c>
      <c r="Y231" s="1017">
        <v>400000</v>
      </c>
      <c r="Z231" s="1017">
        <v>568565</v>
      </c>
      <c r="AA231" s="1018"/>
      <c r="AB231" s="1013"/>
      <c r="AC231" s="1017">
        <v>0</v>
      </c>
      <c r="AD231" s="1017">
        <v>0</v>
      </c>
      <c r="AE231" s="1013">
        <v>0</v>
      </c>
      <c r="AF231" s="1019"/>
      <c r="AG231" s="1019">
        <f t="shared" si="78"/>
        <v>8199565</v>
      </c>
      <c r="AH231" s="1014">
        <v>48</v>
      </c>
      <c r="AI231" s="1014">
        <v>0</v>
      </c>
      <c r="AJ231" s="1014">
        <v>0</v>
      </c>
      <c r="AK231" s="1018">
        <v>0</v>
      </c>
      <c r="AL231" s="1020">
        <v>0</v>
      </c>
      <c r="AM231" s="1013">
        <f t="shared" si="53"/>
        <v>2260731</v>
      </c>
      <c r="AN231" s="1045">
        <f t="shared" si="79"/>
        <v>10460296</v>
      </c>
      <c r="AO231" s="1013">
        <v>685755</v>
      </c>
      <c r="AP231" s="1013">
        <v>44100</v>
      </c>
      <c r="AQ231" s="1013">
        <v>0</v>
      </c>
      <c r="AR231" s="1013">
        <v>0</v>
      </c>
      <c r="AS231" s="1013">
        <v>0</v>
      </c>
      <c r="AT231" s="1045">
        <f t="shared" si="50"/>
        <v>9730441</v>
      </c>
      <c r="AU231" s="1004"/>
      <c r="AV231" s="870"/>
      <c r="AW231" s="782" t="s">
        <v>3761</v>
      </c>
      <c r="AX231" s="782" t="s">
        <v>3762</v>
      </c>
      <c r="AY231" s="1007" t="s">
        <v>287</v>
      </c>
      <c r="AZ231" s="1007">
        <v>622</v>
      </c>
      <c r="BA231" s="347" t="str">
        <f t="shared" si="54"/>
        <v>Box</v>
      </c>
      <c r="BB231" s="1008"/>
      <c r="BC231" s="1009"/>
      <c r="BD231" s="1009"/>
    </row>
    <row r="232" spans="1:56" s="1010" customFormat="1" ht="36.75" customHeight="1">
      <c r="A232" s="661">
        <f>SUBTOTAL(3,B$6:B232)</f>
        <v>227</v>
      </c>
      <c r="B232" s="661" t="s">
        <v>1249</v>
      </c>
      <c r="C232" s="662" t="s">
        <v>1250</v>
      </c>
      <c r="D232" s="1011">
        <v>43700</v>
      </c>
      <c r="E232" s="1011" t="s">
        <v>216</v>
      </c>
      <c r="F232" s="787" t="s">
        <v>699</v>
      </c>
      <c r="G232" s="996" t="s">
        <v>1081</v>
      </c>
      <c r="H232" s="1012">
        <v>5931000</v>
      </c>
      <c r="I232" s="1012">
        <v>700000</v>
      </c>
      <c r="J232" s="1012">
        <v>0</v>
      </c>
      <c r="K232" s="1012">
        <v>0</v>
      </c>
      <c r="L232" s="1013">
        <f t="shared" si="73"/>
        <v>6631000</v>
      </c>
      <c r="M232" s="1014">
        <v>23.7</v>
      </c>
      <c r="N232" s="1013">
        <f t="shared" si="74"/>
        <v>6044412</v>
      </c>
      <c r="O232" s="1015">
        <v>2</v>
      </c>
      <c r="P232" s="1013">
        <f t="shared" si="75"/>
        <v>510077</v>
      </c>
      <c r="Q232" s="1016">
        <v>0</v>
      </c>
      <c r="R232" s="1013">
        <f t="shared" si="76"/>
        <v>0</v>
      </c>
      <c r="S232" s="1013">
        <f t="shared" si="77"/>
        <v>6554489</v>
      </c>
      <c r="T232" s="1017">
        <v>0</v>
      </c>
      <c r="U232" s="785">
        <v>0</v>
      </c>
      <c r="V232" s="785">
        <v>200000</v>
      </c>
      <c r="W232" s="1017">
        <v>500000</v>
      </c>
      <c r="X232" s="1017">
        <v>0</v>
      </c>
      <c r="Y232" s="1017">
        <v>400000</v>
      </c>
      <c r="Z232" s="1017">
        <v>585869</v>
      </c>
      <c r="AA232" s="1018"/>
      <c r="AB232" s="1013"/>
      <c r="AC232" s="1017">
        <v>0</v>
      </c>
      <c r="AD232" s="1017">
        <v>0</v>
      </c>
      <c r="AE232" s="1013">
        <v>47819.715189873423</v>
      </c>
      <c r="AF232" s="1019"/>
      <c r="AG232" s="1019">
        <f t="shared" si="78"/>
        <v>8288178</v>
      </c>
      <c r="AH232" s="1014">
        <v>52</v>
      </c>
      <c r="AI232" s="1014">
        <v>0</v>
      </c>
      <c r="AJ232" s="1014">
        <v>0</v>
      </c>
      <c r="AK232" s="1018">
        <v>0</v>
      </c>
      <c r="AL232" s="1020">
        <v>0</v>
      </c>
      <c r="AM232" s="1013">
        <f t="shared" si="53"/>
        <v>2486625</v>
      </c>
      <c r="AN232" s="1045">
        <f t="shared" si="79"/>
        <v>10774803</v>
      </c>
      <c r="AO232" s="1013">
        <v>696255</v>
      </c>
      <c r="AP232" s="1013">
        <v>44100</v>
      </c>
      <c r="AQ232" s="1013">
        <v>0</v>
      </c>
      <c r="AR232" s="1013">
        <v>0</v>
      </c>
      <c r="AS232" s="1013">
        <v>0</v>
      </c>
      <c r="AT232" s="1045">
        <f t="shared" si="50"/>
        <v>10034448</v>
      </c>
      <c r="AU232" s="1004"/>
      <c r="AV232" s="870"/>
      <c r="AW232" s="782" t="s">
        <v>3763</v>
      </c>
      <c r="AX232" s="782" t="s">
        <v>3764</v>
      </c>
      <c r="AY232" s="1007" t="s">
        <v>287</v>
      </c>
      <c r="AZ232" s="1007">
        <v>622</v>
      </c>
      <c r="BA232" s="347" t="str">
        <f t="shared" si="54"/>
        <v>Box</v>
      </c>
      <c r="BB232" s="1008"/>
      <c r="BC232" s="1009"/>
      <c r="BD232" s="1009"/>
    </row>
    <row r="233" spans="1:56" s="1010" customFormat="1" ht="36.75" customHeight="1">
      <c r="A233" s="661">
        <f>SUBTOTAL(3,B$6:B233)</f>
        <v>228</v>
      </c>
      <c r="B233" s="661" t="s">
        <v>1251</v>
      </c>
      <c r="C233" s="662" t="s">
        <v>1252</v>
      </c>
      <c r="D233" s="1011">
        <v>43753</v>
      </c>
      <c r="E233" s="1011" t="s">
        <v>216</v>
      </c>
      <c r="F233" s="787" t="s">
        <v>699</v>
      </c>
      <c r="G233" s="996" t="s">
        <v>1081</v>
      </c>
      <c r="H233" s="1012">
        <v>5931000</v>
      </c>
      <c r="I233" s="1012">
        <v>700000</v>
      </c>
      <c r="J233" s="1012">
        <v>0</v>
      </c>
      <c r="K233" s="1012">
        <v>0</v>
      </c>
      <c r="L233" s="1013">
        <f t="shared" si="73"/>
        <v>6631000</v>
      </c>
      <c r="M233" s="1014">
        <v>23</v>
      </c>
      <c r="N233" s="1013">
        <f t="shared" si="74"/>
        <v>5865885</v>
      </c>
      <c r="O233" s="1015">
        <v>3</v>
      </c>
      <c r="P233" s="1013">
        <f t="shared" si="75"/>
        <v>765115</v>
      </c>
      <c r="Q233" s="1016">
        <v>0</v>
      </c>
      <c r="R233" s="1013">
        <f t="shared" si="76"/>
        <v>0</v>
      </c>
      <c r="S233" s="1013">
        <f t="shared" si="77"/>
        <v>6631000</v>
      </c>
      <c r="T233" s="1017">
        <v>0</v>
      </c>
      <c r="U233" s="785">
        <v>0</v>
      </c>
      <c r="V233" s="785">
        <v>200000</v>
      </c>
      <c r="W233" s="1017">
        <v>500000</v>
      </c>
      <c r="X233" s="1017">
        <v>0</v>
      </c>
      <c r="Y233" s="1017">
        <v>400000</v>
      </c>
      <c r="Z233" s="1017">
        <v>568565</v>
      </c>
      <c r="AA233" s="1018"/>
      <c r="AB233" s="1013"/>
      <c r="AC233" s="1017">
        <v>0</v>
      </c>
      <c r="AD233" s="1017">
        <v>0</v>
      </c>
      <c r="AE233" s="1013">
        <v>47819.71467391304</v>
      </c>
      <c r="AF233" s="1019"/>
      <c r="AG233" s="1019">
        <f t="shared" si="78"/>
        <v>8347385</v>
      </c>
      <c r="AH233" s="1014">
        <v>52</v>
      </c>
      <c r="AI233" s="1014">
        <v>0</v>
      </c>
      <c r="AJ233" s="1014">
        <v>0</v>
      </c>
      <c r="AK233" s="1018">
        <v>0</v>
      </c>
      <c r="AL233" s="1020">
        <v>0</v>
      </c>
      <c r="AM233" s="1013">
        <f t="shared" si="53"/>
        <v>2486625</v>
      </c>
      <c r="AN233" s="1045">
        <f t="shared" si="79"/>
        <v>10834010</v>
      </c>
      <c r="AO233" s="1013">
        <v>696255</v>
      </c>
      <c r="AP233" s="1013">
        <v>44100</v>
      </c>
      <c r="AQ233" s="1013">
        <v>0</v>
      </c>
      <c r="AR233" s="1013">
        <v>0</v>
      </c>
      <c r="AS233" s="1013">
        <v>0</v>
      </c>
      <c r="AT233" s="1045">
        <f t="shared" si="50"/>
        <v>10093655</v>
      </c>
      <c r="AU233" s="1004"/>
      <c r="AV233" s="870"/>
      <c r="AW233" s="782" t="s">
        <v>3765</v>
      </c>
      <c r="AX233" s="782" t="s">
        <v>3766</v>
      </c>
      <c r="AY233" s="1007" t="s">
        <v>287</v>
      </c>
      <c r="AZ233" s="1007">
        <v>622</v>
      </c>
      <c r="BA233" s="347" t="str">
        <f t="shared" si="54"/>
        <v>Box</v>
      </c>
      <c r="BB233" s="1008"/>
      <c r="BC233" s="1009"/>
      <c r="BD233" s="1009"/>
    </row>
    <row r="234" spans="1:56" s="1010" customFormat="1" ht="36.75" customHeight="1">
      <c r="A234" s="661">
        <f>SUBTOTAL(3,B$6:B234)</f>
        <v>229</v>
      </c>
      <c r="B234" s="661" t="s">
        <v>1253</v>
      </c>
      <c r="C234" s="662" t="s">
        <v>1254</v>
      </c>
      <c r="D234" s="1011">
        <v>43777</v>
      </c>
      <c r="E234" s="1011" t="s">
        <v>216</v>
      </c>
      <c r="F234" s="787" t="s">
        <v>699</v>
      </c>
      <c r="G234" s="996" t="s">
        <v>1255</v>
      </c>
      <c r="H234" s="1012">
        <v>5931000</v>
      </c>
      <c r="I234" s="1012">
        <v>1100000</v>
      </c>
      <c r="J234" s="1012">
        <v>0</v>
      </c>
      <c r="K234" s="1012">
        <v>1000000</v>
      </c>
      <c r="L234" s="1013">
        <f t="shared" si="73"/>
        <v>8031000</v>
      </c>
      <c r="M234" s="1014">
        <v>24</v>
      </c>
      <c r="N234" s="1013">
        <f t="shared" si="74"/>
        <v>7413231</v>
      </c>
      <c r="O234" s="1015">
        <v>2</v>
      </c>
      <c r="P234" s="1013">
        <f t="shared" si="75"/>
        <v>617769</v>
      </c>
      <c r="Q234" s="1016">
        <v>0</v>
      </c>
      <c r="R234" s="1013">
        <f t="shared" si="76"/>
        <v>0</v>
      </c>
      <c r="S234" s="1013">
        <f t="shared" si="77"/>
        <v>8031000</v>
      </c>
      <c r="T234" s="1017">
        <v>0</v>
      </c>
      <c r="U234" s="785">
        <v>0</v>
      </c>
      <c r="V234" s="785">
        <v>200000</v>
      </c>
      <c r="W234" s="1017">
        <v>500000</v>
      </c>
      <c r="X234" s="1017">
        <v>0</v>
      </c>
      <c r="Y234" s="1017">
        <v>400000</v>
      </c>
      <c r="Z234" s="1017">
        <v>593285</v>
      </c>
      <c r="AA234" s="1018"/>
      <c r="AB234" s="1013"/>
      <c r="AC234" s="1017">
        <v>100000</v>
      </c>
      <c r="AD234" s="1017">
        <v>0</v>
      </c>
      <c r="AE234" s="1013">
        <v>57915.8671875</v>
      </c>
      <c r="AF234" s="1019"/>
      <c r="AG234" s="1019">
        <f t="shared" si="78"/>
        <v>9882201</v>
      </c>
      <c r="AH234" s="1014">
        <v>52</v>
      </c>
      <c r="AI234" s="1014">
        <v>0</v>
      </c>
      <c r="AJ234" s="1014">
        <v>0</v>
      </c>
      <c r="AK234" s="1018">
        <v>0</v>
      </c>
      <c r="AL234" s="1020">
        <v>0</v>
      </c>
      <c r="AM234" s="1013">
        <f t="shared" si="53"/>
        <v>3011625</v>
      </c>
      <c r="AN234" s="1045">
        <f>ROUND(AG234+AM234,0)</f>
        <v>12893826</v>
      </c>
      <c r="AO234" s="1013">
        <v>843255</v>
      </c>
      <c r="AP234" s="1013">
        <v>44100</v>
      </c>
      <c r="AQ234" s="1013">
        <v>0</v>
      </c>
      <c r="AR234" s="1013">
        <v>0</v>
      </c>
      <c r="AS234" s="1013">
        <v>0</v>
      </c>
      <c r="AT234" s="1045">
        <f t="shared" si="50"/>
        <v>12006471</v>
      </c>
      <c r="AU234" s="1004"/>
      <c r="AV234" s="870"/>
      <c r="AW234" s="782" t="s">
        <v>3767</v>
      </c>
      <c r="AX234" s="782" t="s">
        <v>3768</v>
      </c>
      <c r="AY234" s="1007" t="s">
        <v>287</v>
      </c>
      <c r="AZ234" s="1007">
        <v>622</v>
      </c>
      <c r="BA234" s="347" t="str">
        <f t="shared" si="54"/>
        <v>Box</v>
      </c>
      <c r="BB234" s="1008"/>
      <c r="BC234" s="1009"/>
      <c r="BD234" s="1009"/>
    </row>
    <row r="235" spans="1:56" s="1010" customFormat="1" ht="36.75" customHeight="1">
      <c r="A235" s="661">
        <f>SUBTOTAL(3,B$6:B235)</f>
        <v>230</v>
      </c>
      <c r="B235" s="661" t="s">
        <v>1256</v>
      </c>
      <c r="C235" s="662" t="s">
        <v>1257</v>
      </c>
      <c r="D235" s="1011">
        <v>43874</v>
      </c>
      <c r="E235" s="1011" t="s">
        <v>216</v>
      </c>
      <c r="F235" s="787" t="s">
        <v>699</v>
      </c>
      <c r="G235" s="996" t="s">
        <v>1081</v>
      </c>
      <c r="H235" s="1012">
        <v>5931000</v>
      </c>
      <c r="I235" s="1012">
        <v>700000</v>
      </c>
      <c r="J235" s="1012">
        <v>0</v>
      </c>
      <c r="K235" s="1012">
        <v>0</v>
      </c>
      <c r="L235" s="1013">
        <f t="shared" si="73"/>
        <v>6631000</v>
      </c>
      <c r="M235" s="1014">
        <v>14.6</v>
      </c>
      <c r="N235" s="1013">
        <f t="shared" si="74"/>
        <v>3723562</v>
      </c>
      <c r="O235" s="1015">
        <v>3</v>
      </c>
      <c r="P235" s="1013">
        <f t="shared" si="75"/>
        <v>765115</v>
      </c>
      <c r="Q235" s="1016">
        <v>0</v>
      </c>
      <c r="R235" s="1013">
        <f t="shared" si="76"/>
        <v>0</v>
      </c>
      <c r="S235" s="1013">
        <f t="shared" si="77"/>
        <v>4488677</v>
      </c>
      <c r="T235" s="1017">
        <v>0</v>
      </c>
      <c r="U235" s="785">
        <v>0</v>
      </c>
      <c r="V235" s="785">
        <v>200000</v>
      </c>
      <c r="W235" s="1017">
        <v>0</v>
      </c>
      <c r="X235" s="1017">
        <v>0</v>
      </c>
      <c r="Y235" s="1017">
        <v>0</v>
      </c>
      <c r="Z235" s="1017">
        <v>360915</v>
      </c>
      <c r="AA235" s="1018"/>
      <c r="AB235" s="1013"/>
      <c r="AC235" s="1017">
        <v>0</v>
      </c>
      <c r="AD235" s="1017">
        <v>0</v>
      </c>
      <c r="AE235" s="1013">
        <v>47819.71746575342</v>
      </c>
      <c r="AF235" s="1019"/>
      <c r="AG235" s="1019">
        <f t="shared" si="78"/>
        <v>5097412</v>
      </c>
      <c r="AH235" s="1014">
        <v>0</v>
      </c>
      <c r="AI235" s="1014">
        <v>0</v>
      </c>
      <c r="AJ235" s="1014">
        <v>0</v>
      </c>
      <c r="AK235" s="1018">
        <v>0</v>
      </c>
      <c r="AL235" s="1020">
        <v>0</v>
      </c>
      <c r="AM235" s="1013">
        <f t="shared" si="53"/>
        <v>0</v>
      </c>
      <c r="AN235" s="1045">
        <f t="shared" ref="AN235:AN240" si="80">ROUND(AG235+AM235,0)</f>
        <v>5097412</v>
      </c>
      <c r="AO235" s="1013">
        <v>696255</v>
      </c>
      <c r="AP235" s="1013">
        <v>44100</v>
      </c>
      <c r="AQ235" s="1013">
        <v>0</v>
      </c>
      <c r="AR235" s="1013">
        <v>0</v>
      </c>
      <c r="AS235" s="1013">
        <v>0</v>
      </c>
      <c r="AT235" s="1045">
        <f t="shared" si="50"/>
        <v>4357057</v>
      </c>
      <c r="AU235" s="1004"/>
      <c r="AV235" s="870"/>
      <c r="AW235" s="782" t="s">
        <v>3769</v>
      </c>
      <c r="AX235" s="782" t="s">
        <v>3770</v>
      </c>
      <c r="AY235" s="1007" t="s">
        <v>287</v>
      </c>
      <c r="AZ235" s="1007">
        <v>622</v>
      </c>
      <c r="BA235" s="347" t="str">
        <f t="shared" si="54"/>
        <v>Box</v>
      </c>
      <c r="BB235" s="1008"/>
      <c r="BC235" s="1009"/>
      <c r="BD235" s="1009"/>
    </row>
    <row r="236" spans="1:56" s="1010" customFormat="1" ht="36.75" customHeight="1">
      <c r="A236" s="661">
        <f>SUBTOTAL(3,B$6:B236)</f>
        <v>231</v>
      </c>
      <c r="B236" s="661" t="s">
        <v>1258</v>
      </c>
      <c r="C236" s="662" t="s">
        <v>1259</v>
      </c>
      <c r="D236" s="1011">
        <v>43875</v>
      </c>
      <c r="E236" s="1011" t="s">
        <v>216</v>
      </c>
      <c r="F236" s="787" t="s">
        <v>699</v>
      </c>
      <c r="G236" s="996" t="s">
        <v>1172</v>
      </c>
      <c r="H236" s="1012">
        <v>5931000</v>
      </c>
      <c r="I236" s="1012">
        <v>600000</v>
      </c>
      <c r="J236" s="1012">
        <v>0</v>
      </c>
      <c r="K236" s="1012">
        <v>0</v>
      </c>
      <c r="L236" s="1013">
        <f t="shared" si="73"/>
        <v>6531000</v>
      </c>
      <c r="M236" s="1014">
        <v>23.9</v>
      </c>
      <c r="N236" s="1013">
        <f t="shared" si="74"/>
        <v>6003496</v>
      </c>
      <c r="O236" s="1015">
        <v>2</v>
      </c>
      <c r="P236" s="1013">
        <f t="shared" si="75"/>
        <v>502385</v>
      </c>
      <c r="Q236" s="1016">
        <v>0</v>
      </c>
      <c r="R236" s="1013">
        <f t="shared" si="76"/>
        <v>0</v>
      </c>
      <c r="S236" s="1013">
        <f t="shared" si="77"/>
        <v>6505881</v>
      </c>
      <c r="T236" s="1017">
        <v>0</v>
      </c>
      <c r="U236" s="785">
        <v>0</v>
      </c>
      <c r="V236" s="785">
        <v>200000</v>
      </c>
      <c r="W236" s="1017">
        <v>500000</v>
      </c>
      <c r="X236" s="1017">
        <v>0</v>
      </c>
      <c r="Y236" s="1017">
        <v>400000</v>
      </c>
      <c r="Z236" s="1017">
        <v>590813</v>
      </c>
      <c r="AA236" s="1018"/>
      <c r="AB236" s="1013"/>
      <c r="AC236" s="1017">
        <v>0</v>
      </c>
      <c r="AD236" s="1017">
        <v>0</v>
      </c>
      <c r="AE236" s="1013">
        <v>0</v>
      </c>
      <c r="AF236" s="1019"/>
      <c r="AG236" s="1019">
        <f t="shared" si="78"/>
        <v>8196694</v>
      </c>
      <c r="AH236" s="1014">
        <v>52</v>
      </c>
      <c r="AI236" s="1014">
        <v>0</v>
      </c>
      <c r="AJ236" s="1014">
        <v>0</v>
      </c>
      <c r="AK236" s="1018">
        <v>0</v>
      </c>
      <c r="AL236" s="1020">
        <v>0</v>
      </c>
      <c r="AM236" s="1013">
        <f t="shared" si="53"/>
        <v>2449125</v>
      </c>
      <c r="AN236" s="1045">
        <f t="shared" si="80"/>
        <v>10645819</v>
      </c>
      <c r="AO236" s="1013">
        <v>685755</v>
      </c>
      <c r="AP236" s="1013">
        <v>44100</v>
      </c>
      <c r="AQ236" s="1013">
        <v>0</v>
      </c>
      <c r="AR236" s="1013">
        <v>0</v>
      </c>
      <c r="AS236" s="1013">
        <v>0</v>
      </c>
      <c r="AT236" s="1045">
        <f t="shared" si="50"/>
        <v>9915964</v>
      </c>
      <c r="AU236" s="1004"/>
      <c r="AV236" s="870"/>
      <c r="AW236" s="782" t="s">
        <v>3771</v>
      </c>
      <c r="AX236" s="782" t="s">
        <v>3772</v>
      </c>
      <c r="AY236" s="1007" t="s">
        <v>287</v>
      </c>
      <c r="AZ236" s="1007">
        <v>622</v>
      </c>
      <c r="BA236" s="347" t="str">
        <f t="shared" si="54"/>
        <v>Box</v>
      </c>
      <c r="BB236" s="1008"/>
      <c r="BC236" s="1009"/>
      <c r="BD236" s="1009"/>
    </row>
    <row r="237" spans="1:56" s="1010" customFormat="1" ht="36.75" customHeight="1">
      <c r="A237" s="661">
        <f>SUBTOTAL(3,B$6:B237)</f>
        <v>232</v>
      </c>
      <c r="B237" s="661" t="s">
        <v>1260</v>
      </c>
      <c r="C237" s="662" t="s">
        <v>1261</v>
      </c>
      <c r="D237" s="1011">
        <v>43875</v>
      </c>
      <c r="E237" s="1011" t="s">
        <v>216</v>
      </c>
      <c r="F237" s="787" t="s">
        <v>699</v>
      </c>
      <c r="G237" s="996" t="s">
        <v>1081</v>
      </c>
      <c r="H237" s="1012">
        <v>5931000</v>
      </c>
      <c r="I237" s="1012">
        <v>700000</v>
      </c>
      <c r="J237" s="1012">
        <v>0</v>
      </c>
      <c r="K237" s="1012">
        <v>0</v>
      </c>
      <c r="L237" s="1013">
        <f t="shared" si="73"/>
        <v>6631000</v>
      </c>
      <c r="M237" s="1014">
        <v>20.8</v>
      </c>
      <c r="N237" s="1013">
        <f t="shared" si="74"/>
        <v>5304800</v>
      </c>
      <c r="O237" s="1015">
        <v>2</v>
      </c>
      <c r="P237" s="1013">
        <f t="shared" si="75"/>
        <v>510077</v>
      </c>
      <c r="Q237" s="1016">
        <v>0</v>
      </c>
      <c r="R237" s="1013">
        <f t="shared" si="76"/>
        <v>0</v>
      </c>
      <c r="S237" s="1013">
        <f t="shared" si="77"/>
        <v>5814877</v>
      </c>
      <c r="T237" s="1017">
        <v>0</v>
      </c>
      <c r="U237" s="785">
        <v>0</v>
      </c>
      <c r="V237" s="785">
        <v>200000</v>
      </c>
      <c r="W237" s="1017">
        <v>0</v>
      </c>
      <c r="X237" s="1017">
        <v>0</v>
      </c>
      <c r="Y237" s="1017">
        <v>150000</v>
      </c>
      <c r="Z237" s="1017">
        <v>514181</v>
      </c>
      <c r="AA237" s="1018"/>
      <c r="AB237" s="1013"/>
      <c r="AC237" s="1017">
        <v>0</v>
      </c>
      <c r="AD237" s="1017">
        <v>0</v>
      </c>
      <c r="AE237" s="1013">
        <v>47819.711538461539</v>
      </c>
      <c r="AF237" s="1019"/>
      <c r="AG237" s="1019">
        <f t="shared" si="78"/>
        <v>6726878</v>
      </c>
      <c r="AH237" s="1014">
        <v>33</v>
      </c>
      <c r="AI237" s="1014">
        <v>0</v>
      </c>
      <c r="AJ237" s="1014">
        <v>0</v>
      </c>
      <c r="AK237" s="1018">
        <v>0</v>
      </c>
      <c r="AL237" s="1020">
        <v>0</v>
      </c>
      <c r="AM237" s="1013">
        <f t="shared" si="53"/>
        <v>1578050</v>
      </c>
      <c r="AN237" s="1045">
        <f t="shared" si="80"/>
        <v>8304928</v>
      </c>
      <c r="AO237" s="1013">
        <v>696255</v>
      </c>
      <c r="AP237" s="1013">
        <v>44100</v>
      </c>
      <c r="AQ237" s="1013">
        <v>0</v>
      </c>
      <c r="AR237" s="1013">
        <v>0</v>
      </c>
      <c r="AS237" s="1013">
        <v>0</v>
      </c>
      <c r="AT237" s="1045">
        <f t="shared" si="50"/>
        <v>7564573</v>
      </c>
      <c r="AU237" s="1004"/>
      <c r="AV237" s="870"/>
      <c r="AW237" s="782" t="s">
        <v>3773</v>
      </c>
      <c r="AX237" s="782" t="s">
        <v>3774</v>
      </c>
      <c r="AY237" s="1007" t="s">
        <v>287</v>
      </c>
      <c r="AZ237" s="1007">
        <v>622</v>
      </c>
      <c r="BA237" s="347" t="str">
        <f t="shared" si="54"/>
        <v>Box</v>
      </c>
      <c r="BB237" s="1008"/>
      <c r="BC237" s="1009"/>
      <c r="BD237" s="1009"/>
    </row>
    <row r="238" spans="1:56" s="1010" customFormat="1" ht="36.75" customHeight="1">
      <c r="A238" s="661">
        <f>SUBTOTAL(3,B$6:B238)</f>
        <v>233</v>
      </c>
      <c r="B238" s="661" t="s">
        <v>1262</v>
      </c>
      <c r="C238" s="662" t="s">
        <v>1263</v>
      </c>
      <c r="D238" s="1011">
        <v>43882</v>
      </c>
      <c r="E238" s="1011" t="s">
        <v>216</v>
      </c>
      <c r="F238" s="787" t="s">
        <v>699</v>
      </c>
      <c r="G238" s="996" t="s">
        <v>1172</v>
      </c>
      <c r="H238" s="1012">
        <v>5931000</v>
      </c>
      <c r="I238" s="1012">
        <v>600000</v>
      </c>
      <c r="J238" s="1012">
        <v>0</v>
      </c>
      <c r="K238" s="1012">
        <v>0</v>
      </c>
      <c r="L238" s="1013">
        <f t="shared" si="73"/>
        <v>6531000</v>
      </c>
      <c r="M238" s="1014">
        <v>22.6</v>
      </c>
      <c r="N238" s="1013">
        <f t="shared" si="74"/>
        <v>5676946</v>
      </c>
      <c r="O238" s="1015">
        <v>3</v>
      </c>
      <c r="P238" s="1013">
        <f t="shared" si="75"/>
        <v>753577</v>
      </c>
      <c r="Q238" s="1016">
        <v>0</v>
      </c>
      <c r="R238" s="1013">
        <f t="shared" si="76"/>
        <v>0</v>
      </c>
      <c r="S238" s="1013">
        <f t="shared" si="77"/>
        <v>6430523</v>
      </c>
      <c r="T238" s="1017">
        <v>0</v>
      </c>
      <c r="U238" s="785">
        <v>0</v>
      </c>
      <c r="V238" s="785">
        <v>200000</v>
      </c>
      <c r="W238" s="1017">
        <v>500000</v>
      </c>
      <c r="X238" s="1017">
        <v>0</v>
      </c>
      <c r="Y238" s="1017">
        <v>400000</v>
      </c>
      <c r="Z238" s="1017">
        <v>558677</v>
      </c>
      <c r="AA238" s="1018"/>
      <c r="AB238" s="1013"/>
      <c r="AC238" s="1017">
        <v>0</v>
      </c>
      <c r="AD238" s="1017">
        <v>0</v>
      </c>
      <c r="AE238" s="1013">
        <v>0</v>
      </c>
      <c r="AF238" s="1019"/>
      <c r="AG238" s="1019">
        <f t="shared" si="78"/>
        <v>8089200</v>
      </c>
      <c r="AH238" s="1014">
        <v>52</v>
      </c>
      <c r="AI238" s="1014">
        <v>0</v>
      </c>
      <c r="AJ238" s="1014">
        <v>0</v>
      </c>
      <c r="AK238" s="1018">
        <v>0</v>
      </c>
      <c r="AL238" s="1020">
        <v>0</v>
      </c>
      <c r="AM238" s="1013">
        <f t="shared" si="53"/>
        <v>2449125</v>
      </c>
      <c r="AN238" s="1045">
        <f t="shared" si="80"/>
        <v>10538325</v>
      </c>
      <c r="AO238" s="1013">
        <v>685755</v>
      </c>
      <c r="AP238" s="1013">
        <v>44100</v>
      </c>
      <c r="AQ238" s="1013">
        <v>0</v>
      </c>
      <c r="AR238" s="1013">
        <v>0</v>
      </c>
      <c r="AS238" s="1013">
        <v>0</v>
      </c>
      <c r="AT238" s="1045">
        <f t="shared" ref="AT238:AT301" si="81">+ROUND(SUM(AN238:AN238)-SUM(AO238:AS238),0)</f>
        <v>9808470</v>
      </c>
      <c r="AU238" s="1004"/>
      <c r="AV238" s="870"/>
      <c r="AW238" s="782" t="s">
        <v>3775</v>
      </c>
      <c r="AX238" s="782" t="s">
        <v>3776</v>
      </c>
      <c r="AY238" s="1007" t="s">
        <v>287</v>
      </c>
      <c r="AZ238" s="1007">
        <v>622</v>
      </c>
      <c r="BA238" s="347" t="str">
        <f t="shared" si="54"/>
        <v>Box</v>
      </c>
      <c r="BB238" s="1008"/>
      <c r="BC238" s="1009"/>
      <c r="BD238" s="1009"/>
    </row>
    <row r="239" spans="1:56" s="1010" customFormat="1" ht="36.75" customHeight="1">
      <c r="A239" s="661">
        <f>SUBTOTAL(3,B$6:B239)</f>
        <v>234</v>
      </c>
      <c r="B239" s="661" t="s">
        <v>1264</v>
      </c>
      <c r="C239" s="662" t="s">
        <v>1265</v>
      </c>
      <c r="D239" s="1011">
        <v>43887</v>
      </c>
      <c r="E239" s="1011" t="s">
        <v>216</v>
      </c>
      <c r="F239" s="787" t="s">
        <v>699</v>
      </c>
      <c r="G239" s="996" t="s">
        <v>1081</v>
      </c>
      <c r="H239" s="1012">
        <v>5931000</v>
      </c>
      <c r="I239" s="1012">
        <v>700000</v>
      </c>
      <c r="J239" s="1012">
        <v>0</v>
      </c>
      <c r="K239" s="1012">
        <v>0</v>
      </c>
      <c r="L239" s="1013">
        <f t="shared" si="73"/>
        <v>6631000</v>
      </c>
      <c r="M239" s="1014">
        <v>22.8</v>
      </c>
      <c r="N239" s="1013">
        <f t="shared" si="74"/>
        <v>5814877</v>
      </c>
      <c r="O239" s="1015">
        <v>3</v>
      </c>
      <c r="P239" s="1013">
        <f t="shared" si="75"/>
        <v>765115</v>
      </c>
      <c r="Q239" s="1016">
        <v>0</v>
      </c>
      <c r="R239" s="1013">
        <f t="shared" si="76"/>
        <v>0</v>
      </c>
      <c r="S239" s="1013">
        <f t="shared" si="77"/>
        <v>6579992</v>
      </c>
      <c r="T239" s="1017">
        <v>0</v>
      </c>
      <c r="U239" s="785">
        <v>0</v>
      </c>
      <c r="V239" s="785">
        <v>200000</v>
      </c>
      <c r="W239" s="1017">
        <v>500000</v>
      </c>
      <c r="X239" s="1017">
        <v>0</v>
      </c>
      <c r="Y239" s="1017">
        <v>400000</v>
      </c>
      <c r="Z239" s="1017">
        <v>563621</v>
      </c>
      <c r="AA239" s="1018"/>
      <c r="AB239" s="1013"/>
      <c r="AC239" s="1017">
        <v>0</v>
      </c>
      <c r="AD239" s="1017">
        <v>0</v>
      </c>
      <c r="AE239" s="1013">
        <v>47819.712171052633</v>
      </c>
      <c r="AF239" s="1019"/>
      <c r="AG239" s="1019">
        <f t="shared" si="78"/>
        <v>8291433</v>
      </c>
      <c r="AH239" s="1014">
        <v>48</v>
      </c>
      <c r="AI239" s="1014">
        <v>0</v>
      </c>
      <c r="AJ239" s="1014">
        <v>0</v>
      </c>
      <c r="AK239" s="1018">
        <v>0</v>
      </c>
      <c r="AL239" s="1020">
        <v>0</v>
      </c>
      <c r="AM239" s="1013">
        <f t="shared" si="53"/>
        <v>2295346</v>
      </c>
      <c r="AN239" s="1045">
        <f t="shared" si="80"/>
        <v>10586779</v>
      </c>
      <c r="AO239" s="1013">
        <v>696255</v>
      </c>
      <c r="AP239" s="1013">
        <v>44100</v>
      </c>
      <c r="AQ239" s="1013">
        <v>0</v>
      </c>
      <c r="AR239" s="1013">
        <v>0</v>
      </c>
      <c r="AS239" s="1013">
        <v>0</v>
      </c>
      <c r="AT239" s="1045">
        <f t="shared" si="81"/>
        <v>9846424</v>
      </c>
      <c r="AU239" s="1004"/>
      <c r="AV239" s="870"/>
      <c r="AW239" s="782" t="s">
        <v>3777</v>
      </c>
      <c r="AX239" s="782" t="s">
        <v>3778</v>
      </c>
      <c r="AY239" s="1007" t="s">
        <v>287</v>
      </c>
      <c r="AZ239" s="1007">
        <v>622</v>
      </c>
      <c r="BA239" s="347" t="str">
        <f t="shared" si="54"/>
        <v>Box</v>
      </c>
      <c r="BB239" s="1008"/>
      <c r="BC239" s="1009"/>
      <c r="BD239" s="1009"/>
    </row>
    <row r="240" spans="1:56" s="1010" customFormat="1" ht="36.75" customHeight="1">
      <c r="A240" s="661">
        <f>SUBTOTAL(3,B$6:B240)</f>
        <v>235</v>
      </c>
      <c r="B240" s="661" t="s">
        <v>1266</v>
      </c>
      <c r="C240" s="662" t="s">
        <v>1267</v>
      </c>
      <c r="D240" s="1011">
        <v>44288</v>
      </c>
      <c r="E240" s="1011" t="s">
        <v>216</v>
      </c>
      <c r="F240" s="787" t="s">
        <v>699</v>
      </c>
      <c r="G240" s="996" t="s">
        <v>1081</v>
      </c>
      <c r="H240" s="1012">
        <v>5931000</v>
      </c>
      <c r="I240" s="1012">
        <v>700000</v>
      </c>
      <c r="J240" s="1012">
        <v>0</v>
      </c>
      <c r="K240" s="1012">
        <v>0</v>
      </c>
      <c r="L240" s="1013">
        <f t="shared" si="73"/>
        <v>6631000</v>
      </c>
      <c r="M240" s="1014">
        <v>24</v>
      </c>
      <c r="N240" s="1013">
        <f t="shared" si="74"/>
        <v>6120923</v>
      </c>
      <c r="O240" s="1015">
        <v>2</v>
      </c>
      <c r="P240" s="1013">
        <f t="shared" si="75"/>
        <v>510077</v>
      </c>
      <c r="Q240" s="1016">
        <v>0</v>
      </c>
      <c r="R240" s="1013">
        <f t="shared" si="76"/>
        <v>0</v>
      </c>
      <c r="S240" s="1013">
        <f t="shared" si="77"/>
        <v>6631000</v>
      </c>
      <c r="T240" s="1017">
        <v>0</v>
      </c>
      <c r="U240" s="785">
        <v>0</v>
      </c>
      <c r="V240" s="785">
        <v>200000</v>
      </c>
      <c r="W240" s="1017">
        <v>500000</v>
      </c>
      <c r="X240" s="1017">
        <v>0</v>
      </c>
      <c r="Y240" s="1017">
        <v>400000</v>
      </c>
      <c r="Z240" s="1017">
        <v>593285</v>
      </c>
      <c r="AA240" s="1018"/>
      <c r="AB240" s="1013"/>
      <c r="AC240" s="1017">
        <v>0</v>
      </c>
      <c r="AD240" s="1017">
        <v>0</v>
      </c>
      <c r="AE240" s="1013">
        <v>0</v>
      </c>
      <c r="AF240" s="1019"/>
      <c r="AG240" s="1019">
        <f t="shared" si="78"/>
        <v>8324285</v>
      </c>
      <c r="AH240" s="1014">
        <v>48</v>
      </c>
      <c r="AI240" s="1014">
        <v>0</v>
      </c>
      <c r="AJ240" s="1014">
        <v>0</v>
      </c>
      <c r="AK240" s="1018">
        <v>0</v>
      </c>
      <c r="AL240" s="1020">
        <v>0</v>
      </c>
      <c r="AM240" s="1013">
        <f t="shared" si="53"/>
        <v>2295346</v>
      </c>
      <c r="AN240" s="1045">
        <f t="shared" si="80"/>
        <v>10619631</v>
      </c>
      <c r="AO240" s="1013">
        <v>696255</v>
      </c>
      <c r="AP240" s="1013">
        <v>44100</v>
      </c>
      <c r="AQ240" s="1013">
        <v>0</v>
      </c>
      <c r="AR240" s="1013">
        <v>0</v>
      </c>
      <c r="AS240" s="1013">
        <v>0</v>
      </c>
      <c r="AT240" s="1045">
        <f t="shared" si="81"/>
        <v>9879276</v>
      </c>
      <c r="AU240" s="1004"/>
      <c r="AV240" s="870"/>
      <c r="AW240" s="782" t="s">
        <v>3779</v>
      </c>
      <c r="AX240" s="782" t="s">
        <v>3780</v>
      </c>
      <c r="AY240" s="1007" t="s">
        <v>287</v>
      </c>
      <c r="AZ240" s="1007">
        <v>622</v>
      </c>
      <c r="BA240" s="347" t="str">
        <f t="shared" si="54"/>
        <v>Box</v>
      </c>
      <c r="BB240" s="1008"/>
      <c r="BC240" s="1009"/>
      <c r="BD240" s="1009"/>
    </row>
    <row r="241" spans="1:56" s="1010" customFormat="1" ht="36.75" customHeight="1">
      <c r="A241" s="661">
        <f>SUBTOTAL(3,B$6:B241)</f>
        <v>236</v>
      </c>
      <c r="B241" s="661" t="s">
        <v>1268</v>
      </c>
      <c r="C241" s="662" t="s">
        <v>1269</v>
      </c>
      <c r="D241" s="1011">
        <v>44291</v>
      </c>
      <c r="E241" s="1011" t="s">
        <v>216</v>
      </c>
      <c r="F241" s="787" t="s">
        <v>699</v>
      </c>
      <c r="G241" s="996" t="s">
        <v>1172</v>
      </c>
      <c r="H241" s="1012">
        <v>5931000</v>
      </c>
      <c r="I241" s="1012">
        <v>300000</v>
      </c>
      <c r="J241" s="1012">
        <v>0</v>
      </c>
      <c r="K241" s="1012">
        <v>0</v>
      </c>
      <c r="L241" s="1013">
        <f t="shared" si="0"/>
        <v>6231000</v>
      </c>
      <c r="M241" s="1014">
        <v>24</v>
      </c>
      <c r="N241" s="1013">
        <f t="shared" ref="N241:N748" si="82">ROUND((H241+I241+J241+K241)/IF($M$2&gt;26,26,$M$2)*M241,0)</f>
        <v>5751692</v>
      </c>
      <c r="O241" s="1015">
        <v>2</v>
      </c>
      <c r="P241" s="1013">
        <f t="shared" ref="P241:P748" si="83">ROUND((H241+I241+J241+K241)/IF($M$2&gt;26,26,$M$2)*O241,0)</f>
        <v>479308</v>
      </c>
      <c r="Q241" s="1016">
        <v>0</v>
      </c>
      <c r="R241" s="1013">
        <f t="shared" ref="R241:R748" si="84">IF(M241&gt;0,ROUND(N241/IF(M241&gt;26,26,M241)/8*Q241*30%,0),0)</f>
        <v>0</v>
      </c>
      <c r="S241" s="1013">
        <f t="shared" ref="S241:S748" si="85">N241+P241+R241</f>
        <v>6231000</v>
      </c>
      <c r="T241" s="1017">
        <v>0</v>
      </c>
      <c r="U241" s="785">
        <v>0</v>
      </c>
      <c r="V241" s="785">
        <v>200000</v>
      </c>
      <c r="W241" s="1017">
        <v>500000</v>
      </c>
      <c r="X241" s="1017">
        <v>0</v>
      </c>
      <c r="Y241" s="1017">
        <v>400000</v>
      </c>
      <c r="Z241" s="1017">
        <v>593285</v>
      </c>
      <c r="AA241" s="1018"/>
      <c r="AB241" s="1013"/>
      <c r="AC241" s="1017">
        <v>0</v>
      </c>
      <c r="AD241" s="1017">
        <v>0</v>
      </c>
      <c r="AE241" s="1013">
        <v>0</v>
      </c>
      <c r="AF241" s="1019"/>
      <c r="AG241" s="1019">
        <f t="shared" si="1"/>
        <v>7924285</v>
      </c>
      <c r="AH241" s="1014">
        <v>52</v>
      </c>
      <c r="AI241" s="1014">
        <v>0</v>
      </c>
      <c r="AJ241" s="1014">
        <v>0</v>
      </c>
      <c r="AK241" s="1018">
        <v>0</v>
      </c>
      <c r="AL241" s="1020">
        <v>0</v>
      </c>
      <c r="AM241" s="1013">
        <f t="shared" si="53"/>
        <v>2336625</v>
      </c>
      <c r="AN241" s="1045">
        <f t="shared" si="3"/>
        <v>10260910</v>
      </c>
      <c r="AO241" s="1013">
        <v>654255</v>
      </c>
      <c r="AP241" s="1013">
        <v>44100</v>
      </c>
      <c r="AQ241" s="1013">
        <v>0</v>
      </c>
      <c r="AR241" s="1013">
        <v>0</v>
      </c>
      <c r="AS241" s="1013">
        <v>0</v>
      </c>
      <c r="AT241" s="1045">
        <f t="shared" si="81"/>
        <v>9562555</v>
      </c>
      <c r="AU241" s="1004"/>
      <c r="AV241" s="870"/>
      <c r="AW241" s="782" t="s">
        <v>3781</v>
      </c>
      <c r="AX241" s="782" t="s">
        <v>3782</v>
      </c>
      <c r="AY241" s="1007" t="s">
        <v>287</v>
      </c>
      <c r="AZ241" s="1007">
        <v>622</v>
      </c>
      <c r="BA241" s="347" t="str">
        <f t="shared" si="54"/>
        <v>Box</v>
      </c>
      <c r="BB241" s="1008"/>
      <c r="BC241" s="1009"/>
      <c r="BD241" s="1009"/>
    </row>
    <row r="242" spans="1:56" s="1010" customFormat="1" ht="36.75" customHeight="1">
      <c r="A242" s="661">
        <f>SUBTOTAL(3,B$6:B242)</f>
        <v>237</v>
      </c>
      <c r="B242" s="661" t="s">
        <v>1270</v>
      </c>
      <c r="C242" s="662" t="s">
        <v>1271</v>
      </c>
      <c r="D242" s="1011">
        <v>44333</v>
      </c>
      <c r="E242" s="1011" t="s">
        <v>216</v>
      </c>
      <c r="F242" s="787" t="s">
        <v>699</v>
      </c>
      <c r="G242" s="996" t="s">
        <v>1172</v>
      </c>
      <c r="H242" s="1012">
        <v>5931000</v>
      </c>
      <c r="I242" s="1012">
        <v>500000</v>
      </c>
      <c r="J242" s="1012">
        <v>0</v>
      </c>
      <c r="K242" s="1012">
        <v>0</v>
      </c>
      <c r="L242" s="1013">
        <f t="shared" ref="L242:L249" si="86">SUM(H242:K242)</f>
        <v>6431000</v>
      </c>
      <c r="M242" s="1014">
        <v>24</v>
      </c>
      <c r="N242" s="1013">
        <f t="shared" ref="N242:N249" si="87">ROUND((H242+I242+J242+K242)/IF($M$2&gt;26,26,$M$2)*M242,0)</f>
        <v>5936308</v>
      </c>
      <c r="O242" s="1015">
        <v>2</v>
      </c>
      <c r="P242" s="1013">
        <f t="shared" ref="P242:P249" si="88">ROUND((H242+I242+J242+K242)/IF($M$2&gt;26,26,$M$2)*O242,0)</f>
        <v>494692</v>
      </c>
      <c r="Q242" s="1016">
        <v>0</v>
      </c>
      <c r="R242" s="1013">
        <f t="shared" ref="R242:R249" si="89">IF(M242&gt;0,ROUND(N242/IF(M242&gt;26,26,M242)/8*Q242*30%,0),0)</f>
        <v>0</v>
      </c>
      <c r="S242" s="1013">
        <f t="shared" ref="S242:S249" si="90">N242+P242+R242</f>
        <v>6431000</v>
      </c>
      <c r="T242" s="1017">
        <v>0</v>
      </c>
      <c r="U242" s="785">
        <v>0</v>
      </c>
      <c r="V242" s="785">
        <v>200000</v>
      </c>
      <c r="W242" s="1017">
        <v>500000</v>
      </c>
      <c r="X242" s="1017">
        <v>0</v>
      </c>
      <c r="Y242" s="1017">
        <v>400000</v>
      </c>
      <c r="Z242" s="1017">
        <v>593285</v>
      </c>
      <c r="AA242" s="1018"/>
      <c r="AB242" s="1013"/>
      <c r="AC242" s="1017">
        <v>0</v>
      </c>
      <c r="AD242" s="1017">
        <v>0</v>
      </c>
      <c r="AE242" s="1013">
        <v>0</v>
      </c>
      <c r="AF242" s="1019"/>
      <c r="AG242" s="1019">
        <f t="shared" ref="AG242:AG249" si="91">ROUND(SUM(S242:AF242)-AA242,0)</f>
        <v>8124285</v>
      </c>
      <c r="AH242" s="1014">
        <v>44</v>
      </c>
      <c r="AI242" s="1014">
        <v>0</v>
      </c>
      <c r="AJ242" s="1014">
        <v>0</v>
      </c>
      <c r="AK242" s="1018">
        <v>0</v>
      </c>
      <c r="AL242" s="1020">
        <v>0</v>
      </c>
      <c r="AM242" s="1013">
        <f t="shared" si="53"/>
        <v>2040606</v>
      </c>
      <c r="AN242" s="1045">
        <f t="shared" ref="AN242:AN246" si="92">ROUND(AG242+AM242,0)</f>
        <v>10164891</v>
      </c>
      <c r="AO242" s="1013">
        <v>675255</v>
      </c>
      <c r="AP242" s="1013">
        <v>44100</v>
      </c>
      <c r="AQ242" s="1013">
        <v>0</v>
      </c>
      <c r="AR242" s="1013">
        <v>0</v>
      </c>
      <c r="AS242" s="1013">
        <v>0</v>
      </c>
      <c r="AT242" s="1045">
        <f t="shared" si="81"/>
        <v>9445536</v>
      </c>
      <c r="AU242" s="1004"/>
      <c r="AV242" s="870"/>
      <c r="AW242" s="782" t="s">
        <v>3783</v>
      </c>
      <c r="AX242" s="782" t="s">
        <v>3784</v>
      </c>
      <c r="AY242" s="1007" t="s">
        <v>287</v>
      </c>
      <c r="AZ242" s="1007">
        <v>622</v>
      </c>
      <c r="BA242" s="347" t="str">
        <f t="shared" si="54"/>
        <v>Box</v>
      </c>
      <c r="BB242" s="1008"/>
      <c r="BC242" s="1009"/>
      <c r="BD242" s="1009"/>
    </row>
    <row r="243" spans="1:56" s="1010" customFormat="1" ht="36.75" customHeight="1">
      <c r="A243" s="661">
        <f>SUBTOTAL(3,B$6:B243)</f>
        <v>238</v>
      </c>
      <c r="B243" s="661" t="s">
        <v>1272</v>
      </c>
      <c r="C243" s="662" t="s">
        <v>1273</v>
      </c>
      <c r="D243" s="1011">
        <v>44333</v>
      </c>
      <c r="E243" s="1011" t="s">
        <v>216</v>
      </c>
      <c r="F243" s="787" t="s">
        <v>699</v>
      </c>
      <c r="G243" s="996" t="s">
        <v>1081</v>
      </c>
      <c r="H243" s="1012">
        <v>5931000</v>
      </c>
      <c r="I243" s="1012">
        <v>700000</v>
      </c>
      <c r="J243" s="1012">
        <v>0</v>
      </c>
      <c r="K243" s="1012">
        <v>0</v>
      </c>
      <c r="L243" s="1013">
        <f t="shared" si="86"/>
        <v>6631000</v>
      </c>
      <c r="M243" s="1014">
        <v>23</v>
      </c>
      <c r="N243" s="1013">
        <f t="shared" si="87"/>
        <v>5865885</v>
      </c>
      <c r="O243" s="1015">
        <v>3</v>
      </c>
      <c r="P243" s="1013">
        <f t="shared" si="88"/>
        <v>765115</v>
      </c>
      <c r="Q243" s="1016">
        <v>0</v>
      </c>
      <c r="R243" s="1013">
        <f t="shared" si="89"/>
        <v>0</v>
      </c>
      <c r="S243" s="1013">
        <f t="shared" si="90"/>
        <v>6631000</v>
      </c>
      <c r="T243" s="1017">
        <v>0</v>
      </c>
      <c r="U243" s="785">
        <v>0</v>
      </c>
      <c r="V243" s="785">
        <v>200000</v>
      </c>
      <c r="W243" s="1017">
        <v>500000</v>
      </c>
      <c r="X243" s="1017">
        <v>0</v>
      </c>
      <c r="Y243" s="1017">
        <v>400000</v>
      </c>
      <c r="Z243" s="1017">
        <v>568565</v>
      </c>
      <c r="AA243" s="1018"/>
      <c r="AB243" s="1013"/>
      <c r="AC243" s="1017">
        <v>0</v>
      </c>
      <c r="AD243" s="1017">
        <v>0</v>
      </c>
      <c r="AE243" s="1013">
        <v>47819.71467391304</v>
      </c>
      <c r="AF243" s="1019"/>
      <c r="AG243" s="1019">
        <f t="shared" si="91"/>
        <v>8347385</v>
      </c>
      <c r="AH243" s="1014">
        <v>48</v>
      </c>
      <c r="AI243" s="1014">
        <v>0</v>
      </c>
      <c r="AJ243" s="1014">
        <v>0</v>
      </c>
      <c r="AK243" s="1018">
        <v>0</v>
      </c>
      <c r="AL243" s="1020">
        <v>0</v>
      </c>
      <c r="AM243" s="1013">
        <f t="shared" si="53"/>
        <v>2295346</v>
      </c>
      <c r="AN243" s="1045">
        <f t="shared" si="92"/>
        <v>10642731</v>
      </c>
      <c r="AO243" s="1013">
        <v>696255</v>
      </c>
      <c r="AP243" s="1013">
        <v>44100</v>
      </c>
      <c r="AQ243" s="1013">
        <v>0</v>
      </c>
      <c r="AR243" s="1013">
        <v>0</v>
      </c>
      <c r="AS243" s="1013">
        <v>0</v>
      </c>
      <c r="AT243" s="1045">
        <f t="shared" si="81"/>
        <v>9902376</v>
      </c>
      <c r="AU243" s="1004"/>
      <c r="AV243" s="870"/>
      <c r="AW243" s="782" t="s">
        <v>3785</v>
      </c>
      <c r="AX243" s="782" t="s">
        <v>3786</v>
      </c>
      <c r="AY243" s="1007" t="s">
        <v>287</v>
      </c>
      <c r="AZ243" s="1007">
        <v>622</v>
      </c>
      <c r="BA243" s="347" t="str">
        <f t="shared" si="54"/>
        <v>Box</v>
      </c>
      <c r="BB243" s="1008"/>
      <c r="BC243" s="1009"/>
      <c r="BD243" s="1009"/>
    </row>
    <row r="244" spans="1:56" s="1010" customFormat="1" ht="36.75" customHeight="1">
      <c r="A244" s="661">
        <f>SUBTOTAL(3,B$6:B244)</f>
        <v>239</v>
      </c>
      <c r="B244" s="661" t="s">
        <v>1274</v>
      </c>
      <c r="C244" s="662" t="s">
        <v>1275</v>
      </c>
      <c r="D244" s="1011">
        <v>44707</v>
      </c>
      <c r="E244" s="1011" t="s">
        <v>216</v>
      </c>
      <c r="F244" s="787" t="s">
        <v>699</v>
      </c>
      <c r="G244" s="996" t="s">
        <v>1081</v>
      </c>
      <c r="H244" s="1012">
        <v>5815000</v>
      </c>
      <c r="I244" s="1012">
        <v>700000</v>
      </c>
      <c r="J244" s="1012">
        <v>0</v>
      </c>
      <c r="K244" s="1012">
        <v>0</v>
      </c>
      <c r="L244" s="1013">
        <f t="shared" si="86"/>
        <v>6515000</v>
      </c>
      <c r="M244" s="1014">
        <v>24</v>
      </c>
      <c r="N244" s="1013">
        <f t="shared" si="87"/>
        <v>6013846</v>
      </c>
      <c r="O244" s="1015">
        <v>2</v>
      </c>
      <c r="P244" s="1013">
        <f t="shared" si="88"/>
        <v>501154</v>
      </c>
      <c r="Q244" s="1016">
        <v>0</v>
      </c>
      <c r="R244" s="1013">
        <f t="shared" si="89"/>
        <v>0</v>
      </c>
      <c r="S244" s="1013">
        <f t="shared" si="90"/>
        <v>6515000</v>
      </c>
      <c r="T244" s="1017">
        <v>0</v>
      </c>
      <c r="U244" s="785">
        <v>0</v>
      </c>
      <c r="V244" s="785">
        <v>200000</v>
      </c>
      <c r="W244" s="1017">
        <v>500000</v>
      </c>
      <c r="X244" s="1017">
        <v>0</v>
      </c>
      <c r="Y244" s="1017">
        <v>400000</v>
      </c>
      <c r="Z244" s="1017">
        <v>593285</v>
      </c>
      <c r="AA244" s="1018"/>
      <c r="AB244" s="1013"/>
      <c r="AC244" s="1017">
        <v>0</v>
      </c>
      <c r="AD244" s="1017">
        <v>0</v>
      </c>
      <c r="AE244" s="1013">
        <v>46983.171875</v>
      </c>
      <c r="AF244" s="1019"/>
      <c r="AG244" s="1019">
        <f t="shared" si="91"/>
        <v>8255268</v>
      </c>
      <c r="AH244" s="1014">
        <v>44</v>
      </c>
      <c r="AI244" s="1014">
        <v>0</v>
      </c>
      <c r="AJ244" s="1014">
        <v>0</v>
      </c>
      <c r="AK244" s="1018">
        <v>0</v>
      </c>
      <c r="AL244" s="1020">
        <v>0</v>
      </c>
      <c r="AM244" s="1013">
        <f t="shared" si="53"/>
        <v>2067260</v>
      </c>
      <c r="AN244" s="1045">
        <f t="shared" si="92"/>
        <v>10322528</v>
      </c>
      <c r="AO244" s="1013">
        <v>684075</v>
      </c>
      <c r="AP244" s="1013">
        <v>44100</v>
      </c>
      <c r="AQ244" s="1013">
        <v>0</v>
      </c>
      <c r="AR244" s="1013">
        <v>0</v>
      </c>
      <c r="AS244" s="1013">
        <v>0</v>
      </c>
      <c r="AT244" s="1045">
        <f t="shared" si="81"/>
        <v>9594353</v>
      </c>
      <c r="AU244" s="1004"/>
      <c r="AV244" s="870"/>
      <c r="AW244" s="782" t="s">
        <v>3787</v>
      </c>
      <c r="AX244" s="782" t="s">
        <v>3788</v>
      </c>
      <c r="AY244" s="1007" t="s">
        <v>287</v>
      </c>
      <c r="AZ244" s="1007">
        <v>622</v>
      </c>
      <c r="BA244" s="347" t="str">
        <f t="shared" si="54"/>
        <v>Box</v>
      </c>
      <c r="BB244" s="1008"/>
      <c r="BC244" s="1009"/>
      <c r="BD244" s="1009"/>
    </row>
    <row r="245" spans="1:56" s="1010" customFormat="1" ht="36.75" customHeight="1">
      <c r="A245" s="661">
        <f>SUBTOTAL(3,B$6:B245)</f>
        <v>240</v>
      </c>
      <c r="B245" s="661" t="s">
        <v>1276</v>
      </c>
      <c r="C245" s="662" t="s">
        <v>1277</v>
      </c>
      <c r="D245" s="1011">
        <v>45164</v>
      </c>
      <c r="E245" s="1011" t="s">
        <v>216</v>
      </c>
      <c r="F245" s="787" t="s">
        <v>699</v>
      </c>
      <c r="G245" s="996" t="s">
        <v>1081</v>
      </c>
      <c r="H245" s="1012">
        <v>5538000</v>
      </c>
      <c r="I245" s="1012">
        <v>500000</v>
      </c>
      <c r="J245" s="1012">
        <v>0</v>
      </c>
      <c r="K245" s="1012">
        <v>0</v>
      </c>
      <c r="L245" s="1013">
        <f t="shared" si="86"/>
        <v>6038000</v>
      </c>
      <c r="M245" s="1014">
        <v>23.6</v>
      </c>
      <c r="N245" s="1013">
        <f t="shared" si="87"/>
        <v>5480646</v>
      </c>
      <c r="O245" s="1015">
        <v>2</v>
      </c>
      <c r="P245" s="1013">
        <f t="shared" si="88"/>
        <v>464462</v>
      </c>
      <c r="Q245" s="1016">
        <v>0</v>
      </c>
      <c r="R245" s="1013">
        <f t="shared" si="89"/>
        <v>0</v>
      </c>
      <c r="S245" s="1013">
        <f t="shared" si="90"/>
        <v>5945108</v>
      </c>
      <c r="T245" s="1017">
        <v>0</v>
      </c>
      <c r="U245" s="785">
        <v>0</v>
      </c>
      <c r="V245" s="785">
        <v>200000</v>
      </c>
      <c r="W245" s="1017">
        <v>500000</v>
      </c>
      <c r="X245" s="1017">
        <v>0</v>
      </c>
      <c r="Y245" s="1017">
        <v>400000</v>
      </c>
      <c r="Z245" s="1017">
        <v>583397</v>
      </c>
      <c r="AA245" s="1018"/>
      <c r="AB245" s="1013"/>
      <c r="AC245" s="1017">
        <v>0</v>
      </c>
      <c r="AD245" s="1017">
        <v>0</v>
      </c>
      <c r="AE245" s="1013">
        <v>43543.268008474573</v>
      </c>
      <c r="AF245" s="1019"/>
      <c r="AG245" s="1019">
        <f t="shared" si="91"/>
        <v>7672048</v>
      </c>
      <c r="AH245" s="1014">
        <v>48</v>
      </c>
      <c r="AI245" s="1014">
        <v>0</v>
      </c>
      <c r="AJ245" s="1014">
        <v>0</v>
      </c>
      <c r="AK245" s="1018">
        <v>0</v>
      </c>
      <c r="AL245" s="1020">
        <v>0</v>
      </c>
      <c r="AM245" s="1013">
        <f t="shared" si="53"/>
        <v>2090077</v>
      </c>
      <c r="AN245" s="1045">
        <f t="shared" si="92"/>
        <v>9762125</v>
      </c>
      <c r="AO245" s="1013">
        <v>633990</v>
      </c>
      <c r="AP245" s="1013">
        <v>44100</v>
      </c>
      <c r="AQ245" s="1013">
        <v>0</v>
      </c>
      <c r="AR245" s="1013">
        <v>0</v>
      </c>
      <c r="AS245" s="1013">
        <v>0</v>
      </c>
      <c r="AT245" s="1045">
        <f t="shared" si="81"/>
        <v>9084035</v>
      </c>
      <c r="AU245" s="1004"/>
      <c r="AV245" s="870"/>
      <c r="AW245" s="782" t="s">
        <v>3789</v>
      </c>
      <c r="AX245" s="782" t="s">
        <v>3790</v>
      </c>
      <c r="AY245" s="1007" t="s">
        <v>287</v>
      </c>
      <c r="AZ245" s="1007">
        <v>622</v>
      </c>
      <c r="BA245" s="347" t="str">
        <f t="shared" si="54"/>
        <v>Box</v>
      </c>
      <c r="BB245" s="1008"/>
      <c r="BC245" s="1009"/>
      <c r="BD245" s="1009"/>
    </row>
    <row r="246" spans="1:56" s="1010" customFormat="1" ht="36.75" customHeight="1">
      <c r="A246" s="661">
        <f>SUBTOTAL(3,B$6:B246)</f>
        <v>241</v>
      </c>
      <c r="B246" s="661" t="s">
        <v>1278</v>
      </c>
      <c r="C246" s="662" t="s">
        <v>1279</v>
      </c>
      <c r="D246" s="1011">
        <v>45204</v>
      </c>
      <c r="E246" s="1011" t="s">
        <v>216</v>
      </c>
      <c r="F246" s="787" t="s">
        <v>699</v>
      </c>
      <c r="G246" s="996" t="s">
        <v>1081</v>
      </c>
      <c r="H246" s="1012">
        <v>5538000</v>
      </c>
      <c r="I246" s="1012">
        <v>300000</v>
      </c>
      <c r="J246" s="1012">
        <v>0</v>
      </c>
      <c r="K246" s="1012">
        <v>0</v>
      </c>
      <c r="L246" s="1013">
        <f t="shared" si="86"/>
        <v>5838000</v>
      </c>
      <c r="M246" s="1014">
        <v>23.9</v>
      </c>
      <c r="N246" s="1013">
        <f t="shared" si="87"/>
        <v>5366469</v>
      </c>
      <c r="O246" s="1015">
        <v>2</v>
      </c>
      <c r="P246" s="1013">
        <f t="shared" si="88"/>
        <v>449077</v>
      </c>
      <c r="Q246" s="1016">
        <v>0</v>
      </c>
      <c r="R246" s="1013">
        <f t="shared" si="89"/>
        <v>0</v>
      </c>
      <c r="S246" s="1013">
        <f t="shared" si="90"/>
        <v>5815546</v>
      </c>
      <c r="T246" s="1017">
        <v>0</v>
      </c>
      <c r="U246" s="785">
        <v>0</v>
      </c>
      <c r="V246" s="785">
        <v>200000</v>
      </c>
      <c r="W246" s="1017">
        <v>500000</v>
      </c>
      <c r="X246" s="1017">
        <v>0</v>
      </c>
      <c r="Y246" s="1017">
        <v>400000</v>
      </c>
      <c r="Z246" s="1017">
        <v>590813</v>
      </c>
      <c r="AA246" s="1018"/>
      <c r="AB246" s="1013"/>
      <c r="AC246" s="1017">
        <v>0</v>
      </c>
      <c r="AD246" s="1017">
        <v>0</v>
      </c>
      <c r="AE246" s="1013">
        <v>42100.959728033471</v>
      </c>
      <c r="AF246" s="1019"/>
      <c r="AG246" s="1019">
        <f t="shared" si="91"/>
        <v>7548460</v>
      </c>
      <c r="AH246" s="1014">
        <v>48</v>
      </c>
      <c r="AI246" s="1014">
        <v>0</v>
      </c>
      <c r="AJ246" s="1014">
        <v>0</v>
      </c>
      <c r="AK246" s="1018">
        <v>0</v>
      </c>
      <c r="AL246" s="1020">
        <v>0</v>
      </c>
      <c r="AM246" s="1013">
        <f t="shared" si="53"/>
        <v>2020846</v>
      </c>
      <c r="AN246" s="1045">
        <f t="shared" si="92"/>
        <v>9569306</v>
      </c>
      <c r="AO246" s="1013">
        <v>612990</v>
      </c>
      <c r="AP246" s="1013">
        <v>44100</v>
      </c>
      <c r="AQ246" s="1013">
        <v>0</v>
      </c>
      <c r="AR246" s="1013">
        <v>0</v>
      </c>
      <c r="AS246" s="1013">
        <v>0</v>
      </c>
      <c r="AT246" s="1045">
        <f t="shared" si="81"/>
        <v>8912216</v>
      </c>
      <c r="AU246" s="1004"/>
      <c r="AV246" s="870"/>
      <c r="AW246" s="782" t="s">
        <v>3791</v>
      </c>
      <c r="AX246" s="782" t="s">
        <v>3792</v>
      </c>
      <c r="AY246" s="1007" t="s">
        <v>287</v>
      </c>
      <c r="AZ246" s="1007">
        <v>622</v>
      </c>
      <c r="BA246" s="347" t="str">
        <f t="shared" si="54"/>
        <v>Box</v>
      </c>
      <c r="BB246" s="1008"/>
      <c r="BC246" s="1009"/>
      <c r="BD246" s="1009"/>
    </row>
    <row r="247" spans="1:56" s="1010" customFormat="1" ht="36.75" customHeight="1">
      <c r="A247" s="661">
        <f>SUBTOTAL(3,B$6:B247)</f>
        <v>242</v>
      </c>
      <c r="B247" s="661" t="s">
        <v>1280</v>
      </c>
      <c r="C247" s="662" t="s">
        <v>1281</v>
      </c>
      <c r="D247" s="1011">
        <v>45346</v>
      </c>
      <c r="E247" s="1011" t="s">
        <v>216</v>
      </c>
      <c r="F247" s="787" t="s">
        <v>699</v>
      </c>
      <c r="G247" s="996" t="s">
        <v>1081</v>
      </c>
      <c r="H247" s="1012">
        <v>5538000</v>
      </c>
      <c r="I247" s="1012">
        <v>500000</v>
      </c>
      <c r="J247" s="1012">
        <v>0</v>
      </c>
      <c r="K247" s="1012">
        <v>0</v>
      </c>
      <c r="L247" s="1013">
        <f t="shared" si="86"/>
        <v>6038000</v>
      </c>
      <c r="M247" s="1014">
        <v>23.8</v>
      </c>
      <c r="N247" s="1013">
        <f t="shared" si="87"/>
        <v>5527092</v>
      </c>
      <c r="O247" s="1015">
        <v>2</v>
      </c>
      <c r="P247" s="1013">
        <f t="shared" si="88"/>
        <v>464462</v>
      </c>
      <c r="Q247" s="1016">
        <v>0</v>
      </c>
      <c r="R247" s="1013">
        <f t="shared" si="89"/>
        <v>0</v>
      </c>
      <c r="S247" s="1013">
        <f t="shared" si="90"/>
        <v>5991554</v>
      </c>
      <c r="T247" s="1017">
        <v>0</v>
      </c>
      <c r="U247" s="785">
        <v>0</v>
      </c>
      <c r="V247" s="785">
        <v>200000</v>
      </c>
      <c r="W247" s="1017">
        <v>500000</v>
      </c>
      <c r="X247" s="1017">
        <v>0</v>
      </c>
      <c r="Y247" s="1017">
        <v>400000</v>
      </c>
      <c r="Z247" s="1017">
        <v>588341</v>
      </c>
      <c r="AA247" s="1018"/>
      <c r="AB247" s="1013"/>
      <c r="AC247" s="1017">
        <v>0</v>
      </c>
      <c r="AD247" s="1017">
        <v>0</v>
      </c>
      <c r="AE247" s="1013">
        <v>43543.266806722691</v>
      </c>
      <c r="AF247" s="1019"/>
      <c r="AG247" s="1019">
        <f t="shared" si="91"/>
        <v>7723438</v>
      </c>
      <c r="AH247" s="1014">
        <v>52</v>
      </c>
      <c r="AI247" s="1014">
        <v>0</v>
      </c>
      <c r="AJ247" s="1014">
        <v>0</v>
      </c>
      <c r="AK247" s="1018">
        <v>0</v>
      </c>
      <c r="AL247" s="1020">
        <v>0</v>
      </c>
      <c r="AM247" s="1013">
        <f t="shared" si="53"/>
        <v>2264250</v>
      </c>
      <c r="AN247" s="1045">
        <f>ROUND(AG247+AM247,0)</f>
        <v>9987688</v>
      </c>
      <c r="AO247" s="1013">
        <v>633990</v>
      </c>
      <c r="AP247" s="1013">
        <v>44100</v>
      </c>
      <c r="AQ247" s="1013">
        <v>0</v>
      </c>
      <c r="AR247" s="1013">
        <v>0</v>
      </c>
      <c r="AS247" s="1013">
        <v>0</v>
      </c>
      <c r="AT247" s="1045">
        <f t="shared" si="81"/>
        <v>9309598</v>
      </c>
      <c r="AU247" s="1004"/>
      <c r="AV247" s="870"/>
      <c r="AW247" s="782" t="s">
        <v>3793</v>
      </c>
      <c r="AX247" s="782" t="s">
        <v>3794</v>
      </c>
      <c r="AY247" s="1007" t="s">
        <v>287</v>
      </c>
      <c r="AZ247" s="1007">
        <v>622</v>
      </c>
      <c r="BA247" s="347" t="str">
        <f t="shared" si="54"/>
        <v>Box</v>
      </c>
      <c r="BB247" s="1008"/>
      <c r="BC247" s="1009"/>
      <c r="BD247" s="1009"/>
    </row>
    <row r="248" spans="1:56" s="1010" customFormat="1" ht="36.75" customHeight="1">
      <c r="A248" s="661">
        <f>SUBTOTAL(3,B$6:B248)</f>
        <v>243</v>
      </c>
      <c r="B248" s="661" t="s">
        <v>1282</v>
      </c>
      <c r="C248" s="662" t="s">
        <v>1283</v>
      </c>
      <c r="D248" s="1011">
        <v>45352</v>
      </c>
      <c r="E248" s="1011" t="s">
        <v>216</v>
      </c>
      <c r="F248" s="787" t="s">
        <v>699</v>
      </c>
      <c r="G248" s="996" t="s">
        <v>1172</v>
      </c>
      <c r="H248" s="1012">
        <v>5538000</v>
      </c>
      <c r="I248" s="1012">
        <v>200000</v>
      </c>
      <c r="J248" s="1012">
        <v>0</v>
      </c>
      <c r="K248" s="1012">
        <v>0</v>
      </c>
      <c r="L248" s="1013">
        <f t="shared" si="86"/>
        <v>5738000</v>
      </c>
      <c r="M248" s="1014">
        <v>23</v>
      </c>
      <c r="N248" s="1013">
        <f t="shared" si="87"/>
        <v>5075923</v>
      </c>
      <c r="O248" s="1015">
        <v>3</v>
      </c>
      <c r="P248" s="1013">
        <f t="shared" si="88"/>
        <v>662077</v>
      </c>
      <c r="Q248" s="1016">
        <v>0</v>
      </c>
      <c r="R248" s="1013">
        <f t="shared" si="89"/>
        <v>0</v>
      </c>
      <c r="S248" s="1013">
        <f t="shared" si="90"/>
        <v>5738000</v>
      </c>
      <c r="T248" s="1017">
        <v>0</v>
      </c>
      <c r="U248" s="785">
        <v>0</v>
      </c>
      <c r="V248" s="785">
        <v>200000</v>
      </c>
      <c r="W248" s="1017">
        <v>500000</v>
      </c>
      <c r="X248" s="1017">
        <v>0</v>
      </c>
      <c r="Y248" s="1017">
        <v>400000</v>
      </c>
      <c r="Z248" s="1017">
        <v>568565</v>
      </c>
      <c r="AA248" s="1018"/>
      <c r="AB248" s="1013"/>
      <c r="AC248" s="1017">
        <v>0</v>
      </c>
      <c r="AD248" s="1017">
        <v>0</v>
      </c>
      <c r="AE248" s="1013">
        <v>0</v>
      </c>
      <c r="AF248" s="1019"/>
      <c r="AG248" s="1019">
        <f t="shared" si="91"/>
        <v>7406565</v>
      </c>
      <c r="AH248" s="1014">
        <v>47</v>
      </c>
      <c r="AI248" s="1014">
        <v>0</v>
      </c>
      <c r="AJ248" s="1014">
        <v>0</v>
      </c>
      <c r="AK248" s="1018">
        <v>0</v>
      </c>
      <c r="AL248" s="1020">
        <v>0</v>
      </c>
      <c r="AM248" s="1013">
        <f t="shared" si="53"/>
        <v>1944851</v>
      </c>
      <c r="AN248" s="1045">
        <f t="shared" ref="AN248:AN249" si="93">ROUND(AG248+AM248,0)</f>
        <v>9351416</v>
      </c>
      <c r="AO248" s="1013">
        <v>602490</v>
      </c>
      <c r="AP248" s="1013">
        <v>44100</v>
      </c>
      <c r="AQ248" s="1013">
        <v>0</v>
      </c>
      <c r="AR248" s="1013">
        <v>0</v>
      </c>
      <c r="AS248" s="1013">
        <v>0</v>
      </c>
      <c r="AT248" s="1045">
        <f t="shared" si="81"/>
        <v>8704826</v>
      </c>
      <c r="AU248" s="1004"/>
      <c r="AV248" s="870"/>
      <c r="AW248" s="782" t="s">
        <v>3795</v>
      </c>
      <c r="AX248" s="782" t="s">
        <v>3796</v>
      </c>
      <c r="AY248" s="1007" t="s">
        <v>287</v>
      </c>
      <c r="AZ248" s="1007">
        <v>622</v>
      </c>
      <c r="BA248" s="347" t="str">
        <f t="shared" si="54"/>
        <v>Box</v>
      </c>
      <c r="BB248" s="1008"/>
      <c r="BC248" s="1009"/>
      <c r="BD248" s="1009"/>
    </row>
    <row r="249" spans="1:56" s="1010" customFormat="1" ht="36.75" customHeight="1">
      <c r="A249" s="661">
        <f>SUBTOTAL(3,B$6:B249)</f>
        <v>244</v>
      </c>
      <c r="B249" s="661" t="s">
        <v>1284</v>
      </c>
      <c r="C249" s="662" t="s">
        <v>1285</v>
      </c>
      <c r="D249" s="1011">
        <v>45519</v>
      </c>
      <c r="E249" s="1011" t="s">
        <v>216</v>
      </c>
      <c r="F249" s="787" t="s">
        <v>699</v>
      </c>
      <c r="G249" s="996" t="s">
        <v>1172</v>
      </c>
      <c r="H249" s="1012">
        <v>5274000</v>
      </c>
      <c r="I249" s="1012">
        <v>200000</v>
      </c>
      <c r="J249" s="1012">
        <v>0</v>
      </c>
      <c r="K249" s="1012">
        <v>0</v>
      </c>
      <c r="L249" s="1013">
        <f t="shared" si="86"/>
        <v>5474000</v>
      </c>
      <c r="M249" s="1014">
        <v>23</v>
      </c>
      <c r="N249" s="1013">
        <f t="shared" si="87"/>
        <v>4842385</v>
      </c>
      <c r="O249" s="1015">
        <v>3</v>
      </c>
      <c r="P249" s="1013">
        <f t="shared" si="88"/>
        <v>631615</v>
      </c>
      <c r="Q249" s="1016">
        <v>0</v>
      </c>
      <c r="R249" s="1013">
        <f t="shared" si="89"/>
        <v>0</v>
      </c>
      <c r="S249" s="1013">
        <f t="shared" si="90"/>
        <v>5474000</v>
      </c>
      <c r="T249" s="1017">
        <v>0</v>
      </c>
      <c r="U249" s="785">
        <v>0</v>
      </c>
      <c r="V249" s="785">
        <v>200000</v>
      </c>
      <c r="W249" s="1017">
        <v>500000</v>
      </c>
      <c r="X249" s="1017">
        <v>0</v>
      </c>
      <c r="Y249" s="1017">
        <v>400000</v>
      </c>
      <c r="Z249" s="1017">
        <v>568565</v>
      </c>
      <c r="AA249" s="1018"/>
      <c r="AB249" s="1013"/>
      <c r="AC249" s="1017">
        <v>0</v>
      </c>
      <c r="AD249" s="1017">
        <v>0</v>
      </c>
      <c r="AE249" s="1013">
        <v>0</v>
      </c>
      <c r="AF249" s="1019"/>
      <c r="AG249" s="1019">
        <f t="shared" si="91"/>
        <v>7142565</v>
      </c>
      <c r="AH249" s="1014">
        <v>48</v>
      </c>
      <c r="AI249" s="1014">
        <v>0</v>
      </c>
      <c r="AJ249" s="1014">
        <v>0</v>
      </c>
      <c r="AK249" s="1018">
        <v>0</v>
      </c>
      <c r="AL249" s="1020">
        <v>0</v>
      </c>
      <c r="AM249" s="1013">
        <f t="shared" si="53"/>
        <v>1894846</v>
      </c>
      <c r="AN249" s="1045">
        <f t="shared" si="93"/>
        <v>9037411</v>
      </c>
      <c r="AO249" s="1013">
        <v>574770</v>
      </c>
      <c r="AP249" s="1013">
        <v>44100</v>
      </c>
      <c r="AQ249" s="1013">
        <v>0</v>
      </c>
      <c r="AR249" s="1013">
        <v>0</v>
      </c>
      <c r="AS249" s="1013">
        <v>0</v>
      </c>
      <c r="AT249" s="1045">
        <f t="shared" si="81"/>
        <v>8418541</v>
      </c>
      <c r="AU249" s="1004"/>
      <c r="AV249" s="870"/>
      <c r="AW249" s="782" t="s">
        <v>3797</v>
      </c>
      <c r="AX249" s="782" t="s">
        <v>3798</v>
      </c>
      <c r="AY249" s="1007" t="s">
        <v>287</v>
      </c>
      <c r="AZ249" s="1007">
        <v>622</v>
      </c>
      <c r="BA249" s="347" t="str">
        <f t="shared" si="54"/>
        <v>Box</v>
      </c>
      <c r="BB249" s="1008"/>
      <c r="BC249" s="1009"/>
      <c r="BD249" s="1009"/>
    </row>
    <row r="250" spans="1:56" s="1010" customFormat="1" ht="36.75" customHeight="1">
      <c r="A250" s="661">
        <f>SUBTOTAL(3,B$6:B250)</f>
        <v>245</v>
      </c>
      <c r="B250" s="661" t="s">
        <v>1286</v>
      </c>
      <c r="C250" s="662" t="s">
        <v>1287</v>
      </c>
      <c r="D250" s="1011">
        <v>45533</v>
      </c>
      <c r="E250" s="1011" t="s">
        <v>216</v>
      </c>
      <c r="F250" s="787" t="s">
        <v>699</v>
      </c>
      <c r="G250" s="996" t="s">
        <v>1081</v>
      </c>
      <c r="H250" s="1012">
        <v>5274000</v>
      </c>
      <c r="I250" s="1012">
        <v>300000</v>
      </c>
      <c r="J250" s="1012">
        <v>0</v>
      </c>
      <c r="K250" s="1012">
        <v>0</v>
      </c>
      <c r="L250" s="1013">
        <f t="shared" si="0"/>
        <v>5574000</v>
      </c>
      <c r="M250" s="1014">
        <v>22.6</v>
      </c>
      <c r="N250" s="1013">
        <f t="shared" si="82"/>
        <v>4845092</v>
      </c>
      <c r="O250" s="1015">
        <v>3</v>
      </c>
      <c r="P250" s="1013">
        <f t="shared" si="83"/>
        <v>643154</v>
      </c>
      <c r="Q250" s="1016">
        <v>0</v>
      </c>
      <c r="R250" s="1013">
        <f t="shared" si="84"/>
        <v>0</v>
      </c>
      <c r="S250" s="1013">
        <f t="shared" si="85"/>
        <v>5488246</v>
      </c>
      <c r="T250" s="1017">
        <v>0</v>
      </c>
      <c r="U250" s="785">
        <v>0</v>
      </c>
      <c r="V250" s="785">
        <v>200000</v>
      </c>
      <c r="W250" s="1017">
        <v>500000</v>
      </c>
      <c r="X250" s="1017">
        <v>0</v>
      </c>
      <c r="Y250" s="1017">
        <v>400000</v>
      </c>
      <c r="Z250" s="1017">
        <v>558677</v>
      </c>
      <c r="AA250" s="1018"/>
      <c r="AB250" s="1013"/>
      <c r="AC250" s="1017">
        <v>0</v>
      </c>
      <c r="AD250" s="1017">
        <v>0</v>
      </c>
      <c r="AE250" s="1013">
        <v>40197.112831858409</v>
      </c>
      <c r="AF250" s="1019"/>
      <c r="AG250" s="1019">
        <f t="shared" si="1"/>
        <v>7187120</v>
      </c>
      <c r="AH250" s="1014">
        <v>52</v>
      </c>
      <c r="AI250" s="1014">
        <v>0</v>
      </c>
      <c r="AJ250" s="1014">
        <v>0</v>
      </c>
      <c r="AK250" s="1018">
        <v>0</v>
      </c>
      <c r="AL250" s="1020">
        <v>0</v>
      </c>
      <c r="AM250" s="1013">
        <f t="shared" si="53"/>
        <v>2090250</v>
      </c>
      <c r="AN250" s="1045">
        <f t="shared" si="3"/>
        <v>9277370</v>
      </c>
      <c r="AO250" s="1013">
        <v>585270</v>
      </c>
      <c r="AP250" s="1013">
        <v>44100</v>
      </c>
      <c r="AQ250" s="1013">
        <v>0</v>
      </c>
      <c r="AR250" s="1013">
        <v>0</v>
      </c>
      <c r="AS250" s="1013">
        <v>0</v>
      </c>
      <c r="AT250" s="1045">
        <f t="shared" si="81"/>
        <v>8648000</v>
      </c>
      <c r="AU250" s="1004"/>
      <c r="AV250" s="870"/>
      <c r="AW250" s="782" t="s">
        <v>3799</v>
      </c>
      <c r="AX250" s="782" t="s">
        <v>3800</v>
      </c>
      <c r="AY250" s="1007" t="s">
        <v>287</v>
      </c>
      <c r="AZ250" s="1007">
        <v>622</v>
      </c>
      <c r="BA250" s="347" t="str">
        <f t="shared" si="54"/>
        <v>Box</v>
      </c>
      <c r="BB250" s="1008"/>
      <c r="BC250" s="1009"/>
      <c r="BD250" s="1009"/>
    </row>
    <row r="251" spans="1:56" s="1010" customFormat="1" ht="36.75" customHeight="1">
      <c r="A251" s="661">
        <f>SUBTOTAL(3,B$6:B251)</f>
        <v>246</v>
      </c>
      <c r="B251" s="661" t="s">
        <v>1288</v>
      </c>
      <c r="C251" s="662" t="s">
        <v>1289</v>
      </c>
      <c r="D251" s="1011">
        <v>45563</v>
      </c>
      <c r="E251" s="1011" t="s">
        <v>216</v>
      </c>
      <c r="F251" s="787" t="s">
        <v>699</v>
      </c>
      <c r="G251" s="996" t="s">
        <v>1081</v>
      </c>
      <c r="H251" s="1012">
        <v>5274000</v>
      </c>
      <c r="I251" s="1012">
        <v>300000</v>
      </c>
      <c r="J251" s="1012">
        <v>0</v>
      </c>
      <c r="K251" s="1012">
        <v>0</v>
      </c>
      <c r="L251" s="1013">
        <f t="shared" si="0"/>
        <v>5574000</v>
      </c>
      <c r="M251" s="1014">
        <v>23</v>
      </c>
      <c r="N251" s="1013">
        <f t="shared" si="82"/>
        <v>4930846</v>
      </c>
      <c r="O251" s="1015">
        <v>3</v>
      </c>
      <c r="P251" s="1013">
        <f t="shared" si="83"/>
        <v>643154</v>
      </c>
      <c r="Q251" s="1016">
        <v>0</v>
      </c>
      <c r="R251" s="1013">
        <f t="shared" si="84"/>
        <v>0</v>
      </c>
      <c r="S251" s="1013">
        <f t="shared" si="85"/>
        <v>5574000</v>
      </c>
      <c r="T251" s="1017">
        <v>0</v>
      </c>
      <c r="U251" s="785">
        <v>0</v>
      </c>
      <c r="V251" s="785">
        <v>200000</v>
      </c>
      <c r="W251" s="1017">
        <v>500000</v>
      </c>
      <c r="X251" s="1017">
        <v>0</v>
      </c>
      <c r="Y251" s="1017">
        <v>300000</v>
      </c>
      <c r="Z251" s="1017">
        <v>568565</v>
      </c>
      <c r="AA251" s="1018"/>
      <c r="AB251" s="1013"/>
      <c r="AC251" s="1017">
        <v>0</v>
      </c>
      <c r="AD251" s="1017">
        <v>0</v>
      </c>
      <c r="AE251" s="1013">
        <v>40197.114130434784</v>
      </c>
      <c r="AF251" s="1019"/>
      <c r="AG251" s="1019">
        <f t="shared" si="1"/>
        <v>7182762</v>
      </c>
      <c r="AH251" s="1014">
        <v>0</v>
      </c>
      <c r="AI251" s="1014">
        <v>0</v>
      </c>
      <c r="AJ251" s="1014">
        <v>0</v>
      </c>
      <c r="AK251" s="1018">
        <v>0</v>
      </c>
      <c r="AL251" s="1020">
        <v>0</v>
      </c>
      <c r="AM251" s="1013">
        <f t="shared" si="53"/>
        <v>0</v>
      </c>
      <c r="AN251" s="1045">
        <f t="shared" si="3"/>
        <v>7182762</v>
      </c>
      <c r="AO251" s="1013">
        <v>585270</v>
      </c>
      <c r="AP251" s="1013">
        <v>44100</v>
      </c>
      <c r="AQ251" s="1013">
        <v>0</v>
      </c>
      <c r="AR251" s="1013">
        <v>0</v>
      </c>
      <c r="AS251" s="1013">
        <v>0</v>
      </c>
      <c r="AT251" s="1045">
        <f t="shared" si="81"/>
        <v>6553392</v>
      </c>
      <c r="AU251" s="1004"/>
      <c r="AV251" s="870"/>
      <c r="AW251" s="782" t="s">
        <v>3801</v>
      </c>
      <c r="AX251" s="782" t="s">
        <v>3802</v>
      </c>
      <c r="AY251" s="1007" t="s">
        <v>287</v>
      </c>
      <c r="AZ251" s="1007">
        <v>622</v>
      </c>
      <c r="BA251" s="347" t="str">
        <f t="shared" si="54"/>
        <v>Box</v>
      </c>
      <c r="BB251" s="1008"/>
      <c r="BC251" s="1009"/>
      <c r="BD251" s="1009"/>
    </row>
    <row r="252" spans="1:56" s="1010" customFormat="1" ht="36.75" customHeight="1">
      <c r="A252" s="661">
        <f>SUBTOTAL(3,B$6:B252)</f>
        <v>247</v>
      </c>
      <c r="B252" s="661" t="s">
        <v>1290</v>
      </c>
      <c r="C252" s="662" t="s">
        <v>1291</v>
      </c>
      <c r="D252" s="1011">
        <v>45710</v>
      </c>
      <c r="E252" s="1011" t="s">
        <v>216</v>
      </c>
      <c r="F252" s="787" t="s">
        <v>699</v>
      </c>
      <c r="G252" s="996" t="s">
        <v>1172</v>
      </c>
      <c r="H252" s="1012">
        <v>5023000</v>
      </c>
      <c r="I252" s="1012">
        <v>200000</v>
      </c>
      <c r="J252" s="1012">
        <v>0</v>
      </c>
      <c r="K252" s="1012">
        <v>0</v>
      </c>
      <c r="L252" s="1013">
        <f t="shared" ref="L252:L277" si="94">SUM(H252:K252)</f>
        <v>5223000</v>
      </c>
      <c r="M252" s="1014">
        <v>20</v>
      </c>
      <c r="N252" s="1013">
        <f t="shared" ref="N252:N277" si="95">ROUND((H252+I252+J252+K252)/IF($M$2&gt;26,26,$M$2)*M252,0)</f>
        <v>4017692</v>
      </c>
      <c r="O252" s="1015">
        <v>3</v>
      </c>
      <c r="P252" s="1013">
        <f t="shared" ref="P252:P277" si="96">ROUND((H252+I252+J252+K252)/IF($M$2&gt;26,26,$M$2)*O252,0)</f>
        <v>602654</v>
      </c>
      <c r="Q252" s="1016">
        <v>0</v>
      </c>
      <c r="R252" s="1013">
        <f t="shared" ref="R252:R277" si="97">IF(M252&gt;0,ROUND(N252/IF(M252&gt;26,26,M252)/8*Q252*30%,0),0)</f>
        <v>0</v>
      </c>
      <c r="S252" s="1013">
        <f t="shared" ref="S252:S277" si="98">N252+P252+R252</f>
        <v>4620346</v>
      </c>
      <c r="T252" s="1017">
        <v>0</v>
      </c>
      <c r="U252" s="785">
        <v>0</v>
      </c>
      <c r="V252" s="785">
        <v>200000</v>
      </c>
      <c r="W252" s="1017">
        <v>0</v>
      </c>
      <c r="X252" s="1017">
        <v>0</v>
      </c>
      <c r="Y252" s="1017">
        <v>150000</v>
      </c>
      <c r="Z252" s="1017">
        <v>494405</v>
      </c>
      <c r="AA252" s="1018"/>
      <c r="AB252" s="1013"/>
      <c r="AC252" s="1017">
        <v>0</v>
      </c>
      <c r="AD252" s="1017">
        <v>0</v>
      </c>
      <c r="AE252" s="1013">
        <v>0</v>
      </c>
      <c r="AF252" s="1019"/>
      <c r="AG252" s="1019">
        <f t="shared" ref="AG252:AG277" si="99">ROUND(SUM(S252:AF252)-AA252,0)</f>
        <v>5464751</v>
      </c>
      <c r="AH252" s="1014">
        <v>40</v>
      </c>
      <c r="AI252" s="1014">
        <v>0</v>
      </c>
      <c r="AJ252" s="1014">
        <v>0</v>
      </c>
      <c r="AK252" s="1018">
        <v>0</v>
      </c>
      <c r="AL252" s="1020">
        <v>0</v>
      </c>
      <c r="AM252" s="1013">
        <f t="shared" si="53"/>
        <v>1506635</v>
      </c>
      <c r="AN252" s="1045">
        <f t="shared" ref="AN252:AN254" si="100">ROUND(AG252+AM252,0)</f>
        <v>6971386</v>
      </c>
      <c r="AO252" s="1013">
        <v>548415</v>
      </c>
      <c r="AP252" s="1013">
        <v>44100</v>
      </c>
      <c r="AQ252" s="1013">
        <v>0</v>
      </c>
      <c r="AR252" s="1013">
        <v>0</v>
      </c>
      <c r="AS252" s="1013">
        <v>0</v>
      </c>
      <c r="AT252" s="1045">
        <f t="shared" si="81"/>
        <v>6378871</v>
      </c>
      <c r="AU252" s="1004"/>
      <c r="AV252" s="870"/>
      <c r="AW252" s="782" t="s">
        <v>3803</v>
      </c>
      <c r="AX252" s="782" t="s">
        <v>3804</v>
      </c>
      <c r="AY252" s="1007" t="s">
        <v>287</v>
      </c>
      <c r="AZ252" s="1007">
        <v>622</v>
      </c>
      <c r="BA252" s="347" t="str">
        <f t="shared" si="54"/>
        <v>Box</v>
      </c>
      <c r="BB252" s="1008"/>
      <c r="BC252" s="1009"/>
      <c r="BD252" s="1009"/>
    </row>
    <row r="253" spans="1:56" s="1010" customFormat="1" ht="36.75" customHeight="1">
      <c r="A253" s="661">
        <f>SUBTOTAL(3,B$6:B253)</f>
        <v>248</v>
      </c>
      <c r="B253" s="661" t="s">
        <v>1292</v>
      </c>
      <c r="C253" s="662" t="s">
        <v>1293</v>
      </c>
      <c r="D253" s="1011">
        <v>45715</v>
      </c>
      <c r="E253" s="1011" t="s">
        <v>216</v>
      </c>
      <c r="F253" s="787" t="s">
        <v>699</v>
      </c>
      <c r="G253" s="996" t="s">
        <v>1081</v>
      </c>
      <c r="H253" s="1012">
        <v>5023000</v>
      </c>
      <c r="I253" s="1012">
        <v>300000</v>
      </c>
      <c r="J253" s="1012">
        <v>0</v>
      </c>
      <c r="K253" s="1012">
        <v>0</v>
      </c>
      <c r="L253" s="1013">
        <f t="shared" si="94"/>
        <v>5323000</v>
      </c>
      <c r="M253" s="1014">
        <v>22.8</v>
      </c>
      <c r="N253" s="1013">
        <f t="shared" si="95"/>
        <v>4667862</v>
      </c>
      <c r="O253" s="1015">
        <v>3</v>
      </c>
      <c r="P253" s="1013">
        <f t="shared" si="96"/>
        <v>614192</v>
      </c>
      <c r="Q253" s="1016">
        <v>0</v>
      </c>
      <c r="R253" s="1013">
        <f t="shared" si="97"/>
        <v>0</v>
      </c>
      <c r="S253" s="1013">
        <f t="shared" si="98"/>
        <v>5282054</v>
      </c>
      <c r="T253" s="1017">
        <v>0</v>
      </c>
      <c r="U253" s="785">
        <v>0</v>
      </c>
      <c r="V253" s="785">
        <v>200000</v>
      </c>
      <c r="W253" s="1017">
        <v>500000</v>
      </c>
      <c r="X253" s="1017">
        <v>0</v>
      </c>
      <c r="Y253" s="1017">
        <v>400000</v>
      </c>
      <c r="Z253" s="1017">
        <v>563621</v>
      </c>
      <c r="AA253" s="1018"/>
      <c r="AB253" s="1013"/>
      <c r="AC253" s="1017">
        <v>0</v>
      </c>
      <c r="AD253" s="1017">
        <v>0</v>
      </c>
      <c r="AE253" s="1013">
        <v>38387.023026315786</v>
      </c>
      <c r="AF253" s="1019"/>
      <c r="AG253" s="1019">
        <f t="shared" si="99"/>
        <v>6984062</v>
      </c>
      <c r="AH253" s="1014">
        <v>48</v>
      </c>
      <c r="AI253" s="1014">
        <v>0</v>
      </c>
      <c r="AJ253" s="1014">
        <v>0</v>
      </c>
      <c r="AK253" s="1018">
        <v>0</v>
      </c>
      <c r="AL253" s="1020">
        <v>0</v>
      </c>
      <c r="AM253" s="1013">
        <f t="shared" si="53"/>
        <v>1842577</v>
      </c>
      <c r="AN253" s="1045">
        <f t="shared" si="100"/>
        <v>8826639</v>
      </c>
      <c r="AO253" s="1013">
        <v>558915</v>
      </c>
      <c r="AP253" s="1013">
        <v>44100</v>
      </c>
      <c r="AQ253" s="1013">
        <v>0</v>
      </c>
      <c r="AR253" s="1013">
        <v>0</v>
      </c>
      <c r="AS253" s="1013">
        <v>0</v>
      </c>
      <c r="AT253" s="1045">
        <f t="shared" si="81"/>
        <v>8223624</v>
      </c>
      <c r="AU253" s="1004"/>
      <c r="AV253" s="870"/>
      <c r="AW253" s="782" t="s">
        <v>3805</v>
      </c>
      <c r="AX253" s="782" t="s">
        <v>3806</v>
      </c>
      <c r="AY253" s="1007" t="s">
        <v>287</v>
      </c>
      <c r="AZ253" s="1007">
        <v>622</v>
      </c>
      <c r="BA253" s="347" t="str">
        <f t="shared" si="54"/>
        <v>Box</v>
      </c>
      <c r="BB253" s="1008"/>
      <c r="BC253" s="1009"/>
      <c r="BD253" s="1009"/>
    </row>
    <row r="254" spans="1:56" s="1010" customFormat="1" ht="36.75" customHeight="1">
      <c r="A254" s="661">
        <f>SUBTOTAL(3,B$6:B254)</f>
        <v>249</v>
      </c>
      <c r="B254" s="661" t="s">
        <v>1294</v>
      </c>
      <c r="C254" s="662" t="s">
        <v>1295</v>
      </c>
      <c r="D254" s="1011">
        <v>40949</v>
      </c>
      <c r="E254" s="1011" t="s">
        <v>216</v>
      </c>
      <c r="F254" s="787" t="s">
        <v>699</v>
      </c>
      <c r="G254" s="996" t="s">
        <v>1081</v>
      </c>
      <c r="H254" s="1012">
        <v>5931000</v>
      </c>
      <c r="I254" s="1012">
        <v>700000</v>
      </c>
      <c r="J254" s="1012">
        <v>0</v>
      </c>
      <c r="K254" s="1012">
        <v>100000</v>
      </c>
      <c r="L254" s="1013">
        <f t="shared" si="94"/>
        <v>6731000</v>
      </c>
      <c r="M254" s="1014">
        <v>17.8</v>
      </c>
      <c r="N254" s="1013">
        <f t="shared" si="95"/>
        <v>4608146</v>
      </c>
      <c r="O254" s="1015">
        <v>5</v>
      </c>
      <c r="P254" s="1013">
        <f t="shared" si="96"/>
        <v>1294423</v>
      </c>
      <c r="Q254" s="1016">
        <v>0</v>
      </c>
      <c r="R254" s="1013">
        <f t="shared" si="97"/>
        <v>0</v>
      </c>
      <c r="S254" s="1013">
        <f t="shared" si="98"/>
        <v>5902569</v>
      </c>
      <c r="T254" s="1017">
        <v>0</v>
      </c>
      <c r="U254" s="785">
        <v>0</v>
      </c>
      <c r="V254" s="785">
        <v>200000</v>
      </c>
      <c r="W254" s="1017">
        <v>0</v>
      </c>
      <c r="X254" s="1017">
        <v>0</v>
      </c>
      <c r="Y254" s="1017">
        <v>150000</v>
      </c>
      <c r="Z254" s="1017">
        <v>440020</v>
      </c>
      <c r="AA254" s="1018"/>
      <c r="AB254" s="1013"/>
      <c r="AC254" s="1017">
        <v>100000</v>
      </c>
      <c r="AD254" s="1017">
        <v>0</v>
      </c>
      <c r="AE254" s="1013">
        <v>48540.863764044945</v>
      </c>
      <c r="AF254" s="1019"/>
      <c r="AG254" s="1019">
        <f t="shared" si="99"/>
        <v>6841130</v>
      </c>
      <c r="AH254" s="1014">
        <v>40</v>
      </c>
      <c r="AI254" s="1014">
        <v>0</v>
      </c>
      <c r="AJ254" s="1014">
        <v>0</v>
      </c>
      <c r="AK254" s="1018">
        <v>0</v>
      </c>
      <c r="AL254" s="1020">
        <v>0</v>
      </c>
      <c r="AM254" s="1013">
        <f t="shared" si="53"/>
        <v>1941635</v>
      </c>
      <c r="AN254" s="1045">
        <f t="shared" si="100"/>
        <v>8782765</v>
      </c>
      <c r="AO254" s="1013">
        <v>706755</v>
      </c>
      <c r="AP254" s="1013">
        <v>44100</v>
      </c>
      <c r="AQ254" s="1013">
        <v>0</v>
      </c>
      <c r="AR254" s="1013">
        <v>0</v>
      </c>
      <c r="AS254" s="1013">
        <v>0</v>
      </c>
      <c r="AT254" s="1045">
        <f t="shared" si="81"/>
        <v>8031910</v>
      </c>
      <c r="AU254" s="1004"/>
      <c r="AV254" s="870"/>
      <c r="AW254" s="782" t="s">
        <v>3807</v>
      </c>
      <c r="AX254" s="782" t="s">
        <v>3808</v>
      </c>
      <c r="AY254" s="1007" t="s">
        <v>287</v>
      </c>
      <c r="AZ254" s="1007">
        <v>622</v>
      </c>
      <c r="BA254" s="347" t="str">
        <f t="shared" si="54"/>
        <v>Box</v>
      </c>
      <c r="BB254" s="1008"/>
      <c r="BC254" s="1009"/>
      <c r="BD254" s="1009"/>
    </row>
    <row r="255" spans="1:56" s="1010" customFormat="1" ht="36.75" customHeight="1">
      <c r="A255" s="661">
        <f>SUBTOTAL(3,B$6:B255)</f>
        <v>250</v>
      </c>
      <c r="B255" s="661" t="s">
        <v>1296</v>
      </c>
      <c r="C255" s="662" t="s">
        <v>1297</v>
      </c>
      <c r="D255" s="1011">
        <v>41452</v>
      </c>
      <c r="E255" s="1011" t="s">
        <v>216</v>
      </c>
      <c r="F255" s="787" t="s">
        <v>699</v>
      </c>
      <c r="G255" s="996" t="s">
        <v>1081</v>
      </c>
      <c r="H255" s="1012">
        <v>5931000</v>
      </c>
      <c r="I255" s="1012">
        <v>700000</v>
      </c>
      <c r="J255" s="1012">
        <v>0</v>
      </c>
      <c r="K255" s="1012">
        <v>0</v>
      </c>
      <c r="L255" s="1013">
        <f t="shared" si="94"/>
        <v>6631000</v>
      </c>
      <c r="M255" s="1014">
        <v>23.9</v>
      </c>
      <c r="N255" s="1013">
        <f t="shared" si="95"/>
        <v>6095419</v>
      </c>
      <c r="O255" s="1015">
        <v>2</v>
      </c>
      <c r="P255" s="1013">
        <f t="shared" si="96"/>
        <v>510077</v>
      </c>
      <c r="Q255" s="1016">
        <v>0</v>
      </c>
      <c r="R255" s="1013">
        <f t="shared" si="97"/>
        <v>0</v>
      </c>
      <c r="S255" s="1013">
        <f t="shared" si="98"/>
        <v>6605496</v>
      </c>
      <c r="T255" s="1017">
        <v>0</v>
      </c>
      <c r="U255" s="785">
        <v>0</v>
      </c>
      <c r="V255" s="785">
        <v>200000</v>
      </c>
      <c r="W255" s="1017">
        <v>500000</v>
      </c>
      <c r="X255" s="1017">
        <v>0</v>
      </c>
      <c r="Y255" s="1017">
        <v>400000</v>
      </c>
      <c r="Z255" s="1017">
        <v>590813</v>
      </c>
      <c r="AA255" s="1018"/>
      <c r="AB255" s="1013"/>
      <c r="AC255" s="1017">
        <v>0</v>
      </c>
      <c r="AD255" s="1017">
        <v>0</v>
      </c>
      <c r="AE255" s="1013">
        <v>47819.709728033471</v>
      </c>
      <c r="AF255" s="1019"/>
      <c r="AG255" s="1019">
        <f t="shared" si="99"/>
        <v>8344129</v>
      </c>
      <c r="AH255" s="1014">
        <v>52</v>
      </c>
      <c r="AI255" s="1014">
        <v>0</v>
      </c>
      <c r="AJ255" s="1014">
        <v>0</v>
      </c>
      <c r="AK255" s="1018">
        <v>0</v>
      </c>
      <c r="AL255" s="1020">
        <v>0</v>
      </c>
      <c r="AM255" s="1013">
        <f t="shared" si="53"/>
        <v>2486625</v>
      </c>
      <c r="AN255" s="1045">
        <f>ROUND(AG255+AM255,0)</f>
        <v>10830754</v>
      </c>
      <c r="AO255" s="1013">
        <v>696255</v>
      </c>
      <c r="AP255" s="1013">
        <v>44100</v>
      </c>
      <c r="AQ255" s="1013">
        <v>0</v>
      </c>
      <c r="AR255" s="1013">
        <v>0</v>
      </c>
      <c r="AS255" s="1013">
        <v>0</v>
      </c>
      <c r="AT255" s="1045">
        <f t="shared" si="81"/>
        <v>10090399</v>
      </c>
      <c r="AU255" s="1004"/>
      <c r="AV255" s="870"/>
      <c r="AW255" s="782" t="s">
        <v>3809</v>
      </c>
      <c r="AX255" s="782" t="s">
        <v>3810</v>
      </c>
      <c r="AY255" s="1007" t="s">
        <v>287</v>
      </c>
      <c r="AZ255" s="1007">
        <v>622</v>
      </c>
      <c r="BA255" s="347" t="str">
        <f t="shared" si="54"/>
        <v>Box</v>
      </c>
      <c r="BB255" s="1008"/>
      <c r="BC255" s="1009"/>
      <c r="BD255" s="1009"/>
    </row>
    <row r="256" spans="1:56" s="1010" customFormat="1" ht="36.75" customHeight="1">
      <c r="A256" s="661">
        <f>SUBTOTAL(3,B$6:B256)</f>
        <v>251</v>
      </c>
      <c r="B256" s="661" t="s">
        <v>1298</v>
      </c>
      <c r="C256" s="662" t="s">
        <v>1299</v>
      </c>
      <c r="D256" s="1011">
        <v>41829</v>
      </c>
      <c r="E256" s="1011" t="s">
        <v>216</v>
      </c>
      <c r="F256" s="787" t="s">
        <v>699</v>
      </c>
      <c r="G256" s="996" t="s">
        <v>1081</v>
      </c>
      <c r="H256" s="1012">
        <v>5931000</v>
      </c>
      <c r="I256" s="1012">
        <v>700000</v>
      </c>
      <c r="J256" s="1012">
        <v>0</v>
      </c>
      <c r="K256" s="1012">
        <v>0</v>
      </c>
      <c r="L256" s="1013">
        <f t="shared" si="94"/>
        <v>6631000</v>
      </c>
      <c r="M256" s="1014">
        <v>24</v>
      </c>
      <c r="N256" s="1013">
        <f t="shared" si="95"/>
        <v>6120923</v>
      </c>
      <c r="O256" s="1015">
        <v>2</v>
      </c>
      <c r="P256" s="1013">
        <f t="shared" si="96"/>
        <v>510077</v>
      </c>
      <c r="Q256" s="1016">
        <v>0</v>
      </c>
      <c r="R256" s="1013">
        <f t="shared" si="97"/>
        <v>0</v>
      </c>
      <c r="S256" s="1013">
        <f t="shared" si="98"/>
        <v>6631000</v>
      </c>
      <c r="T256" s="1017">
        <v>0</v>
      </c>
      <c r="U256" s="785">
        <v>0</v>
      </c>
      <c r="V256" s="785">
        <v>200000</v>
      </c>
      <c r="W256" s="1017">
        <v>500000</v>
      </c>
      <c r="X256" s="1017">
        <v>0</v>
      </c>
      <c r="Y256" s="1017">
        <v>400000</v>
      </c>
      <c r="Z256" s="1017">
        <v>593285</v>
      </c>
      <c r="AA256" s="1018"/>
      <c r="AB256" s="1013"/>
      <c r="AC256" s="1017">
        <v>0</v>
      </c>
      <c r="AD256" s="1017">
        <v>0</v>
      </c>
      <c r="AE256" s="1013">
        <v>47819.7109375</v>
      </c>
      <c r="AF256" s="1019"/>
      <c r="AG256" s="1019">
        <f t="shared" si="99"/>
        <v>8372105</v>
      </c>
      <c r="AH256" s="1014">
        <v>48</v>
      </c>
      <c r="AI256" s="1014">
        <v>0</v>
      </c>
      <c r="AJ256" s="1014">
        <v>0</v>
      </c>
      <c r="AK256" s="1018">
        <v>0</v>
      </c>
      <c r="AL256" s="1020">
        <v>0</v>
      </c>
      <c r="AM256" s="1013">
        <f t="shared" si="53"/>
        <v>2295346</v>
      </c>
      <c r="AN256" s="1045">
        <f t="shared" ref="AN256:AN277" si="101">ROUND(AG256+AM256,0)</f>
        <v>10667451</v>
      </c>
      <c r="AO256" s="1013">
        <v>696255</v>
      </c>
      <c r="AP256" s="1013">
        <v>44100</v>
      </c>
      <c r="AQ256" s="1013">
        <v>0</v>
      </c>
      <c r="AR256" s="1013">
        <v>0</v>
      </c>
      <c r="AS256" s="1013">
        <v>0</v>
      </c>
      <c r="AT256" s="1045">
        <f t="shared" si="81"/>
        <v>9927096</v>
      </c>
      <c r="AU256" s="1004"/>
      <c r="AV256" s="870"/>
      <c r="AW256" s="782" t="s">
        <v>3811</v>
      </c>
      <c r="AX256" s="782" t="s">
        <v>3812</v>
      </c>
      <c r="AY256" s="1007" t="s">
        <v>287</v>
      </c>
      <c r="AZ256" s="1007">
        <v>622</v>
      </c>
      <c r="BA256" s="347" t="str">
        <f t="shared" si="54"/>
        <v>Box</v>
      </c>
      <c r="BB256" s="1008"/>
      <c r="BC256" s="1009"/>
      <c r="BD256" s="1009"/>
    </row>
    <row r="257" spans="1:56" s="1010" customFormat="1" ht="36.75" customHeight="1">
      <c r="A257" s="661">
        <f>SUBTOTAL(3,B$6:B257)</f>
        <v>252</v>
      </c>
      <c r="B257" s="661" t="s">
        <v>1300</v>
      </c>
      <c r="C257" s="662" t="s">
        <v>1301</v>
      </c>
      <c r="D257" s="1011">
        <v>42786</v>
      </c>
      <c r="E257" s="1011" t="s">
        <v>216</v>
      </c>
      <c r="F257" s="787" t="s">
        <v>699</v>
      </c>
      <c r="G257" s="996" t="s">
        <v>1172</v>
      </c>
      <c r="H257" s="1012">
        <v>5931000</v>
      </c>
      <c r="I257" s="1012">
        <v>600000</v>
      </c>
      <c r="J257" s="1012">
        <v>0</v>
      </c>
      <c r="K257" s="1012">
        <v>0</v>
      </c>
      <c r="L257" s="1013">
        <f t="shared" si="94"/>
        <v>6531000</v>
      </c>
      <c r="M257" s="1014">
        <v>22.5</v>
      </c>
      <c r="N257" s="1013">
        <f t="shared" si="95"/>
        <v>5651827</v>
      </c>
      <c r="O257" s="1015">
        <v>3</v>
      </c>
      <c r="P257" s="1013">
        <f t="shared" si="96"/>
        <v>753577</v>
      </c>
      <c r="Q257" s="1016">
        <v>0</v>
      </c>
      <c r="R257" s="1013">
        <f t="shared" si="97"/>
        <v>0</v>
      </c>
      <c r="S257" s="1013">
        <f t="shared" si="98"/>
        <v>6405404</v>
      </c>
      <c r="T257" s="1017">
        <v>0</v>
      </c>
      <c r="U257" s="785">
        <v>0</v>
      </c>
      <c r="V257" s="785">
        <v>200000</v>
      </c>
      <c r="W257" s="1017">
        <v>500000</v>
      </c>
      <c r="X257" s="1017">
        <v>0</v>
      </c>
      <c r="Y257" s="1017">
        <v>400000</v>
      </c>
      <c r="Z257" s="1017">
        <v>556205</v>
      </c>
      <c r="AA257" s="1018"/>
      <c r="AB257" s="1013"/>
      <c r="AC257" s="1017">
        <v>0</v>
      </c>
      <c r="AD257" s="1017">
        <v>0</v>
      </c>
      <c r="AE257" s="1013">
        <v>0</v>
      </c>
      <c r="AF257" s="1019"/>
      <c r="AG257" s="1019">
        <f t="shared" si="99"/>
        <v>8061609</v>
      </c>
      <c r="AH257" s="1014">
        <v>48</v>
      </c>
      <c r="AI257" s="1014">
        <v>0</v>
      </c>
      <c r="AJ257" s="1014">
        <v>0</v>
      </c>
      <c r="AK257" s="1018">
        <v>0</v>
      </c>
      <c r="AL257" s="1020">
        <v>0</v>
      </c>
      <c r="AM257" s="1013">
        <f t="shared" si="53"/>
        <v>2260731</v>
      </c>
      <c r="AN257" s="1045">
        <f t="shared" si="101"/>
        <v>10322340</v>
      </c>
      <c r="AO257" s="1013">
        <v>685755</v>
      </c>
      <c r="AP257" s="1013">
        <v>44100</v>
      </c>
      <c r="AQ257" s="1013">
        <v>0</v>
      </c>
      <c r="AR257" s="1013">
        <v>0</v>
      </c>
      <c r="AS257" s="1013">
        <v>0</v>
      </c>
      <c r="AT257" s="1045">
        <f t="shared" si="81"/>
        <v>9592485</v>
      </c>
      <c r="AU257" s="1004"/>
      <c r="AV257" s="870"/>
      <c r="AW257" s="782" t="s">
        <v>3813</v>
      </c>
      <c r="AX257" s="782" t="s">
        <v>3814</v>
      </c>
      <c r="AY257" s="1007" t="s">
        <v>287</v>
      </c>
      <c r="AZ257" s="1007">
        <v>622</v>
      </c>
      <c r="BA257" s="347" t="str">
        <f t="shared" si="54"/>
        <v>Box</v>
      </c>
      <c r="BB257" s="1008"/>
      <c r="BC257" s="1009"/>
      <c r="BD257" s="1009"/>
    </row>
    <row r="258" spans="1:56" s="1010" customFormat="1" ht="36.75" customHeight="1">
      <c r="A258" s="661">
        <f>SUBTOTAL(3,B$6:B258)</f>
        <v>253</v>
      </c>
      <c r="B258" s="661" t="s">
        <v>1302</v>
      </c>
      <c r="C258" s="662" t="s">
        <v>1303</v>
      </c>
      <c r="D258" s="1011">
        <v>43438</v>
      </c>
      <c r="E258" s="1011" t="s">
        <v>216</v>
      </c>
      <c r="F258" s="787" t="s">
        <v>699</v>
      </c>
      <c r="G258" s="996" t="s">
        <v>1081</v>
      </c>
      <c r="H258" s="1012">
        <v>5931000</v>
      </c>
      <c r="I258" s="1012">
        <v>700000</v>
      </c>
      <c r="J258" s="1012">
        <v>0</v>
      </c>
      <c r="K258" s="1012">
        <v>0</v>
      </c>
      <c r="L258" s="1013">
        <f t="shared" si="94"/>
        <v>6631000</v>
      </c>
      <c r="M258" s="1014">
        <v>24</v>
      </c>
      <c r="N258" s="1013">
        <f t="shared" si="95"/>
        <v>6120923</v>
      </c>
      <c r="O258" s="1015">
        <v>2</v>
      </c>
      <c r="P258" s="1013">
        <f t="shared" si="96"/>
        <v>510077</v>
      </c>
      <c r="Q258" s="1016">
        <v>0</v>
      </c>
      <c r="R258" s="1013">
        <f t="shared" si="97"/>
        <v>0</v>
      </c>
      <c r="S258" s="1013">
        <f t="shared" si="98"/>
        <v>6631000</v>
      </c>
      <c r="T258" s="1017">
        <v>0</v>
      </c>
      <c r="U258" s="785">
        <v>0</v>
      </c>
      <c r="V258" s="785">
        <v>200000</v>
      </c>
      <c r="W258" s="1017">
        <v>500000</v>
      </c>
      <c r="X258" s="1017">
        <v>0</v>
      </c>
      <c r="Y258" s="1017">
        <v>400000</v>
      </c>
      <c r="Z258" s="1017">
        <v>593285</v>
      </c>
      <c r="AA258" s="1018"/>
      <c r="AB258" s="1013"/>
      <c r="AC258" s="1017">
        <v>0</v>
      </c>
      <c r="AD258" s="1017">
        <v>0</v>
      </c>
      <c r="AE258" s="1013">
        <v>47819.7109375</v>
      </c>
      <c r="AF258" s="1019"/>
      <c r="AG258" s="1019">
        <f t="shared" si="99"/>
        <v>8372105</v>
      </c>
      <c r="AH258" s="1014">
        <v>52</v>
      </c>
      <c r="AI258" s="1014">
        <v>0</v>
      </c>
      <c r="AJ258" s="1014">
        <v>0</v>
      </c>
      <c r="AK258" s="1018">
        <v>0</v>
      </c>
      <c r="AL258" s="1020">
        <v>0</v>
      </c>
      <c r="AM258" s="1013">
        <f t="shared" si="53"/>
        <v>2486625</v>
      </c>
      <c r="AN258" s="1045">
        <f t="shared" si="101"/>
        <v>10858730</v>
      </c>
      <c r="AO258" s="1013">
        <v>696255</v>
      </c>
      <c r="AP258" s="1013">
        <v>44100</v>
      </c>
      <c r="AQ258" s="1013">
        <v>0</v>
      </c>
      <c r="AR258" s="1013">
        <v>0</v>
      </c>
      <c r="AS258" s="1013">
        <v>0</v>
      </c>
      <c r="AT258" s="1045">
        <f t="shared" si="81"/>
        <v>10118375</v>
      </c>
      <c r="AU258" s="1004"/>
      <c r="AV258" s="870"/>
      <c r="AW258" s="782" t="s">
        <v>3815</v>
      </c>
      <c r="AX258" s="782" t="s">
        <v>3816</v>
      </c>
      <c r="AY258" s="1007" t="s">
        <v>287</v>
      </c>
      <c r="AZ258" s="1007">
        <v>622</v>
      </c>
      <c r="BA258" s="347" t="str">
        <f t="shared" si="54"/>
        <v>Box</v>
      </c>
      <c r="BB258" s="1008"/>
      <c r="BC258" s="1009"/>
      <c r="BD258" s="1009"/>
    </row>
    <row r="259" spans="1:56" s="1010" customFormat="1" ht="36.75" customHeight="1">
      <c r="A259" s="661">
        <f>SUBTOTAL(3,B$6:B259)</f>
        <v>254</v>
      </c>
      <c r="B259" s="661" t="s">
        <v>1304</v>
      </c>
      <c r="C259" s="662" t="s">
        <v>1305</v>
      </c>
      <c r="D259" s="1011">
        <v>43522</v>
      </c>
      <c r="E259" s="1011" t="s">
        <v>216</v>
      </c>
      <c r="F259" s="787" t="s">
        <v>699</v>
      </c>
      <c r="G259" s="996" t="s">
        <v>1081</v>
      </c>
      <c r="H259" s="1012">
        <v>5931000</v>
      </c>
      <c r="I259" s="1012">
        <v>300000</v>
      </c>
      <c r="J259" s="1012">
        <v>0</v>
      </c>
      <c r="K259" s="1012">
        <v>0</v>
      </c>
      <c r="L259" s="1013">
        <f t="shared" si="94"/>
        <v>6231000</v>
      </c>
      <c r="M259" s="1014">
        <v>22.8</v>
      </c>
      <c r="N259" s="1013">
        <f t="shared" si="95"/>
        <v>5464108</v>
      </c>
      <c r="O259" s="1015">
        <v>3</v>
      </c>
      <c r="P259" s="1013">
        <f t="shared" si="96"/>
        <v>718962</v>
      </c>
      <c r="Q259" s="1016">
        <v>0</v>
      </c>
      <c r="R259" s="1013">
        <f t="shared" si="97"/>
        <v>0</v>
      </c>
      <c r="S259" s="1013">
        <f t="shared" si="98"/>
        <v>6183070</v>
      </c>
      <c r="T259" s="1017">
        <v>0</v>
      </c>
      <c r="U259" s="785">
        <v>0</v>
      </c>
      <c r="V259" s="785">
        <v>200000</v>
      </c>
      <c r="W259" s="1017">
        <v>500000</v>
      </c>
      <c r="X259" s="1017">
        <v>0</v>
      </c>
      <c r="Y259" s="1017">
        <v>400000</v>
      </c>
      <c r="Z259" s="1017">
        <v>563621</v>
      </c>
      <c r="AA259" s="1018"/>
      <c r="AB259" s="1013"/>
      <c r="AC259" s="1017">
        <v>0</v>
      </c>
      <c r="AD259" s="1017">
        <v>0</v>
      </c>
      <c r="AE259" s="1013">
        <v>44935.098684210527</v>
      </c>
      <c r="AF259" s="1019"/>
      <c r="AG259" s="1019">
        <f t="shared" si="99"/>
        <v>7891626</v>
      </c>
      <c r="AH259" s="1014">
        <v>48</v>
      </c>
      <c r="AI259" s="1014">
        <v>0</v>
      </c>
      <c r="AJ259" s="1014">
        <v>0</v>
      </c>
      <c r="AK259" s="1018">
        <v>0</v>
      </c>
      <c r="AL259" s="1020">
        <v>0</v>
      </c>
      <c r="AM259" s="1013">
        <f t="shared" si="53"/>
        <v>2156885</v>
      </c>
      <c r="AN259" s="1045">
        <f t="shared" si="101"/>
        <v>10048511</v>
      </c>
      <c r="AO259" s="1013">
        <v>654255</v>
      </c>
      <c r="AP259" s="1013">
        <v>44100</v>
      </c>
      <c r="AQ259" s="1013">
        <v>0</v>
      </c>
      <c r="AR259" s="1013">
        <v>0</v>
      </c>
      <c r="AS259" s="1013">
        <v>0</v>
      </c>
      <c r="AT259" s="1045">
        <f t="shared" si="81"/>
        <v>9350156</v>
      </c>
      <c r="AU259" s="1004"/>
      <c r="AV259" s="870"/>
      <c r="AW259" s="782" t="s">
        <v>3817</v>
      </c>
      <c r="AX259" s="782" t="s">
        <v>3818</v>
      </c>
      <c r="AY259" s="1007" t="s">
        <v>287</v>
      </c>
      <c r="AZ259" s="1007">
        <v>622</v>
      </c>
      <c r="BA259" s="347" t="str">
        <f t="shared" si="54"/>
        <v>Box</v>
      </c>
      <c r="BB259" s="1008"/>
      <c r="BC259" s="1009"/>
      <c r="BD259" s="1009"/>
    </row>
    <row r="260" spans="1:56" s="1010" customFormat="1" ht="36.75" customHeight="1">
      <c r="A260" s="661">
        <f>SUBTOTAL(3,B$6:B260)</f>
        <v>255</v>
      </c>
      <c r="B260" s="661" t="s">
        <v>1306</v>
      </c>
      <c r="C260" s="662" t="s">
        <v>1307</v>
      </c>
      <c r="D260" s="1011">
        <v>43532</v>
      </c>
      <c r="E260" s="1011" t="s">
        <v>216</v>
      </c>
      <c r="F260" s="787" t="s">
        <v>699</v>
      </c>
      <c r="G260" s="996" t="s">
        <v>1172</v>
      </c>
      <c r="H260" s="1012">
        <v>5931000</v>
      </c>
      <c r="I260" s="1012">
        <v>600000</v>
      </c>
      <c r="J260" s="1012">
        <v>0</v>
      </c>
      <c r="K260" s="1012">
        <v>0</v>
      </c>
      <c r="L260" s="1013">
        <f t="shared" si="94"/>
        <v>6531000</v>
      </c>
      <c r="M260" s="1014">
        <v>24</v>
      </c>
      <c r="N260" s="1013">
        <f t="shared" si="95"/>
        <v>6028615</v>
      </c>
      <c r="O260" s="1015">
        <v>2</v>
      </c>
      <c r="P260" s="1013">
        <f t="shared" si="96"/>
        <v>502385</v>
      </c>
      <c r="Q260" s="1016">
        <v>0</v>
      </c>
      <c r="R260" s="1013">
        <f t="shared" si="97"/>
        <v>0</v>
      </c>
      <c r="S260" s="1013">
        <f t="shared" si="98"/>
        <v>6531000</v>
      </c>
      <c r="T260" s="1017">
        <v>0</v>
      </c>
      <c r="U260" s="785">
        <v>0</v>
      </c>
      <c r="V260" s="785">
        <v>200000</v>
      </c>
      <c r="W260" s="1017">
        <v>500000</v>
      </c>
      <c r="X260" s="1017">
        <v>0</v>
      </c>
      <c r="Y260" s="1017">
        <v>400000</v>
      </c>
      <c r="Z260" s="1017">
        <v>593285</v>
      </c>
      <c r="AA260" s="1018"/>
      <c r="AB260" s="1013"/>
      <c r="AC260" s="1017">
        <v>0</v>
      </c>
      <c r="AD260" s="1017">
        <v>0</v>
      </c>
      <c r="AE260" s="1013">
        <v>0</v>
      </c>
      <c r="AF260" s="1019"/>
      <c r="AG260" s="1019">
        <f t="shared" si="99"/>
        <v>8224285</v>
      </c>
      <c r="AH260" s="1014">
        <v>52</v>
      </c>
      <c r="AI260" s="1014">
        <v>0</v>
      </c>
      <c r="AJ260" s="1014">
        <v>0</v>
      </c>
      <c r="AK260" s="1018">
        <v>0</v>
      </c>
      <c r="AL260" s="1020">
        <v>0</v>
      </c>
      <c r="AM260" s="1013">
        <f t="shared" si="53"/>
        <v>2449125</v>
      </c>
      <c r="AN260" s="1045">
        <f t="shared" si="101"/>
        <v>10673410</v>
      </c>
      <c r="AO260" s="1013">
        <v>685755</v>
      </c>
      <c r="AP260" s="1013">
        <v>44100</v>
      </c>
      <c r="AQ260" s="1013">
        <v>0</v>
      </c>
      <c r="AR260" s="1013">
        <v>0</v>
      </c>
      <c r="AS260" s="1013">
        <v>0</v>
      </c>
      <c r="AT260" s="1045">
        <f t="shared" si="81"/>
        <v>9943555</v>
      </c>
      <c r="AU260" s="1004"/>
      <c r="AV260" s="870"/>
      <c r="AW260" s="782" t="s">
        <v>3819</v>
      </c>
      <c r="AX260" s="782" t="s">
        <v>3820</v>
      </c>
      <c r="AY260" s="1007" t="s">
        <v>287</v>
      </c>
      <c r="AZ260" s="1007">
        <v>622</v>
      </c>
      <c r="BA260" s="347" t="str">
        <f t="shared" si="54"/>
        <v>Box</v>
      </c>
      <c r="BB260" s="1008"/>
      <c r="BC260" s="1009"/>
      <c r="BD260" s="1009"/>
    </row>
    <row r="261" spans="1:56" s="1010" customFormat="1" ht="36.75" customHeight="1">
      <c r="A261" s="661">
        <f>SUBTOTAL(3,B$6:B261)</f>
        <v>256</v>
      </c>
      <c r="B261" s="661" t="s">
        <v>1308</v>
      </c>
      <c r="C261" s="662" t="s">
        <v>1309</v>
      </c>
      <c r="D261" s="1011">
        <v>43878</v>
      </c>
      <c r="E261" s="1011" t="s">
        <v>216</v>
      </c>
      <c r="F261" s="787" t="s">
        <v>511</v>
      </c>
      <c r="G261" s="996" t="s">
        <v>1310</v>
      </c>
      <c r="H261" s="1012">
        <v>7643000</v>
      </c>
      <c r="I261" s="1012">
        <v>7300000</v>
      </c>
      <c r="J261" s="1012">
        <v>0</v>
      </c>
      <c r="K261" s="1012">
        <v>0</v>
      </c>
      <c r="L261" s="1013">
        <f t="shared" si="94"/>
        <v>14943000</v>
      </c>
      <c r="M261" s="1014">
        <v>23.6</v>
      </c>
      <c r="N261" s="1013">
        <f t="shared" si="95"/>
        <v>13563646</v>
      </c>
      <c r="O261" s="1015">
        <v>2</v>
      </c>
      <c r="P261" s="1013">
        <f t="shared" si="96"/>
        <v>1149462</v>
      </c>
      <c r="Q261" s="1016">
        <v>0</v>
      </c>
      <c r="R261" s="1013">
        <f t="shared" si="97"/>
        <v>0</v>
      </c>
      <c r="S261" s="1013">
        <f t="shared" si="98"/>
        <v>14713108</v>
      </c>
      <c r="T261" s="1017">
        <v>0</v>
      </c>
      <c r="U261" s="785">
        <v>0</v>
      </c>
      <c r="V261" s="785">
        <v>200000</v>
      </c>
      <c r="W261" s="1017">
        <v>500000</v>
      </c>
      <c r="X261" s="1017">
        <v>0</v>
      </c>
      <c r="Y261" s="1017">
        <v>400000</v>
      </c>
      <c r="Z261" s="1017">
        <v>0</v>
      </c>
      <c r="AA261" s="1018"/>
      <c r="AB261" s="1013"/>
      <c r="AC261" s="1017">
        <v>0</v>
      </c>
      <c r="AD261" s="1017">
        <v>0</v>
      </c>
      <c r="AE261" s="1013">
        <v>107762.01800847455</v>
      </c>
      <c r="AF261" s="1019"/>
      <c r="AG261" s="1019">
        <f t="shared" si="99"/>
        <v>15920870</v>
      </c>
      <c r="AH261" s="1014">
        <v>52</v>
      </c>
      <c r="AI261" s="1014">
        <v>0</v>
      </c>
      <c r="AJ261" s="1014">
        <v>0</v>
      </c>
      <c r="AK261" s="1018">
        <v>0</v>
      </c>
      <c r="AL261" s="1020">
        <v>0</v>
      </c>
      <c r="AM261" s="1013">
        <f t="shared" si="53"/>
        <v>5603625</v>
      </c>
      <c r="AN261" s="1045">
        <f t="shared" si="101"/>
        <v>21524495</v>
      </c>
      <c r="AO261" s="1013">
        <v>1569015</v>
      </c>
      <c r="AP261" s="1013">
        <v>44100</v>
      </c>
      <c r="AQ261" s="1013">
        <v>0</v>
      </c>
      <c r="AR261" s="1013">
        <v>0</v>
      </c>
      <c r="AS261" s="1013">
        <v>0</v>
      </c>
      <c r="AT261" s="1045">
        <f t="shared" si="81"/>
        <v>19911380</v>
      </c>
      <c r="AU261" s="1004"/>
      <c r="AV261" s="870"/>
      <c r="AW261" s="782" t="s">
        <v>3821</v>
      </c>
      <c r="AX261" s="782" t="s">
        <v>3822</v>
      </c>
      <c r="AY261" s="1007" t="s">
        <v>287</v>
      </c>
      <c r="AZ261" s="1007">
        <v>627</v>
      </c>
      <c r="BA261" s="347" t="str">
        <f t="shared" si="54"/>
        <v>Box</v>
      </c>
      <c r="BB261" s="1008"/>
      <c r="BC261" s="1009"/>
      <c r="BD261" s="1009"/>
    </row>
    <row r="262" spans="1:56" s="1010" customFormat="1" ht="36.75" customHeight="1">
      <c r="A262" s="661">
        <f>SUBTOTAL(3,B$6:B262)</f>
        <v>257</v>
      </c>
      <c r="B262" s="661" t="s">
        <v>150</v>
      </c>
      <c r="C262" s="662" t="s">
        <v>162</v>
      </c>
      <c r="D262" s="1011">
        <v>40589</v>
      </c>
      <c r="E262" s="1011" t="s">
        <v>216</v>
      </c>
      <c r="F262" s="787" t="s">
        <v>511</v>
      </c>
      <c r="G262" s="996" t="s">
        <v>1311</v>
      </c>
      <c r="H262" s="1012">
        <v>13094000</v>
      </c>
      <c r="I262" s="1012">
        <v>11306000</v>
      </c>
      <c r="J262" s="1012">
        <v>0</v>
      </c>
      <c r="K262" s="1012">
        <v>0</v>
      </c>
      <c r="L262" s="1013">
        <f t="shared" si="94"/>
        <v>24400000</v>
      </c>
      <c r="M262" s="1014">
        <v>24</v>
      </c>
      <c r="N262" s="1013">
        <f t="shared" si="95"/>
        <v>22523077</v>
      </c>
      <c r="O262" s="1015">
        <v>2</v>
      </c>
      <c r="P262" s="1013">
        <f t="shared" si="96"/>
        <v>1876923</v>
      </c>
      <c r="Q262" s="1016">
        <v>0</v>
      </c>
      <c r="R262" s="1013">
        <f t="shared" si="97"/>
        <v>0</v>
      </c>
      <c r="S262" s="1013">
        <f t="shared" si="98"/>
        <v>24400000</v>
      </c>
      <c r="T262" s="1017">
        <v>150000</v>
      </c>
      <c r="U262" s="785">
        <v>0</v>
      </c>
      <c r="V262" s="785">
        <v>0</v>
      </c>
      <c r="W262" s="1017">
        <v>0</v>
      </c>
      <c r="X262" s="1017">
        <v>0</v>
      </c>
      <c r="Y262" s="1017">
        <v>0</v>
      </c>
      <c r="Z262" s="1017">
        <v>0</v>
      </c>
      <c r="AA262" s="1018"/>
      <c r="AB262" s="1013"/>
      <c r="AC262" s="1017">
        <v>0</v>
      </c>
      <c r="AD262" s="1017">
        <v>0</v>
      </c>
      <c r="AE262" s="1013">
        <v>175961.5390625</v>
      </c>
      <c r="AF262" s="1019"/>
      <c r="AG262" s="1019">
        <f t="shared" si="99"/>
        <v>24725962</v>
      </c>
      <c r="AH262" s="1014">
        <v>0</v>
      </c>
      <c r="AI262" s="1014">
        <v>0</v>
      </c>
      <c r="AJ262" s="1014">
        <v>0</v>
      </c>
      <c r="AK262" s="1018">
        <v>0</v>
      </c>
      <c r="AL262" s="1020">
        <v>0</v>
      </c>
      <c r="AM262" s="1013">
        <f t="shared" si="53"/>
        <v>0</v>
      </c>
      <c r="AN262" s="1045">
        <f t="shared" si="101"/>
        <v>24725962</v>
      </c>
      <c r="AO262" s="1013">
        <v>2562000</v>
      </c>
      <c r="AP262" s="1013">
        <v>44100</v>
      </c>
      <c r="AQ262" s="1013">
        <v>115698</v>
      </c>
      <c r="AR262" s="1013">
        <v>0</v>
      </c>
      <c r="AS262" s="1013">
        <v>0</v>
      </c>
      <c r="AT262" s="1045">
        <f t="shared" si="81"/>
        <v>22004164</v>
      </c>
      <c r="AU262" s="1004"/>
      <c r="AV262" s="870"/>
      <c r="AW262" s="782" t="s">
        <v>3823</v>
      </c>
      <c r="AX262" s="782" t="s">
        <v>3824</v>
      </c>
      <c r="AY262" s="1007" t="s">
        <v>287</v>
      </c>
      <c r="AZ262" s="1007">
        <v>627</v>
      </c>
      <c r="BA262" s="347" t="s">
        <v>78</v>
      </c>
      <c r="BB262" s="1008"/>
      <c r="BC262" s="1009"/>
      <c r="BD262" s="1009"/>
    </row>
    <row r="263" spans="1:56" s="1010" customFormat="1" ht="36.75" customHeight="1">
      <c r="A263" s="661">
        <f>SUBTOTAL(3,B$6:B263)</f>
        <v>258</v>
      </c>
      <c r="B263" s="661" t="s">
        <v>1312</v>
      </c>
      <c r="C263" s="662" t="s">
        <v>1313</v>
      </c>
      <c r="D263" s="1011">
        <v>41369</v>
      </c>
      <c r="E263" s="1011" t="s">
        <v>216</v>
      </c>
      <c r="F263" s="787" t="s">
        <v>511</v>
      </c>
      <c r="G263" s="996" t="s">
        <v>1314</v>
      </c>
      <c r="H263" s="1012">
        <v>6576000</v>
      </c>
      <c r="I263" s="1012">
        <v>2000000</v>
      </c>
      <c r="J263" s="1012">
        <v>0</v>
      </c>
      <c r="K263" s="1012">
        <v>0</v>
      </c>
      <c r="L263" s="1013">
        <f t="shared" si="94"/>
        <v>8576000</v>
      </c>
      <c r="M263" s="1014">
        <v>23.8</v>
      </c>
      <c r="N263" s="1013">
        <f t="shared" si="95"/>
        <v>7850338</v>
      </c>
      <c r="O263" s="1015">
        <v>2</v>
      </c>
      <c r="P263" s="1013">
        <f t="shared" si="96"/>
        <v>659692</v>
      </c>
      <c r="Q263" s="1016">
        <v>0</v>
      </c>
      <c r="R263" s="1013">
        <f t="shared" si="97"/>
        <v>0</v>
      </c>
      <c r="S263" s="1013">
        <f t="shared" si="98"/>
        <v>8510030</v>
      </c>
      <c r="T263" s="1017">
        <v>0</v>
      </c>
      <c r="U263" s="785">
        <v>0</v>
      </c>
      <c r="V263" s="785">
        <v>200000</v>
      </c>
      <c r="W263" s="1017">
        <v>500000</v>
      </c>
      <c r="X263" s="1017">
        <v>0</v>
      </c>
      <c r="Y263" s="1017">
        <v>400000</v>
      </c>
      <c r="Z263" s="1017">
        <v>411209</v>
      </c>
      <c r="AA263" s="1018"/>
      <c r="AB263" s="1013"/>
      <c r="AC263" s="1017">
        <v>0</v>
      </c>
      <c r="AD263" s="1017">
        <v>0</v>
      </c>
      <c r="AE263" s="1013">
        <v>61846.150210084037</v>
      </c>
      <c r="AF263" s="1019"/>
      <c r="AG263" s="1019">
        <f t="shared" si="99"/>
        <v>10083085</v>
      </c>
      <c r="AH263" s="1014">
        <v>47</v>
      </c>
      <c r="AI263" s="1014">
        <v>0</v>
      </c>
      <c r="AJ263" s="1014">
        <v>0</v>
      </c>
      <c r="AK263" s="1018">
        <v>0</v>
      </c>
      <c r="AL263" s="1020">
        <v>0</v>
      </c>
      <c r="AM263" s="1013">
        <f t="shared" ref="AM263:AM326" si="102">ROUND((N263/IF(M263&gt;26,26,M263)/8*(AH263*$AH$5+AI263*$AI$5+AJ263*$AJ$5+AK263*$AK$5+AL263*$AL$5)),0)</f>
        <v>2906769</v>
      </c>
      <c r="AN263" s="1045">
        <f t="shared" si="101"/>
        <v>12989854</v>
      </c>
      <c r="AO263" s="1013">
        <v>900480</v>
      </c>
      <c r="AP263" s="1013">
        <v>44100</v>
      </c>
      <c r="AQ263" s="1013">
        <v>0</v>
      </c>
      <c r="AR263" s="1013">
        <v>0</v>
      </c>
      <c r="AS263" s="1013">
        <v>0</v>
      </c>
      <c r="AT263" s="1045">
        <f t="shared" si="81"/>
        <v>12045274</v>
      </c>
      <c r="AU263" s="1004"/>
      <c r="AV263" s="870"/>
      <c r="AW263" s="782" t="s">
        <v>3825</v>
      </c>
      <c r="AX263" s="782" t="s">
        <v>3826</v>
      </c>
      <c r="AY263" s="1007" t="s">
        <v>287</v>
      </c>
      <c r="AZ263" s="1007">
        <v>627</v>
      </c>
      <c r="BA263" s="347" t="str">
        <f>+IF(AY263="SK1 Box","Box",IF(AY263="Seaman","Seaman","Bag"))</f>
        <v>Box</v>
      </c>
      <c r="BB263" s="1008"/>
      <c r="BC263" s="1009"/>
      <c r="BD263" s="1009"/>
    </row>
    <row r="264" spans="1:56" s="1010" customFormat="1" ht="36.75" customHeight="1">
      <c r="A264" s="661">
        <f>SUBTOTAL(3,B$6:B264)</f>
        <v>259</v>
      </c>
      <c r="B264" s="661" t="s">
        <v>52</v>
      </c>
      <c r="C264" s="662" t="s">
        <v>53</v>
      </c>
      <c r="D264" s="1011">
        <v>41491</v>
      </c>
      <c r="E264" s="1011" t="s">
        <v>216</v>
      </c>
      <c r="F264" s="787" t="s">
        <v>511</v>
      </c>
      <c r="G264" s="996" t="s">
        <v>1311</v>
      </c>
      <c r="H264" s="1012">
        <v>15240000</v>
      </c>
      <c r="I264" s="1012">
        <v>9200000</v>
      </c>
      <c r="J264" s="1012">
        <v>0</v>
      </c>
      <c r="K264" s="1012">
        <v>0</v>
      </c>
      <c r="L264" s="1013">
        <f t="shared" si="94"/>
        <v>24440000</v>
      </c>
      <c r="M264" s="1014">
        <v>23.7</v>
      </c>
      <c r="N264" s="1013">
        <f t="shared" si="95"/>
        <v>22278000</v>
      </c>
      <c r="O264" s="1015">
        <v>2</v>
      </c>
      <c r="P264" s="1013">
        <f t="shared" si="96"/>
        <v>1880000</v>
      </c>
      <c r="Q264" s="1016">
        <v>0</v>
      </c>
      <c r="R264" s="1013">
        <f t="shared" si="97"/>
        <v>0</v>
      </c>
      <c r="S264" s="1013">
        <f t="shared" si="98"/>
        <v>24158000</v>
      </c>
      <c r="T264" s="1017">
        <v>691923</v>
      </c>
      <c r="U264" s="785">
        <v>0</v>
      </c>
      <c r="V264" s="785">
        <v>0</v>
      </c>
      <c r="W264" s="1017">
        <v>0</v>
      </c>
      <c r="X264" s="1017">
        <v>0</v>
      </c>
      <c r="Y264" s="1017">
        <v>0</v>
      </c>
      <c r="Z264" s="1017">
        <v>0</v>
      </c>
      <c r="AA264" s="1018"/>
      <c r="AB264" s="1013"/>
      <c r="AC264" s="1017">
        <v>0</v>
      </c>
      <c r="AD264" s="1017">
        <v>0</v>
      </c>
      <c r="AE264" s="1013">
        <v>0</v>
      </c>
      <c r="AF264" s="1019"/>
      <c r="AG264" s="1019">
        <f t="shared" si="99"/>
        <v>24849923</v>
      </c>
      <c r="AH264" s="1014">
        <v>0</v>
      </c>
      <c r="AI264" s="1014">
        <v>0</v>
      </c>
      <c r="AJ264" s="1014">
        <v>0</v>
      </c>
      <c r="AK264" s="1018">
        <v>0</v>
      </c>
      <c r="AL264" s="1020">
        <v>0</v>
      </c>
      <c r="AM264" s="1013">
        <f t="shared" si="102"/>
        <v>0</v>
      </c>
      <c r="AN264" s="1045">
        <f t="shared" si="101"/>
        <v>24849923</v>
      </c>
      <c r="AO264" s="1013">
        <v>2566200</v>
      </c>
      <c r="AP264" s="1013">
        <v>44100</v>
      </c>
      <c r="AQ264" s="1013">
        <v>94590</v>
      </c>
      <c r="AR264" s="1013">
        <v>0</v>
      </c>
      <c r="AS264" s="1013">
        <v>0</v>
      </c>
      <c r="AT264" s="1045">
        <f t="shared" si="81"/>
        <v>22145033</v>
      </c>
      <c r="AU264" s="1004"/>
      <c r="AV264" s="870"/>
      <c r="AW264" s="782" t="s">
        <v>3827</v>
      </c>
      <c r="AX264" s="782" t="s">
        <v>3828</v>
      </c>
      <c r="AY264" s="1007" t="s">
        <v>287</v>
      </c>
      <c r="AZ264" s="1007">
        <v>627</v>
      </c>
      <c r="BA264" s="347" t="s">
        <v>78</v>
      </c>
      <c r="BB264" s="1008"/>
      <c r="BC264" s="1009"/>
      <c r="BD264" s="1009"/>
    </row>
    <row r="265" spans="1:56" s="1010" customFormat="1" ht="36.75" customHeight="1">
      <c r="A265" s="661">
        <f>SUBTOTAL(3,B$6:B265)</f>
        <v>260</v>
      </c>
      <c r="B265" s="661" t="s">
        <v>1315</v>
      </c>
      <c r="C265" s="662" t="s">
        <v>1316</v>
      </c>
      <c r="D265" s="1011">
        <v>41621</v>
      </c>
      <c r="E265" s="1011" t="s">
        <v>216</v>
      </c>
      <c r="F265" s="787" t="s">
        <v>511</v>
      </c>
      <c r="G265" s="996" t="s">
        <v>1310</v>
      </c>
      <c r="H265" s="1012">
        <v>6876000</v>
      </c>
      <c r="I265" s="1012">
        <v>6600000</v>
      </c>
      <c r="J265" s="1012">
        <v>0</v>
      </c>
      <c r="K265" s="1012">
        <v>0</v>
      </c>
      <c r="L265" s="1013">
        <f t="shared" si="94"/>
        <v>13476000</v>
      </c>
      <c r="M265" s="1014">
        <v>24</v>
      </c>
      <c r="N265" s="1013">
        <f t="shared" si="95"/>
        <v>12439385</v>
      </c>
      <c r="O265" s="1015">
        <v>2</v>
      </c>
      <c r="P265" s="1013">
        <f t="shared" si="96"/>
        <v>1036615</v>
      </c>
      <c r="Q265" s="1016">
        <v>0</v>
      </c>
      <c r="R265" s="1013">
        <f t="shared" si="97"/>
        <v>0</v>
      </c>
      <c r="S265" s="1013">
        <f t="shared" si="98"/>
        <v>13476000</v>
      </c>
      <c r="T265" s="1017">
        <v>0</v>
      </c>
      <c r="U265" s="785">
        <v>0</v>
      </c>
      <c r="V265" s="785">
        <v>200000</v>
      </c>
      <c r="W265" s="1017">
        <v>500000</v>
      </c>
      <c r="X265" s="1017">
        <v>0</v>
      </c>
      <c r="Y265" s="1017">
        <v>400000</v>
      </c>
      <c r="Z265" s="1017">
        <v>0</v>
      </c>
      <c r="AA265" s="1018"/>
      <c r="AB265" s="1013"/>
      <c r="AC265" s="1017">
        <v>0</v>
      </c>
      <c r="AD265" s="1017">
        <v>0</v>
      </c>
      <c r="AE265" s="1013">
        <v>97182.6953125</v>
      </c>
      <c r="AF265" s="1019"/>
      <c r="AG265" s="1019">
        <f t="shared" si="99"/>
        <v>14673183</v>
      </c>
      <c r="AH265" s="1014">
        <v>52</v>
      </c>
      <c r="AI265" s="1014">
        <v>0</v>
      </c>
      <c r="AJ265" s="1014">
        <v>0</v>
      </c>
      <c r="AK265" s="1018">
        <v>0</v>
      </c>
      <c r="AL265" s="1020">
        <v>0</v>
      </c>
      <c r="AM265" s="1013">
        <f t="shared" si="102"/>
        <v>5053500</v>
      </c>
      <c r="AN265" s="1045">
        <f t="shared" si="101"/>
        <v>19726683</v>
      </c>
      <c r="AO265" s="1013">
        <v>1414980</v>
      </c>
      <c r="AP265" s="1013">
        <v>44100</v>
      </c>
      <c r="AQ265" s="1013">
        <v>0</v>
      </c>
      <c r="AR265" s="1013">
        <v>0</v>
      </c>
      <c r="AS265" s="1013">
        <v>0</v>
      </c>
      <c r="AT265" s="1045">
        <f t="shared" si="81"/>
        <v>18267603</v>
      </c>
      <c r="AU265" s="1004"/>
      <c r="AV265" s="870"/>
      <c r="AW265" s="782" t="s">
        <v>3829</v>
      </c>
      <c r="AX265" s="782" t="s">
        <v>3830</v>
      </c>
      <c r="AY265" s="1007" t="s">
        <v>287</v>
      </c>
      <c r="AZ265" s="1007">
        <v>627</v>
      </c>
      <c r="BA265" s="347" t="str">
        <f t="shared" ref="BA265:BA279" si="103">+IF(AY265="SK1 Box","Box",IF(AY265="Seaman","Seaman","Bag"))</f>
        <v>Box</v>
      </c>
      <c r="BB265" s="1008"/>
      <c r="BC265" s="1009"/>
      <c r="BD265" s="1009"/>
    </row>
    <row r="266" spans="1:56" s="1010" customFormat="1" ht="36.75" customHeight="1">
      <c r="A266" s="661">
        <f>SUBTOTAL(3,B$6:B266)</f>
        <v>261</v>
      </c>
      <c r="B266" s="661" t="s">
        <v>1317</v>
      </c>
      <c r="C266" s="662" t="s">
        <v>1318</v>
      </c>
      <c r="D266" s="1011">
        <v>44270</v>
      </c>
      <c r="E266" s="1011" t="s">
        <v>216</v>
      </c>
      <c r="F266" s="787" t="s">
        <v>512</v>
      </c>
      <c r="G266" s="996" t="s">
        <v>1319</v>
      </c>
      <c r="H266" s="1012">
        <v>5931000</v>
      </c>
      <c r="I266" s="1012">
        <v>1100000</v>
      </c>
      <c r="J266" s="1012">
        <v>0</v>
      </c>
      <c r="K266" s="1012">
        <v>0</v>
      </c>
      <c r="L266" s="1013">
        <f t="shared" si="94"/>
        <v>7031000</v>
      </c>
      <c r="M266" s="1014">
        <v>24</v>
      </c>
      <c r="N266" s="1013">
        <f t="shared" si="95"/>
        <v>6490154</v>
      </c>
      <c r="O266" s="1015">
        <v>2</v>
      </c>
      <c r="P266" s="1013">
        <f t="shared" si="96"/>
        <v>540846</v>
      </c>
      <c r="Q266" s="1016">
        <v>0</v>
      </c>
      <c r="R266" s="1013">
        <f t="shared" si="97"/>
        <v>0</v>
      </c>
      <c r="S266" s="1013">
        <f t="shared" si="98"/>
        <v>7031000</v>
      </c>
      <c r="T266" s="1017">
        <v>0</v>
      </c>
      <c r="U266" s="785">
        <v>0</v>
      </c>
      <c r="V266" s="785">
        <v>200000</v>
      </c>
      <c r="W266" s="1017">
        <v>500000</v>
      </c>
      <c r="X266" s="1017">
        <v>0</v>
      </c>
      <c r="Y266" s="1017">
        <v>400000</v>
      </c>
      <c r="Z266" s="1017">
        <v>400000</v>
      </c>
      <c r="AA266" s="1018"/>
      <c r="AB266" s="1013"/>
      <c r="AC266" s="1017">
        <v>100000</v>
      </c>
      <c r="AD266" s="1017">
        <v>0</v>
      </c>
      <c r="AE266" s="1013">
        <v>50704.328125</v>
      </c>
      <c r="AF266" s="1019"/>
      <c r="AG266" s="1019">
        <f t="shared" si="99"/>
        <v>8681704</v>
      </c>
      <c r="AH266" s="1014">
        <v>0</v>
      </c>
      <c r="AI266" s="1014">
        <v>0</v>
      </c>
      <c r="AJ266" s="1014">
        <v>0</v>
      </c>
      <c r="AK266" s="1018">
        <v>0</v>
      </c>
      <c r="AL266" s="1020">
        <v>0</v>
      </c>
      <c r="AM266" s="1013">
        <f t="shared" si="102"/>
        <v>0</v>
      </c>
      <c r="AN266" s="1045">
        <f t="shared" si="101"/>
        <v>8681704</v>
      </c>
      <c r="AO266" s="1013">
        <v>738255</v>
      </c>
      <c r="AP266" s="1013">
        <v>44100</v>
      </c>
      <c r="AQ266" s="1013">
        <v>0</v>
      </c>
      <c r="AR266" s="1013">
        <v>0</v>
      </c>
      <c r="AS266" s="1013">
        <v>0</v>
      </c>
      <c r="AT266" s="1045">
        <f t="shared" si="81"/>
        <v>7899349</v>
      </c>
      <c r="AU266" s="1004"/>
      <c r="AV266" s="870"/>
      <c r="AW266" s="782" t="s">
        <v>3831</v>
      </c>
      <c r="AX266" s="782" t="s">
        <v>3832</v>
      </c>
      <c r="AY266" s="1007" t="s">
        <v>287</v>
      </c>
      <c r="AZ266" s="1007">
        <v>622</v>
      </c>
      <c r="BA266" s="347" t="str">
        <f t="shared" si="103"/>
        <v>Box</v>
      </c>
      <c r="BB266" s="1008"/>
      <c r="BC266" s="1009"/>
      <c r="BD266" s="1009"/>
    </row>
    <row r="267" spans="1:56" s="1010" customFormat="1" ht="36.75" customHeight="1">
      <c r="A267" s="661">
        <f>SUBTOTAL(3,B$6:B267)</f>
        <v>262</v>
      </c>
      <c r="B267" s="661" t="s">
        <v>1320</v>
      </c>
      <c r="C267" s="662" t="s">
        <v>1321</v>
      </c>
      <c r="D267" s="1011">
        <v>44287</v>
      </c>
      <c r="E267" s="1011" t="s">
        <v>216</v>
      </c>
      <c r="F267" s="787" t="s">
        <v>512</v>
      </c>
      <c r="G267" s="996" t="s">
        <v>1322</v>
      </c>
      <c r="H267" s="1012">
        <v>5931000</v>
      </c>
      <c r="I267" s="1012">
        <v>1100000</v>
      </c>
      <c r="J267" s="1012">
        <v>0</v>
      </c>
      <c r="K267" s="1012">
        <v>0</v>
      </c>
      <c r="L267" s="1013">
        <f t="shared" si="94"/>
        <v>7031000</v>
      </c>
      <c r="M267" s="1014">
        <v>24</v>
      </c>
      <c r="N267" s="1013">
        <f t="shared" si="95"/>
        <v>6490154</v>
      </c>
      <c r="O267" s="1015">
        <v>2</v>
      </c>
      <c r="P267" s="1013">
        <f t="shared" si="96"/>
        <v>540846</v>
      </c>
      <c r="Q267" s="1016">
        <v>0</v>
      </c>
      <c r="R267" s="1013">
        <f t="shared" si="97"/>
        <v>0</v>
      </c>
      <c r="S267" s="1013">
        <f t="shared" si="98"/>
        <v>7031000</v>
      </c>
      <c r="T267" s="1017">
        <v>0</v>
      </c>
      <c r="U267" s="785">
        <v>0</v>
      </c>
      <c r="V267" s="785">
        <v>200000</v>
      </c>
      <c r="W267" s="1017">
        <v>500000</v>
      </c>
      <c r="X267" s="1017">
        <v>0</v>
      </c>
      <c r="Y267" s="1017">
        <v>400000</v>
      </c>
      <c r="Z267" s="1017">
        <v>500000</v>
      </c>
      <c r="AA267" s="1018"/>
      <c r="AB267" s="1013"/>
      <c r="AC267" s="1017">
        <v>100000</v>
      </c>
      <c r="AD267" s="1017">
        <v>0</v>
      </c>
      <c r="AE267" s="1013">
        <v>50704.328125</v>
      </c>
      <c r="AF267" s="1019"/>
      <c r="AG267" s="1019">
        <f t="shared" si="99"/>
        <v>8781704</v>
      </c>
      <c r="AH267" s="1014">
        <v>32.5</v>
      </c>
      <c r="AI267" s="1014">
        <v>0</v>
      </c>
      <c r="AJ267" s="1014">
        <v>0</v>
      </c>
      <c r="AK267" s="1018">
        <v>0</v>
      </c>
      <c r="AL267" s="1020">
        <v>0</v>
      </c>
      <c r="AM267" s="1013">
        <f t="shared" si="102"/>
        <v>1647891</v>
      </c>
      <c r="AN267" s="1045">
        <f t="shared" si="101"/>
        <v>10429595</v>
      </c>
      <c r="AO267" s="1013">
        <v>738255</v>
      </c>
      <c r="AP267" s="1013">
        <v>44100</v>
      </c>
      <c r="AQ267" s="1013">
        <v>0</v>
      </c>
      <c r="AR267" s="1013">
        <v>0</v>
      </c>
      <c r="AS267" s="1013">
        <v>0</v>
      </c>
      <c r="AT267" s="1045">
        <f t="shared" si="81"/>
        <v>9647240</v>
      </c>
      <c r="AU267" s="1004"/>
      <c r="AV267" s="870"/>
      <c r="AW267" s="782" t="s">
        <v>3833</v>
      </c>
      <c r="AX267" s="782" t="s">
        <v>3834</v>
      </c>
      <c r="AY267" s="1007" t="s">
        <v>287</v>
      </c>
      <c r="AZ267" s="1007">
        <v>622</v>
      </c>
      <c r="BA267" s="347" t="str">
        <f t="shared" si="103"/>
        <v>Box</v>
      </c>
      <c r="BB267" s="1008"/>
      <c r="BC267" s="1009"/>
      <c r="BD267" s="1009"/>
    </row>
    <row r="268" spans="1:56" s="1010" customFormat="1" ht="36.75" customHeight="1">
      <c r="A268" s="661">
        <f>SUBTOTAL(3,B$6:B268)</f>
        <v>263</v>
      </c>
      <c r="B268" s="661" t="s">
        <v>1323</v>
      </c>
      <c r="C268" s="662" t="s">
        <v>1324</v>
      </c>
      <c r="D268" s="1011">
        <v>45164</v>
      </c>
      <c r="E268" s="1011" t="s">
        <v>216</v>
      </c>
      <c r="F268" s="787" t="s">
        <v>512</v>
      </c>
      <c r="G268" s="996" t="s">
        <v>1322</v>
      </c>
      <c r="H268" s="1012">
        <v>5538000</v>
      </c>
      <c r="I268" s="1012">
        <v>500000</v>
      </c>
      <c r="J268" s="1012">
        <v>0</v>
      </c>
      <c r="K268" s="1012">
        <v>0</v>
      </c>
      <c r="L268" s="1013">
        <f t="shared" si="94"/>
        <v>6038000</v>
      </c>
      <c r="M268" s="1014">
        <v>23.5</v>
      </c>
      <c r="N268" s="1013">
        <f t="shared" si="95"/>
        <v>5457423</v>
      </c>
      <c r="O268" s="1015">
        <v>2</v>
      </c>
      <c r="P268" s="1013">
        <f t="shared" si="96"/>
        <v>464462</v>
      </c>
      <c r="Q268" s="1016">
        <v>0</v>
      </c>
      <c r="R268" s="1013">
        <f t="shared" si="97"/>
        <v>0</v>
      </c>
      <c r="S268" s="1013">
        <f t="shared" si="98"/>
        <v>5921885</v>
      </c>
      <c r="T268" s="1017">
        <v>0</v>
      </c>
      <c r="U268" s="785">
        <v>0</v>
      </c>
      <c r="V268" s="785">
        <v>200000</v>
      </c>
      <c r="W268" s="1017">
        <v>500000</v>
      </c>
      <c r="X268" s="1017">
        <v>0</v>
      </c>
      <c r="Y268" s="1017">
        <v>400000</v>
      </c>
      <c r="Z268" s="1017">
        <v>391700</v>
      </c>
      <c r="AA268" s="1018"/>
      <c r="AB268" s="1013"/>
      <c r="AC268" s="1017">
        <v>0</v>
      </c>
      <c r="AD268" s="1017">
        <v>0</v>
      </c>
      <c r="AE268" s="1013">
        <v>43543.268617021276</v>
      </c>
      <c r="AF268" s="1019"/>
      <c r="AG268" s="1019">
        <f t="shared" si="99"/>
        <v>7457128</v>
      </c>
      <c r="AH268" s="1014">
        <v>48</v>
      </c>
      <c r="AI268" s="1014">
        <v>0</v>
      </c>
      <c r="AJ268" s="1014">
        <v>0</v>
      </c>
      <c r="AK268" s="1018">
        <v>0</v>
      </c>
      <c r="AL268" s="1020">
        <v>0</v>
      </c>
      <c r="AM268" s="1013">
        <f t="shared" si="102"/>
        <v>2090077</v>
      </c>
      <c r="AN268" s="1045">
        <f t="shared" si="101"/>
        <v>9547205</v>
      </c>
      <c r="AO268" s="1013">
        <v>633990</v>
      </c>
      <c r="AP268" s="1013">
        <v>44100</v>
      </c>
      <c r="AQ268" s="1013">
        <v>0</v>
      </c>
      <c r="AR268" s="1013">
        <v>0</v>
      </c>
      <c r="AS268" s="1013">
        <v>0</v>
      </c>
      <c r="AT268" s="1045">
        <f t="shared" si="81"/>
        <v>8869115</v>
      </c>
      <c r="AU268" s="1004"/>
      <c r="AV268" s="870"/>
      <c r="AW268" s="782" t="s">
        <v>3835</v>
      </c>
      <c r="AX268" s="782" t="s">
        <v>3836</v>
      </c>
      <c r="AY268" s="1007" t="s">
        <v>287</v>
      </c>
      <c r="AZ268" s="1007">
        <v>622</v>
      </c>
      <c r="BA268" s="347" t="str">
        <f t="shared" si="103"/>
        <v>Box</v>
      </c>
      <c r="BB268" s="1008"/>
      <c r="BC268" s="1009"/>
      <c r="BD268" s="1009"/>
    </row>
    <row r="269" spans="1:56" s="1010" customFormat="1" ht="36.75" customHeight="1">
      <c r="A269" s="661">
        <f>SUBTOTAL(3,B$6:B269)</f>
        <v>264</v>
      </c>
      <c r="B269" s="661" t="s">
        <v>1325</v>
      </c>
      <c r="C269" s="662" t="s">
        <v>1326</v>
      </c>
      <c r="D269" s="1011">
        <v>45419</v>
      </c>
      <c r="E269" s="1011" t="s">
        <v>216</v>
      </c>
      <c r="F269" s="787" t="s">
        <v>512</v>
      </c>
      <c r="G269" s="996" t="s">
        <v>1322</v>
      </c>
      <c r="H269" s="1012">
        <v>5274000</v>
      </c>
      <c r="I269" s="1012">
        <v>500000</v>
      </c>
      <c r="J269" s="1012">
        <v>0</v>
      </c>
      <c r="K269" s="1012">
        <v>0</v>
      </c>
      <c r="L269" s="1013">
        <f t="shared" si="94"/>
        <v>5774000</v>
      </c>
      <c r="M269" s="1014">
        <v>22.8</v>
      </c>
      <c r="N269" s="1013">
        <f t="shared" si="95"/>
        <v>5063354</v>
      </c>
      <c r="O269" s="1015">
        <v>3</v>
      </c>
      <c r="P269" s="1013">
        <f t="shared" si="96"/>
        <v>666231</v>
      </c>
      <c r="Q269" s="1016">
        <v>0</v>
      </c>
      <c r="R269" s="1013">
        <f t="shared" si="97"/>
        <v>0</v>
      </c>
      <c r="S269" s="1013">
        <f t="shared" si="98"/>
        <v>5729585</v>
      </c>
      <c r="T269" s="1017">
        <v>0</v>
      </c>
      <c r="U269" s="785">
        <v>0</v>
      </c>
      <c r="V269" s="785">
        <v>200000</v>
      </c>
      <c r="W269" s="1017">
        <v>500000</v>
      </c>
      <c r="X269" s="1017">
        <v>0</v>
      </c>
      <c r="Y269" s="1017">
        <v>400000</v>
      </c>
      <c r="Z269" s="1017">
        <v>380000</v>
      </c>
      <c r="AA269" s="1018"/>
      <c r="AB269" s="1013"/>
      <c r="AC269" s="1017">
        <v>0</v>
      </c>
      <c r="AD269" s="1017">
        <v>0</v>
      </c>
      <c r="AE269" s="1013">
        <v>41639.424342105267</v>
      </c>
      <c r="AF269" s="1019"/>
      <c r="AG269" s="1019">
        <f t="shared" si="99"/>
        <v>7251224</v>
      </c>
      <c r="AH269" s="1014">
        <v>40</v>
      </c>
      <c r="AI269" s="1014">
        <v>0</v>
      </c>
      <c r="AJ269" s="1014">
        <v>0</v>
      </c>
      <c r="AK269" s="1018">
        <v>0</v>
      </c>
      <c r="AL269" s="1020">
        <v>0</v>
      </c>
      <c r="AM269" s="1013">
        <f t="shared" si="102"/>
        <v>1665577</v>
      </c>
      <c r="AN269" s="1045">
        <f t="shared" si="101"/>
        <v>8916801</v>
      </c>
      <c r="AO269" s="1013">
        <v>606270</v>
      </c>
      <c r="AP269" s="1013">
        <v>44100</v>
      </c>
      <c r="AQ269" s="1013">
        <v>0</v>
      </c>
      <c r="AR269" s="1013">
        <v>0</v>
      </c>
      <c r="AS269" s="1013">
        <v>0</v>
      </c>
      <c r="AT269" s="1045">
        <f t="shared" si="81"/>
        <v>8266431</v>
      </c>
      <c r="AU269" s="1004"/>
      <c r="AV269" s="870"/>
      <c r="AW269" s="782" t="s">
        <v>3837</v>
      </c>
      <c r="AX269" s="782" t="s">
        <v>3838</v>
      </c>
      <c r="AY269" s="1007" t="s">
        <v>287</v>
      </c>
      <c r="AZ269" s="1007">
        <v>622</v>
      </c>
      <c r="BA269" s="347" t="str">
        <f t="shared" si="103"/>
        <v>Box</v>
      </c>
      <c r="BB269" s="1008"/>
      <c r="BC269" s="1009"/>
      <c r="BD269" s="1009"/>
    </row>
    <row r="270" spans="1:56" s="1010" customFormat="1" ht="36.75" customHeight="1">
      <c r="A270" s="661">
        <f>SUBTOTAL(3,B$6:B270)</f>
        <v>265</v>
      </c>
      <c r="B270" s="661" t="s">
        <v>1327</v>
      </c>
      <c r="C270" s="662" t="s">
        <v>1328</v>
      </c>
      <c r="D270" s="1011">
        <v>45444</v>
      </c>
      <c r="E270" s="1011" t="s">
        <v>216</v>
      </c>
      <c r="F270" s="787" t="s">
        <v>512</v>
      </c>
      <c r="G270" s="996" t="s">
        <v>1322</v>
      </c>
      <c r="H270" s="1012">
        <v>5274000</v>
      </c>
      <c r="I270" s="1012">
        <v>500000</v>
      </c>
      <c r="J270" s="1012">
        <v>0</v>
      </c>
      <c r="K270" s="1012">
        <v>0</v>
      </c>
      <c r="L270" s="1013">
        <f t="shared" si="94"/>
        <v>5774000</v>
      </c>
      <c r="M270" s="1014">
        <v>23.8</v>
      </c>
      <c r="N270" s="1013">
        <f t="shared" si="95"/>
        <v>5285431</v>
      </c>
      <c r="O270" s="1015">
        <v>2</v>
      </c>
      <c r="P270" s="1013">
        <f t="shared" si="96"/>
        <v>444154</v>
      </c>
      <c r="Q270" s="1016">
        <v>0</v>
      </c>
      <c r="R270" s="1013">
        <f t="shared" si="97"/>
        <v>0</v>
      </c>
      <c r="S270" s="1013">
        <f t="shared" si="98"/>
        <v>5729585</v>
      </c>
      <c r="T270" s="1017">
        <v>0</v>
      </c>
      <c r="U270" s="785">
        <v>0</v>
      </c>
      <c r="V270" s="785">
        <v>200000</v>
      </c>
      <c r="W270" s="1017">
        <v>500000</v>
      </c>
      <c r="X270" s="1017">
        <v>0</v>
      </c>
      <c r="Y270" s="1017">
        <v>400000</v>
      </c>
      <c r="Z270" s="1017">
        <v>396700</v>
      </c>
      <c r="AA270" s="1018"/>
      <c r="AB270" s="1013"/>
      <c r="AC270" s="1017">
        <v>0</v>
      </c>
      <c r="AD270" s="1017">
        <v>0</v>
      </c>
      <c r="AE270" s="1013">
        <v>41639.424894957978</v>
      </c>
      <c r="AF270" s="1019"/>
      <c r="AG270" s="1019">
        <f t="shared" si="99"/>
        <v>7267924</v>
      </c>
      <c r="AH270" s="1014">
        <v>52</v>
      </c>
      <c r="AI270" s="1014">
        <v>0</v>
      </c>
      <c r="AJ270" s="1014">
        <v>0</v>
      </c>
      <c r="AK270" s="1018">
        <v>0</v>
      </c>
      <c r="AL270" s="1020">
        <v>0</v>
      </c>
      <c r="AM270" s="1013">
        <f t="shared" si="102"/>
        <v>2165250</v>
      </c>
      <c r="AN270" s="1045">
        <f t="shared" si="101"/>
        <v>9433174</v>
      </c>
      <c r="AO270" s="1013">
        <v>606270</v>
      </c>
      <c r="AP270" s="1013">
        <v>44100</v>
      </c>
      <c r="AQ270" s="1013">
        <v>0</v>
      </c>
      <c r="AR270" s="1013">
        <v>0</v>
      </c>
      <c r="AS270" s="1013">
        <v>0</v>
      </c>
      <c r="AT270" s="1045">
        <f t="shared" si="81"/>
        <v>8782804</v>
      </c>
      <c r="AU270" s="1004"/>
      <c r="AV270" s="870"/>
      <c r="AW270" s="782" t="s">
        <v>3839</v>
      </c>
      <c r="AX270" s="782" t="s">
        <v>3840</v>
      </c>
      <c r="AY270" s="1007" t="s">
        <v>287</v>
      </c>
      <c r="AZ270" s="1007">
        <v>622</v>
      </c>
      <c r="BA270" s="347" t="str">
        <f t="shared" si="103"/>
        <v>Box</v>
      </c>
      <c r="BB270" s="1008"/>
      <c r="BC270" s="1009"/>
      <c r="BD270" s="1009"/>
    </row>
    <row r="271" spans="1:56" s="1010" customFormat="1" ht="36.75" customHeight="1">
      <c r="A271" s="661">
        <f>SUBTOTAL(3,B$6:B271)</f>
        <v>266</v>
      </c>
      <c r="B271" s="661" t="s">
        <v>1329</v>
      </c>
      <c r="C271" s="662" t="s">
        <v>1330</v>
      </c>
      <c r="D271" s="1011">
        <v>45710</v>
      </c>
      <c r="E271" s="1011" t="s">
        <v>216</v>
      </c>
      <c r="F271" s="787" t="s">
        <v>512</v>
      </c>
      <c r="G271" s="996" t="s">
        <v>1322</v>
      </c>
      <c r="H271" s="1012">
        <v>5023000</v>
      </c>
      <c r="I271" s="1012">
        <v>500000</v>
      </c>
      <c r="J271" s="1012">
        <v>0</v>
      </c>
      <c r="K271" s="1012">
        <v>0</v>
      </c>
      <c r="L271" s="1013">
        <f t="shared" si="94"/>
        <v>5523000</v>
      </c>
      <c r="M271" s="1014">
        <v>23</v>
      </c>
      <c r="N271" s="1013">
        <f t="shared" si="95"/>
        <v>4885731</v>
      </c>
      <c r="O271" s="1015">
        <v>3</v>
      </c>
      <c r="P271" s="1013">
        <f t="shared" si="96"/>
        <v>637269</v>
      </c>
      <c r="Q271" s="1016">
        <v>0</v>
      </c>
      <c r="R271" s="1013">
        <f t="shared" si="97"/>
        <v>0</v>
      </c>
      <c r="S271" s="1013">
        <f t="shared" si="98"/>
        <v>5523000</v>
      </c>
      <c r="T271" s="1017">
        <v>0</v>
      </c>
      <c r="U271" s="785">
        <v>0</v>
      </c>
      <c r="V271" s="785">
        <v>200000</v>
      </c>
      <c r="W271" s="1017">
        <v>500000</v>
      </c>
      <c r="X271" s="1017">
        <v>0</v>
      </c>
      <c r="Y271" s="1017">
        <v>400000</v>
      </c>
      <c r="Z271" s="1017">
        <v>383300</v>
      </c>
      <c r="AA271" s="1018"/>
      <c r="AB271" s="1013"/>
      <c r="AC271" s="1017">
        <v>0</v>
      </c>
      <c r="AD271" s="1017">
        <v>0</v>
      </c>
      <c r="AE271" s="1013">
        <v>0</v>
      </c>
      <c r="AF271" s="1019"/>
      <c r="AG271" s="1019">
        <f t="shared" si="99"/>
        <v>7006300</v>
      </c>
      <c r="AH271" s="1014">
        <v>44</v>
      </c>
      <c r="AI271" s="1014">
        <v>0</v>
      </c>
      <c r="AJ271" s="1014">
        <v>0</v>
      </c>
      <c r="AK271" s="1018">
        <v>0</v>
      </c>
      <c r="AL271" s="1020">
        <v>0</v>
      </c>
      <c r="AM271" s="1013">
        <f t="shared" si="102"/>
        <v>1752490</v>
      </c>
      <c r="AN271" s="1045">
        <f t="shared" si="101"/>
        <v>8758790</v>
      </c>
      <c r="AO271" s="1013">
        <v>579915</v>
      </c>
      <c r="AP271" s="1013">
        <v>0</v>
      </c>
      <c r="AQ271" s="1013">
        <v>0</v>
      </c>
      <c r="AR271" s="1013">
        <v>0</v>
      </c>
      <c r="AS271" s="1013">
        <v>0</v>
      </c>
      <c r="AT271" s="1045">
        <f t="shared" si="81"/>
        <v>8178875</v>
      </c>
      <c r="AU271" s="1004"/>
      <c r="AV271" s="870"/>
      <c r="AW271" s="782" t="s">
        <v>3841</v>
      </c>
      <c r="AX271" s="782" t="s">
        <v>3842</v>
      </c>
      <c r="AY271" s="1007" t="s">
        <v>287</v>
      </c>
      <c r="AZ271" s="1007">
        <v>622</v>
      </c>
      <c r="BA271" s="347" t="str">
        <f t="shared" si="103"/>
        <v>Box</v>
      </c>
      <c r="BB271" s="1008"/>
      <c r="BC271" s="1009"/>
      <c r="BD271" s="1009"/>
    </row>
    <row r="272" spans="1:56" s="1010" customFormat="1" ht="36.75" customHeight="1">
      <c r="A272" s="661">
        <f>SUBTOTAL(3,B$6:B272)</f>
        <v>267</v>
      </c>
      <c r="B272" s="661" t="s">
        <v>1331</v>
      </c>
      <c r="C272" s="662" t="s">
        <v>1332</v>
      </c>
      <c r="D272" s="1011">
        <v>40369</v>
      </c>
      <c r="E272" s="1011" t="s">
        <v>216</v>
      </c>
      <c r="F272" s="787" t="s">
        <v>512</v>
      </c>
      <c r="G272" s="996" t="s">
        <v>1322</v>
      </c>
      <c r="H272" s="1012">
        <v>5931000</v>
      </c>
      <c r="I272" s="1012">
        <v>1100000</v>
      </c>
      <c r="J272" s="1012">
        <v>0</v>
      </c>
      <c r="K272" s="1012">
        <v>0</v>
      </c>
      <c r="L272" s="1013">
        <f t="shared" si="94"/>
        <v>7031000</v>
      </c>
      <c r="M272" s="1014">
        <v>23.9</v>
      </c>
      <c r="N272" s="1013">
        <f t="shared" si="95"/>
        <v>6463112</v>
      </c>
      <c r="O272" s="1015">
        <v>2</v>
      </c>
      <c r="P272" s="1013">
        <f t="shared" si="96"/>
        <v>540846</v>
      </c>
      <c r="Q272" s="1016">
        <v>0</v>
      </c>
      <c r="R272" s="1013">
        <f t="shared" si="97"/>
        <v>0</v>
      </c>
      <c r="S272" s="1013">
        <f t="shared" si="98"/>
        <v>7003958</v>
      </c>
      <c r="T272" s="1017">
        <v>0</v>
      </c>
      <c r="U272" s="785">
        <v>0</v>
      </c>
      <c r="V272" s="785">
        <v>200000</v>
      </c>
      <c r="W272" s="1017">
        <v>500000</v>
      </c>
      <c r="X272" s="1017">
        <v>0</v>
      </c>
      <c r="Y272" s="1017">
        <v>400000</v>
      </c>
      <c r="Z272" s="1017">
        <v>398300</v>
      </c>
      <c r="AA272" s="1018"/>
      <c r="AB272" s="1013"/>
      <c r="AC272" s="1017">
        <v>100000</v>
      </c>
      <c r="AD272" s="1017">
        <v>0</v>
      </c>
      <c r="AE272" s="1013">
        <v>50704.330543933058</v>
      </c>
      <c r="AF272" s="1019"/>
      <c r="AG272" s="1019">
        <f t="shared" si="99"/>
        <v>8652962</v>
      </c>
      <c r="AH272" s="1014">
        <v>52</v>
      </c>
      <c r="AI272" s="1014">
        <v>0</v>
      </c>
      <c r="AJ272" s="1014">
        <v>0</v>
      </c>
      <c r="AK272" s="1018">
        <v>0</v>
      </c>
      <c r="AL272" s="1020">
        <v>0</v>
      </c>
      <c r="AM272" s="1013">
        <f t="shared" si="102"/>
        <v>2636625</v>
      </c>
      <c r="AN272" s="1045">
        <f t="shared" si="101"/>
        <v>11289587</v>
      </c>
      <c r="AO272" s="1013">
        <v>738255</v>
      </c>
      <c r="AP272" s="1013">
        <v>44100</v>
      </c>
      <c r="AQ272" s="1013">
        <v>0</v>
      </c>
      <c r="AR272" s="1013">
        <v>0</v>
      </c>
      <c r="AS272" s="1013">
        <v>0</v>
      </c>
      <c r="AT272" s="1045">
        <f t="shared" si="81"/>
        <v>10507232</v>
      </c>
      <c r="AU272" s="1004"/>
      <c r="AV272" s="870"/>
      <c r="AW272" s="782" t="s">
        <v>3843</v>
      </c>
      <c r="AX272" s="782" t="s">
        <v>3844</v>
      </c>
      <c r="AY272" s="1007" t="s">
        <v>287</v>
      </c>
      <c r="AZ272" s="1007">
        <v>622</v>
      </c>
      <c r="BA272" s="347" t="str">
        <f t="shared" si="103"/>
        <v>Box</v>
      </c>
      <c r="BB272" s="1008"/>
      <c r="BC272" s="1009"/>
      <c r="BD272" s="1009"/>
    </row>
    <row r="273" spans="1:56" s="1010" customFormat="1" ht="36.75" customHeight="1">
      <c r="A273" s="661">
        <f>SUBTOTAL(3,B$6:B273)</f>
        <v>268</v>
      </c>
      <c r="B273" s="661" t="s">
        <v>1333</v>
      </c>
      <c r="C273" s="662" t="s">
        <v>1334</v>
      </c>
      <c r="D273" s="1011">
        <v>41764</v>
      </c>
      <c r="E273" s="1011" t="s">
        <v>216</v>
      </c>
      <c r="F273" s="787" t="s">
        <v>512</v>
      </c>
      <c r="G273" s="996" t="s">
        <v>1335</v>
      </c>
      <c r="H273" s="1012">
        <v>8176000</v>
      </c>
      <c r="I273" s="1012">
        <v>3200000</v>
      </c>
      <c r="J273" s="1012">
        <v>0</v>
      </c>
      <c r="K273" s="1012">
        <v>5200000</v>
      </c>
      <c r="L273" s="1013">
        <f t="shared" si="94"/>
        <v>16576000</v>
      </c>
      <c r="M273" s="1014">
        <v>23.9</v>
      </c>
      <c r="N273" s="1013">
        <f t="shared" si="95"/>
        <v>15237169</v>
      </c>
      <c r="O273" s="1015">
        <v>2</v>
      </c>
      <c r="P273" s="1013">
        <f t="shared" si="96"/>
        <v>1275077</v>
      </c>
      <c r="Q273" s="1016">
        <v>0</v>
      </c>
      <c r="R273" s="1013">
        <f t="shared" si="97"/>
        <v>0</v>
      </c>
      <c r="S273" s="1013">
        <f t="shared" si="98"/>
        <v>16512246</v>
      </c>
      <c r="T273" s="1017">
        <v>0</v>
      </c>
      <c r="U273" s="785">
        <v>0</v>
      </c>
      <c r="V273" s="785">
        <v>200000</v>
      </c>
      <c r="W273" s="1017">
        <v>500000</v>
      </c>
      <c r="X273" s="1017">
        <v>0</v>
      </c>
      <c r="Y273" s="1017">
        <v>400000</v>
      </c>
      <c r="Z273" s="1017">
        <v>697100</v>
      </c>
      <c r="AA273" s="1018"/>
      <c r="AB273" s="1013"/>
      <c r="AC273" s="1017">
        <v>100000</v>
      </c>
      <c r="AD273" s="1017">
        <v>0</v>
      </c>
      <c r="AE273" s="1013">
        <v>0</v>
      </c>
      <c r="AF273" s="1019"/>
      <c r="AG273" s="1019">
        <f t="shared" si="99"/>
        <v>18409346</v>
      </c>
      <c r="AH273" s="1014">
        <v>49</v>
      </c>
      <c r="AI273" s="1014">
        <v>0</v>
      </c>
      <c r="AJ273" s="1014">
        <v>0</v>
      </c>
      <c r="AK273" s="1018">
        <v>0</v>
      </c>
      <c r="AL273" s="1020">
        <v>0</v>
      </c>
      <c r="AM273" s="1013">
        <f t="shared" si="102"/>
        <v>5857385</v>
      </c>
      <c r="AN273" s="1045">
        <f t="shared" si="101"/>
        <v>24266731</v>
      </c>
      <c r="AO273" s="1013">
        <v>1740480</v>
      </c>
      <c r="AP273" s="1013">
        <v>44100</v>
      </c>
      <c r="AQ273" s="1013">
        <v>43689</v>
      </c>
      <c r="AR273" s="1013">
        <v>0</v>
      </c>
      <c r="AS273" s="1013">
        <v>0</v>
      </c>
      <c r="AT273" s="1045">
        <f t="shared" si="81"/>
        <v>22438462</v>
      </c>
      <c r="AU273" s="1004"/>
      <c r="AV273" s="870"/>
      <c r="AW273" s="782" t="s">
        <v>3845</v>
      </c>
      <c r="AX273" s="782" t="s">
        <v>3846</v>
      </c>
      <c r="AY273" s="1007" t="s">
        <v>287</v>
      </c>
      <c r="AZ273" s="1007">
        <v>622</v>
      </c>
      <c r="BA273" s="347" t="str">
        <f t="shared" si="103"/>
        <v>Box</v>
      </c>
      <c r="BB273" s="1008"/>
      <c r="BC273" s="1009"/>
      <c r="BD273" s="1009"/>
    </row>
    <row r="274" spans="1:56" s="1010" customFormat="1" ht="36.75" customHeight="1">
      <c r="A274" s="661">
        <f>SUBTOTAL(3,B$6:B274)</f>
        <v>269</v>
      </c>
      <c r="B274" s="661" t="s">
        <v>1336</v>
      </c>
      <c r="C274" s="662" t="s">
        <v>1337</v>
      </c>
      <c r="D274" s="1011">
        <v>44604</v>
      </c>
      <c r="E274" s="1011" t="s">
        <v>216</v>
      </c>
      <c r="F274" s="787" t="s">
        <v>513</v>
      </c>
      <c r="G274" s="996" t="s">
        <v>1338</v>
      </c>
      <c r="H274" s="1012">
        <v>5931000</v>
      </c>
      <c r="I274" s="1012">
        <v>500000</v>
      </c>
      <c r="J274" s="1012">
        <v>0</v>
      </c>
      <c r="K274" s="1012">
        <v>0</v>
      </c>
      <c r="L274" s="1013">
        <f t="shared" si="94"/>
        <v>6431000</v>
      </c>
      <c r="M274" s="1014">
        <v>23.9</v>
      </c>
      <c r="N274" s="1013">
        <f t="shared" si="95"/>
        <v>5911573</v>
      </c>
      <c r="O274" s="1015">
        <v>2</v>
      </c>
      <c r="P274" s="1013">
        <f t="shared" si="96"/>
        <v>494692</v>
      </c>
      <c r="Q274" s="1016">
        <v>0</v>
      </c>
      <c r="R274" s="1013">
        <f t="shared" si="97"/>
        <v>0</v>
      </c>
      <c r="S274" s="1013">
        <f t="shared" si="98"/>
        <v>6406265</v>
      </c>
      <c r="T274" s="1017">
        <v>0</v>
      </c>
      <c r="U274" s="785">
        <v>0</v>
      </c>
      <c r="V274" s="785">
        <v>200000</v>
      </c>
      <c r="W274" s="1017">
        <v>500000</v>
      </c>
      <c r="X274" s="1017">
        <v>0</v>
      </c>
      <c r="Y274" s="1017">
        <v>400000</v>
      </c>
      <c r="Z274" s="1017">
        <v>590813</v>
      </c>
      <c r="AA274" s="1018"/>
      <c r="AB274" s="1013"/>
      <c r="AC274" s="1017">
        <v>0</v>
      </c>
      <c r="AD274" s="1017">
        <v>0</v>
      </c>
      <c r="AE274" s="1013">
        <v>0</v>
      </c>
      <c r="AF274" s="1019"/>
      <c r="AG274" s="1019">
        <f t="shared" si="99"/>
        <v>8097078</v>
      </c>
      <c r="AH274" s="1014">
        <v>49</v>
      </c>
      <c r="AI274" s="1014">
        <v>0</v>
      </c>
      <c r="AJ274" s="1014">
        <v>0</v>
      </c>
      <c r="AK274" s="1018">
        <v>0</v>
      </c>
      <c r="AL274" s="1020">
        <v>0</v>
      </c>
      <c r="AM274" s="1013">
        <f t="shared" si="102"/>
        <v>2272493</v>
      </c>
      <c r="AN274" s="1045">
        <f t="shared" si="101"/>
        <v>10369571</v>
      </c>
      <c r="AO274" s="1013">
        <v>675255</v>
      </c>
      <c r="AP274" s="1013">
        <v>44100</v>
      </c>
      <c r="AQ274" s="1013">
        <v>0</v>
      </c>
      <c r="AR274" s="1013">
        <v>0</v>
      </c>
      <c r="AS274" s="1013">
        <v>0</v>
      </c>
      <c r="AT274" s="1045">
        <f t="shared" si="81"/>
        <v>9650216</v>
      </c>
      <c r="AU274" s="1004"/>
      <c r="AV274" s="870"/>
      <c r="AW274" s="782" t="s">
        <v>3847</v>
      </c>
      <c r="AX274" s="782" t="s">
        <v>3848</v>
      </c>
      <c r="AY274" s="1007" t="s">
        <v>287</v>
      </c>
      <c r="AZ274" s="1007">
        <v>622</v>
      </c>
      <c r="BA274" s="347" t="str">
        <f t="shared" si="103"/>
        <v>Box</v>
      </c>
      <c r="BB274" s="1008"/>
      <c r="BC274" s="1009"/>
      <c r="BD274" s="1009"/>
    </row>
    <row r="275" spans="1:56" s="1010" customFormat="1" ht="36.75" customHeight="1">
      <c r="A275" s="661">
        <f>SUBTOTAL(3,B$6:B275)</f>
        <v>270</v>
      </c>
      <c r="B275" s="661" t="s">
        <v>1339</v>
      </c>
      <c r="C275" s="662" t="s">
        <v>1340</v>
      </c>
      <c r="D275" s="1011">
        <v>45005</v>
      </c>
      <c r="E275" s="1011" t="s">
        <v>216</v>
      </c>
      <c r="F275" s="787" t="s">
        <v>663</v>
      </c>
      <c r="G275" s="996" t="s">
        <v>1341</v>
      </c>
      <c r="H275" s="1012">
        <v>5815000</v>
      </c>
      <c r="I275" s="1012">
        <v>800000</v>
      </c>
      <c r="J275" s="1012">
        <v>292000</v>
      </c>
      <c r="K275" s="1012">
        <v>100000</v>
      </c>
      <c r="L275" s="1013">
        <f t="shared" si="94"/>
        <v>7007000</v>
      </c>
      <c r="M275" s="1014">
        <v>18.600000000000001</v>
      </c>
      <c r="N275" s="1013">
        <f t="shared" si="95"/>
        <v>5012700</v>
      </c>
      <c r="O275" s="1015">
        <v>2</v>
      </c>
      <c r="P275" s="1013">
        <f t="shared" si="96"/>
        <v>539000</v>
      </c>
      <c r="Q275" s="1016">
        <v>0</v>
      </c>
      <c r="R275" s="1013">
        <f t="shared" si="97"/>
        <v>0</v>
      </c>
      <c r="S275" s="1013">
        <f t="shared" si="98"/>
        <v>5551700</v>
      </c>
      <c r="T275" s="1017">
        <v>0</v>
      </c>
      <c r="U275" s="785">
        <v>0</v>
      </c>
      <c r="V275" s="785">
        <v>200000</v>
      </c>
      <c r="W275" s="1017">
        <v>0</v>
      </c>
      <c r="X275" s="1017">
        <v>200000</v>
      </c>
      <c r="Y275" s="1017">
        <v>0</v>
      </c>
      <c r="Z275" s="1017">
        <v>348482</v>
      </c>
      <c r="AA275" s="1018"/>
      <c r="AB275" s="1013"/>
      <c r="AC275" s="1017">
        <v>0</v>
      </c>
      <c r="AD275" s="1017">
        <v>0</v>
      </c>
      <c r="AE275" s="1013">
        <v>0</v>
      </c>
      <c r="AF275" s="1019"/>
      <c r="AG275" s="1019">
        <f t="shared" si="99"/>
        <v>6300182</v>
      </c>
      <c r="AH275" s="1014">
        <v>36</v>
      </c>
      <c r="AI275" s="1014">
        <v>0</v>
      </c>
      <c r="AJ275" s="1014">
        <v>0</v>
      </c>
      <c r="AK275" s="1018">
        <v>0</v>
      </c>
      <c r="AL275" s="1020">
        <v>0</v>
      </c>
      <c r="AM275" s="1013">
        <f t="shared" si="102"/>
        <v>1819125</v>
      </c>
      <c r="AN275" s="1045">
        <f t="shared" si="101"/>
        <v>8119307</v>
      </c>
      <c r="AO275" s="1013">
        <v>735735</v>
      </c>
      <c r="AP275" s="1013">
        <v>44100</v>
      </c>
      <c r="AQ275" s="1013">
        <v>0</v>
      </c>
      <c r="AR275" s="1013">
        <v>0</v>
      </c>
      <c r="AS275" s="1013">
        <v>0</v>
      </c>
      <c r="AT275" s="1045">
        <f t="shared" si="81"/>
        <v>7339472</v>
      </c>
      <c r="AU275" s="1004"/>
      <c r="AV275" s="870"/>
      <c r="AW275" s="782" t="s">
        <v>3849</v>
      </c>
      <c r="AX275" s="782" t="s">
        <v>3850</v>
      </c>
      <c r="AY275" s="1007" t="s">
        <v>671</v>
      </c>
      <c r="AZ275" s="1007">
        <v>622</v>
      </c>
      <c r="BA275" s="347" t="str">
        <f t="shared" si="103"/>
        <v>Seaman</v>
      </c>
      <c r="BB275" s="1008"/>
      <c r="BC275" s="1009"/>
      <c r="BD275" s="1009"/>
    </row>
    <row r="276" spans="1:56" s="1010" customFormat="1" ht="36.75" customHeight="1">
      <c r="A276" s="661">
        <f>SUBTOTAL(3,B$6:B276)</f>
        <v>271</v>
      </c>
      <c r="B276" s="661" t="s">
        <v>1342</v>
      </c>
      <c r="C276" s="662" t="s">
        <v>1343</v>
      </c>
      <c r="D276" s="1011">
        <v>45344</v>
      </c>
      <c r="E276" s="1011" t="s">
        <v>216</v>
      </c>
      <c r="F276" s="787" t="s">
        <v>663</v>
      </c>
      <c r="G276" s="996" t="s">
        <v>1344</v>
      </c>
      <c r="H276" s="1012">
        <v>5538000</v>
      </c>
      <c r="I276" s="1012">
        <v>600000</v>
      </c>
      <c r="J276" s="1012">
        <v>278000</v>
      </c>
      <c r="K276" s="1012">
        <v>0</v>
      </c>
      <c r="L276" s="1013">
        <f t="shared" si="94"/>
        <v>6416000</v>
      </c>
      <c r="M276" s="1014">
        <v>23</v>
      </c>
      <c r="N276" s="1013">
        <f t="shared" si="95"/>
        <v>5675692</v>
      </c>
      <c r="O276" s="1015">
        <v>2</v>
      </c>
      <c r="P276" s="1013">
        <f t="shared" si="96"/>
        <v>493538</v>
      </c>
      <c r="Q276" s="1016">
        <v>0</v>
      </c>
      <c r="R276" s="1013">
        <f t="shared" si="97"/>
        <v>0</v>
      </c>
      <c r="S276" s="1013">
        <f t="shared" si="98"/>
        <v>6169230</v>
      </c>
      <c r="T276" s="1017">
        <v>0</v>
      </c>
      <c r="U276" s="785">
        <v>0</v>
      </c>
      <c r="V276" s="785">
        <v>200000</v>
      </c>
      <c r="W276" s="1017">
        <v>0</v>
      </c>
      <c r="X276" s="1017">
        <v>0</v>
      </c>
      <c r="Y276" s="1017">
        <v>400000</v>
      </c>
      <c r="Z276" s="1017">
        <v>371683</v>
      </c>
      <c r="AA276" s="1018"/>
      <c r="AB276" s="1013"/>
      <c r="AC276" s="1017">
        <v>0</v>
      </c>
      <c r="AD276" s="1017">
        <v>0</v>
      </c>
      <c r="AE276" s="1013">
        <v>0</v>
      </c>
      <c r="AF276" s="1019"/>
      <c r="AG276" s="1019">
        <f t="shared" si="99"/>
        <v>7140913</v>
      </c>
      <c r="AH276" s="1014">
        <v>44</v>
      </c>
      <c r="AI276" s="1014">
        <v>0</v>
      </c>
      <c r="AJ276" s="1014">
        <v>0</v>
      </c>
      <c r="AK276" s="1018">
        <v>0</v>
      </c>
      <c r="AL276" s="1020">
        <v>0</v>
      </c>
      <c r="AM276" s="1013">
        <f t="shared" si="102"/>
        <v>2035846</v>
      </c>
      <c r="AN276" s="1045">
        <f t="shared" si="101"/>
        <v>9176759</v>
      </c>
      <c r="AO276" s="1013">
        <v>673680</v>
      </c>
      <c r="AP276" s="1013">
        <v>44100</v>
      </c>
      <c r="AQ276" s="1013">
        <v>0</v>
      </c>
      <c r="AR276" s="1013">
        <v>0</v>
      </c>
      <c r="AS276" s="1013">
        <v>0</v>
      </c>
      <c r="AT276" s="1045">
        <f t="shared" si="81"/>
        <v>8458979</v>
      </c>
      <c r="AU276" s="1004"/>
      <c r="AV276" s="870"/>
      <c r="AW276" s="782" t="s">
        <v>3851</v>
      </c>
      <c r="AX276" s="782" t="s">
        <v>3852</v>
      </c>
      <c r="AY276" s="1007" t="s">
        <v>671</v>
      </c>
      <c r="AZ276" s="1007">
        <v>622</v>
      </c>
      <c r="BA276" s="347" t="str">
        <f t="shared" si="103"/>
        <v>Seaman</v>
      </c>
      <c r="BB276" s="1008"/>
      <c r="BC276" s="1009"/>
      <c r="BD276" s="1009"/>
    </row>
    <row r="277" spans="1:56" s="1010" customFormat="1" ht="36.75" customHeight="1">
      <c r="A277" s="661">
        <f>SUBTOTAL(3,B$6:B277)</f>
        <v>272</v>
      </c>
      <c r="B277" s="661" t="s">
        <v>1345</v>
      </c>
      <c r="C277" s="662" t="s">
        <v>1346</v>
      </c>
      <c r="D277" s="1011">
        <v>45439</v>
      </c>
      <c r="E277" s="1011" t="s">
        <v>216</v>
      </c>
      <c r="F277" s="787" t="s">
        <v>663</v>
      </c>
      <c r="G277" s="996" t="s">
        <v>1347</v>
      </c>
      <c r="H277" s="1012">
        <v>9240000</v>
      </c>
      <c r="I277" s="1012">
        <v>7000000</v>
      </c>
      <c r="J277" s="1012">
        <v>462000</v>
      </c>
      <c r="K277" s="1012">
        <v>0</v>
      </c>
      <c r="L277" s="1013">
        <f t="shared" si="94"/>
        <v>16702000</v>
      </c>
      <c r="M277" s="1014">
        <v>21.5</v>
      </c>
      <c r="N277" s="1013">
        <f t="shared" si="95"/>
        <v>13811269</v>
      </c>
      <c r="O277" s="1015">
        <v>4</v>
      </c>
      <c r="P277" s="1013">
        <f t="shared" si="96"/>
        <v>2569538</v>
      </c>
      <c r="Q277" s="1016">
        <v>0</v>
      </c>
      <c r="R277" s="1013">
        <f t="shared" si="97"/>
        <v>0</v>
      </c>
      <c r="S277" s="1013">
        <f t="shared" si="98"/>
        <v>16380807</v>
      </c>
      <c r="T277" s="1017">
        <v>441346</v>
      </c>
      <c r="U277" s="785">
        <v>0</v>
      </c>
      <c r="V277" s="785">
        <v>200000</v>
      </c>
      <c r="W277" s="1017">
        <v>500000</v>
      </c>
      <c r="X277" s="1017">
        <v>0</v>
      </c>
      <c r="Y277" s="1017">
        <v>300000</v>
      </c>
      <c r="Z277" s="1017">
        <v>404100</v>
      </c>
      <c r="AA277" s="1018"/>
      <c r="AB277" s="1013"/>
      <c r="AC277" s="1017">
        <v>200000</v>
      </c>
      <c r="AD277" s="1017">
        <v>0</v>
      </c>
      <c r="AE277" s="1013">
        <v>0</v>
      </c>
      <c r="AF277" s="1019"/>
      <c r="AG277" s="1019">
        <f t="shared" si="99"/>
        <v>18426253</v>
      </c>
      <c r="AH277" s="1014">
        <v>35.5</v>
      </c>
      <c r="AI277" s="1014">
        <v>0</v>
      </c>
      <c r="AJ277" s="1014">
        <v>0</v>
      </c>
      <c r="AK277" s="1018">
        <v>0</v>
      </c>
      <c r="AL277" s="1020">
        <v>0</v>
      </c>
      <c r="AM277" s="1013">
        <f t="shared" si="102"/>
        <v>4275873</v>
      </c>
      <c r="AN277" s="1045">
        <f t="shared" si="101"/>
        <v>22702126</v>
      </c>
      <c r="AO277" s="1013">
        <v>1753710</v>
      </c>
      <c r="AP277" s="1013">
        <v>44100</v>
      </c>
      <c r="AQ277" s="1013">
        <v>0</v>
      </c>
      <c r="AR277" s="1013">
        <v>0</v>
      </c>
      <c r="AS277" s="1013">
        <v>0</v>
      </c>
      <c r="AT277" s="1045">
        <f t="shared" si="81"/>
        <v>20904316</v>
      </c>
      <c r="AU277" s="1004"/>
      <c r="AV277" s="870"/>
      <c r="AW277" s="782" t="s">
        <v>3853</v>
      </c>
      <c r="AX277" s="782" t="s">
        <v>3854</v>
      </c>
      <c r="AY277" s="1007" t="s">
        <v>671</v>
      </c>
      <c r="AZ277" s="1007">
        <v>622</v>
      </c>
      <c r="BA277" s="347" t="str">
        <f t="shared" si="103"/>
        <v>Seaman</v>
      </c>
      <c r="BB277" s="1008"/>
      <c r="BC277" s="1009"/>
      <c r="BD277" s="1009"/>
    </row>
    <row r="278" spans="1:56" s="1010" customFormat="1" ht="36.75" customHeight="1">
      <c r="A278" s="661">
        <f>SUBTOTAL(3,B$6:B278)</f>
        <v>273</v>
      </c>
      <c r="B278" s="661" t="s">
        <v>1348</v>
      </c>
      <c r="C278" s="662" t="s">
        <v>1349</v>
      </c>
      <c r="D278" s="1011">
        <v>45706</v>
      </c>
      <c r="E278" s="1011" t="s">
        <v>216</v>
      </c>
      <c r="F278" s="787" t="s">
        <v>663</v>
      </c>
      <c r="G278" s="996" t="s">
        <v>899</v>
      </c>
      <c r="H278" s="1012">
        <v>5023000</v>
      </c>
      <c r="I278" s="1012">
        <v>600000</v>
      </c>
      <c r="J278" s="1012">
        <v>252000</v>
      </c>
      <c r="K278" s="1012">
        <v>0</v>
      </c>
      <c r="L278" s="1013">
        <f t="shared" si="0"/>
        <v>5875000</v>
      </c>
      <c r="M278" s="1014">
        <v>23</v>
      </c>
      <c r="N278" s="1013">
        <f t="shared" si="82"/>
        <v>5197115</v>
      </c>
      <c r="O278" s="1015">
        <v>3</v>
      </c>
      <c r="P278" s="1013">
        <f t="shared" si="83"/>
        <v>677885</v>
      </c>
      <c r="Q278" s="1016">
        <v>0</v>
      </c>
      <c r="R278" s="1013">
        <f t="shared" si="84"/>
        <v>0</v>
      </c>
      <c r="S278" s="1013">
        <f t="shared" si="85"/>
        <v>5875000</v>
      </c>
      <c r="T278" s="1017">
        <v>0</v>
      </c>
      <c r="U278" s="785">
        <v>0</v>
      </c>
      <c r="V278" s="785">
        <v>200000</v>
      </c>
      <c r="W278" s="1017">
        <v>500000</v>
      </c>
      <c r="X278" s="1017">
        <v>0</v>
      </c>
      <c r="Y278" s="1017">
        <v>400000</v>
      </c>
      <c r="Z278" s="1017">
        <v>390155</v>
      </c>
      <c r="AA278" s="1018"/>
      <c r="AB278" s="1013"/>
      <c r="AC278" s="1017">
        <v>0</v>
      </c>
      <c r="AD278" s="1017">
        <v>0</v>
      </c>
      <c r="AE278" s="1013">
        <v>0</v>
      </c>
      <c r="AF278" s="1019"/>
      <c r="AG278" s="1019">
        <f t="shared" si="1"/>
        <v>7365155</v>
      </c>
      <c r="AH278" s="1014">
        <v>44</v>
      </c>
      <c r="AI278" s="1014">
        <v>0</v>
      </c>
      <c r="AJ278" s="1014">
        <v>0</v>
      </c>
      <c r="AK278" s="1018">
        <v>0</v>
      </c>
      <c r="AL278" s="1020">
        <v>0</v>
      </c>
      <c r="AM278" s="1013">
        <f t="shared" si="102"/>
        <v>1864183</v>
      </c>
      <c r="AN278" s="1045">
        <f t="shared" si="3"/>
        <v>9229338</v>
      </c>
      <c r="AO278" s="1013">
        <v>616875</v>
      </c>
      <c r="AP278" s="1013">
        <v>44100</v>
      </c>
      <c r="AQ278" s="1013">
        <v>0</v>
      </c>
      <c r="AR278" s="1013">
        <v>0</v>
      </c>
      <c r="AS278" s="1013">
        <v>0</v>
      </c>
      <c r="AT278" s="1045">
        <f t="shared" si="81"/>
        <v>8568363</v>
      </c>
      <c r="AU278" s="1004"/>
      <c r="AV278" s="870"/>
      <c r="AW278" s="782" t="s">
        <v>3855</v>
      </c>
      <c r="AX278" s="782" t="s">
        <v>3856</v>
      </c>
      <c r="AY278" s="1007" t="s">
        <v>671</v>
      </c>
      <c r="AZ278" s="1007">
        <v>622</v>
      </c>
      <c r="BA278" s="347" t="str">
        <f t="shared" si="103"/>
        <v>Seaman</v>
      </c>
      <c r="BB278" s="1008"/>
      <c r="BC278" s="1009"/>
      <c r="BD278" s="1009"/>
    </row>
    <row r="279" spans="1:56" s="1010" customFormat="1" ht="36.75" customHeight="1">
      <c r="A279" s="661">
        <f>SUBTOTAL(3,B$6:B279)</f>
        <v>274</v>
      </c>
      <c r="B279" s="661" t="s">
        <v>1350</v>
      </c>
      <c r="C279" s="662" t="s">
        <v>1351</v>
      </c>
      <c r="D279" s="1011">
        <v>44621</v>
      </c>
      <c r="E279" s="1011" t="s">
        <v>216</v>
      </c>
      <c r="F279" s="787" t="s">
        <v>687</v>
      </c>
      <c r="G279" s="996" t="s">
        <v>1172</v>
      </c>
      <c r="H279" s="1012">
        <v>5931000</v>
      </c>
      <c r="I279" s="1012">
        <v>200000</v>
      </c>
      <c r="J279" s="1012">
        <v>0</v>
      </c>
      <c r="K279" s="1012">
        <v>0</v>
      </c>
      <c r="L279" s="1013">
        <f t="shared" si="0"/>
        <v>6131000</v>
      </c>
      <c r="M279" s="1014">
        <v>23.9</v>
      </c>
      <c r="N279" s="1013">
        <f t="shared" si="82"/>
        <v>5635804</v>
      </c>
      <c r="O279" s="1015">
        <v>2</v>
      </c>
      <c r="P279" s="1013">
        <f t="shared" si="83"/>
        <v>471615</v>
      </c>
      <c r="Q279" s="1016">
        <v>0</v>
      </c>
      <c r="R279" s="1013">
        <f t="shared" si="84"/>
        <v>0</v>
      </c>
      <c r="S279" s="1013">
        <f t="shared" si="85"/>
        <v>6107419</v>
      </c>
      <c r="T279" s="1017">
        <v>0</v>
      </c>
      <c r="U279" s="785">
        <v>0</v>
      </c>
      <c r="V279" s="785">
        <v>200000</v>
      </c>
      <c r="W279" s="1017">
        <v>500000</v>
      </c>
      <c r="X279" s="1017">
        <v>0</v>
      </c>
      <c r="Y279" s="1017">
        <v>300000</v>
      </c>
      <c r="Z279" s="1017">
        <v>360449</v>
      </c>
      <c r="AA279" s="1018"/>
      <c r="AB279" s="1013"/>
      <c r="AC279" s="1017">
        <v>0</v>
      </c>
      <c r="AD279" s="1017">
        <v>0</v>
      </c>
      <c r="AE279" s="1013">
        <v>0</v>
      </c>
      <c r="AF279" s="1019"/>
      <c r="AG279" s="1019">
        <f t="shared" si="1"/>
        <v>7467868</v>
      </c>
      <c r="AH279" s="1014">
        <v>36</v>
      </c>
      <c r="AI279" s="1014">
        <v>0</v>
      </c>
      <c r="AJ279" s="1014">
        <v>0</v>
      </c>
      <c r="AK279" s="1018">
        <v>0</v>
      </c>
      <c r="AL279" s="1020">
        <v>0</v>
      </c>
      <c r="AM279" s="1013">
        <f t="shared" si="102"/>
        <v>1591702</v>
      </c>
      <c r="AN279" s="1045">
        <f t="shared" si="3"/>
        <v>9059570</v>
      </c>
      <c r="AO279" s="1013">
        <v>643755</v>
      </c>
      <c r="AP279" s="1013">
        <v>44100</v>
      </c>
      <c r="AQ279" s="1013">
        <v>0</v>
      </c>
      <c r="AR279" s="1013">
        <v>140000</v>
      </c>
      <c r="AS279" s="1013">
        <v>0</v>
      </c>
      <c r="AT279" s="1045">
        <f t="shared" si="81"/>
        <v>8231715</v>
      </c>
      <c r="AU279" s="1004"/>
      <c r="AV279" s="870"/>
      <c r="AW279" s="782" t="s">
        <v>3857</v>
      </c>
      <c r="AX279" s="782" t="s">
        <v>3858</v>
      </c>
      <c r="AY279" s="1007" t="s">
        <v>671</v>
      </c>
      <c r="AZ279" s="1007">
        <v>622</v>
      </c>
      <c r="BA279" s="347" t="str">
        <f t="shared" si="103"/>
        <v>Seaman</v>
      </c>
      <c r="BB279" s="1008"/>
      <c r="BC279" s="1009"/>
      <c r="BD279" s="1009"/>
    </row>
    <row r="280" spans="1:56" s="1010" customFormat="1" ht="36.75" customHeight="1">
      <c r="A280" s="661">
        <f>SUBTOTAL(3,B$6:B280)</f>
        <v>275</v>
      </c>
      <c r="B280" s="661" t="s">
        <v>1352</v>
      </c>
      <c r="C280" s="662" t="s">
        <v>1353</v>
      </c>
      <c r="D280" s="1011">
        <v>45414</v>
      </c>
      <c r="E280" s="1011" t="s">
        <v>216</v>
      </c>
      <c r="F280" s="787" t="s">
        <v>664</v>
      </c>
      <c r="G280" s="996" t="s">
        <v>1311</v>
      </c>
      <c r="H280" s="1012">
        <v>14500000</v>
      </c>
      <c r="I280" s="1012">
        <v>13000000</v>
      </c>
      <c r="J280" s="1012">
        <v>0</v>
      </c>
      <c r="K280" s="1012">
        <v>0</v>
      </c>
      <c r="L280" s="1013">
        <f t="shared" si="0"/>
        <v>27500000</v>
      </c>
      <c r="M280" s="1014">
        <v>24</v>
      </c>
      <c r="N280" s="1013">
        <f t="shared" si="82"/>
        <v>25384615</v>
      </c>
      <c r="O280" s="1015">
        <v>2</v>
      </c>
      <c r="P280" s="1013">
        <f t="shared" si="83"/>
        <v>2115385</v>
      </c>
      <c r="Q280" s="1016">
        <v>0</v>
      </c>
      <c r="R280" s="1013">
        <f t="shared" si="84"/>
        <v>0</v>
      </c>
      <c r="S280" s="1013">
        <f t="shared" si="85"/>
        <v>27500000</v>
      </c>
      <c r="T280" s="1017">
        <v>500000</v>
      </c>
      <c r="U280" s="785">
        <v>0</v>
      </c>
      <c r="V280" s="785">
        <v>0</v>
      </c>
      <c r="W280" s="1017">
        <v>0</v>
      </c>
      <c r="X280" s="1017">
        <v>0</v>
      </c>
      <c r="Y280" s="1017">
        <v>0</v>
      </c>
      <c r="Z280" s="1017">
        <v>0</v>
      </c>
      <c r="AA280" s="1018"/>
      <c r="AB280" s="1013"/>
      <c r="AC280" s="1017">
        <v>0</v>
      </c>
      <c r="AD280" s="1017">
        <v>0</v>
      </c>
      <c r="AE280" s="1013">
        <v>0</v>
      </c>
      <c r="AF280" s="1019"/>
      <c r="AG280" s="1019">
        <f t="shared" si="1"/>
        <v>28000000</v>
      </c>
      <c r="AH280" s="1014">
        <v>0</v>
      </c>
      <c r="AI280" s="1014">
        <v>0</v>
      </c>
      <c r="AJ280" s="1014">
        <v>0</v>
      </c>
      <c r="AK280" s="1018">
        <v>0</v>
      </c>
      <c r="AL280" s="1020">
        <v>0</v>
      </c>
      <c r="AM280" s="1013">
        <f t="shared" si="102"/>
        <v>0</v>
      </c>
      <c r="AN280" s="1045">
        <f t="shared" si="3"/>
        <v>28000000</v>
      </c>
      <c r="AO280" s="1013">
        <v>2887500</v>
      </c>
      <c r="AP280" s="1013">
        <v>44100</v>
      </c>
      <c r="AQ280" s="1013">
        <v>245625</v>
      </c>
      <c r="AR280" s="1013">
        <v>0</v>
      </c>
      <c r="AS280" s="1013">
        <v>0</v>
      </c>
      <c r="AT280" s="1045">
        <f t="shared" si="81"/>
        <v>24822775</v>
      </c>
      <c r="AU280" s="1004"/>
      <c r="AV280" s="870"/>
      <c r="AW280" s="782" t="s">
        <v>3859</v>
      </c>
      <c r="AX280" s="782" t="s">
        <v>3860</v>
      </c>
      <c r="AY280" s="1007" t="s">
        <v>671</v>
      </c>
      <c r="AZ280" s="1007">
        <v>627</v>
      </c>
      <c r="BA280" s="347" t="s">
        <v>78</v>
      </c>
      <c r="BB280" s="1008"/>
      <c r="BC280" s="1009"/>
      <c r="BD280" s="1009"/>
    </row>
    <row r="281" spans="1:56" s="1010" customFormat="1" ht="36.75" customHeight="1">
      <c r="A281" s="661">
        <f>SUBTOTAL(3,B$6:B281)</f>
        <v>276</v>
      </c>
      <c r="B281" s="661" t="s">
        <v>1354</v>
      </c>
      <c r="C281" s="662" t="s">
        <v>1355</v>
      </c>
      <c r="D281" s="1011">
        <v>44264</v>
      </c>
      <c r="E281" s="1011" t="s">
        <v>216</v>
      </c>
      <c r="F281" s="787" t="s">
        <v>678</v>
      </c>
      <c r="G281" s="996" t="s">
        <v>1356</v>
      </c>
      <c r="H281" s="1012">
        <v>6500000</v>
      </c>
      <c r="I281" s="1012">
        <v>3800000</v>
      </c>
      <c r="J281" s="1012">
        <v>0</v>
      </c>
      <c r="K281" s="1012">
        <v>0</v>
      </c>
      <c r="L281" s="1013">
        <f t="shared" si="0"/>
        <v>10300000</v>
      </c>
      <c r="M281" s="1014">
        <v>24</v>
      </c>
      <c r="N281" s="1013">
        <f t="shared" si="82"/>
        <v>9507692</v>
      </c>
      <c r="O281" s="1015">
        <v>2</v>
      </c>
      <c r="P281" s="1013">
        <f t="shared" si="83"/>
        <v>792308</v>
      </c>
      <c r="Q281" s="1016">
        <v>0</v>
      </c>
      <c r="R281" s="1013">
        <f t="shared" si="84"/>
        <v>0</v>
      </c>
      <c r="S281" s="1013">
        <f t="shared" si="85"/>
        <v>10300000</v>
      </c>
      <c r="T281" s="1017">
        <v>500000</v>
      </c>
      <c r="U281" s="785">
        <v>0</v>
      </c>
      <c r="V281" s="785">
        <v>200000</v>
      </c>
      <c r="W281" s="1017">
        <v>500000</v>
      </c>
      <c r="X281" s="1017">
        <v>0</v>
      </c>
      <c r="Y281" s="1017">
        <v>400000</v>
      </c>
      <c r="Z281" s="1017">
        <v>250000</v>
      </c>
      <c r="AA281" s="1018"/>
      <c r="AB281" s="1013"/>
      <c r="AC281" s="1017">
        <v>100000</v>
      </c>
      <c r="AD281" s="1017">
        <v>0</v>
      </c>
      <c r="AE281" s="1013">
        <v>0</v>
      </c>
      <c r="AF281" s="1019"/>
      <c r="AG281" s="1019">
        <f t="shared" si="1"/>
        <v>12250000</v>
      </c>
      <c r="AH281" s="1014">
        <v>44</v>
      </c>
      <c r="AI281" s="1014">
        <v>0</v>
      </c>
      <c r="AJ281" s="1014">
        <v>0</v>
      </c>
      <c r="AK281" s="1018">
        <v>0</v>
      </c>
      <c r="AL281" s="1020">
        <v>0</v>
      </c>
      <c r="AM281" s="1013">
        <f t="shared" si="102"/>
        <v>3268269</v>
      </c>
      <c r="AN281" s="1045">
        <f>ROUND(AG281+AM281,0)</f>
        <v>15518269</v>
      </c>
      <c r="AO281" s="1013">
        <v>1081500</v>
      </c>
      <c r="AP281" s="1013">
        <v>44100</v>
      </c>
      <c r="AQ281" s="1013">
        <v>0</v>
      </c>
      <c r="AR281" s="1013">
        <v>0</v>
      </c>
      <c r="AS281" s="1013">
        <v>0</v>
      </c>
      <c r="AT281" s="1045">
        <f t="shared" si="81"/>
        <v>14392669</v>
      </c>
      <c r="AU281" s="1004"/>
      <c r="AV281" s="870"/>
      <c r="AW281" s="782" t="s">
        <v>3861</v>
      </c>
      <c r="AX281" s="782" t="s">
        <v>3862</v>
      </c>
      <c r="AY281" s="1007" t="s">
        <v>671</v>
      </c>
      <c r="AZ281" s="1007">
        <v>622</v>
      </c>
      <c r="BA281" s="347" t="str">
        <f t="shared" ref="BA281:BA344" si="104">+IF(AY281="SK1 Box","Box",IF(AY281="Seaman","Seaman","Bag"))</f>
        <v>Seaman</v>
      </c>
      <c r="BB281" s="1008"/>
      <c r="BC281" s="1009"/>
      <c r="BD281" s="1009"/>
    </row>
    <row r="282" spans="1:56" s="1010" customFormat="1" ht="36.75" customHeight="1">
      <c r="A282" s="661">
        <f>SUBTOTAL(3,B$6:B282)</f>
        <v>277</v>
      </c>
      <c r="B282" s="661" t="s">
        <v>1357</v>
      </c>
      <c r="C282" s="662" t="s">
        <v>1358</v>
      </c>
      <c r="D282" s="1011">
        <v>45502</v>
      </c>
      <c r="E282" s="1011" t="s">
        <v>216</v>
      </c>
      <c r="F282" s="787" t="s">
        <v>678</v>
      </c>
      <c r="G282" s="996" t="s">
        <v>1322</v>
      </c>
      <c r="H282" s="1012">
        <v>5274000</v>
      </c>
      <c r="I282" s="1012">
        <v>500000</v>
      </c>
      <c r="J282" s="1012">
        <v>0</v>
      </c>
      <c r="K282" s="1012">
        <v>0</v>
      </c>
      <c r="L282" s="1013">
        <f t="shared" si="0"/>
        <v>5774000</v>
      </c>
      <c r="M282" s="1014">
        <v>22.7</v>
      </c>
      <c r="N282" s="1013">
        <f t="shared" si="82"/>
        <v>5041146</v>
      </c>
      <c r="O282" s="1015">
        <v>3</v>
      </c>
      <c r="P282" s="1013">
        <f t="shared" si="83"/>
        <v>666231</v>
      </c>
      <c r="Q282" s="1016">
        <v>0</v>
      </c>
      <c r="R282" s="1013">
        <f t="shared" si="84"/>
        <v>0</v>
      </c>
      <c r="S282" s="1013">
        <f t="shared" si="85"/>
        <v>5707377</v>
      </c>
      <c r="T282" s="1017">
        <v>0</v>
      </c>
      <c r="U282" s="785">
        <v>0</v>
      </c>
      <c r="V282" s="785">
        <v>200000</v>
      </c>
      <c r="W282" s="1017">
        <v>500000</v>
      </c>
      <c r="X282" s="1017">
        <v>0</v>
      </c>
      <c r="Y282" s="1017">
        <v>400000</v>
      </c>
      <c r="Z282" s="1017">
        <v>378300</v>
      </c>
      <c r="AA282" s="1018"/>
      <c r="AB282" s="1013"/>
      <c r="AC282" s="1017">
        <v>0</v>
      </c>
      <c r="AD282" s="1017">
        <v>0</v>
      </c>
      <c r="AE282" s="1013">
        <v>41639.421806167404</v>
      </c>
      <c r="AF282" s="1019"/>
      <c r="AG282" s="1019">
        <f t="shared" si="1"/>
        <v>7227316</v>
      </c>
      <c r="AH282" s="1014">
        <v>9</v>
      </c>
      <c r="AI282" s="1014">
        <v>0</v>
      </c>
      <c r="AJ282" s="1014">
        <v>0</v>
      </c>
      <c r="AK282" s="1018">
        <v>0</v>
      </c>
      <c r="AL282" s="1020">
        <v>0</v>
      </c>
      <c r="AM282" s="1013">
        <f t="shared" si="102"/>
        <v>374755</v>
      </c>
      <c r="AN282" s="1045">
        <f t="shared" si="3"/>
        <v>7602071</v>
      </c>
      <c r="AO282" s="1013">
        <v>606270</v>
      </c>
      <c r="AP282" s="1013">
        <v>44100</v>
      </c>
      <c r="AQ282" s="1013">
        <v>0</v>
      </c>
      <c r="AR282" s="1013">
        <v>0</v>
      </c>
      <c r="AS282" s="1013">
        <v>0</v>
      </c>
      <c r="AT282" s="1045">
        <f t="shared" si="81"/>
        <v>6951701</v>
      </c>
      <c r="AU282" s="1004"/>
      <c r="AV282" s="870"/>
      <c r="AW282" s="782" t="s">
        <v>3863</v>
      </c>
      <c r="AX282" s="782" t="s">
        <v>3864</v>
      </c>
      <c r="AY282" s="1007" t="s">
        <v>671</v>
      </c>
      <c r="AZ282" s="1007">
        <v>622</v>
      </c>
      <c r="BA282" s="347" t="str">
        <f t="shared" si="104"/>
        <v>Seaman</v>
      </c>
      <c r="BB282" s="1008"/>
      <c r="BC282" s="1009"/>
      <c r="BD282" s="1009"/>
    </row>
    <row r="283" spans="1:56" s="1010" customFormat="1" ht="36.75" customHeight="1">
      <c r="A283" s="661">
        <f>SUBTOTAL(3,B$6:B283)</f>
        <v>278</v>
      </c>
      <c r="B283" s="661" t="s">
        <v>1359</v>
      </c>
      <c r="C283" s="662" t="s">
        <v>1360</v>
      </c>
      <c r="D283" s="1011">
        <v>43602</v>
      </c>
      <c r="E283" s="1011" t="s">
        <v>216</v>
      </c>
      <c r="F283" s="787" t="s">
        <v>679</v>
      </c>
      <c r="G283" s="996" t="s">
        <v>973</v>
      </c>
      <c r="H283" s="1012">
        <v>5931000</v>
      </c>
      <c r="I283" s="1012">
        <v>2100000</v>
      </c>
      <c r="J283" s="1012">
        <v>0</v>
      </c>
      <c r="K283" s="1012">
        <v>0</v>
      </c>
      <c r="L283" s="1013">
        <f t="shared" si="0"/>
        <v>8031000</v>
      </c>
      <c r="M283" s="1014">
        <v>23.5</v>
      </c>
      <c r="N283" s="1013">
        <f t="shared" si="82"/>
        <v>7258788</v>
      </c>
      <c r="O283" s="1015">
        <v>2</v>
      </c>
      <c r="P283" s="1013">
        <f t="shared" si="83"/>
        <v>617769</v>
      </c>
      <c r="Q283" s="1016">
        <v>0</v>
      </c>
      <c r="R283" s="1013">
        <f t="shared" si="84"/>
        <v>0</v>
      </c>
      <c r="S283" s="1013">
        <f t="shared" si="85"/>
        <v>7876557</v>
      </c>
      <c r="T283" s="1017">
        <v>0</v>
      </c>
      <c r="U283" s="785">
        <v>0</v>
      </c>
      <c r="V283" s="785">
        <v>200000</v>
      </c>
      <c r="W283" s="1017">
        <v>500000</v>
      </c>
      <c r="X283" s="1017">
        <v>0</v>
      </c>
      <c r="Y283" s="1017">
        <v>300000</v>
      </c>
      <c r="Z283" s="1017">
        <v>513173</v>
      </c>
      <c r="AA283" s="1018"/>
      <c r="AB283" s="1013"/>
      <c r="AC283" s="1017">
        <v>0</v>
      </c>
      <c r="AD283" s="1017">
        <v>0</v>
      </c>
      <c r="AE283" s="1013">
        <v>0</v>
      </c>
      <c r="AF283" s="1019"/>
      <c r="AG283" s="1019">
        <f t="shared" si="1"/>
        <v>9389730</v>
      </c>
      <c r="AH283" s="1014">
        <v>44</v>
      </c>
      <c r="AI283" s="1014">
        <v>0</v>
      </c>
      <c r="AJ283" s="1014">
        <v>0</v>
      </c>
      <c r="AK283" s="1018">
        <v>0</v>
      </c>
      <c r="AL283" s="1020">
        <v>0</v>
      </c>
      <c r="AM283" s="1013">
        <f t="shared" si="102"/>
        <v>2548298</v>
      </c>
      <c r="AN283" s="1045">
        <f t="shared" si="3"/>
        <v>11938028</v>
      </c>
      <c r="AO283" s="1013">
        <v>843255</v>
      </c>
      <c r="AP283" s="1013">
        <v>44100</v>
      </c>
      <c r="AQ283" s="1013">
        <v>0</v>
      </c>
      <c r="AR283" s="1013">
        <v>0</v>
      </c>
      <c r="AS283" s="1013">
        <v>0</v>
      </c>
      <c r="AT283" s="1045">
        <f t="shared" si="81"/>
        <v>11050673</v>
      </c>
      <c r="AU283" s="1004"/>
      <c r="AV283" s="870"/>
      <c r="AW283" s="782" t="s">
        <v>3865</v>
      </c>
      <c r="AX283" s="782" t="s">
        <v>3866</v>
      </c>
      <c r="AY283" s="1007" t="s">
        <v>671</v>
      </c>
      <c r="AZ283" s="1007">
        <v>622</v>
      </c>
      <c r="BA283" s="347" t="str">
        <f t="shared" si="104"/>
        <v>Seaman</v>
      </c>
      <c r="BB283" s="1008"/>
      <c r="BC283" s="1009"/>
      <c r="BD283" s="1009"/>
    </row>
    <row r="284" spans="1:56" s="1010" customFormat="1" ht="36.75" customHeight="1">
      <c r="A284" s="661">
        <f>SUBTOTAL(3,B$6:B284)</f>
        <v>279</v>
      </c>
      <c r="B284" s="661" t="s">
        <v>1361</v>
      </c>
      <c r="C284" s="662" t="s">
        <v>1362</v>
      </c>
      <c r="D284" s="1011">
        <v>45446</v>
      </c>
      <c r="E284" s="1011" t="s">
        <v>216</v>
      </c>
      <c r="F284" s="787" t="s">
        <v>679</v>
      </c>
      <c r="G284" s="996" t="s">
        <v>1363</v>
      </c>
      <c r="H284" s="1012">
        <v>5274000</v>
      </c>
      <c r="I284" s="1012">
        <v>400000</v>
      </c>
      <c r="J284" s="1012">
        <v>0</v>
      </c>
      <c r="K284" s="1012">
        <v>0</v>
      </c>
      <c r="L284" s="1013">
        <f t="shared" si="0"/>
        <v>5674000</v>
      </c>
      <c r="M284" s="1014">
        <v>23.6</v>
      </c>
      <c r="N284" s="1013">
        <f t="shared" si="82"/>
        <v>5150246</v>
      </c>
      <c r="O284" s="1015">
        <v>2</v>
      </c>
      <c r="P284" s="1013">
        <f t="shared" si="83"/>
        <v>436462</v>
      </c>
      <c r="Q284" s="1016">
        <v>0</v>
      </c>
      <c r="R284" s="1013">
        <f t="shared" si="84"/>
        <v>0</v>
      </c>
      <c r="S284" s="1013">
        <f t="shared" si="85"/>
        <v>5586708</v>
      </c>
      <c r="T284" s="1017">
        <v>0</v>
      </c>
      <c r="U284" s="785">
        <v>0</v>
      </c>
      <c r="V284" s="785">
        <v>200000</v>
      </c>
      <c r="W284" s="1017">
        <v>500000</v>
      </c>
      <c r="X284" s="1017">
        <v>0</v>
      </c>
      <c r="Y284" s="1017">
        <v>400000</v>
      </c>
      <c r="Z284" s="1017">
        <v>427378</v>
      </c>
      <c r="AA284" s="1018"/>
      <c r="AB284" s="1013"/>
      <c r="AC284" s="1017">
        <v>0</v>
      </c>
      <c r="AD284" s="1017">
        <v>0</v>
      </c>
      <c r="AE284" s="1013">
        <v>40918.268008474573</v>
      </c>
      <c r="AF284" s="1019"/>
      <c r="AG284" s="1019">
        <f t="shared" si="1"/>
        <v>7155004</v>
      </c>
      <c r="AH284" s="1014">
        <v>36</v>
      </c>
      <c r="AI284" s="1014">
        <v>0</v>
      </c>
      <c r="AJ284" s="1014">
        <v>0</v>
      </c>
      <c r="AK284" s="1018">
        <v>0</v>
      </c>
      <c r="AL284" s="1020">
        <v>0</v>
      </c>
      <c r="AM284" s="1013">
        <f t="shared" si="102"/>
        <v>1473058</v>
      </c>
      <c r="AN284" s="1045">
        <f t="shared" si="3"/>
        <v>8628062</v>
      </c>
      <c r="AO284" s="1013">
        <v>595770</v>
      </c>
      <c r="AP284" s="1013">
        <v>44100</v>
      </c>
      <c r="AQ284" s="1013">
        <v>0</v>
      </c>
      <c r="AR284" s="1013">
        <v>0</v>
      </c>
      <c r="AS284" s="1013">
        <v>0</v>
      </c>
      <c r="AT284" s="1045">
        <f t="shared" si="81"/>
        <v>7988192</v>
      </c>
      <c r="AU284" s="1004"/>
      <c r="AV284" s="870"/>
      <c r="AW284" s="782" t="s">
        <v>3867</v>
      </c>
      <c r="AX284" s="782" t="s">
        <v>3868</v>
      </c>
      <c r="AY284" s="1007" t="s">
        <v>671</v>
      </c>
      <c r="AZ284" s="1007">
        <v>622</v>
      </c>
      <c r="BA284" s="347" t="str">
        <f t="shared" si="104"/>
        <v>Seaman</v>
      </c>
      <c r="BB284" s="1008"/>
      <c r="BC284" s="1009"/>
      <c r="BD284" s="1009"/>
    </row>
    <row r="285" spans="1:56" s="1010" customFormat="1" ht="36.75" customHeight="1">
      <c r="A285" s="661">
        <f>SUBTOTAL(3,B$6:B285)</f>
        <v>280</v>
      </c>
      <c r="B285" s="661" t="s">
        <v>1364</v>
      </c>
      <c r="C285" s="662" t="s">
        <v>1365</v>
      </c>
      <c r="D285" s="1011">
        <v>45458</v>
      </c>
      <c r="E285" s="1011" t="s">
        <v>216</v>
      </c>
      <c r="F285" s="787" t="s">
        <v>679</v>
      </c>
      <c r="G285" s="996" t="s">
        <v>1363</v>
      </c>
      <c r="H285" s="1012">
        <v>5274000</v>
      </c>
      <c r="I285" s="1012">
        <v>400000</v>
      </c>
      <c r="J285" s="1012">
        <v>0</v>
      </c>
      <c r="K285" s="1012">
        <v>0</v>
      </c>
      <c r="L285" s="1013">
        <f t="shared" si="0"/>
        <v>5674000</v>
      </c>
      <c r="M285" s="1014">
        <v>22.6</v>
      </c>
      <c r="N285" s="1013">
        <f t="shared" si="82"/>
        <v>4932015</v>
      </c>
      <c r="O285" s="1015">
        <v>3</v>
      </c>
      <c r="P285" s="1013">
        <f t="shared" si="83"/>
        <v>654692</v>
      </c>
      <c r="Q285" s="1016">
        <v>0</v>
      </c>
      <c r="R285" s="1013">
        <f t="shared" si="84"/>
        <v>0</v>
      </c>
      <c r="S285" s="1013">
        <f t="shared" si="85"/>
        <v>5586707</v>
      </c>
      <c r="T285" s="1017">
        <v>0</v>
      </c>
      <c r="U285" s="785">
        <v>0</v>
      </c>
      <c r="V285" s="785">
        <v>200000</v>
      </c>
      <c r="W285" s="1017">
        <v>500000</v>
      </c>
      <c r="X285" s="1017">
        <v>0</v>
      </c>
      <c r="Y285" s="1017">
        <v>300000</v>
      </c>
      <c r="Z285" s="1017">
        <v>376230</v>
      </c>
      <c r="AA285" s="1018"/>
      <c r="AB285" s="1013"/>
      <c r="AC285" s="1017">
        <v>100000</v>
      </c>
      <c r="AD285" s="1017">
        <v>0</v>
      </c>
      <c r="AE285" s="1013">
        <v>40918.266039823007</v>
      </c>
      <c r="AF285" s="1019"/>
      <c r="AG285" s="1019">
        <f t="shared" si="1"/>
        <v>7103855</v>
      </c>
      <c r="AH285" s="1014">
        <v>36</v>
      </c>
      <c r="AI285" s="1014">
        <v>0</v>
      </c>
      <c r="AJ285" s="1014">
        <v>0</v>
      </c>
      <c r="AK285" s="1018">
        <v>0</v>
      </c>
      <c r="AL285" s="1020">
        <v>0</v>
      </c>
      <c r="AM285" s="1013">
        <f t="shared" si="102"/>
        <v>1473058</v>
      </c>
      <c r="AN285" s="1045">
        <f t="shared" si="3"/>
        <v>8576913</v>
      </c>
      <c r="AO285" s="1013">
        <v>595770</v>
      </c>
      <c r="AP285" s="1013">
        <v>44100</v>
      </c>
      <c r="AQ285" s="1013">
        <v>0</v>
      </c>
      <c r="AR285" s="1013">
        <v>130000</v>
      </c>
      <c r="AS285" s="1013">
        <v>0</v>
      </c>
      <c r="AT285" s="1045">
        <f t="shared" si="81"/>
        <v>7807043</v>
      </c>
      <c r="AU285" s="1004"/>
      <c r="AV285" s="870"/>
      <c r="AW285" s="782" t="s">
        <v>3869</v>
      </c>
      <c r="AX285" s="782" t="s">
        <v>3870</v>
      </c>
      <c r="AY285" s="1007" t="s">
        <v>671</v>
      </c>
      <c r="AZ285" s="1007">
        <v>622</v>
      </c>
      <c r="BA285" s="347" t="str">
        <f t="shared" si="104"/>
        <v>Seaman</v>
      </c>
      <c r="BB285" s="1008"/>
      <c r="BC285" s="1009"/>
      <c r="BD285" s="1009"/>
    </row>
    <row r="286" spans="1:56" s="1010" customFormat="1" ht="36.75" customHeight="1">
      <c r="A286" s="661">
        <f>SUBTOTAL(3,B$6:B286)</f>
        <v>281</v>
      </c>
      <c r="B286" s="661" t="s">
        <v>1366</v>
      </c>
      <c r="C286" s="662" t="s">
        <v>1367</v>
      </c>
      <c r="D286" s="1011">
        <v>45496</v>
      </c>
      <c r="E286" s="1011" t="s">
        <v>216</v>
      </c>
      <c r="F286" s="787" t="s">
        <v>679</v>
      </c>
      <c r="G286" s="996" t="s">
        <v>973</v>
      </c>
      <c r="H286" s="1012">
        <v>5274000</v>
      </c>
      <c r="I286" s="1012">
        <v>700000</v>
      </c>
      <c r="J286" s="1012">
        <v>0</v>
      </c>
      <c r="K286" s="1012">
        <v>0</v>
      </c>
      <c r="L286" s="1013">
        <f t="shared" si="0"/>
        <v>5974000</v>
      </c>
      <c r="M286" s="1014">
        <v>24</v>
      </c>
      <c r="N286" s="1013">
        <f t="shared" si="82"/>
        <v>5514462</v>
      </c>
      <c r="O286" s="1015">
        <v>2</v>
      </c>
      <c r="P286" s="1013">
        <f t="shared" si="83"/>
        <v>459538</v>
      </c>
      <c r="Q286" s="1016">
        <v>0</v>
      </c>
      <c r="R286" s="1013">
        <f t="shared" si="84"/>
        <v>0</v>
      </c>
      <c r="S286" s="1013">
        <f t="shared" si="85"/>
        <v>5974000</v>
      </c>
      <c r="T286" s="1017">
        <v>0</v>
      </c>
      <c r="U286" s="785">
        <v>0</v>
      </c>
      <c r="V286" s="785">
        <v>200000</v>
      </c>
      <c r="W286" s="1017">
        <v>500000</v>
      </c>
      <c r="X286" s="1017">
        <v>0</v>
      </c>
      <c r="Y286" s="1017">
        <v>400000</v>
      </c>
      <c r="Z286" s="1017">
        <v>415112</v>
      </c>
      <c r="AA286" s="1018"/>
      <c r="AB286" s="1013"/>
      <c r="AC286" s="1017">
        <v>0</v>
      </c>
      <c r="AD286" s="1017">
        <v>0</v>
      </c>
      <c r="AE286" s="1013">
        <v>0</v>
      </c>
      <c r="AF286" s="1019"/>
      <c r="AG286" s="1019">
        <f t="shared" si="1"/>
        <v>7489112</v>
      </c>
      <c r="AH286" s="1014">
        <v>48</v>
      </c>
      <c r="AI286" s="1014">
        <v>0</v>
      </c>
      <c r="AJ286" s="1014">
        <v>0</v>
      </c>
      <c r="AK286" s="1018">
        <v>0</v>
      </c>
      <c r="AL286" s="1020">
        <v>0</v>
      </c>
      <c r="AM286" s="1013">
        <f t="shared" si="102"/>
        <v>2067923</v>
      </c>
      <c r="AN286" s="1045">
        <f t="shared" si="3"/>
        <v>9557035</v>
      </c>
      <c r="AO286" s="1013">
        <v>627270</v>
      </c>
      <c r="AP286" s="1013">
        <v>44100</v>
      </c>
      <c r="AQ286" s="1013">
        <v>0</v>
      </c>
      <c r="AR286" s="1013">
        <v>0</v>
      </c>
      <c r="AS286" s="1013">
        <v>0</v>
      </c>
      <c r="AT286" s="1045">
        <f t="shared" si="81"/>
        <v>8885665</v>
      </c>
      <c r="AU286" s="1004"/>
      <c r="AV286" s="870"/>
      <c r="AW286" s="782" t="s">
        <v>3871</v>
      </c>
      <c r="AX286" s="782" t="s">
        <v>3872</v>
      </c>
      <c r="AY286" s="1007" t="s">
        <v>671</v>
      </c>
      <c r="AZ286" s="1007">
        <v>622</v>
      </c>
      <c r="BA286" s="347" t="str">
        <f t="shared" si="104"/>
        <v>Seaman</v>
      </c>
      <c r="BB286" s="1008"/>
      <c r="BC286" s="1009"/>
      <c r="BD286" s="1009"/>
    </row>
    <row r="287" spans="1:56" s="1010" customFormat="1" ht="36.75" customHeight="1">
      <c r="A287" s="661">
        <f>SUBTOTAL(3,B$6:B287)</f>
        <v>282</v>
      </c>
      <c r="B287" s="661" t="s">
        <v>1368</v>
      </c>
      <c r="C287" s="662" t="s">
        <v>1369</v>
      </c>
      <c r="D287" s="1011">
        <v>45701</v>
      </c>
      <c r="E287" s="1011" t="s">
        <v>216</v>
      </c>
      <c r="F287" s="787" t="s">
        <v>679</v>
      </c>
      <c r="G287" s="996" t="s">
        <v>1363</v>
      </c>
      <c r="H287" s="1012">
        <v>5023000</v>
      </c>
      <c r="I287" s="1012">
        <v>400000</v>
      </c>
      <c r="J287" s="1012">
        <v>0</v>
      </c>
      <c r="K287" s="1012">
        <v>0</v>
      </c>
      <c r="L287" s="1013">
        <f t="shared" si="0"/>
        <v>5423000</v>
      </c>
      <c r="M287" s="1014">
        <v>22.9</v>
      </c>
      <c r="N287" s="1013">
        <f t="shared" si="82"/>
        <v>4776412</v>
      </c>
      <c r="O287" s="1015">
        <v>2</v>
      </c>
      <c r="P287" s="1013">
        <f t="shared" si="83"/>
        <v>417154</v>
      </c>
      <c r="Q287" s="1016">
        <v>0</v>
      </c>
      <c r="R287" s="1013">
        <f t="shared" si="84"/>
        <v>0</v>
      </c>
      <c r="S287" s="1013">
        <f t="shared" si="85"/>
        <v>5193566</v>
      </c>
      <c r="T287" s="1017">
        <v>0</v>
      </c>
      <c r="U287" s="785">
        <v>0</v>
      </c>
      <c r="V287" s="785">
        <v>200000</v>
      </c>
      <c r="W287" s="1017">
        <v>0</v>
      </c>
      <c r="X287" s="1017">
        <v>0</v>
      </c>
      <c r="Y287" s="1017">
        <v>400000</v>
      </c>
      <c r="Z287" s="1017">
        <v>448574</v>
      </c>
      <c r="AA287" s="1018"/>
      <c r="AB287" s="1013"/>
      <c r="AC287" s="1017">
        <v>0</v>
      </c>
      <c r="AD287" s="1017">
        <v>0</v>
      </c>
      <c r="AE287" s="1013">
        <v>0</v>
      </c>
      <c r="AF287" s="1019"/>
      <c r="AG287" s="1019">
        <f t="shared" si="1"/>
        <v>6242140</v>
      </c>
      <c r="AH287" s="1014">
        <v>32</v>
      </c>
      <c r="AI287" s="1014">
        <v>0</v>
      </c>
      <c r="AJ287" s="1014">
        <v>0</v>
      </c>
      <c r="AK287" s="1018">
        <v>0</v>
      </c>
      <c r="AL287" s="1020">
        <v>0</v>
      </c>
      <c r="AM287" s="1013">
        <f t="shared" si="102"/>
        <v>1251462</v>
      </c>
      <c r="AN287" s="1045">
        <f t="shared" si="3"/>
        <v>7493602</v>
      </c>
      <c r="AO287" s="1013">
        <v>569415</v>
      </c>
      <c r="AP287" s="1013">
        <v>44100</v>
      </c>
      <c r="AQ287" s="1013">
        <v>0</v>
      </c>
      <c r="AR287" s="1013">
        <v>0</v>
      </c>
      <c r="AS287" s="1013">
        <v>0</v>
      </c>
      <c r="AT287" s="1045">
        <f t="shared" si="81"/>
        <v>6880087</v>
      </c>
      <c r="AU287" s="1004"/>
      <c r="AV287" s="870"/>
      <c r="AW287" s="782" t="s">
        <v>3873</v>
      </c>
      <c r="AX287" s="782" t="s">
        <v>3874</v>
      </c>
      <c r="AY287" s="1007" t="s">
        <v>671</v>
      </c>
      <c r="AZ287" s="1007">
        <v>622</v>
      </c>
      <c r="BA287" s="347" t="str">
        <f t="shared" si="104"/>
        <v>Seaman</v>
      </c>
      <c r="BB287" s="1008"/>
      <c r="BC287" s="1009"/>
      <c r="BD287" s="1009"/>
    </row>
    <row r="288" spans="1:56" s="1010" customFormat="1" ht="36.75" customHeight="1">
      <c r="A288" s="661">
        <f>SUBTOTAL(3,B$6:B288)</f>
        <v>283</v>
      </c>
      <c r="B288" s="661" t="s">
        <v>5744</v>
      </c>
      <c r="C288" s="662" t="s">
        <v>5745</v>
      </c>
      <c r="D288" s="1011">
        <v>45762</v>
      </c>
      <c r="E288" s="1011" t="s">
        <v>216</v>
      </c>
      <c r="F288" s="787" t="s">
        <v>679</v>
      </c>
      <c r="G288" s="996" t="s">
        <v>554</v>
      </c>
      <c r="H288" s="1012">
        <v>4694000</v>
      </c>
      <c r="I288" s="1012">
        <v>0</v>
      </c>
      <c r="J288" s="1012">
        <v>0</v>
      </c>
      <c r="K288" s="1012">
        <v>0</v>
      </c>
      <c r="L288" s="1013">
        <f t="shared" si="0"/>
        <v>4694000</v>
      </c>
      <c r="M288" s="1014">
        <v>13</v>
      </c>
      <c r="N288" s="1013">
        <f t="shared" si="82"/>
        <v>2347000</v>
      </c>
      <c r="O288" s="1015">
        <v>1</v>
      </c>
      <c r="P288" s="1013">
        <f t="shared" si="83"/>
        <v>180538</v>
      </c>
      <c r="Q288" s="1016">
        <v>0</v>
      </c>
      <c r="R288" s="1013">
        <f t="shared" si="84"/>
        <v>0</v>
      </c>
      <c r="S288" s="1013">
        <f t="shared" si="85"/>
        <v>2527538</v>
      </c>
      <c r="T288" s="1017">
        <v>0</v>
      </c>
      <c r="U288" s="785">
        <v>0</v>
      </c>
      <c r="V288" s="785">
        <v>108000</v>
      </c>
      <c r="W288" s="1017">
        <v>269000</v>
      </c>
      <c r="X288" s="1017">
        <v>0</v>
      </c>
      <c r="Y288" s="1017">
        <v>81000</v>
      </c>
      <c r="Z288" s="1017">
        <v>205921</v>
      </c>
      <c r="AA288" s="1018"/>
      <c r="AB288" s="1013"/>
      <c r="AC288" s="1017">
        <v>0</v>
      </c>
      <c r="AD288" s="1017">
        <v>0</v>
      </c>
      <c r="AE288" s="1013">
        <v>0</v>
      </c>
      <c r="AF288" s="1019"/>
      <c r="AG288" s="1019">
        <f t="shared" si="1"/>
        <v>3191459</v>
      </c>
      <c r="AH288" s="1014">
        <v>12</v>
      </c>
      <c r="AI288" s="1014">
        <v>0</v>
      </c>
      <c r="AJ288" s="1014">
        <v>0</v>
      </c>
      <c r="AK288" s="1018">
        <v>0</v>
      </c>
      <c r="AL288" s="1020">
        <v>0</v>
      </c>
      <c r="AM288" s="1013">
        <f t="shared" si="102"/>
        <v>406212</v>
      </c>
      <c r="AN288" s="1045">
        <f t="shared" si="3"/>
        <v>3597671</v>
      </c>
      <c r="AO288" s="1013">
        <v>0</v>
      </c>
      <c r="AP288" s="1013">
        <v>0</v>
      </c>
      <c r="AQ288" s="1013">
        <v>0</v>
      </c>
      <c r="AR288" s="1013">
        <v>0</v>
      </c>
      <c r="AS288" s="1013">
        <v>0</v>
      </c>
      <c r="AT288" s="1045">
        <f t="shared" si="81"/>
        <v>3597671</v>
      </c>
      <c r="AU288" s="1004"/>
      <c r="AV288" s="870"/>
      <c r="AW288" s="782" t="s">
        <v>5845</v>
      </c>
      <c r="AX288" s="782" t="s">
        <v>5846</v>
      </c>
      <c r="AY288" s="1007" t="s">
        <v>671</v>
      </c>
      <c r="AZ288" s="1007">
        <v>622</v>
      </c>
      <c r="BA288" s="347" t="str">
        <f t="shared" si="104"/>
        <v>Seaman</v>
      </c>
      <c r="BB288" s="1008"/>
      <c r="BC288" s="1009"/>
      <c r="BD288" s="1009"/>
    </row>
    <row r="289" spans="1:56" s="1010" customFormat="1" ht="36.75" customHeight="1">
      <c r="A289" s="661">
        <f>SUBTOTAL(3,B$6:B289)</f>
        <v>284</v>
      </c>
      <c r="B289" s="661" t="s">
        <v>1370</v>
      </c>
      <c r="C289" s="662" t="s">
        <v>1371</v>
      </c>
      <c r="D289" s="1011">
        <v>45528</v>
      </c>
      <c r="E289" s="1011" t="s">
        <v>216</v>
      </c>
      <c r="F289" s="787" t="s">
        <v>680</v>
      </c>
      <c r="G289" s="996" t="s">
        <v>973</v>
      </c>
      <c r="H289" s="1012">
        <v>5274000</v>
      </c>
      <c r="I289" s="1012">
        <v>700000</v>
      </c>
      <c r="J289" s="1012">
        <v>0</v>
      </c>
      <c r="K289" s="1012">
        <v>0</v>
      </c>
      <c r="L289" s="1013">
        <f t="shared" si="0"/>
        <v>5974000</v>
      </c>
      <c r="M289" s="1014">
        <v>22.6</v>
      </c>
      <c r="N289" s="1013">
        <f t="shared" si="82"/>
        <v>5192785</v>
      </c>
      <c r="O289" s="1015">
        <v>3</v>
      </c>
      <c r="P289" s="1013">
        <f t="shared" si="83"/>
        <v>689308</v>
      </c>
      <c r="Q289" s="1016">
        <v>0</v>
      </c>
      <c r="R289" s="1013">
        <f t="shared" si="84"/>
        <v>0</v>
      </c>
      <c r="S289" s="1013">
        <f t="shared" si="85"/>
        <v>5882093</v>
      </c>
      <c r="T289" s="1017">
        <v>0</v>
      </c>
      <c r="U289" s="785">
        <v>0</v>
      </c>
      <c r="V289" s="785">
        <v>200000</v>
      </c>
      <c r="W289" s="1017">
        <v>500000</v>
      </c>
      <c r="X289" s="1017">
        <v>0</v>
      </c>
      <c r="Y289" s="1017">
        <v>300000</v>
      </c>
      <c r="Z289" s="1017">
        <v>340843</v>
      </c>
      <c r="AA289" s="1018"/>
      <c r="AB289" s="1013"/>
      <c r="AC289" s="1017">
        <v>0</v>
      </c>
      <c r="AD289" s="1017">
        <v>0</v>
      </c>
      <c r="AE289" s="1013">
        <v>0</v>
      </c>
      <c r="AF289" s="1019"/>
      <c r="AG289" s="1019">
        <f t="shared" si="1"/>
        <v>7222936</v>
      </c>
      <c r="AH289" s="1014">
        <v>24.5</v>
      </c>
      <c r="AI289" s="1014">
        <v>0</v>
      </c>
      <c r="AJ289" s="1014">
        <v>0</v>
      </c>
      <c r="AK289" s="1018">
        <v>0</v>
      </c>
      <c r="AL289" s="1020">
        <v>0</v>
      </c>
      <c r="AM289" s="1013">
        <f t="shared" si="102"/>
        <v>1055502</v>
      </c>
      <c r="AN289" s="1045">
        <f t="shared" si="3"/>
        <v>8278438</v>
      </c>
      <c r="AO289" s="1013">
        <v>627270</v>
      </c>
      <c r="AP289" s="1013">
        <v>44100</v>
      </c>
      <c r="AQ289" s="1013">
        <v>0</v>
      </c>
      <c r="AR289" s="1013">
        <v>0</v>
      </c>
      <c r="AS289" s="1013">
        <v>0</v>
      </c>
      <c r="AT289" s="1045">
        <f t="shared" si="81"/>
        <v>7607068</v>
      </c>
      <c r="AU289" s="1004"/>
      <c r="AV289" s="870"/>
      <c r="AW289" s="782" t="s">
        <v>3875</v>
      </c>
      <c r="AX289" s="782" t="s">
        <v>3876</v>
      </c>
      <c r="AY289" s="1007" t="s">
        <v>671</v>
      </c>
      <c r="AZ289" s="1007">
        <v>622</v>
      </c>
      <c r="BA289" s="347" t="str">
        <f t="shared" si="104"/>
        <v>Seaman</v>
      </c>
      <c r="BB289" s="1008"/>
      <c r="BC289" s="1009"/>
      <c r="BD289" s="1009"/>
    </row>
    <row r="290" spans="1:56" s="1010" customFormat="1" ht="36.75" customHeight="1">
      <c r="A290" s="661">
        <f>SUBTOTAL(3,B$6:B290)</f>
        <v>285</v>
      </c>
      <c r="B290" s="661" t="s">
        <v>1372</v>
      </c>
      <c r="C290" s="662" t="s">
        <v>1373</v>
      </c>
      <c r="D290" s="1011">
        <v>44257</v>
      </c>
      <c r="E290" s="1011" t="s">
        <v>217</v>
      </c>
      <c r="F290" s="787" t="s">
        <v>564</v>
      </c>
      <c r="G290" s="996" t="s">
        <v>1374</v>
      </c>
      <c r="H290" s="1012">
        <v>5931000</v>
      </c>
      <c r="I290" s="1012">
        <v>1500000</v>
      </c>
      <c r="J290" s="1012">
        <v>0</v>
      </c>
      <c r="K290" s="1012">
        <v>0</v>
      </c>
      <c r="L290" s="1013">
        <f t="shared" si="0"/>
        <v>7431000</v>
      </c>
      <c r="M290" s="1014">
        <v>23.8</v>
      </c>
      <c r="N290" s="1013">
        <f t="shared" si="82"/>
        <v>6802223</v>
      </c>
      <c r="O290" s="1015">
        <v>2</v>
      </c>
      <c r="P290" s="1013">
        <f t="shared" si="83"/>
        <v>571615</v>
      </c>
      <c r="Q290" s="1016">
        <v>0</v>
      </c>
      <c r="R290" s="1013">
        <f t="shared" si="84"/>
        <v>0</v>
      </c>
      <c r="S290" s="1013">
        <f t="shared" si="85"/>
        <v>7373838</v>
      </c>
      <c r="T290" s="1017">
        <v>0</v>
      </c>
      <c r="U290" s="785">
        <v>0</v>
      </c>
      <c r="V290" s="785">
        <v>200000</v>
      </c>
      <c r="W290" s="1017">
        <v>500000</v>
      </c>
      <c r="X290" s="1017">
        <v>0</v>
      </c>
      <c r="Y290" s="1017">
        <v>400000</v>
      </c>
      <c r="Z290" s="1017">
        <v>190110</v>
      </c>
      <c r="AA290" s="1018"/>
      <c r="AB290" s="1013"/>
      <c r="AC290" s="1017">
        <v>0</v>
      </c>
      <c r="AD290" s="1017">
        <v>0</v>
      </c>
      <c r="AE290" s="1013">
        <v>0</v>
      </c>
      <c r="AF290" s="1019"/>
      <c r="AG290" s="1019">
        <f t="shared" si="1"/>
        <v>8663948</v>
      </c>
      <c r="AH290" s="1014">
        <v>48</v>
      </c>
      <c r="AI290" s="1014">
        <v>0</v>
      </c>
      <c r="AJ290" s="1014">
        <v>0</v>
      </c>
      <c r="AK290" s="1018">
        <v>0</v>
      </c>
      <c r="AL290" s="1020">
        <v>0</v>
      </c>
      <c r="AM290" s="1013">
        <f t="shared" si="102"/>
        <v>2572269</v>
      </c>
      <c r="AN290" s="1045">
        <f t="shared" si="3"/>
        <v>11236217</v>
      </c>
      <c r="AO290" s="1013">
        <v>780255</v>
      </c>
      <c r="AP290" s="1013">
        <v>44100</v>
      </c>
      <c r="AQ290" s="1013">
        <v>0</v>
      </c>
      <c r="AR290" s="1013">
        <v>0</v>
      </c>
      <c r="AS290" s="1013">
        <v>0</v>
      </c>
      <c r="AT290" s="1045">
        <f t="shared" si="81"/>
        <v>10411862</v>
      </c>
      <c r="AU290" s="1004"/>
      <c r="AV290" s="870"/>
      <c r="AW290" s="782" t="s">
        <v>3877</v>
      </c>
      <c r="AX290" s="782" t="s">
        <v>3878</v>
      </c>
      <c r="AY290" s="1007" t="s">
        <v>287</v>
      </c>
      <c r="AZ290" s="1007">
        <v>622</v>
      </c>
      <c r="BA290" s="347" t="str">
        <f t="shared" si="104"/>
        <v>Box</v>
      </c>
      <c r="BB290" s="1008"/>
      <c r="BC290" s="1009"/>
      <c r="BD290" s="1009"/>
    </row>
    <row r="291" spans="1:56" s="1010" customFormat="1" ht="36.75" customHeight="1">
      <c r="A291" s="661">
        <f>SUBTOTAL(3,B$6:B291)</f>
        <v>286</v>
      </c>
      <c r="B291" s="661" t="s">
        <v>1375</v>
      </c>
      <c r="C291" s="662" t="s">
        <v>1376</v>
      </c>
      <c r="D291" s="1011">
        <v>40233</v>
      </c>
      <c r="E291" s="1011" t="s">
        <v>217</v>
      </c>
      <c r="F291" s="787" t="s">
        <v>564</v>
      </c>
      <c r="G291" s="996" t="s">
        <v>1377</v>
      </c>
      <c r="H291" s="1012">
        <v>5931000</v>
      </c>
      <c r="I291" s="1012">
        <v>3500000</v>
      </c>
      <c r="J291" s="1012">
        <v>0</v>
      </c>
      <c r="K291" s="1012">
        <v>200000</v>
      </c>
      <c r="L291" s="1013">
        <f t="shared" si="0"/>
        <v>9631000</v>
      </c>
      <c r="M291" s="1014">
        <v>23.8</v>
      </c>
      <c r="N291" s="1013">
        <f t="shared" si="82"/>
        <v>8816069</v>
      </c>
      <c r="O291" s="1015">
        <v>2</v>
      </c>
      <c r="P291" s="1013">
        <f t="shared" si="83"/>
        <v>740846</v>
      </c>
      <c r="Q291" s="1016">
        <v>0</v>
      </c>
      <c r="R291" s="1013">
        <f t="shared" si="84"/>
        <v>0</v>
      </c>
      <c r="S291" s="1013">
        <f t="shared" si="85"/>
        <v>9556915</v>
      </c>
      <c r="T291" s="1017">
        <v>0</v>
      </c>
      <c r="U291" s="785">
        <v>0</v>
      </c>
      <c r="V291" s="785">
        <v>200000</v>
      </c>
      <c r="W291" s="1017">
        <v>500000</v>
      </c>
      <c r="X291" s="1017">
        <v>0</v>
      </c>
      <c r="Y291" s="1017">
        <v>400000</v>
      </c>
      <c r="Z291" s="1017">
        <v>532606</v>
      </c>
      <c r="AA291" s="1018"/>
      <c r="AB291" s="1013"/>
      <c r="AC291" s="1017">
        <v>0</v>
      </c>
      <c r="AD291" s="1017">
        <v>0</v>
      </c>
      <c r="AE291" s="1013">
        <v>0</v>
      </c>
      <c r="AF291" s="1019"/>
      <c r="AG291" s="1019">
        <f t="shared" si="1"/>
        <v>11189521</v>
      </c>
      <c r="AH291" s="1014">
        <v>44</v>
      </c>
      <c r="AI291" s="1014">
        <v>0</v>
      </c>
      <c r="AJ291" s="1014">
        <v>0</v>
      </c>
      <c r="AK291" s="1018">
        <v>0</v>
      </c>
      <c r="AL291" s="1020">
        <v>0</v>
      </c>
      <c r="AM291" s="1013">
        <f t="shared" si="102"/>
        <v>3055990</v>
      </c>
      <c r="AN291" s="1045">
        <f t="shared" si="3"/>
        <v>14245511</v>
      </c>
      <c r="AO291" s="1013">
        <v>1011255</v>
      </c>
      <c r="AP291" s="1013">
        <v>44100</v>
      </c>
      <c r="AQ291" s="1013">
        <v>65780</v>
      </c>
      <c r="AR291" s="1013">
        <v>0</v>
      </c>
      <c r="AS291" s="1013">
        <v>0</v>
      </c>
      <c r="AT291" s="1045">
        <f t="shared" si="81"/>
        <v>13124376</v>
      </c>
      <c r="AU291" s="1004"/>
      <c r="AV291" s="870"/>
      <c r="AW291" s="782" t="s">
        <v>3879</v>
      </c>
      <c r="AX291" s="782" t="s">
        <v>3880</v>
      </c>
      <c r="AY291" s="1007" t="s">
        <v>287</v>
      </c>
      <c r="AZ291" s="1007">
        <v>622</v>
      </c>
      <c r="BA291" s="347" t="str">
        <f t="shared" si="104"/>
        <v>Box</v>
      </c>
      <c r="BB291" s="1008"/>
      <c r="BC291" s="1009"/>
      <c r="BD291" s="1009"/>
    </row>
    <row r="292" spans="1:56" s="1010" customFormat="1" ht="36.75" customHeight="1">
      <c r="A292" s="661">
        <f>SUBTOTAL(3,B$6:B292)</f>
        <v>287</v>
      </c>
      <c r="B292" s="661" t="s">
        <v>1378</v>
      </c>
      <c r="C292" s="662" t="s">
        <v>1379</v>
      </c>
      <c r="D292" s="1011">
        <v>43179</v>
      </c>
      <c r="E292" s="1011" t="s">
        <v>217</v>
      </c>
      <c r="F292" s="787" t="s">
        <v>564</v>
      </c>
      <c r="G292" s="996" t="s">
        <v>973</v>
      </c>
      <c r="H292" s="1012">
        <v>5931000</v>
      </c>
      <c r="I292" s="1012">
        <v>2100000</v>
      </c>
      <c r="J292" s="1012">
        <v>0</v>
      </c>
      <c r="K292" s="1012">
        <v>500000</v>
      </c>
      <c r="L292" s="1013">
        <f t="shared" si="0"/>
        <v>8531000</v>
      </c>
      <c r="M292" s="1014">
        <v>24</v>
      </c>
      <c r="N292" s="1013">
        <f t="shared" si="82"/>
        <v>7874769</v>
      </c>
      <c r="O292" s="1015">
        <v>2</v>
      </c>
      <c r="P292" s="1013">
        <f t="shared" si="83"/>
        <v>656231</v>
      </c>
      <c r="Q292" s="1016">
        <v>0</v>
      </c>
      <c r="R292" s="1013">
        <f t="shared" si="84"/>
        <v>0</v>
      </c>
      <c r="S292" s="1013">
        <f t="shared" si="85"/>
        <v>8531000</v>
      </c>
      <c r="T292" s="1017">
        <v>0</v>
      </c>
      <c r="U292" s="785">
        <v>0</v>
      </c>
      <c r="V292" s="785">
        <v>200000</v>
      </c>
      <c r="W292" s="1017">
        <v>500000</v>
      </c>
      <c r="X292" s="1017">
        <v>0</v>
      </c>
      <c r="Y292" s="1017">
        <v>400000</v>
      </c>
      <c r="Z292" s="1017">
        <v>483317</v>
      </c>
      <c r="AA292" s="1018"/>
      <c r="AB292" s="1013"/>
      <c r="AC292" s="1017">
        <v>100000</v>
      </c>
      <c r="AD292" s="1017">
        <v>0</v>
      </c>
      <c r="AE292" s="1013">
        <v>0</v>
      </c>
      <c r="AF292" s="1019"/>
      <c r="AG292" s="1019">
        <f t="shared" si="1"/>
        <v>10214317</v>
      </c>
      <c r="AH292" s="1014">
        <v>48</v>
      </c>
      <c r="AI292" s="1014">
        <v>0</v>
      </c>
      <c r="AJ292" s="1014">
        <v>0</v>
      </c>
      <c r="AK292" s="1018">
        <v>0</v>
      </c>
      <c r="AL292" s="1020">
        <v>0</v>
      </c>
      <c r="AM292" s="1013">
        <f t="shared" si="102"/>
        <v>2953038</v>
      </c>
      <c r="AN292" s="1045">
        <f t="shared" si="3"/>
        <v>13167355</v>
      </c>
      <c r="AO292" s="1013">
        <v>895755</v>
      </c>
      <c r="AP292" s="1013">
        <v>44100</v>
      </c>
      <c r="AQ292" s="1013">
        <v>19363</v>
      </c>
      <c r="AR292" s="1013">
        <v>0</v>
      </c>
      <c r="AS292" s="1013">
        <v>0</v>
      </c>
      <c r="AT292" s="1045">
        <f t="shared" si="81"/>
        <v>12208137</v>
      </c>
      <c r="AU292" s="1004"/>
      <c r="AV292" s="870"/>
      <c r="AW292" s="782" t="s">
        <v>3881</v>
      </c>
      <c r="AX292" s="782" t="s">
        <v>3882</v>
      </c>
      <c r="AY292" s="1007" t="s">
        <v>287</v>
      </c>
      <c r="AZ292" s="1007">
        <v>622</v>
      </c>
      <c r="BA292" s="347" t="str">
        <f t="shared" si="104"/>
        <v>Box</v>
      </c>
      <c r="BB292" s="1008"/>
      <c r="BC292" s="1009"/>
      <c r="BD292" s="1009"/>
    </row>
    <row r="293" spans="1:56" s="1010" customFormat="1" ht="36.75" customHeight="1">
      <c r="A293" s="661">
        <f>SUBTOTAL(3,B$6:B293)</f>
        <v>288</v>
      </c>
      <c r="B293" s="661" t="s">
        <v>1380</v>
      </c>
      <c r="C293" s="662" t="s">
        <v>1381</v>
      </c>
      <c r="D293" s="1011">
        <v>43265</v>
      </c>
      <c r="E293" s="1011" t="s">
        <v>217</v>
      </c>
      <c r="F293" s="787" t="s">
        <v>564</v>
      </c>
      <c r="G293" s="996" t="s">
        <v>1382</v>
      </c>
      <c r="H293" s="1012">
        <v>5931000</v>
      </c>
      <c r="I293" s="1012">
        <v>1500000</v>
      </c>
      <c r="J293" s="1012">
        <v>0</v>
      </c>
      <c r="K293" s="1012">
        <v>0</v>
      </c>
      <c r="L293" s="1013">
        <f t="shared" si="0"/>
        <v>7431000</v>
      </c>
      <c r="M293" s="1014">
        <v>24</v>
      </c>
      <c r="N293" s="1013">
        <f t="shared" si="82"/>
        <v>6859385</v>
      </c>
      <c r="O293" s="1015">
        <v>2</v>
      </c>
      <c r="P293" s="1013">
        <f t="shared" si="83"/>
        <v>571615</v>
      </c>
      <c r="Q293" s="1016">
        <v>0</v>
      </c>
      <c r="R293" s="1013">
        <f t="shared" si="84"/>
        <v>0</v>
      </c>
      <c r="S293" s="1013">
        <f t="shared" si="85"/>
        <v>7431000</v>
      </c>
      <c r="T293" s="1017">
        <v>0</v>
      </c>
      <c r="U293" s="785">
        <v>0</v>
      </c>
      <c r="V293" s="785">
        <v>200000</v>
      </c>
      <c r="W293" s="1017">
        <v>500000</v>
      </c>
      <c r="X293" s="1017">
        <v>0</v>
      </c>
      <c r="Y293" s="1017">
        <v>400000</v>
      </c>
      <c r="Z293" s="1017">
        <v>190110</v>
      </c>
      <c r="AA293" s="1018"/>
      <c r="AB293" s="1013"/>
      <c r="AC293" s="1017">
        <v>0</v>
      </c>
      <c r="AD293" s="1017">
        <v>0</v>
      </c>
      <c r="AE293" s="1013">
        <v>0</v>
      </c>
      <c r="AF293" s="1019"/>
      <c r="AG293" s="1019">
        <f t="shared" si="1"/>
        <v>8721110</v>
      </c>
      <c r="AH293" s="1014">
        <v>48</v>
      </c>
      <c r="AI293" s="1014">
        <v>0</v>
      </c>
      <c r="AJ293" s="1014">
        <v>0</v>
      </c>
      <c r="AK293" s="1018">
        <v>0</v>
      </c>
      <c r="AL293" s="1020">
        <v>0</v>
      </c>
      <c r="AM293" s="1013">
        <f t="shared" si="102"/>
        <v>2572269</v>
      </c>
      <c r="AN293" s="1045">
        <f t="shared" si="3"/>
        <v>11293379</v>
      </c>
      <c r="AO293" s="1013">
        <v>780255</v>
      </c>
      <c r="AP293" s="1013">
        <v>44100</v>
      </c>
      <c r="AQ293" s="1013">
        <v>0</v>
      </c>
      <c r="AR293" s="1013">
        <v>0</v>
      </c>
      <c r="AS293" s="1013">
        <v>0</v>
      </c>
      <c r="AT293" s="1045">
        <f t="shared" si="81"/>
        <v>10469024</v>
      </c>
      <c r="AU293" s="1004"/>
      <c r="AV293" s="870"/>
      <c r="AW293" s="782" t="s">
        <v>3883</v>
      </c>
      <c r="AX293" s="782" t="s">
        <v>3884</v>
      </c>
      <c r="AY293" s="1007" t="s">
        <v>287</v>
      </c>
      <c r="AZ293" s="1007">
        <v>622</v>
      </c>
      <c r="BA293" s="347" t="str">
        <f t="shared" si="104"/>
        <v>Box</v>
      </c>
      <c r="BB293" s="1008"/>
      <c r="BC293" s="1009"/>
      <c r="BD293" s="1009"/>
    </row>
    <row r="294" spans="1:56" s="1010" customFormat="1" ht="36.75" customHeight="1">
      <c r="A294" s="661">
        <f>SUBTOTAL(3,B$6:B294)</f>
        <v>289</v>
      </c>
      <c r="B294" s="661" t="s">
        <v>1383</v>
      </c>
      <c r="C294" s="662" t="s">
        <v>1384</v>
      </c>
      <c r="D294" s="1011">
        <v>44302</v>
      </c>
      <c r="E294" s="1011" t="s">
        <v>217</v>
      </c>
      <c r="F294" s="787" t="s">
        <v>565</v>
      </c>
      <c r="G294" s="996" t="s">
        <v>973</v>
      </c>
      <c r="H294" s="1012">
        <v>5931000</v>
      </c>
      <c r="I294" s="1012">
        <v>1800000</v>
      </c>
      <c r="J294" s="1012">
        <v>0</v>
      </c>
      <c r="K294" s="1012">
        <v>0</v>
      </c>
      <c r="L294" s="1013">
        <f t="shared" si="0"/>
        <v>7731000</v>
      </c>
      <c r="M294" s="1014">
        <v>24</v>
      </c>
      <c r="N294" s="1013">
        <f t="shared" si="82"/>
        <v>7136308</v>
      </c>
      <c r="O294" s="1015">
        <v>2</v>
      </c>
      <c r="P294" s="1013">
        <f t="shared" si="83"/>
        <v>594692</v>
      </c>
      <c r="Q294" s="1016">
        <v>39</v>
      </c>
      <c r="R294" s="1013">
        <f t="shared" si="84"/>
        <v>434869</v>
      </c>
      <c r="S294" s="1013">
        <f t="shared" si="85"/>
        <v>8165869</v>
      </c>
      <c r="T294" s="1017">
        <v>0</v>
      </c>
      <c r="U294" s="785">
        <v>180000</v>
      </c>
      <c r="V294" s="785">
        <v>200000</v>
      </c>
      <c r="W294" s="1017">
        <v>500000</v>
      </c>
      <c r="X294" s="1017">
        <v>0</v>
      </c>
      <c r="Y294" s="1017">
        <v>400000</v>
      </c>
      <c r="Z294" s="1017">
        <v>438734</v>
      </c>
      <c r="AA294" s="1018"/>
      <c r="AB294" s="1013"/>
      <c r="AC294" s="1017">
        <v>0</v>
      </c>
      <c r="AD294" s="1017">
        <v>0</v>
      </c>
      <c r="AE294" s="1013">
        <v>0</v>
      </c>
      <c r="AF294" s="1019"/>
      <c r="AG294" s="1019">
        <f t="shared" si="1"/>
        <v>9884603</v>
      </c>
      <c r="AH294" s="1014">
        <v>33</v>
      </c>
      <c r="AI294" s="1014">
        <v>0</v>
      </c>
      <c r="AJ294" s="1014">
        <v>0</v>
      </c>
      <c r="AK294" s="1018">
        <v>0</v>
      </c>
      <c r="AL294" s="1020">
        <v>0</v>
      </c>
      <c r="AM294" s="1013">
        <f t="shared" si="102"/>
        <v>1839829</v>
      </c>
      <c r="AN294" s="1045">
        <f t="shared" si="3"/>
        <v>11724432</v>
      </c>
      <c r="AO294" s="1013">
        <v>811755</v>
      </c>
      <c r="AP294" s="1013">
        <v>44100</v>
      </c>
      <c r="AQ294" s="1013">
        <v>0</v>
      </c>
      <c r="AR294" s="1013">
        <v>0</v>
      </c>
      <c r="AS294" s="1013">
        <v>0</v>
      </c>
      <c r="AT294" s="1045">
        <f t="shared" si="81"/>
        <v>10868577</v>
      </c>
      <c r="AU294" s="1004"/>
      <c r="AV294" s="870"/>
      <c r="AW294" s="782" t="s">
        <v>3885</v>
      </c>
      <c r="AX294" s="782" t="s">
        <v>3886</v>
      </c>
      <c r="AY294" s="1007" t="s">
        <v>288</v>
      </c>
      <c r="AZ294" s="1007">
        <v>622</v>
      </c>
      <c r="BA294" s="347" t="str">
        <f t="shared" si="104"/>
        <v>Bag</v>
      </c>
      <c r="BB294" s="1008"/>
      <c r="BC294" s="1009"/>
      <c r="BD294" s="1009"/>
    </row>
    <row r="295" spans="1:56" s="1010" customFormat="1" ht="36.75" customHeight="1">
      <c r="A295" s="661">
        <f>SUBTOTAL(3,B$6:B295)</f>
        <v>290</v>
      </c>
      <c r="B295" s="661" t="s">
        <v>1385</v>
      </c>
      <c r="C295" s="662" t="s">
        <v>1386</v>
      </c>
      <c r="D295" s="1011">
        <v>44323</v>
      </c>
      <c r="E295" s="1011" t="s">
        <v>217</v>
      </c>
      <c r="F295" s="787" t="s">
        <v>565</v>
      </c>
      <c r="G295" s="996" t="s">
        <v>872</v>
      </c>
      <c r="H295" s="1012">
        <v>5931000</v>
      </c>
      <c r="I295" s="1012">
        <v>1300000</v>
      </c>
      <c r="J295" s="1012">
        <v>0</v>
      </c>
      <c r="K295" s="1012">
        <v>0</v>
      </c>
      <c r="L295" s="1013">
        <f t="shared" si="0"/>
        <v>7231000</v>
      </c>
      <c r="M295" s="1014">
        <v>24</v>
      </c>
      <c r="N295" s="1013">
        <f t="shared" si="82"/>
        <v>6674769</v>
      </c>
      <c r="O295" s="1015">
        <v>2</v>
      </c>
      <c r="P295" s="1013">
        <f t="shared" si="83"/>
        <v>556231</v>
      </c>
      <c r="Q295" s="1016">
        <v>58.5</v>
      </c>
      <c r="R295" s="1013">
        <f t="shared" si="84"/>
        <v>610116</v>
      </c>
      <c r="S295" s="1013">
        <f t="shared" si="85"/>
        <v>7841116</v>
      </c>
      <c r="T295" s="1017">
        <v>0</v>
      </c>
      <c r="U295" s="785">
        <v>270000</v>
      </c>
      <c r="V295" s="785">
        <v>200000</v>
      </c>
      <c r="W295" s="1017">
        <v>500000</v>
      </c>
      <c r="X295" s="1017">
        <v>0</v>
      </c>
      <c r="Y295" s="1017">
        <v>400000</v>
      </c>
      <c r="Z295" s="1017">
        <v>166830</v>
      </c>
      <c r="AA295" s="1018"/>
      <c r="AB295" s="1013"/>
      <c r="AC295" s="1017">
        <v>0</v>
      </c>
      <c r="AD295" s="1017">
        <v>0</v>
      </c>
      <c r="AE295" s="1013">
        <v>0</v>
      </c>
      <c r="AF295" s="1019"/>
      <c r="AG295" s="1019">
        <f t="shared" si="1"/>
        <v>9377946</v>
      </c>
      <c r="AH295" s="1014">
        <v>33</v>
      </c>
      <c r="AI295" s="1014">
        <v>0</v>
      </c>
      <c r="AJ295" s="1014">
        <v>2</v>
      </c>
      <c r="AK295" s="1018">
        <v>0</v>
      </c>
      <c r="AL295" s="1020">
        <v>0</v>
      </c>
      <c r="AM295" s="1013">
        <f t="shared" si="102"/>
        <v>1866849</v>
      </c>
      <c r="AN295" s="1045">
        <f t="shared" si="3"/>
        <v>11244795</v>
      </c>
      <c r="AO295" s="1013">
        <v>759255</v>
      </c>
      <c r="AP295" s="1013">
        <v>44100</v>
      </c>
      <c r="AQ295" s="1013">
        <v>0</v>
      </c>
      <c r="AR295" s="1013">
        <v>0</v>
      </c>
      <c r="AS295" s="1013">
        <v>0</v>
      </c>
      <c r="AT295" s="1045">
        <f t="shared" si="81"/>
        <v>10441440</v>
      </c>
      <c r="AU295" s="1004"/>
      <c r="AV295" s="870"/>
      <c r="AW295" s="782" t="s">
        <v>3887</v>
      </c>
      <c r="AX295" s="782" t="s">
        <v>3888</v>
      </c>
      <c r="AY295" s="1007" t="s">
        <v>288</v>
      </c>
      <c r="AZ295" s="1007">
        <v>622</v>
      </c>
      <c r="BA295" s="347" t="str">
        <f t="shared" si="104"/>
        <v>Bag</v>
      </c>
      <c r="BB295" s="1008"/>
      <c r="BC295" s="1009"/>
      <c r="BD295" s="1009"/>
    </row>
    <row r="296" spans="1:56" s="1010" customFormat="1" ht="36.75" customHeight="1">
      <c r="A296" s="661">
        <f>SUBTOTAL(3,B$6:B296)</f>
        <v>291</v>
      </c>
      <c r="B296" s="661" t="s">
        <v>1387</v>
      </c>
      <c r="C296" s="662" t="s">
        <v>1388</v>
      </c>
      <c r="D296" s="1011">
        <v>44613</v>
      </c>
      <c r="E296" s="1011" t="s">
        <v>217</v>
      </c>
      <c r="F296" s="787" t="s">
        <v>565</v>
      </c>
      <c r="G296" s="996" t="s">
        <v>973</v>
      </c>
      <c r="H296" s="1012">
        <v>5931000</v>
      </c>
      <c r="I296" s="1012">
        <v>1500000</v>
      </c>
      <c r="J296" s="1012">
        <v>0</v>
      </c>
      <c r="K296" s="1012">
        <v>0</v>
      </c>
      <c r="L296" s="1013">
        <f t="shared" si="0"/>
        <v>7431000</v>
      </c>
      <c r="M296" s="1014">
        <v>23</v>
      </c>
      <c r="N296" s="1013">
        <f t="shared" si="82"/>
        <v>6573577</v>
      </c>
      <c r="O296" s="1015">
        <v>3</v>
      </c>
      <c r="P296" s="1013">
        <f t="shared" si="83"/>
        <v>857423</v>
      </c>
      <c r="Q296" s="1016">
        <v>32.5</v>
      </c>
      <c r="R296" s="1013">
        <f t="shared" si="84"/>
        <v>348328</v>
      </c>
      <c r="S296" s="1013">
        <f t="shared" si="85"/>
        <v>7779328</v>
      </c>
      <c r="T296" s="1017">
        <v>0</v>
      </c>
      <c r="U296" s="785">
        <v>150000</v>
      </c>
      <c r="V296" s="785">
        <v>200000</v>
      </c>
      <c r="W296" s="1017">
        <v>500000</v>
      </c>
      <c r="X296" s="1017">
        <v>0</v>
      </c>
      <c r="Y296" s="1017">
        <v>400000</v>
      </c>
      <c r="Z296" s="1017">
        <v>401881</v>
      </c>
      <c r="AA296" s="1018"/>
      <c r="AB296" s="1013"/>
      <c r="AC296" s="1017">
        <v>0</v>
      </c>
      <c r="AD296" s="1017">
        <v>0</v>
      </c>
      <c r="AE296" s="1013">
        <v>0</v>
      </c>
      <c r="AF296" s="1019"/>
      <c r="AG296" s="1019">
        <f t="shared" si="1"/>
        <v>9431209</v>
      </c>
      <c r="AH296" s="1014">
        <v>36</v>
      </c>
      <c r="AI296" s="1014">
        <v>0</v>
      </c>
      <c r="AJ296" s="1014">
        <v>2</v>
      </c>
      <c r="AK296" s="1018">
        <v>0</v>
      </c>
      <c r="AL296" s="1020">
        <v>0</v>
      </c>
      <c r="AM296" s="1013">
        <f t="shared" si="102"/>
        <v>2079251</v>
      </c>
      <c r="AN296" s="1045">
        <f t="shared" si="3"/>
        <v>11510460</v>
      </c>
      <c r="AO296" s="1013">
        <v>780255</v>
      </c>
      <c r="AP296" s="1013">
        <v>44100</v>
      </c>
      <c r="AQ296" s="1013">
        <v>0</v>
      </c>
      <c r="AR296" s="1013">
        <v>0</v>
      </c>
      <c r="AS296" s="1013">
        <v>0</v>
      </c>
      <c r="AT296" s="1045">
        <f t="shared" si="81"/>
        <v>10686105</v>
      </c>
      <c r="AU296" s="1004"/>
      <c r="AV296" s="870"/>
      <c r="AW296" s="782" t="s">
        <v>3889</v>
      </c>
      <c r="AX296" s="782" t="s">
        <v>3890</v>
      </c>
      <c r="AY296" s="1007" t="s">
        <v>288</v>
      </c>
      <c r="AZ296" s="1007">
        <v>622</v>
      </c>
      <c r="BA296" s="347" t="str">
        <f t="shared" si="104"/>
        <v>Bag</v>
      </c>
      <c r="BB296" s="1008"/>
      <c r="BC296" s="1009"/>
      <c r="BD296" s="1009"/>
    </row>
    <row r="297" spans="1:56" s="1010" customFormat="1" ht="36.75" customHeight="1">
      <c r="A297" s="661">
        <f>SUBTOTAL(3,B$6:B297)</f>
        <v>292</v>
      </c>
      <c r="B297" s="661" t="s">
        <v>1389</v>
      </c>
      <c r="C297" s="662" t="s">
        <v>1390</v>
      </c>
      <c r="D297" s="1011">
        <v>45405</v>
      </c>
      <c r="E297" s="1011" t="s">
        <v>217</v>
      </c>
      <c r="F297" s="787" t="s">
        <v>565</v>
      </c>
      <c r="G297" s="996" t="s">
        <v>894</v>
      </c>
      <c r="H297" s="1012">
        <v>5274000</v>
      </c>
      <c r="I297" s="1012">
        <v>600000</v>
      </c>
      <c r="J297" s="1012">
        <v>0</v>
      </c>
      <c r="K297" s="1012">
        <v>0</v>
      </c>
      <c r="L297" s="1013">
        <f t="shared" si="0"/>
        <v>5874000</v>
      </c>
      <c r="M297" s="1014">
        <v>24</v>
      </c>
      <c r="N297" s="1013">
        <f t="shared" si="82"/>
        <v>5422154</v>
      </c>
      <c r="O297" s="1015">
        <v>2</v>
      </c>
      <c r="P297" s="1013">
        <f t="shared" si="83"/>
        <v>451846</v>
      </c>
      <c r="Q297" s="1016">
        <v>65</v>
      </c>
      <c r="R297" s="1013">
        <f t="shared" si="84"/>
        <v>550688</v>
      </c>
      <c r="S297" s="1013">
        <f t="shared" si="85"/>
        <v>6424688</v>
      </c>
      <c r="T297" s="1017">
        <v>0</v>
      </c>
      <c r="U297" s="785">
        <v>300000</v>
      </c>
      <c r="V297" s="785">
        <v>200000</v>
      </c>
      <c r="W297" s="1017">
        <v>500000</v>
      </c>
      <c r="X297" s="1017">
        <v>0</v>
      </c>
      <c r="Y297" s="1017">
        <v>400000</v>
      </c>
      <c r="Z297" s="1017">
        <v>116143</v>
      </c>
      <c r="AA297" s="1018"/>
      <c r="AB297" s="1013"/>
      <c r="AC297" s="1017">
        <v>0</v>
      </c>
      <c r="AD297" s="1017">
        <v>0</v>
      </c>
      <c r="AE297" s="1013">
        <v>0</v>
      </c>
      <c r="AF297" s="1019"/>
      <c r="AG297" s="1019">
        <f t="shared" si="1"/>
        <v>7940831</v>
      </c>
      <c r="AH297" s="1014">
        <v>20</v>
      </c>
      <c r="AI297" s="1014">
        <v>0</v>
      </c>
      <c r="AJ297" s="1014">
        <v>0</v>
      </c>
      <c r="AK297" s="1018">
        <v>0</v>
      </c>
      <c r="AL297" s="1020">
        <v>0</v>
      </c>
      <c r="AM297" s="1013">
        <f t="shared" si="102"/>
        <v>847212</v>
      </c>
      <c r="AN297" s="1045">
        <f t="shared" si="3"/>
        <v>8788043</v>
      </c>
      <c r="AO297" s="1013">
        <v>616770</v>
      </c>
      <c r="AP297" s="1013">
        <v>44100</v>
      </c>
      <c r="AQ297" s="1013">
        <v>0</v>
      </c>
      <c r="AR297" s="1013">
        <v>0</v>
      </c>
      <c r="AS297" s="1013">
        <v>0</v>
      </c>
      <c r="AT297" s="1045">
        <f t="shared" si="81"/>
        <v>8127173</v>
      </c>
      <c r="AU297" s="1004"/>
      <c r="AV297" s="870"/>
      <c r="AW297" s="782" t="s">
        <v>3891</v>
      </c>
      <c r="AX297" s="782" t="s">
        <v>3892</v>
      </c>
      <c r="AY297" s="1007" t="s">
        <v>288</v>
      </c>
      <c r="AZ297" s="1007">
        <v>622</v>
      </c>
      <c r="BA297" s="347" t="str">
        <f t="shared" si="104"/>
        <v>Bag</v>
      </c>
      <c r="BB297" s="1008"/>
      <c r="BC297" s="1009"/>
      <c r="BD297" s="1009"/>
    </row>
    <row r="298" spans="1:56" s="1010" customFormat="1" ht="36.75" customHeight="1">
      <c r="A298" s="661">
        <f>SUBTOTAL(3,B$6:B298)</f>
        <v>293</v>
      </c>
      <c r="B298" s="661" t="s">
        <v>1391</v>
      </c>
      <c r="C298" s="662" t="s">
        <v>1392</v>
      </c>
      <c r="D298" s="1011">
        <v>45435</v>
      </c>
      <c r="E298" s="1011" t="s">
        <v>217</v>
      </c>
      <c r="F298" s="787" t="s">
        <v>565</v>
      </c>
      <c r="G298" s="996" t="s">
        <v>973</v>
      </c>
      <c r="H298" s="1012">
        <v>5274000</v>
      </c>
      <c r="I298" s="1012">
        <v>700000</v>
      </c>
      <c r="J298" s="1012">
        <v>0</v>
      </c>
      <c r="K298" s="1012">
        <v>0</v>
      </c>
      <c r="L298" s="1013">
        <f t="shared" si="0"/>
        <v>5974000</v>
      </c>
      <c r="M298" s="1014">
        <v>24</v>
      </c>
      <c r="N298" s="1013">
        <f t="shared" si="82"/>
        <v>5514462</v>
      </c>
      <c r="O298" s="1015">
        <v>2</v>
      </c>
      <c r="P298" s="1013">
        <f t="shared" si="83"/>
        <v>459538</v>
      </c>
      <c r="Q298" s="1016">
        <v>32.5</v>
      </c>
      <c r="R298" s="1013">
        <f t="shared" si="84"/>
        <v>280031</v>
      </c>
      <c r="S298" s="1013">
        <f t="shared" si="85"/>
        <v>6254031</v>
      </c>
      <c r="T298" s="1017">
        <v>0</v>
      </c>
      <c r="U298" s="785">
        <v>150000</v>
      </c>
      <c r="V298" s="785">
        <v>200000</v>
      </c>
      <c r="W298" s="1017">
        <v>500000</v>
      </c>
      <c r="X298" s="1017">
        <v>0</v>
      </c>
      <c r="Y298" s="1017">
        <v>400000</v>
      </c>
      <c r="Z298" s="1017">
        <v>295293</v>
      </c>
      <c r="AA298" s="1018"/>
      <c r="AB298" s="1013"/>
      <c r="AC298" s="1017">
        <v>0</v>
      </c>
      <c r="AD298" s="1017">
        <v>0</v>
      </c>
      <c r="AE298" s="1013">
        <v>0</v>
      </c>
      <c r="AF298" s="1019"/>
      <c r="AG298" s="1019">
        <f t="shared" si="1"/>
        <v>7799324</v>
      </c>
      <c r="AH298" s="1014">
        <v>37</v>
      </c>
      <c r="AI298" s="1014">
        <v>0</v>
      </c>
      <c r="AJ298" s="1014">
        <v>2</v>
      </c>
      <c r="AK298" s="1018">
        <v>0</v>
      </c>
      <c r="AL298" s="1020">
        <v>0</v>
      </c>
      <c r="AM298" s="1013">
        <f t="shared" si="102"/>
        <v>1714653</v>
      </c>
      <c r="AN298" s="1045">
        <f t="shared" si="3"/>
        <v>9513977</v>
      </c>
      <c r="AO298" s="1013">
        <v>627270</v>
      </c>
      <c r="AP298" s="1013">
        <v>44100</v>
      </c>
      <c r="AQ298" s="1013">
        <v>0</v>
      </c>
      <c r="AR298" s="1013">
        <v>0</v>
      </c>
      <c r="AS298" s="1013">
        <v>0</v>
      </c>
      <c r="AT298" s="1045">
        <f t="shared" si="81"/>
        <v>8842607</v>
      </c>
      <c r="AU298" s="1004"/>
      <c r="AV298" s="870"/>
      <c r="AW298" s="782" t="s">
        <v>3893</v>
      </c>
      <c r="AX298" s="782" t="s">
        <v>3894</v>
      </c>
      <c r="AY298" s="1007" t="s">
        <v>288</v>
      </c>
      <c r="AZ298" s="1007">
        <v>622</v>
      </c>
      <c r="BA298" s="347" t="str">
        <f t="shared" si="104"/>
        <v>Bag</v>
      </c>
      <c r="BB298" s="1008"/>
      <c r="BC298" s="1009"/>
      <c r="BD298" s="1009"/>
    </row>
    <row r="299" spans="1:56" s="1010" customFormat="1" ht="36.75" customHeight="1">
      <c r="A299" s="661">
        <f>SUBTOTAL(3,B$6:B299)</f>
        <v>294</v>
      </c>
      <c r="B299" s="661" t="s">
        <v>1393</v>
      </c>
      <c r="C299" s="662" t="s">
        <v>1394</v>
      </c>
      <c r="D299" s="1011">
        <v>45516</v>
      </c>
      <c r="E299" s="1011" t="s">
        <v>217</v>
      </c>
      <c r="F299" s="787" t="s">
        <v>565</v>
      </c>
      <c r="G299" s="996" t="s">
        <v>1395</v>
      </c>
      <c r="H299" s="1012">
        <v>5274000</v>
      </c>
      <c r="I299" s="1012">
        <v>400000</v>
      </c>
      <c r="J299" s="1012">
        <v>0</v>
      </c>
      <c r="K299" s="1012">
        <v>0</v>
      </c>
      <c r="L299" s="1013">
        <f t="shared" si="0"/>
        <v>5674000</v>
      </c>
      <c r="M299" s="1014">
        <v>24</v>
      </c>
      <c r="N299" s="1013">
        <f t="shared" si="82"/>
        <v>5237538</v>
      </c>
      <c r="O299" s="1015">
        <v>2</v>
      </c>
      <c r="P299" s="1013">
        <f t="shared" si="83"/>
        <v>436462</v>
      </c>
      <c r="Q299" s="1016">
        <v>32.5</v>
      </c>
      <c r="R299" s="1013">
        <f t="shared" si="84"/>
        <v>265969</v>
      </c>
      <c r="S299" s="1013">
        <f t="shared" si="85"/>
        <v>5939969</v>
      </c>
      <c r="T299" s="1017">
        <v>0</v>
      </c>
      <c r="U299" s="785">
        <v>150000</v>
      </c>
      <c r="V299" s="785">
        <v>200000</v>
      </c>
      <c r="W299" s="1017">
        <v>500000</v>
      </c>
      <c r="X299" s="1017">
        <v>0</v>
      </c>
      <c r="Y299" s="1017">
        <v>400000</v>
      </c>
      <c r="Z299" s="1017">
        <v>350375</v>
      </c>
      <c r="AA299" s="1018"/>
      <c r="AB299" s="1013"/>
      <c r="AC299" s="1017">
        <v>0</v>
      </c>
      <c r="AD299" s="1017">
        <v>0</v>
      </c>
      <c r="AE299" s="1013">
        <v>0</v>
      </c>
      <c r="AF299" s="1019"/>
      <c r="AG299" s="1019">
        <f t="shared" si="1"/>
        <v>7540344</v>
      </c>
      <c r="AH299" s="1014">
        <v>37</v>
      </c>
      <c r="AI299" s="1014">
        <v>0</v>
      </c>
      <c r="AJ299" s="1014">
        <v>0</v>
      </c>
      <c r="AK299" s="1018">
        <v>0</v>
      </c>
      <c r="AL299" s="1020">
        <v>0</v>
      </c>
      <c r="AM299" s="1013">
        <f t="shared" si="102"/>
        <v>1513976</v>
      </c>
      <c r="AN299" s="1045">
        <f t="shared" si="3"/>
        <v>9054320</v>
      </c>
      <c r="AO299" s="1013">
        <v>595770</v>
      </c>
      <c r="AP299" s="1013">
        <v>44100</v>
      </c>
      <c r="AQ299" s="1013">
        <v>0</v>
      </c>
      <c r="AR299" s="1013">
        <v>0</v>
      </c>
      <c r="AS299" s="1013">
        <v>0</v>
      </c>
      <c r="AT299" s="1045">
        <f t="shared" si="81"/>
        <v>8414450</v>
      </c>
      <c r="AU299" s="1004"/>
      <c r="AV299" s="870"/>
      <c r="AW299" s="782" t="s">
        <v>3895</v>
      </c>
      <c r="AX299" s="782" t="s">
        <v>3896</v>
      </c>
      <c r="AY299" s="1007" t="s">
        <v>288</v>
      </c>
      <c r="AZ299" s="1007">
        <v>622</v>
      </c>
      <c r="BA299" s="347" t="str">
        <f t="shared" si="104"/>
        <v>Bag</v>
      </c>
      <c r="BB299" s="1008"/>
      <c r="BC299" s="1009"/>
      <c r="BD299" s="1009"/>
    </row>
    <row r="300" spans="1:56" s="1010" customFormat="1" ht="36.75" customHeight="1">
      <c r="A300" s="661">
        <f>SUBTOTAL(3,B$6:B300)</f>
        <v>295</v>
      </c>
      <c r="B300" s="661" t="s">
        <v>1396</v>
      </c>
      <c r="C300" s="662" t="s">
        <v>1397</v>
      </c>
      <c r="D300" s="1011">
        <v>45542</v>
      </c>
      <c r="E300" s="1011" t="s">
        <v>217</v>
      </c>
      <c r="F300" s="787" t="s">
        <v>565</v>
      </c>
      <c r="G300" s="996" t="s">
        <v>1395</v>
      </c>
      <c r="H300" s="1012">
        <v>5274000</v>
      </c>
      <c r="I300" s="1012">
        <v>400000</v>
      </c>
      <c r="J300" s="1012">
        <v>0</v>
      </c>
      <c r="K300" s="1012">
        <v>0</v>
      </c>
      <c r="L300" s="1013">
        <f t="shared" si="0"/>
        <v>5674000</v>
      </c>
      <c r="M300" s="1014">
        <v>22.5</v>
      </c>
      <c r="N300" s="1013">
        <f t="shared" si="82"/>
        <v>4910192</v>
      </c>
      <c r="O300" s="1015">
        <v>3</v>
      </c>
      <c r="P300" s="1013">
        <f t="shared" si="83"/>
        <v>654692</v>
      </c>
      <c r="Q300" s="1016">
        <v>58</v>
      </c>
      <c r="R300" s="1013">
        <f t="shared" si="84"/>
        <v>474652</v>
      </c>
      <c r="S300" s="1013">
        <f t="shared" si="85"/>
        <v>6039536</v>
      </c>
      <c r="T300" s="1017">
        <v>0</v>
      </c>
      <c r="U300" s="785">
        <v>270000</v>
      </c>
      <c r="V300" s="785">
        <v>200000</v>
      </c>
      <c r="W300" s="1017">
        <v>500000</v>
      </c>
      <c r="X300" s="1017">
        <v>0</v>
      </c>
      <c r="Y300" s="1017">
        <v>400000</v>
      </c>
      <c r="Z300" s="1017">
        <v>171437</v>
      </c>
      <c r="AA300" s="1018"/>
      <c r="AB300" s="1013"/>
      <c r="AC300" s="1017">
        <v>0</v>
      </c>
      <c r="AD300" s="1017">
        <v>0</v>
      </c>
      <c r="AE300" s="1013">
        <v>0</v>
      </c>
      <c r="AF300" s="1019"/>
      <c r="AG300" s="1019">
        <f t="shared" si="1"/>
        <v>7580973</v>
      </c>
      <c r="AH300" s="1014">
        <v>29</v>
      </c>
      <c r="AI300" s="1014">
        <v>0</v>
      </c>
      <c r="AJ300" s="1014">
        <v>2</v>
      </c>
      <c r="AK300" s="1018">
        <v>0</v>
      </c>
      <c r="AL300" s="1020">
        <v>0</v>
      </c>
      <c r="AM300" s="1013">
        <f t="shared" si="102"/>
        <v>1301201</v>
      </c>
      <c r="AN300" s="1045">
        <f t="shared" si="3"/>
        <v>8882174</v>
      </c>
      <c r="AO300" s="1013">
        <v>595770</v>
      </c>
      <c r="AP300" s="1013">
        <v>44100</v>
      </c>
      <c r="AQ300" s="1013">
        <v>0</v>
      </c>
      <c r="AR300" s="1013">
        <v>0</v>
      </c>
      <c r="AS300" s="1013">
        <v>0</v>
      </c>
      <c r="AT300" s="1045">
        <f t="shared" si="81"/>
        <v>8242304</v>
      </c>
      <c r="AU300" s="1004"/>
      <c r="AV300" s="870"/>
      <c r="AW300" s="782" t="s">
        <v>3897</v>
      </c>
      <c r="AX300" s="782" t="s">
        <v>3898</v>
      </c>
      <c r="AY300" s="1007" t="s">
        <v>288</v>
      </c>
      <c r="AZ300" s="1007">
        <v>622</v>
      </c>
      <c r="BA300" s="347" t="str">
        <f t="shared" si="104"/>
        <v>Bag</v>
      </c>
      <c r="BB300" s="1008"/>
      <c r="BC300" s="1009"/>
      <c r="BD300" s="1009"/>
    </row>
    <row r="301" spans="1:56" s="1010" customFormat="1" ht="36.75" customHeight="1">
      <c r="A301" s="661">
        <f>SUBTOTAL(3,B$6:B301)</f>
        <v>296</v>
      </c>
      <c r="B301" s="661" t="s">
        <v>1398</v>
      </c>
      <c r="C301" s="662" t="s">
        <v>1399</v>
      </c>
      <c r="D301" s="1011">
        <v>45696</v>
      </c>
      <c r="E301" s="1011" t="s">
        <v>217</v>
      </c>
      <c r="F301" s="787" t="s">
        <v>565</v>
      </c>
      <c r="G301" s="996" t="s">
        <v>1395</v>
      </c>
      <c r="H301" s="1012">
        <v>5023000</v>
      </c>
      <c r="I301" s="1012">
        <v>400000</v>
      </c>
      <c r="J301" s="1012">
        <v>0</v>
      </c>
      <c r="K301" s="1012">
        <v>0</v>
      </c>
      <c r="L301" s="1013">
        <f t="shared" si="0"/>
        <v>5423000</v>
      </c>
      <c r="M301" s="1014">
        <v>23.9</v>
      </c>
      <c r="N301" s="1013">
        <f t="shared" si="82"/>
        <v>4984988</v>
      </c>
      <c r="O301" s="1015">
        <v>2</v>
      </c>
      <c r="P301" s="1013">
        <f t="shared" si="83"/>
        <v>417154</v>
      </c>
      <c r="Q301" s="1016">
        <v>39</v>
      </c>
      <c r="R301" s="1013">
        <f t="shared" si="84"/>
        <v>305044</v>
      </c>
      <c r="S301" s="1013">
        <f t="shared" si="85"/>
        <v>5707186</v>
      </c>
      <c r="T301" s="1017">
        <v>0</v>
      </c>
      <c r="U301" s="785">
        <v>180000</v>
      </c>
      <c r="V301" s="785">
        <v>200000</v>
      </c>
      <c r="W301" s="1017">
        <v>500000</v>
      </c>
      <c r="X301" s="1017">
        <v>0</v>
      </c>
      <c r="Y301" s="1017">
        <v>400000</v>
      </c>
      <c r="Z301" s="1017">
        <v>155154</v>
      </c>
      <c r="AA301" s="1018"/>
      <c r="AB301" s="1013"/>
      <c r="AC301" s="1017">
        <v>0</v>
      </c>
      <c r="AD301" s="1017">
        <v>0</v>
      </c>
      <c r="AE301" s="1013">
        <v>0</v>
      </c>
      <c r="AF301" s="1019"/>
      <c r="AG301" s="1019">
        <f t="shared" si="1"/>
        <v>7142340</v>
      </c>
      <c r="AH301" s="1014">
        <v>33</v>
      </c>
      <c r="AI301" s="1014">
        <v>0</v>
      </c>
      <c r="AJ301" s="1014">
        <v>0</v>
      </c>
      <c r="AK301" s="1018">
        <v>0</v>
      </c>
      <c r="AL301" s="1020">
        <v>0</v>
      </c>
      <c r="AM301" s="1013">
        <f t="shared" si="102"/>
        <v>1290570</v>
      </c>
      <c r="AN301" s="1045">
        <f t="shared" si="3"/>
        <v>8432910</v>
      </c>
      <c r="AO301" s="1013">
        <v>569415</v>
      </c>
      <c r="AP301" s="1013">
        <v>44100</v>
      </c>
      <c r="AQ301" s="1013">
        <v>0</v>
      </c>
      <c r="AR301" s="1013">
        <v>0</v>
      </c>
      <c r="AS301" s="1013">
        <v>0</v>
      </c>
      <c r="AT301" s="1045">
        <f t="shared" si="81"/>
        <v>7819395</v>
      </c>
      <c r="AU301" s="1004"/>
      <c r="AV301" s="870"/>
      <c r="AW301" s="782" t="s">
        <v>3899</v>
      </c>
      <c r="AX301" s="782" t="s">
        <v>3900</v>
      </c>
      <c r="AY301" s="1007" t="s">
        <v>288</v>
      </c>
      <c r="AZ301" s="1007">
        <v>622</v>
      </c>
      <c r="BA301" s="347" t="str">
        <f t="shared" si="104"/>
        <v>Bag</v>
      </c>
      <c r="BB301" s="1008"/>
      <c r="BC301" s="1009"/>
      <c r="BD301" s="1009"/>
    </row>
    <row r="302" spans="1:56" s="1010" customFormat="1" ht="36.75" customHeight="1">
      <c r="A302" s="661">
        <f>SUBTOTAL(3,B$6:B302)</f>
        <v>297</v>
      </c>
      <c r="B302" s="661" t="s">
        <v>1400</v>
      </c>
      <c r="C302" s="662" t="s">
        <v>1401</v>
      </c>
      <c r="D302" s="1011">
        <v>45701</v>
      </c>
      <c r="E302" s="1011" t="s">
        <v>217</v>
      </c>
      <c r="F302" s="787" t="s">
        <v>565</v>
      </c>
      <c r="G302" s="996" t="s">
        <v>1395</v>
      </c>
      <c r="H302" s="1012">
        <v>5023000</v>
      </c>
      <c r="I302" s="1012">
        <v>400000</v>
      </c>
      <c r="J302" s="1012">
        <v>0</v>
      </c>
      <c r="K302" s="1012">
        <v>0</v>
      </c>
      <c r="L302" s="1013">
        <f t="shared" si="0"/>
        <v>5423000</v>
      </c>
      <c r="M302" s="1014">
        <v>23.9</v>
      </c>
      <c r="N302" s="1013">
        <f t="shared" si="82"/>
        <v>4984988</v>
      </c>
      <c r="O302" s="1015">
        <v>2</v>
      </c>
      <c r="P302" s="1013">
        <f t="shared" si="83"/>
        <v>417154</v>
      </c>
      <c r="Q302" s="1016">
        <v>0</v>
      </c>
      <c r="R302" s="1013">
        <f t="shared" si="84"/>
        <v>0</v>
      </c>
      <c r="S302" s="1013">
        <f t="shared" si="85"/>
        <v>5402142</v>
      </c>
      <c r="T302" s="1017">
        <v>0</v>
      </c>
      <c r="U302" s="785">
        <v>0</v>
      </c>
      <c r="V302" s="785">
        <v>200000</v>
      </c>
      <c r="W302" s="1017">
        <v>500000</v>
      </c>
      <c r="X302" s="1017">
        <v>0</v>
      </c>
      <c r="Y302" s="1017">
        <v>400000</v>
      </c>
      <c r="Z302" s="1017">
        <v>324345</v>
      </c>
      <c r="AA302" s="1018"/>
      <c r="AB302" s="1013"/>
      <c r="AC302" s="1017">
        <v>0</v>
      </c>
      <c r="AD302" s="1017">
        <v>0</v>
      </c>
      <c r="AE302" s="1013">
        <v>0</v>
      </c>
      <c r="AF302" s="1019"/>
      <c r="AG302" s="1019">
        <f t="shared" si="1"/>
        <v>6826487</v>
      </c>
      <c r="AH302" s="1014">
        <v>53</v>
      </c>
      <c r="AI302" s="1014">
        <v>0</v>
      </c>
      <c r="AJ302" s="1014">
        <v>0</v>
      </c>
      <c r="AK302" s="1018">
        <v>0</v>
      </c>
      <c r="AL302" s="1020">
        <v>0</v>
      </c>
      <c r="AM302" s="1013">
        <f t="shared" si="102"/>
        <v>2072733</v>
      </c>
      <c r="AN302" s="1045">
        <f t="shared" si="3"/>
        <v>8899220</v>
      </c>
      <c r="AO302" s="1013">
        <v>569415</v>
      </c>
      <c r="AP302" s="1013">
        <v>44100</v>
      </c>
      <c r="AQ302" s="1013">
        <v>0</v>
      </c>
      <c r="AR302" s="1013">
        <v>0</v>
      </c>
      <c r="AS302" s="1013">
        <v>0</v>
      </c>
      <c r="AT302" s="1045">
        <f t="shared" ref="AT302:AT364" si="105">+ROUND(SUM(AN302:AN302)-SUM(AO302:AS302),0)</f>
        <v>8285705</v>
      </c>
      <c r="AU302" s="1004"/>
      <c r="AV302" s="870"/>
      <c r="AW302" s="782" t="s">
        <v>3901</v>
      </c>
      <c r="AX302" s="782" t="s">
        <v>3902</v>
      </c>
      <c r="AY302" s="1007" t="s">
        <v>288</v>
      </c>
      <c r="AZ302" s="1007">
        <v>622</v>
      </c>
      <c r="BA302" s="347" t="str">
        <f t="shared" si="104"/>
        <v>Bag</v>
      </c>
      <c r="BB302" s="1008"/>
      <c r="BC302" s="1009"/>
      <c r="BD302" s="1009"/>
    </row>
    <row r="303" spans="1:56" s="1010" customFormat="1" ht="36.75" customHeight="1">
      <c r="A303" s="661">
        <f>SUBTOTAL(3,B$6:B303)</f>
        <v>298</v>
      </c>
      <c r="B303" s="661" t="s">
        <v>1402</v>
      </c>
      <c r="C303" s="662" t="s">
        <v>1403</v>
      </c>
      <c r="D303" s="1011">
        <v>45701</v>
      </c>
      <c r="E303" s="1011" t="s">
        <v>217</v>
      </c>
      <c r="F303" s="787" t="s">
        <v>565</v>
      </c>
      <c r="G303" s="996" t="s">
        <v>1395</v>
      </c>
      <c r="H303" s="1012">
        <v>5023000</v>
      </c>
      <c r="I303" s="1012">
        <v>400000</v>
      </c>
      <c r="J303" s="1012">
        <v>0</v>
      </c>
      <c r="K303" s="1012">
        <v>0</v>
      </c>
      <c r="L303" s="1013">
        <f t="shared" si="0"/>
        <v>5423000</v>
      </c>
      <c r="M303" s="1014">
        <v>24</v>
      </c>
      <c r="N303" s="1013">
        <f t="shared" si="82"/>
        <v>5005846</v>
      </c>
      <c r="O303" s="1015">
        <v>2</v>
      </c>
      <c r="P303" s="1013">
        <f t="shared" si="83"/>
        <v>417154</v>
      </c>
      <c r="Q303" s="1016">
        <v>32.5</v>
      </c>
      <c r="R303" s="1013">
        <f t="shared" si="84"/>
        <v>254203</v>
      </c>
      <c r="S303" s="1013">
        <f t="shared" si="85"/>
        <v>5677203</v>
      </c>
      <c r="T303" s="1017">
        <v>0</v>
      </c>
      <c r="U303" s="785">
        <v>150000</v>
      </c>
      <c r="V303" s="785">
        <v>200000</v>
      </c>
      <c r="W303" s="1017">
        <v>500000</v>
      </c>
      <c r="X303" s="1017">
        <v>0</v>
      </c>
      <c r="Y303" s="1017">
        <v>400000</v>
      </c>
      <c r="Z303" s="1017">
        <v>333250</v>
      </c>
      <c r="AA303" s="1018"/>
      <c r="AB303" s="1013"/>
      <c r="AC303" s="1017">
        <v>0</v>
      </c>
      <c r="AD303" s="1017">
        <v>0</v>
      </c>
      <c r="AE303" s="1013">
        <v>0</v>
      </c>
      <c r="AF303" s="1019"/>
      <c r="AG303" s="1019">
        <f t="shared" si="1"/>
        <v>7260453</v>
      </c>
      <c r="AH303" s="1014">
        <v>41</v>
      </c>
      <c r="AI303" s="1014">
        <v>0</v>
      </c>
      <c r="AJ303" s="1014">
        <v>2</v>
      </c>
      <c r="AK303" s="1018">
        <v>0</v>
      </c>
      <c r="AL303" s="1020">
        <v>0</v>
      </c>
      <c r="AM303" s="1013">
        <f t="shared" si="102"/>
        <v>1712938</v>
      </c>
      <c r="AN303" s="1045">
        <f t="shared" si="3"/>
        <v>8973391</v>
      </c>
      <c r="AO303" s="1013">
        <v>569415</v>
      </c>
      <c r="AP303" s="1013">
        <v>44100</v>
      </c>
      <c r="AQ303" s="1013">
        <v>0</v>
      </c>
      <c r="AR303" s="1013">
        <v>0</v>
      </c>
      <c r="AS303" s="1013">
        <v>0</v>
      </c>
      <c r="AT303" s="1045">
        <f t="shared" si="105"/>
        <v>8359876</v>
      </c>
      <c r="AU303" s="1004"/>
      <c r="AV303" s="870"/>
      <c r="AW303" s="782" t="s">
        <v>3903</v>
      </c>
      <c r="AX303" s="782" t="s">
        <v>3904</v>
      </c>
      <c r="AY303" s="1007" t="s">
        <v>288</v>
      </c>
      <c r="AZ303" s="1007">
        <v>622</v>
      </c>
      <c r="BA303" s="347" t="str">
        <f t="shared" si="104"/>
        <v>Bag</v>
      </c>
      <c r="BB303" s="1008"/>
      <c r="BC303" s="1009"/>
      <c r="BD303" s="1009"/>
    </row>
    <row r="304" spans="1:56" s="1010" customFormat="1" ht="36.75" customHeight="1">
      <c r="A304" s="661">
        <f>SUBTOTAL(3,B$6:B304)</f>
        <v>299</v>
      </c>
      <c r="B304" s="661" t="s">
        <v>1404</v>
      </c>
      <c r="C304" s="662" t="s">
        <v>1405</v>
      </c>
      <c r="D304" s="1011">
        <v>41492</v>
      </c>
      <c r="E304" s="1011" t="s">
        <v>217</v>
      </c>
      <c r="F304" s="787" t="s">
        <v>565</v>
      </c>
      <c r="G304" s="996" t="s">
        <v>1406</v>
      </c>
      <c r="H304" s="1012">
        <v>5931000</v>
      </c>
      <c r="I304" s="1012">
        <v>3800000</v>
      </c>
      <c r="J304" s="1012">
        <v>0</v>
      </c>
      <c r="K304" s="1012">
        <v>1100000</v>
      </c>
      <c r="L304" s="1013">
        <f t="shared" si="0"/>
        <v>10831000</v>
      </c>
      <c r="M304" s="1014">
        <v>23.9</v>
      </c>
      <c r="N304" s="1013">
        <f t="shared" si="82"/>
        <v>9956188</v>
      </c>
      <c r="O304" s="1015">
        <v>2</v>
      </c>
      <c r="P304" s="1013">
        <f t="shared" si="83"/>
        <v>833154</v>
      </c>
      <c r="Q304" s="1016">
        <v>0</v>
      </c>
      <c r="R304" s="1013">
        <f t="shared" si="84"/>
        <v>0</v>
      </c>
      <c r="S304" s="1013">
        <f t="shared" si="85"/>
        <v>10789342</v>
      </c>
      <c r="T304" s="1017">
        <v>0</v>
      </c>
      <c r="U304" s="785">
        <v>0</v>
      </c>
      <c r="V304" s="785">
        <v>200000</v>
      </c>
      <c r="W304" s="1017">
        <v>500000</v>
      </c>
      <c r="X304" s="1017">
        <v>0</v>
      </c>
      <c r="Y304" s="1017">
        <v>400000</v>
      </c>
      <c r="Z304" s="1017">
        <v>328223</v>
      </c>
      <c r="AA304" s="1018"/>
      <c r="AB304" s="1013"/>
      <c r="AC304" s="1017">
        <v>0</v>
      </c>
      <c r="AD304" s="1017">
        <v>0</v>
      </c>
      <c r="AE304" s="1013">
        <v>0</v>
      </c>
      <c r="AF304" s="1019"/>
      <c r="AG304" s="1019">
        <f t="shared" si="1"/>
        <v>12217565</v>
      </c>
      <c r="AH304" s="1014">
        <v>53</v>
      </c>
      <c r="AI304" s="1014">
        <v>0</v>
      </c>
      <c r="AJ304" s="1014">
        <v>0</v>
      </c>
      <c r="AK304" s="1018">
        <v>0</v>
      </c>
      <c r="AL304" s="1020">
        <v>0</v>
      </c>
      <c r="AM304" s="1013">
        <f t="shared" si="102"/>
        <v>4139733</v>
      </c>
      <c r="AN304" s="1045">
        <f t="shared" si="3"/>
        <v>16357298</v>
      </c>
      <c r="AO304" s="1013">
        <v>1137255</v>
      </c>
      <c r="AP304" s="1013">
        <v>44100</v>
      </c>
      <c r="AQ304" s="1013">
        <v>0</v>
      </c>
      <c r="AR304" s="1013">
        <v>0</v>
      </c>
      <c r="AS304" s="1013">
        <v>0</v>
      </c>
      <c r="AT304" s="1045">
        <f t="shared" si="105"/>
        <v>15175943</v>
      </c>
      <c r="AU304" s="1004"/>
      <c r="AV304" s="870"/>
      <c r="AW304" s="782" t="s">
        <v>3905</v>
      </c>
      <c r="AX304" s="782" t="s">
        <v>3906</v>
      </c>
      <c r="AY304" s="1007" t="s">
        <v>288</v>
      </c>
      <c r="AZ304" s="1007">
        <v>622</v>
      </c>
      <c r="BA304" s="347" t="str">
        <f t="shared" si="104"/>
        <v>Bag</v>
      </c>
      <c r="BB304" s="1008"/>
      <c r="BC304" s="1009"/>
      <c r="BD304" s="1009"/>
    </row>
    <row r="305" spans="1:56" s="1010" customFormat="1" ht="36.75" customHeight="1">
      <c r="A305" s="661">
        <f>SUBTOTAL(3,B$6:B305)</f>
        <v>300</v>
      </c>
      <c r="B305" s="661" t="s">
        <v>1407</v>
      </c>
      <c r="C305" s="662" t="s">
        <v>1408</v>
      </c>
      <c r="D305" s="1011">
        <v>41570</v>
      </c>
      <c r="E305" s="1011" t="s">
        <v>217</v>
      </c>
      <c r="F305" s="787" t="s">
        <v>565</v>
      </c>
      <c r="G305" s="996" t="s">
        <v>973</v>
      </c>
      <c r="H305" s="1012">
        <v>5931000</v>
      </c>
      <c r="I305" s="1012">
        <v>2100000</v>
      </c>
      <c r="J305" s="1012">
        <v>0</v>
      </c>
      <c r="K305" s="1012">
        <v>0</v>
      </c>
      <c r="L305" s="1013">
        <f t="shared" si="0"/>
        <v>8031000</v>
      </c>
      <c r="M305" s="1014">
        <v>14.7</v>
      </c>
      <c r="N305" s="1013">
        <f t="shared" si="82"/>
        <v>4540604</v>
      </c>
      <c r="O305" s="1015">
        <v>3</v>
      </c>
      <c r="P305" s="1013">
        <f t="shared" si="83"/>
        <v>926654</v>
      </c>
      <c r="Q305" s="1016">
        <v>19.5</v>
      </c>
      <c r="R305" s="1013">
        <f t="shared" si="84"/>
        <v>225872</v>
      </c>
      <c r="S305" s="1013">
        <f t="shared" si="85"/>
        <v>5693130</v>
      </c>
      <c r="T305" s="1017">
        <v>0</v>
      </c>
      <c r="U305" s="785">
        <v>90000</v>
      </c>
      <c r="V305" s="785">
        <v>200000</v>
      </c>
      <c r="W305" s="1017">
        <v>0</v>
      </c>
      <c r="X305" s="1017">
        <v>0</v>
      </c>
      <c r="Y305" s="1017">
        <v>0</v>
      </c>
      <c r="Z305" s="1017">
        <v>203517</v>
      </c>
      <c r="AA305" s="1018"/>
      <c r="AB305" s="1013"/>
      <c r="AC305" s="1017">
        <v>0</v>
      </c>
      <c r="AD305" s="1017">
        <v>0</v>
      </c>
      <c r="AE305" s="1013">
        <v>0</v>
      </c>
      <c r="AF305" s="1019"/>
      <c r="AG305" s="1019">
        <f t="shared" si="1"/>
        <v>6186647</v>
      </c>
      <c r="AH305" s="1014">
        <v>17</v>
      </c>
      <c r="AI305" s="1014">
        <v>0</v>
      </c>
      <c r="AJ305" s="1014">
        <v>2</v>
      </c>
      <c r="AK305" s="1018">
        <v>0</v>
      </c>
      <c r="AL305" s="1020">
        <v>0</v>
      </c>
      <c r="AM305" s="1013">
        <f t="shared" si="102"/>
        <v>1146734</v>
      </c>
      <c r="AN305" s="1045">
        <f t="shared" si="3"/>
        <v>7333381</v>
      </c>
      <c r="AO305" s="1013">
        <v>843255</v>
      </c>
      <c r="AP305" s="1013">
        <v>44100</v>
      </c>
      <c r="AQ305" s="1013">
        <v>0</v>
      </c>
      <c r="AR305" s="1013">
        <v>0</v>
      </c>
      <c r="AS305" s="1013">
        <v>0</v>
      </c>
      <c r="AT305" s="1045">
        <f t="shared" si="105"/>
        <v>6446026</v>
      </c>
      <c r="AU305" s="1004"/>
      <c r="AV305" s="870"/>
      <c r="AW305" s="782" t="s">
        <v>3907</v>
      </c>
      <c r="AX305" s="782" t="s">
        <v>3908</v>
      </c>
      <c r="AY305" s="1007" t="s">
        <v>288</v>
      </c>
      <c r="AZ305" s="1007">
        <v>622</v>
      </c>
      <c r="BA305" s="347" t="str">
        <f t="shared" si="104"/>
        <v>Bag</v>
      </c>
      <c r="BB305" s="1008"/>
      <c r="BC305" s="1009"/>
      <c r="BD305" s="1009"/>
    </row>
    <row r="306" spans="1:56" s="1010" customFormat="1" ht="36.75" customHeight="1">
      <c r="A306" s="661">
        <f>SUBTOTAL(3,B$6:B306)</f>
        <v>301</v>
      </c>
      <c r="B306" s="661" t="s">
        <v>1409</v>
      </c>
      <c r="C306" s="662" t="s">
        <v>1410</v>
      </c>
      <c r="D306" s="1011">
        <v>43171</v>
      </c>
      <c r="E306" s="1011" t="s">
        <v>217</v>
      </c>
      <c r="F306" s="787" t="s">
        <v>565</v>
      </c>
      <c r="G306" s="996" t="s">
        <v>872</v>
      </c>
      <c r="H306" s="1012">
        <v>5931000</v>
      </c>
      <c r="I306" s="1012">
        <v>2300000</v>
      </c>
      <c r="J306" s="1012">
        <v>0</v>
      </c>
      <c r="K306" s="1012">
        <v>0</v>
      </c>
      <c r="L306" s="1013">
        <f t="shared" si="0"/>
        <v>8231000</v>
      </c>
      <c r="M306" s="1014">
        <v>23.8</v>
      </c>
      <c r="N306" s="1013">
        <f t="shared" si="82"/>
        <v>7534531</v>
      </c>
      <c r="O306" s="1015">
        <v>2</v>
      </c>
      <c r="P306" s="1013">
        <f t="shared" si="83"/>
        <v>633154</v>
      </c>
      <c r="Q306" s="1016">
        <v>65</v>
      </c>
      <c r="R306" s="1013">
        <f t="shared" si="84"/>
        <v>771656</v>
      </c>
      <c r="S306" s="1013">
        <f t="shared" si="85"/>
        <v>8939341</v>
      </c>
      <c r="T306" s="1017">
        <v>0</v>
      </c>
      <c r="U306" s="785">
        <v>300000</v>
      </c>
      <c r="V306" s="785">
        <v>200000</v>
      </c>
      <c r="W306" s="1017">
        <v>500000</v>
      </c>
      <c r="X306" s="1017">
        <v>0</v>
      </c>
      <c r="Y306" s="1017">
        <v>400000</v>
      </c>
      <c r="Z306" s="1017">
        <v>258998</v>
      </c>
      <c r="AA306" s="1018"/>
      <c r="AB306" s="1013"/>
      <c r="AC306" s="1017">
        <v>0</v>
      </c>
      <c r="AD306" s="1017">
        <v>0</v>
      </c>
      <c r="AE306" s="1013">
        <v>0</v>
      </c>
      <c r="AF306" s="1019"/>
      <c r="AG306" s="1019">
        <f t="shared" si="1"/>
        <v>10598339</v>
      </c>
      <c r="AH306" s="1014">
        <v>16</v>
      </c>
      <c r="AI306" s="1014">
        <v>0</v>
      </c>
      <c r="AJ306" s="1014">
        <v>0</v>
      </c>
      <c r="AK306" s="1018">
        <v>0</v>
      </c>
      <c r="AL306" s="1020">
        <v>0</v>
      </c>
      <c r="AM306" s="1013">
        <f t="shared" si="102"/>
        <v>949731</v>
      </c>
      <c r="AN306" s="1045">
        <f t="shared" si="3"/>
        <v>11548070</v>
      </c>
      <c r="AO306" s="1013">
        <v>864255</v>
      </c>
      <c r="AP306" s="1013">
        <v>44100</v>
      </c>
      <c r="AQ306" s="1013">
        <v>0</v>
      </c>
      <c r="AR306" s="1013">
        <v>0</v>
      </c>
      <c r="AS306" s="1013">
        <v>0</v>
      </c>
      <c r="AT306" s="1045">
        <f t="shared" si="105"/>
        <v>10639715</v>
      </c>
      <c r="AU306" s="1004"/>
      <c r="AV306" s="870"/>
      <c r="AW306" s="782" t="s">
        <v>3909</v>
      </c>
      <c r="AX306" s="782" t="s">
        <v>3910</v>
      </c>
      <c r="AY306" s="1007" t="s">
        <v>288</v>
      </c>
      <c r="AZ306" s="1007">
        <v>622</v>
      </c>
      <c r="BA306" s="347" t="str">
        <f t="shared" si="104"/>
        <v>Bag</v>
      </c>
      <c r="BB306" s="1008"/>
      <c r="BC306" s="1009"/>
      <c r="BD306" s="1009"/>
    </row>
    <row r="307" spans="1:56" s="1010" customFormat="1" ht="36.75" customHeight="1">
      <c r="A307" s="661">
        <f>SUBTOTAL(3,B$6:B307)</f>
        <v>302</v>
      </c>
      <c r="B307" s="661" t="s">
        <v>1411</v>
      </c>
      <c r="C307" s="662" t="s">
        <v>1412</v>
      </c>
      <c r="D307" s="1011">
        <v>39704</v>
      </c>
      <c r="E307" s="1011" t="s">
        <v>217</v>
      </c>
      <c r="F307" s="787" t="s">
        <v>566</v>
      </c>
      <c r="G307" s="996" t="s">
        <v>1413</v>
      </c>
      <c r="H307" s="1012">
        <v>5931000</v>
      </c>
      <c r="I307" s="1012">
        <v>1000000</v>
      </c>
      <c r="J307" s="1012">
        <v>0</v>
      </c>
      <c r="K307" s="1012">
        <v>500000</v>
      </c>
      <c r="L307" s="1013">
        <f t="shared" si="0"/>
        <v>7431000</v>
      </c>
      <c r="M307" s="1014">
        <v>24</v>
      </c>
      <c r="N307" s="1013">
        <f t="shared" si="82"/>
        <v>6859385</v>
      </c>
      <c r="O307" s="1015">
        <v>2</v>
      </c>
      <c r="P307" s="1013">
        <f t="shared" si="83"/>
        <v>571615</v>
      </c>
      <c r="Q307" s="1016">
        <v>0</v>
      </c>
      <c r="R307" s="1013">
        <f t="shared" si="84"/>
        <v>0</v>
      </c>
      <c r="S307" s="1013">
        <f t="shared" si="85"/>
        <v>7431000</v>
      </c>
      <c r="T307" s="1017">
        <v>0</v>
      </c>
      <c r="U307" s="785">
        <v>0</v>
      </c>
      <c r="V307" s="785">
        <v>200000</v>
      </c>
      <c r="W307" s="1017">
        <v>500000</v>
      </c>
      <c r="X307" s="1017">
        <v>0</v>
      </c>
      <c r="Y307" s="1017">
        <v>400000</v>
      </c>
      <c r="Z307" s="1017">
        <v>623978</v>
      </c>
      <c r="AA307" s="1018"/>
      <c r="AB307" s="1013"/>
      <c r="AC307" s="1017">
        <v>0</v>
      </c>
      <c r="AD307" s="1017">
        <v>0</v>
      </c>
      <c r="AE307" s="1013">
        <v>53588.9453125</v>
      </c>
      <c r="AF307" s="1019"/>
      <c r="AG307" s="1019">
        <f t="shared" si="1"/>
        <v>9208567</v>
      </c>
      <c r="AH307" s="1014">
        <v>52</v>
      </c>
      <c r="AI307" s="1014">
        <v>0</v>
      </c>
      <c r="AJ307" s="1014">
        <v>0</v>
      </c>
      <c r="AK307" s="1018">
        <v>0</v>
      </c>
      <c r="AL307" s="1020">
        <v>0</v>
      </c>
      <c r="AM307" s="1013">
        <f t="shared" si="102"/>
        <v>2786625</v>
      </c>
      <c r="AN307" s="1045">
        <f t="shared" si="3"/>
        <v>11995192</v>
      </c>
      <c r="AO307" s="1013">
        <v>780255</v>
      </c>
      <c r="AP307" s="1013">
        <v>44100</v>
      </c>
      <c r="AQ307" s="1013">
        <v>0</v>
      </c>
      <c r="AR307" s="1013">
        <v>0</v>
      </c>
      <c r="AS307" s="1013">
        <v>0</v>
      </c>
      <c r="AT307" s="1045">
        <f t="shared" si="105"/>
        <v>11170837</v>
      </c>
      <c r="AU307" s="1004"/>
      <c r="AV307" s="870"/>
      <c r="AW307" s="782" t="s">
        <v>3911</v>
      </c>
      <c r="AX307" s="782" t="s">
        <v>3912</v>
      </c>
      <c r="AY307" s="1007" t="s">
        <v>287</v>
      </c>
      <c r="AZ307" s="1007">
        <v>622</v>
      </c>
      <c r="BA307" s="347" t="str">
        <f t="shared" si="104"/>
        <v>Box</v>
      </c>
      <c r="BB307" s="1008"/>
      <c r="BC307" s="1009"/>
      <c r="BD307" s="1009"/>
    </row>
    <row r="308" spans="1:56" s="1010" customFormat="1" ht="36.75" customHeight="1">
      <c r="A308" s="661">
        <f>SUBTOTAL(3,B$6:B308)</f>
        <v>303</v>
      </c>
      <c r="B308" s="661" t="s">
        <v>1414</v>
      </c>
      <c r="C308" s="662" t="s">
        <v>1415</v>
      </c>
      <c r="D308" s="1011">
        <v>44254</v>
      </c>
      <c r="E308" s="1011" t="s">
        <v>217</v>
      </c>
      <c r="F308" s="787" t="s">
        <v>566</v>
      </c>
      <c r="G308" s="996" t="s">
        <v>973</v>
      </c>
      <c r="H308" s="1012">
        <v>5931000</v>
      </c>
      <c r="I308" s="1012">
        <v>1800000</v>
      </c>
      <c r="J308" s="1012">
        <v>0</v>
      </c>
      <c r="K308" s="1012">
        <v>0</v>
      </c>
      <c r="L308" s="1013">
        <f t="shared" si="0"/>
        <v>7731000</v>
      </c>
      <c r="M308" s="1014">
        <v>23.7</v>
      </c>
      <c r="N308" s="1013">
        <f t="shared" si="82"/>
        <v>7047104</v>
      </c>
      <c r="O308" s="1015">
        <v>2</v>
      </c>
      <c r="P308" s="1013">
        <f t="shared" si="83"/>
        <v>594692</v>
      </c>
      <c r="Q308" s="1016">
        <v>0</v>
      </c>
      <c r="R308" s="1013">
        <f t="shared" si="84"/>
        <v>0</v>
      </c>
      <c r="S308" s="1013">
        <f t="shared" si="85"/>
        <v>7641796</v>
      </c>
      <c r="T308" s="1017">
        <v>0</v>
      </c>
      <c r="U308" s="785">
        <v>0</v>
      </c>
      <c r="V308" s="785">
        <v>200000</v>
      </c>
      <c r="W308" s="1017">
        <v>500000</v>
      </c>
      <c r="X308" s="1017">
        <v>0</v>
      </c>
      <c r="Y308" s="1017">
        <v>400000</v>
      </c>
      <c r="Z308" s="1017">
        <v>440088</v>
      </c>
      <c r="AA308" s="1018"/>
      <c r="AB308" s="1013"/>
      <c r="AC308" s="1017">
        <v>0</v>
      </c>
      <c r="AD308" s="1017">
        <v>0</v>
      </c>
      <c r="AE308" s="1013">
        <v>0</v>
      </c>
      <c r="AF308" s="1019"/>
      <c r="AG308" s="1019">
        <f t="shared" si="1"/>
        <v>9181884</v>
      </c>
      <c r="AH308" s="1014">
        <v>44</v>
      </c>
      <c r="AI308" s="1014">
        <v>0</v>
      </c>
      <c r="AJ308" s="1014">
        <v>0</v>
      </c>
      <c r="AK308" s="1018">
        <v>0</v>
      </c>
      <c r="AL308" s="1020">
        <v>0</v>
      </c>
      <c r="AM308" s="1013">
        <f t="shared" si="102"/>
        <v>2453106</v>
      </c>
      <c r="AN308" s="1045">
        <f t="shared" si="3"/>
        <v>11634990</v>
      </c>
      <c r="AO308" s="1013">
        <v>811755</v>
      </c>
      <c r="AP308" s="1013">
        <v>44100</v>
      </c>
      <c r="AQ308" s="1013">
        <v>0</v>
      </c>
      <c r="AR308" s="1013">
        <v>0</v>
      </c>
      <c r="AS308" s="1013">
        <v>0</v>
      </c>
      <c r="AT308" s="1045">
        <f t="shared" si="105"/>
        <v>10779135</v>
      </c>
      <c r="AU308" s="1004"/>
      <c r="AV308" s="870"/>
      <c r="AW308" s="782" t="s">
        <v>3913</v>
      </c>
      <c r="AX308" s="782" t="s">
        <v>3914</v>
      </c>
      <c r="AY308" s="1007" t="s">
        <v>287</v>
      </c>
      <c r="AZ308" s="1007">
        <v>622</v>
      </c>
      <c r="BA308" s="347" t="str">
        <f t="shared" si="104"/>
        <v>Box</v>
      </c>
      <c r="BB308" s="1008"/>
      <c r="BC308" s="1009"/>
      <c r="BD308" s="1009"/>
    </row>
    <row r="309" spans="1:56" s="1010" customFormat="1" ht="36.75" customHeight="1">
      <c r="A309" s="661">
        <f>SUBTOTAL(3,B$6:B309)</f>
        <v>304</v>
      </c>
      <c r="B309" s="661" t="s">
        <v>1416</v>
      </c>
      <c r="C309" s="662" t="s">
        <v>1417</v>
      </c>
      <c r="D309" s="1011">
        <v>45344</v>
      </c>
      <c r="E309" s="1011" t="s">
        <v>217</v>
      </c>
      <c r="F309" s="787" t="s">
        <v>566</v>
      </c>
      <c r="G309" s="996" t="s">
        <v>973</v>
      </c>
      <c r="H309" s="1012">
        <v>5538000</v>
      </c>
      <c r="I309" s="1012">
        <v>700000</v>
      </c>
      <c r="J309" s="1012">
        <v>0</v>
      </c>
      <c r="K309" s="1012">
        <v>0</v>
      </c>
      <c r="L309" s="1013">
        <f t="shared" si="0"/>
        <v>6238000</v>
      </c>
      <c r="M309" s="1014">
        <v>23</v>
      </c>
      <c r="N309" s="1013">
        <f t="shared" si="82"/>
        <v>5518231</v>
      </c>
      <c r="O309" s="1015">
        <v>3</v>
      </c>
      <c r="P309" s="1013">
        <f t="shared" si="83"/>
        <v>719769</v>
      </c>
      <c r="Q309" s="1016">
        <v>0</v>
      </c>
      <c r="R309" s="1013">
        <f t="shared" si="84"/>
        <v>0</v>
      </c>
      <c r="S309" s="1013">
        <f t="shared" si="85"/>
        <v>6238000</v>
      </c>
      <c r="T309" s="1017">
        <v>0</v>
      </c>
      <c r="U309" s="785">
        <v>0</v>
      </c>
      <c r="V309" s="785">
        <v>200000</v>
      </c>
      <c r="W309" s="1017">
        <v>500000</v>
      </c>
      <c r="X309" s="1017">
        <v>0</v>
      </c>
      <c r="Y309" s="1017">
        <v>400000</v>
      </c>
      <c r="Z309" s="1017">
        <v>427090</v>
      </c>
      <c r="AA309" s="1018"/>
      <c r="AB309" s="1013"/>
      <c r="AC309" s="1017">
        <v>0</v>
      </c>
      <c r="AD309" s="1017">
        <v>0</v>
      </c>
      <c r="AE309" s="1013">
        <v>0</v>
      </c>
      <c r="AF309" s="1019"/>
      <c r="AG309" s="1019">
        <f t="shared" si="1"/>
        <v>7765090</v>
      </c>
      <c r="AH309" s="1014">
        <v>52</v>
      </c>
      <c r="AI309" s="1014">
        <v>0</v>
      </c>
      <c r="AJ309" s="1014">
        <v>0</v>
      </c>
      <c r="AK309" s="1018">
        <v>0</v>
      </c>
      <c r="AL309" s="1020">
        <v>0</v>
      </c>
      <c r="AM309" s="1013">
        <f t="shared" si="102"/>
        <v>2339250</v>
      </c>
      <c r="AN309" s="1045">
        <f t="shared" si="3"/>
        <v>10104340</v>
      </c>
      <c r="AO309" s="1013">
        <v>654990</v>
      </c>
      <c r="AP309" s="1013">
        <v>44100</v>
      </c>
      <c r="AQ309" s="1013">
        <v>0</v>
      </c>
      <c r="AR309" s="1013">
        <v>0</v>
      </c>
      <c r="AS309" s="1013">
        <v>0</v>
      </c>
      <c r="AT309" s="1045">
        <f t="shared" si="105"/>
        <v>9405250</v>
      </c>
      <c r="AU309" s="1004"/>
      <c r="AV309" s="870"/>
      <c r="AW309" s="782" t="s">
        <v>3915</v>
      </c>
      <c r="AX309" s="782" t="s">
        <v>3916</v>
      </c>
      <c r="AY309" s="1007" t="s">
        <v>287</v>
      </c>
      <c r="AZ309" s="1007">
        <v>622</v>
      </c>
      <c r="BA309" s="347" t="str">
        <f t="shared" si="104"/>
        <v>Box</v>
      </c>
      <c r="BB309" s="1008"/>
      <c r="BC309" s="1009"/>
      <c r="BD309" s="1009"/>
    </row>
    <row r="310" spans="1:56" s="1010" customFormat="1" ht="36.75" customHeight="1">
      <c r="A310" s="661">
        <f>SUBTOTAL(3,B$6:B310)</f>
        <v>305</v>
      </c>
      <c r="B310" s="661" t="s">
        <v>1418</v>
      </c>
      <c r="C310" s="662" t="s">
        <v>1419</v>
      </c>
      <c r="D310" s="1011">
        <v>40943</v>
      </c>
      <c r="E310" s="1011" t="s">
        <v>217</v>
      </c>
      <c r="F310" s="787" t="s">
        <v>566</v>
      </c>
      <c r="G310" s="996" t="s">
        <v>1420</v>
      </c>
      <c r="H310" s="1012">
        <v>5931000</v>
      </c>
      <c r="I310" s="1012">
        <v>1500000</v>
      </c>
      <c r="J310" s="1012">
        <v>0</v>
      </c>
      <c r="K310" s="1012">
        <v>300000</v>
      </c>
      <c r="L310" s="1013">
        <f t="shared" si="0"/>
        <v>7731000</v>
      </c>
      <c r="M310" s="1014">
        <v>23.9</v>
      </c>
      <c r="N310" s="1013">
        <f t="shared" si="82"/>
        <v>7106573</v>
      </c>
      <c r="O310" s="1015">
        <v>2</v>
      </c>
      <c r="P310" s="1013">
        <f t="shared" si="83"/>
        <v>594692</v>
      </c>
      <c r="Q310" s="1016">
        <v>0</v>
      </c>
      <c r="R310" s="1013">
        <f t="shared" si="84"/>
        <v>0</v>
      </c>
      <c r="S310" s="1013">
        <f t="shared" si="85"/>
        <v>7701265</v>
      </c>
      <c r="T310" s="1017">
        <v>0</v>
      </c>
      <c r="U310" s="785">
        <v>0</v>
      </c>
      <c r="V310" s="785">
        <v>200000</v>
      </c>
      <c r="W310" s="1017">
        <v>500000</v>
      </c>
      <c r="X310" s="1017">
        <v>0</v>
      </c>
      <c r="Y310" s="1017">
        <v>400000</v>
      </c>
      <c r="Z310" s="1017">
        <v>943802</v>
      </c>
      <c r="AA310" s="1018"/>
      <c r="AB310" s="1013"/>
      <c r="AC310" s="1017">
        <v>100000</v>
      </c>
      <c r="AD310" s="1017">
        <v>0</v>
      </c>
      <c r="AE310" s="1013">
        <v>55752.403242677829</v>
      </c>
      <c r="AF310" s="1019"/>
      <c r="AG310" s="1019">
        <f t="shared" si="1"/>
        <v>9900819</v>
      </c>
      <c r="AH310" s="1014">
        <v>52</v>
      </c>
      <c r="AI310" s="1014">
        <v>0</v>
      </c>
      <c r="AJ310" s="1014">
        <v>0</v>
      </c>
      <c r="AK310" s="1018">
        <v>0</v>
      </c>
      <c r="AL310" s="1020">
        <v>0</v>
      </c>
      <c r="AM310" s="1013">
        <f t="shared" si="102"/>
        <v>2899125</v>
      </c>
      <c r="AN310" s="1045">
        <f t="shared" si="3"/>
        <v>12799944</v>
      </c>
      <c r="AO310" s="1013">
        <v>811755</v>
      </c>
      <c r="AP310" s="1013">
        <v>44100</v>
      </c>
      <c r="AQ310" s="1013">
        <v>0</v>
      </c>
      <c r="AR310" s="1013">
        <v>0</v>
      </c>
      <c r="AS310" s="1013">
        <v>0</v>
      </c>
      <c r="AT310" s="1045">
        <f t="shared" si="105"/>
        <v>11944089</v>
      </c>
      <c r="AU310" s="1004"/>
      <c r="AV310" s="870"/>
      <c r="AW310" s="782" t="s">
        <v>3917</v>
      </c>
      <c r="AX310" s="782" t="s">
        <v>3918</v>
      </c>
      <c r="AY310" s="1007" t="s">
        <v>287</v>
      </c>
      <c r="AZ310" s="1007">
        <v>622</v>
      </c>
      <c r="BA310" s="347" t="str">
        <f t="shared" si="104"/>
        <v>Box</v>
      </c>
      <c r="BB310" s="1008"/>
      <c r="BC310" s="1009"/>
      <c r="BD310" s="1009"/>
    </row>
    <row r="311" spans="1:56" s="1010" customFormat="1" ht="36.75" customHeight="1">
      <c r="A311" s="661">
        <f>SUBTOTAL(3,B$6:B311)</f>
        <v>306</v>
      </c>
      <c r="B311" s="661" t="s">
        <v>1421</v>
      </c>
      <c r="C311" s="662" t="s">
        <v>1422</v>
      </c>
      <c r="D311" s="1011">
        <v>44786</v>
      </c>
      <c r="E311" s="1011" t="s">
        <v>217</v>
      </c>
      <c r="F311" s="787" t="s">
        <v>567</v>
      </c>
      <c r="G311" s="996" t="s">
        <v>894</v>
      </c>
      <c r="H311" s="1012">
        <v>5815000</v>
      </c>
      <c r="I311" s="1012">
        <v>800000</v>
      </c>
      <c r="J311" s="1012">
        <v>0</v>
      </c>
      <c r="K311" s="1012">
        <v>0</v>
      </c>
      <c r="L311" s="1013">
        <f t="shared" si="0"/>
        <v>6615000</v>
      </c>
      <c r="M311" s="1014">
        <v>24</v>
      </c>
      <c r="N311" s="1013">
        <f t="shared" si="82"/>
        <v>6106154</v>
      </c>
      <c r="O311" s="1015">
        <v>2</v>
      </c>
      <c r="P311" s="1013">
        <f t="shared" si="83"/>
        <v>508846</v>
      </c>
      <c r="Q311" s="1016">
        <v>65</v>
      </c>
      <c r="R311" s="1013">
        <f t="shared" si="84"/>
        <v>620156</v>
      </c>
      <c r="S311" s="1013">
        <f t="shared" si="85"/>
        <v>7235156</v>
      </c>
      <c r="T311" s="1017">
        <v>0</v>
      </c>
      <c r="U311" s="785">
        <v>300000</v>
      </c>
      <c r="V311" s="785">
        <v>200000</v>
      </c>
      <c r="W311" s="1017">
        <v>500000</v>
      </c>
      <c r="X311" s="1017">
        <v>0</v>
      </c>
      <c r="Y311" s="1017">
        <v>400000</v>
      </c>
      <c r="Z311" s="1017">
        <v>158155</v>
      </c>
      <c r="AA311" s="1018"/>
      <c r="AB311" s="1013"/>
      <c r="AC311" s="1017">
        <v>0</v>
      </c>
      <c r="AD311" s="1017">
        <v>0</v>
      </c>
      <c r="AE311" s="1013">
        <v>0</v>
      </c>
      <c r="AF311" s="1019"/>
      <c r="AG311" s="1019">
        <f t="shared" si="1"/>
        <v>8793311</v>
      </c>
      <c r="AH311" s="1014">
        <v>20</v>
      </c>
      <c r="AI311" s="1014">
        <v>0</v>
      </c>
      <c r="AJ311" s="1014">
        <v>0</v>
      </c>
      <c r="AK311" s="1018">
        <v>0</v>
      </c>
      <c r="AL311" s="1020">
        <v>0</v>
      </c>
      <c r="AM311" s="1013">
        <f t="shared" si="102"/>
        <v>954087</v>
      </c>
      <c r="AN311" s="1045">
        <f t="shared" si="3"/>
        <v>9747398</v>
      </c>
      <c r="AO311" s="1013">
        <v>694575</v>
      </c>
      <c r="AP311" s="1013">
        <v>44100</v>
      </c>
      <c r="AQ311" s="1013">
        <v>0</v>
      </c>
      <c r="AR311" s="1013">
        <v>0</v>
      </c>
      <c r="AS311" s="1013">
        <v>0</v>
      </c>
      <c r="AT311" s="1045">
        <f t="shared" si="105"/>
        <v>9008723</v>
      </c>
      <c r="AU311" s="1004"/>
      <c r="AV311" s="870"/>
      <c r="AW311" s="782" t="s">
        <v>3919</v>
      </c>
      <c r="AX311" s="782" t="s">
        <v>3920</v>
      </c>
      <c r="AY311" s="1007" t="s">
        <v>288</v>
      </c>
      <c r="AZ311" s="1007">
        <v>622</v>
      </c>
      <c r="BA311" s="347" t="str">
        <f t="shared" si="104"/>
        <v>Bag</v>
      </c>
      <c r="BB311" s="1008"/>
      <c r="BC311" s="1009"/>
      <c r="BD311" s="1009"/>
    </row>
    <row r="312" spans="1:56" s="1010" customFormat="1" ht="36.75" customHeight="1">
      <c r="A312" s="661">
        <f>SUBTOTAL(3,B$6:B312)</f>
        <v>307</v>
      </c>
      <c r="B312" s="661" t="s">
        <v>1423</v>
      </c>
      <c r="C312" s="662" t="s">
        <v>1424</v>
      </c>
      <c r="D312" s="1011">
        <v>44966</v>
      </c>
      <c r="E312" s="1011" t="s">
        <v>217</v>
      </c>
      <c r="F312" s="787" t="s">
        <v>567</v>
      </c>
      <c r="G312" s="996" t="s">
        <v>894</v>
      </c>
      <c r="H312" s="1012">
        <v>5815000</v>
      </c>
      <c r="I312" s="1012">
        <v>800000</v>
      </c>
      <c r="J312" s="1012">
        <v>0</v>
      </c>
      <c r="K312" s="1012">
        <v>0</v>
      </c>
      <c r="L312" s="1013">
        <f t="shared" si="0"/>
        <v>6615000</v>
      </c>
      <c r="M312" s="1014">
        <v>23</v>
      </c>
      <c r="N312" s="1013">
        <f t="shared" si="82"/>
        <v>5851731</v>
      </c>
      <c r="O312" s="1015">
        <v>3</v>
      </c>
      <c r="P312" s="1013">
        <f t="shared" si="83"/>
        <v>763269</v>
      </c>
      <c r="Q312" s="1016">
        <v>32.5</v>
      </c>
      <c r="R312" s="1013">
        <f t="shared" si="84"/>
        <v>310078</v>
      </c>
      <c r="S312" s="1013">
        <f t="shared" si="85"/>
        <v>6925078</v>
      </c>
      <c r="T312" s="1017">
        <v>0</v>
      </c>
      <c r="U312" s="785">
        <v>150000</v>
      </c>
      <c r="V312" s="785">
        <v>200000</v>
      </c>
      <c r="W312" s="1017">
        <v>500000</v>
      </c>
      <c r="X312" s="1017">
        <v>0</v>
      </c>
      <c r="Y312" s="1017">
        <v>400000</v>
      </c>
      <c r="Z312" s="1017">
        <v>340498</v>
      </c>
      <c r="AA312" s="1018"/>
      <c r="AB312" s="1013"/>
      <c r="AC312" s="1017">
        <v>0</v>
      </c>
      <c r="AD312" s="1017">
        <v>0</v>
      </c>
      <c r="AE312" s="1013">
        <v>0</v>
      </c>
      <c r="AF312" s="1019"/>
      <c r="AG312" s="1019">
        <f t="shared" si="1"/>
        <v>8515576</v>
      </c>
      <c r="AH312" s="1014">
        <v>37</v>
      </c>
      <c r="AI312" s="1014">
        <v>0</v>
      </c>
      <c r="AJ312" s="1014">
        <v>0</v>
      </c>
      <c r="AK312" s="1018">
        <v>0</v>
      </c>
      <c r="AL312" s="1020">
        <v>0</v>
      </c>
      <c r="AM312" s="1013">
        <f t="shared" si="102"/>
        <v>1765060</v>
      </c>
      <c r="AN312" s="1045">
        <f t="shared" si="3"/>
        <v>10280636</v>
      </c>
      <c r="AO312" s="1013">
        <v>694575</v>
      </c>
      <c r="AP312" s="1013">
        <v>44100</v>
      </c>
      <c r="AQ312" s="1013">
        <v>0</v>
      </c>
      <c r="AR312" s="1013">
        <v>0</v>
      </c>
      <c r="AS312" s="1013">
        <v>0</v>
      </c>
      <c r="AT312" s="1045">
        <f t="shared" si="105"/>
        <v>9541961</v>
      </c>
      <c r="AU312" s="1004"/>
      <c r="AV312" s="870"/>
      <c r="AW312" s="782" t="s">
        <v>3921</v>
      </c>
      <c r="AX312" s="782" t="s">
        <v>3922</v>
      </c>
      <c r="AY312" s="1007" t="s">
        <v>288</v>
      </c>
      <c r="AZ312" s="1007">
        <v>622</v>
      </c>
      <c r="BA312" s="347" t="str">
        <f t="shared" si="104"/>
        <v>Bag</v>
      </c>
      <c r="BB312" s="1008"/>
      <c r="BC312" s="1009"/>
      <c r="BD312" s="1009"/>
    </row>
    <row r="313" spans="1:56" s="1010" customFormat="1" ht="36.75" customHeight="1">
      <c r="A313" s="661">
        <f>SUBTOTAL(3,B$6:B313)</f>
        <v>308</v>
      </c>
      <c r="B313" s="661" t="s">
        <v>1425</v>
      </c>
      <c r="C313" s="662" t="s">
        <v>1426</v>
      </c>
      <c r="D313" s="1011">
        <v>45352</v>
      </c>
      <c r="E313" s="1011" t="s">
        <v>217</v>
      </c>
      <c r="F313" s="787" t="s">
        <v>567</v>
      </c>
      <c r="G313" s="996" t="s">
        <v>894</v>
      </c>
      <c r="H313" s="1012">
        <v>5538000</v>
      </c>
      <c r="I313" s="1012">
        <v>600000</v>
      </c>
      <c r="J313" s="1012">
        <v>0</v>
      </c>
      <c r="K313" s="1012">
        <v>0</v>
      </c>
      <c r="L313" s="1013">
        <f t="shared" si="0"/>
        <v>6138000</v>
      </c>
      <c r="M313" s="1014">
        <v>19.600000000000001</v>
      </c>
      <c r="N313" s="1013">
        <f t="shared" si="82"/>
        <v>4627108</v>
      </c>
      <c r="O313" s="1015">
        <v>2</v>
      </c>
      <c r="P313" s="1013">
        <f t="shared" si="83"/>
        <v>472154</v>
      </c>
      <c r="Q313" s="1016">
        <v>58.5</v>
      </c>
      <c r="R313" s="1013">
        <f t="shared" si="84"/>
        <v>517894</v>
      </c>
      <c r="S313" s="1013">
        <f t="shared" si="85"/>
        <v>5617156</v>
      </c>
      <c r="T313" s="1017">
        <v>0</v>
      </c>
      <c r="U313" s="785">
        <v>270000</v>
      </c>
      <c r="V313" s="785">
        <v>200000</v>
      </c>
      <c r="W313" s="1017">
        <v>0</v>
      </c>
      <c r="X313" s="1017">
        <v>0</v>
      </c>
      <c r="Y313" s="1017">
        <v>0</v>
      </c>
      <c r="Z313" s="1017">
        <v>130784</v>
      </c>
      <c r="AA313" s="1018"/>
      <c r="AB313" s="1013"/>
      <c r="AC313" s="1017">
        <v>0</v>
      </c>
      <c r="AD313" s="1017">
        <v>0</v>
      </c>
      <c r="AE313" s="1013">
        <v>0</v>
      </c>
      <c r="AF313" s="1019"/>
      <c r="AG313" s="1019">
        <f t="shared" si="1"/>
        <v>6217940</v>
      </c>
      <c r="AH313" s="1014">
        <v>8</v>
      </c>
      <c r="AI313" s="1014">
        <v>0</v>
      </c>
      <c r="AJ313" s="1014">
        <v>0</v>
      </c>
      <c r="AK313" s="1018">
        <v>0</v>
      </c>
      <c r="AL313" s="1020">
        <v>0</v>
      </c>
      <c r="AM313" s="1013">
        <f t="shared" si="102"/>
        <v>354115</v>
      </c>
      <c r="AN313" s="1045">
        <f t="shared" si="3"/>
        <v>6572055</v>
      </c>
      <c r="AO313" s="1013">
        <v>644490</v>
      </c>
      <c r="AP313" s="1013">
        <v>44100</v>
      </c>
      <c r="AQ313" s="1013">
        <v>0</v>
      </c>
      <c r="AR313" s="1013">
        <v>0</v>
      </c>
      <c r="AS313" s="1013">
        <v>0</v>
      </c>
      <c r="AT313" s="1045">
        <f t="shared" si="105"/>
        <v>5883465</v>
      </c>
      <c r="AU313" s="1004"/>
      <c r="AV313" s="870"/>
      <c r="AW313" s="782" t="s">
        <v>3923</v>
      </c>
      <c r="AX313" s="782" t="s">
        <v>3924</v>
      </c>
      <c r="AY313" s="1007" t="s">
        <v>288</v>
      </c>
      <c r="AZ313" s="1007">
        <v>622</v>
      </c>
      <c r="BA313" s="347" t="str">
        <f t="shared" si="104"/>
        <v>Bag</v>
      </c>
      <c r="BB313" s="1008"/>
      <c r="BC313" s="1009"/>
      <c r="BD313" s="1009"/>
    </row>
    <row r="314" spans="1:56" s="1010" customFormat="1" ht="36.75" customHeight="1">
      <c r="A314" s="661">
        <f>SUBTOTAL(3,B$6:B314)</f>
        <v>309</v>
      </c>
      <c r="B314" s="661" t="s">
        <v>1427</v>
      </c>
      <c r="C314" s="662" t="s">
        <v>1428</v>
      </c>
      <c r="D314" s="1011">
        <v>45608</v>
      </c>
      <c r="E314" s="1011" t="s">
        <v>217</v>
      </c>
      <c r="F314" s="787" t="s">
        <v>567</v>
      </c>
      <c r="G314" s="996" t="s">
        <v>1395</v>
      </c>
      <c r="H314" s="1012">
        <v>5023000</v>
      </c>
      <c r="I314" s="1012">
        <v>400000</v>
      </c>
      <c r="J314" s="1012">
        <v>0</v>
      </c>
      <c r="K314" s="1012">
        <v>0</v>
      </c>
      <c r="L314" s="1013">
        <f t="shared" si="0"/>
        <v>5423000</v>
      </c>
      <c r="M314" s="1014">
        <v>22.7</v>
      </c>
      <c r="N314" s="1013">
        <f t="shared" si="82"/>
        <v>4734696</v>
      </c>
      <c r="O314" s="1015">
        <v>3</v>
      </c>
      <c r="P314" s="1013">
        <f t="shared" si="83"/>
        <v>625731</v>
      </c>
      <c r="Q314" s="1016">
        <v>58.5</v>
      </c>
      <c r="R314" s="1013">
        <f t="shared" si="84"/>
        <v>457566</v>
      </c>
      <c r="S314" s="1013">
        <f t="shared" si="85"/>
        <v>5817993</v>
      </c>
      <c r="T314" s="1017">
        <v>0</v>
      </c>
      <c r="U314" s="785">
        <v>270000</v>
      </c>
      <c r="V314" s="785">
        <v>200000</v>
      </c>
      <c r="W314" s="1017">
        <v>500000</v>
      </c>
      <c r="X314" s="1017">
        <v>0</v>
      </c>
      <c r="Y314" s="1017">
        <v>400000</v>
      </c>
      <c r="Z314" s="1017">
        <v>215675</v>
      </c>
      <c r="AA314" s="1018"/>
      <c r="AB314" s="1013"/>
      <c r="AC314" s="1017">
        <v>0</v>
      </c>
      <c r="AD314" s="1017">
        <v>0</v>
      </c>
      <c r="AE314" s="1013">
        <v>0</v>
      </c>
      <c r="AF314" s="1019"/>
      <c r="AG314" s="1019">
        <f t="shared" si="1"/>
        <v>7403668</v>
      </c>
      <c r="AH314" s="1014">
        <v>33</v>
      </c>
      <c r="AI314" s="1014">
        <v>0</v>
      </c>
      <c r="AJ314" s="1014">
        <v>2</v>
      </c>
      <c r="AK314" s="1018">
        <v>0</v>
      </c>
      <c r="AL314" s="1020">
        <v>0</v>
      </c>
      <c r="AM314" s="1013">
        <f t="shared" si="102"/>
        <v>1400073</v>
      </c>
      <c r="AN314" s="1045">
        <f t="shared" si="3"/>
        <v>8803741</v>
      </c>
      <c r="AO314" s="1013">
        <v>569415</v>
      </c>
      <c r="AP314" s="1013">
        <v>44100</v>
      </c>
      <c r="AQ314" s="1013">
        <v>0</v>
      </c>
      <c r="AR314" s="1013">
        <v>0</v>
      </c>
      <c r="AS314" s="1013">
        <v>0</v>
      </c>
      <c r="AT314" s="1045">
        <f t="shared" si="105"/>
        <v>8190226</v>
      </c>
      <c r="AU314" s="1004"/>
      <c r="AV314" s="870"/>
      <c r="AW314" s="782" t="s">
        <v>3925</v>
      </c>
      <c r="AX314" s="782" t="s">
        <v>3926</v>
      </c>
      <c r="AY314" s="1007" t="s">
        <v>288</v>
      </c>
      <c r="AZ314" s="1007">
        <v>622</v>
      </c>
      <c r="BA314" s="347" t="str">
        <f t="shared" si="104"/>
        <v>Bag</v>
      </c>
      <c r="BB314" s="1008"/>
      <c r="BC314" s="1009"/>
      <c r="BD314" s="1009"/>
    </row>
    <row r="315" spans="1:56" s="1010" customFormat="1" ht="36.75" customHeight="1">
      <c r="A315" s="661">
        <f>SUBTOTAL(3,B$6:B315)</f>
        <v>310</v>
      </c>
      <c r="B315" s="661" t="s">
        <v>1429</v>
      </c>
      <c r="C315" s="662" t="s">
        <v>1430</v>
      </c>
      <c r="D315" s="1011">
        <v>43117</v>
      </c>
      <c r="E315" s="1011" t="s">
        <v>217</v>
      </c>
      <c r="F315" s="787" t="s">
        <v>567</v>
      </c>
      <c r="G315" s="996" t="s">
        <v>872</v>
      </c>
      <c r="H315" s="1012">
        <v>5931000</v>
      </c>
      <c r="I315" s="1012">
        <v>2300000</v>
      </c>
      <c r="J315" s="1012">
        <v>0</v>
      </c>
      <c r="K315" s="1012">
        <v>0</v>
      </c>
      <c r="L315" s="1013">
        <f t="shared" si="0"/>
        <v>8231000</v>
      </c>
      <c r="M315" s="1014">
        <v>23.9</v>
      </c>
      <c r="N315" s="1013">
        <f t="shared" si="82"/>
        <v>7566188</v>
      </c>
      <c r="O315" s="1015">
        <v>2</v>
      </c>
      <c r="P315" s="1013">
        <f t="shared" si="83"/>
        <v>633154</v>
      </c>
      <c r="Q315" s="1016">
        <v>0</v>
      </c>
      <c r="R315" s="1013">
        <f t="shared" si="84"/>
        <v>0</v>
      </c>
      <c r="S315" s="1013">
        <f t="shared" si="85"/>
        <v>8199342</v>
      </c>
      <c r="T315" s="1017">
        <v>0</v>
      </c>
      <c r="U315" s="785">
        <v>0</v>
      </c>
      <c r="V315" s="785">
        <v>200000</v>
      </c>
      <c r="W315" s="1017">
        <v>500000</v>
      </c>
      <c r="X315" s="1017">
        <v>0</v>
      </c>
      <c r="Y315" s="1017">
        <v>400000</v>
      </c>
      <c r="Z315" s="1017">
        <v>328223</v>
      </c>
      <c r="AA315" s="1018"/>
      <c r="AB315" s="1013"/>
      <c r="AC315" s="1017">
        <v>0</v>
      </c>
      <c r="AD315" s="1017">
        <v>0</v>
      </c>
      <c r="AE315" s="1013">
        <v>0</v>
      </c>
      <c r="AF315" s="1019"/>
      <c r="AG315" s="1019">
        <f t="shared" si="1"/>
        <v>9627565</v>
      </c>
      <c r="AH315" s="1014">
        <v>53</v>
      </c>
      <c r="AI315" s="1014">
        <v>0</v>
      </c>
      <c r="AJ315" s="1014">
        <v>0</v>
      </c>
      <c r="AK315" s="1018">
        <v>0</v>
      </c>
      <c r="AL315" s="1020">
        <v>0</v>
      </c>
      <c r="AM315" s="1013">
        <f t="shared" si="102"/>
        <v>3145983</v>
      </c>
      <c r="AN315" s="1045">
        <f t="shared" si="3"/>
        <v>12773548</v>
      </c>
      <c r="AO315" s="1013">
        <v>864255</v>
      </c>
      <c r="AP315" s="1013">
        <v>44100</v>
      </c>
      <c r="AQ315" s="1013">
        <v>0</v>
      </c>
      <c r="AR315" s="1013">
        <v>0</v>
      </c>
      <c r="AS315" s="1013">
        <v>0</v>
      </c>
      <c r="AT315" s="1045">
        <f t="shared" si="105"/>
        <v>11865193</v>
      </c>
      <c r="AU315" s="1004"/>
      <c r="AV315" s="870"/>
      <c r="AW315" s="782" t="s">
        <v>3927</v>
      </c>
      <c r="AX315" s="782" t="s">
        <v>3928</v>
      </c>
      <c r="AY315" s="1007" t="s">
        <v>288</v>
      </c>
      <c r="AZ315" s="1007">
        <v>622</v>
      </c>
      <c r="BA315" s="347" t="str">
        <f t="shared" si="104"/>
        <v>Bag</v>
      </c>
      <c r="BB315" s="1008"/>
      <c r="BC315" s="1009"/>
      <c r="BD315" s="1009"/>
    </row>
    <row r="316" spans="1:56" s="1010" customFormat="1" ht="36.75" customHeight="1">
      <c r="A316" s="661">
        <f>SUBTOTAL(3,B$6:B316)</f>
        <v>311</v>
      </c>
      <c r="B316" s="661" t="s">
        <v>1431</v>
      </c>
      <c r="C316" s="662" t="s">
        <v>1432</v>
      </c>
      <c r="D316" s="1011">
        <v>44008</v>
      </c>
      <c r="E316" s="1011" t="s">
        <v>217</v>
      </c>
      <c r="F316" s="787" t="s">
        <v>568</v>
      </c>
      <c r="G316" s="996" t="s">
        <v>872</v>
      </c>
      <c r="H316" s="1012">
        <v>5931000</v>
      </c>
      <c r="I316" s="1012">
        <v>1300000</v>
      </c>
      <c r="J316" s="1012">
        <v>0</v>
      </c>
      <c r="K316" s="1012">
        <v>0</v>
      </c>
      <c r="L316" s="1013">
        <f t="shared" si="0"/>
        <v>7231000</v>
      </c>
      <c r="M316" s="1014">
        <v>23</v>
      </c>
      <c r="N316" s="1013">
        <f t="shared" si="82"/>
        <v>6396654</v>
      </c>
      <c r="O316" s="1015">
        <v>3</v>
      </c>
      <c r="P316" s="1013">
        <f t="shared" si="83"/>
        <v>834346</v>
      </c>
      <c r="Q316" s="1016">
        <v>58.5</v>
      </c>
      <c r="R316" s="1013">
        <f t="shared" si="84"/>
        <v>610116</v>
      </c>
      <c r="S316" s="1013">
        <f t="shared" si="85"/>
        <v>7841116</v>
      </c>
      <c r="T316" s="1017">
        <v>0</v>
      </c>
      <c r="U316" s="785">
        <v>270000</v>
      </c>
      <c r="V316" s="785">
        <v>200000</v>
      </c>
      <c r="W316" s="1017">
        <v>500000</v>
      </c>
      <c r="X316" s="1017">
        <v>0</v>
      </c>
      <c r="Y316" s="1017">
        <v>400000</v>
      </c>
      <c r="Z316" s="1017">
        <v>311752</v>
      </c>
      <c r="AA316" s="1018"/>
      <c r="AB316" s="1013"/>
      <c r="AC316" s="1017">
        <v>0</v>
      </c>
      <c r="AD316" s="1017">
        <v>0</v>
      </c>
      <c r="AE316" s="1013">
        <v>0</v>
      </c>
      <c r="AF316" s="1019"/>
      <c r="AG316" s="1019">
        <f t="shared" si="1"/>
        <v>9522868</v>
      </c>
      <c r="AH316" s="1014">
        <v>16</v>
      </c>
      <c r="AI316" s="1014">
        <v>0</v>
      </c>
      <c r="AJ316" s="1014">
        <v>6</v>
      </c>
      <c r="AK316" s="1018">
        <v>0</v>
      </c>
      <c r="AL316" s="1020">
        <v>0</v>
      </c>
      <c r="AM316" s="1013">
        <f t="shared" si="102"/>
        <v>1272378</v>
      </c>
      <c r="AN316" s="1045">
        <f t="shared" si="3"/>
        <v>10795246</v>
      </c>
      <c r="AO316" s="1013">
        <v>759255</v>
      </c>
      <c r="AP316" s="1013">
        <v>44100</v>
      </c>
      <c r="AQ316" s="1013">
        <v>0</v>
      </c>
      <c r="AR316" s="1013">
        <v>0</v>
      </c>
      <c r="AS316" s="1013">
        <v>0</v>
      </c>
      <c r="AT316" s="1045">
        <f t="shared" si="105"/>
        <v>9991891</v>
      </c>
      <c r="AU316" s="1004"/>
      <c r="AV316" s="870"/>
      <c r="AW316" s="782" t="s">
        <v>3929</v>
      </c>
      <c r="AX316" s="782" t="s">
        <v>3930</v>
      </c>
      <c r="AY316" s="1007" t="s">
        <v>287</v>
      </c>
      <c r="AZ316" s="1007">
        <v>622</v>
      </c>
      <c r="BA316" s="347" t="str">
        <f t="shared" si="104"/>
        <v>Box</v>
      </c>
      <c r="BB316" s="1008"/>
      <c r="BC316" s="1009"/>
      <c r="BD316" s="1009"/>
    </row>
    <row r="317" spans="1:56" s="1010" customFormat="1" ht="36.75" customHeight="1">
      <c r="A317" s="661">
        <f>SUBTOTAL(3,B$6:B317)</f>
        <v>312</v>
      </c>
      <c r="B317" s="661" t="s">
        <v>1433</v>
      </c>
      <c r="C317" s="662" t="s">
        <v>1434</v>
      </c>
      <c r="D317" s="1011">
        <v>44033</v>
      </c>
      <c r="E317" s="1011" t="s">
        <v>217</v>
      </c>
      <c r="F317" s="787" t="s">
        <v>568</v>
      </c>
      <c r="G317" s="996" t="s">
        <v>872</v>
      </c>
      <c r="H317" s="1012">
        <v>5931000</v>
      </c>
      <c r="I317" s="1012">
        <v>2000000</v>
      </c>
      <c r="J317" s="1012">
        <v>0</v>
      </c>
      <c r="K317" s="1012">
        <v>0</v>
      </c>
      <c r="L317" s="1013">
        <f t="shared" ref="L317:L353" si="106">SUM(H317:K317)</f>
        <v>7931000</v>
      </c>
      <c r="M317" s="1014">
        <v>21.6</v>
      </c>
      <c r="N317" s="1013">
        <f t="shared" ref="N317:N353" si="107">ROUND((H317+I317+J317+K317)/IF($M$2&gt;26,26,$M$2)*M317,0)</f>
        <v>6588831</v>
      </c>
      <c r="O317" s="1015">
        <v>3</v>
      </c>
      <c r="P317" s="1013">
        <f t="shared" ref="P317:P353" si="108">ROUND((H317+I317+J317+K317)/IF($M$2&gt;26,26,$M$2)*O317,0)</f>
        <v>915115</v>
      </c>
      <c r="Q317" s="1016">
        <v>32.5</v>
      </c>
      <c r="R317" s="1013">
        <f t="shared" ref="R317:R353" si="109">IF(M317&gt;0,ROUND(N317/IF(M317&gt;26,26,M317)/8*Q317*30%,0),0)</f>
        <v>371766</v>
      </c>
      <c r="S317" s="1013">
        <f t="shared" ref="S317:S353" si="110">N317+P317+R317</f>
        <v>7875712</v>
      </c>
      <c r="T317" s="1017">
        <v>0</v>
      </c>
      <c r="U317" s="785">
        <v>150000</v>
      </c>
      <c r="V317" s="785">
        <v>200000</v>
      </c>
      <c r="W317" s="1017">
        <v>0</v>
      </c>
      <c r="X317" s="1017">
        <v>0</v>
      </c>
      <c r="Y317" s="1017">
        <v>300000</v>
      </c>
      <c r="Z317" s="1017">
        <v>340221</v>
      </c>
      <c r="AA317" s="1018"/>
      <c r="AB317" s="1013"/>
      <c r="AC317" s="1017">
        <v>0</v>
      </c>
      <c r="AD317" s="1017">
        <v>0</v>
      </c>
      <c r="AE317" s="1013">
        <v>0</v>
      </c>
      <c r="AF317" s="1019"/>
      <c r="AG317" s="1019">
        <f t="shared" si="1"/>
        <v>8865933</v>
      </c>
      <c r="AH317" s="1014">
        <v>12</v>
      </c>
      <c r="AI317" s="1014">
        <v>0</v>
      </c>
      <c r="AJ317" s="1014">
        <v>2</v>
      </c>
      <c r="AK317" s="1018">
        <v>0</v>
      </c>
      <c r="AL317" s="1020">
        <v>0</v>
      </c>
      <c r="AM317" s="1013">
        <f t="shared" si="102"/>
        <v>846482</v>
      </c>
      <c r="AN317" s="1045">
        <f t="shared" si="3"/>
        <v>9712415</v>
      </c>
      <c r="AO317" s="1013">
        <v>832755</v>
      </c>
      <c r="AP317" s="1013">
        <v>44100</v>
      </c>
      <c r="AQ317" s="1013">
        <v>0</v>
      </c>
      <c r="AR317" s="1013">
        <v>0</v>
      </c>
      <c r="AS317" s="1013">
        <v>0</v>
      </c>
      <c r="AT317" s="1045">
        <f t="shared" si="105"/>
        <v>8835560</v>
      </c>
      <c r="AU317" s="1004"/>
      <c r="AV317" s="870"/>
      <c r="AW317" s="782" t="s">
        <v>3931</v>
      </c>
      <c r="AX317" s="782" t="s">
        <v>3932</v>
      </c>
      <c r="AY317" s="1007" t="s">
        <v>287</v>
      </c>
      <c r="AZ317" s="1007">
        <v>622</v>
      </c>
      <c r="BA317" s="347" t="str">
        <f t="shared" si="104"/>
        <v>Box</v>
      </c>
      <c r="BB317" s="1008"/>
      <c r="BC317" s="1009"/>
      <c r="BD317" s="1009"/>
    </row>
    <row r="318" spans="1:56" s="1010" customFormat="1" ht="36.75" customHeight="1">
      <c r="A318" s="661">
        <f>SUBTOTAL(3,B$6:B318)</f>
        <v>313</v>
      </c>
      <c r="B318" s="661" t="s">
        <v>1435</v>
      </c>
      <c r="C318" s="662" t="s">
        <v>1436</v>
      </c>
      <c r="D318" s="1011">
        <v>44036</v>
      </c>
      <c r="E318" s="1011" t="s">
        <v>217</v>
      </c>
      <c r="F318" s="787" t="s">
        <v>568</v>
      </c>
      <c r="G318" s="996" t="s">
        <v>872</v>
      </c>
      <c r="H318" s="1012">
        <v>5931000</v>
      </c>
      <c r="I318" s="1012">
        <v>2300000</v>
      </c>
      <c r="J318" s="1012">
        <v>0</v>
      </c>
      <c r="K318" s="1012">
        <v>0</v>
      </c>
      <c r="L318" s="1013">
        <f t="shared" si="106"/>
        <v>8231000</v>
      </c>
      <c r="M318" s="1014">
        <v>24</v>
      </c>
      <c r="N318" s="1013">
        <f t="shared" si="107"/>
        <v>7597846</v>
      </c>
      <c r="O318" s="1015">
        <v>2</v>
      </c>
      <c r="P318" s="1013">
        <f t="shared" si="108"/>
        <v>633154</v>
      </c>
      <c r="Q318" s="1016">
        <v>32.5</v>
      </c>
      <c r="R318" s="1013">
        <f t="shared" si="109"/>
        <v>385828</v>
      </c>
      <c r="S318" s="1013">
        <f t="shared" si="110"/>
        <v>8616828</v>
      </c>
      <c r="T318" s="1017">
        <v>0</v>
      </c>
      <c r="U318" s="785">
        <v>150000</v>
      </c>
      <c r="V318" s="785">
        <v>200000</v>
      </c>
      <c r="W318" s="1017">
        <v>500000</v>
      </c>
      <c r="X318" s="1017">
        <v>0</v>
      </c>
      <c r="Y318" s="1017">
        <v>400000</v>
      </c>
      <c r="Z318" s="1017">
        <v>296405</v>
      </c>
      <c r="AA318" s="1018"/>
      <c r="AB318" s="1013"/>
      <c r="AC318" s="1017">
        <v>0</v>
      </c>
      <c r="AD318" s="1017">
        <v>0</v>
      </c>
      <c r="AE318" s="1013">
        <v>0</v>
      </c>
      <c r="AF318" s="1019"/>
      <c r="AG318" s="1019">
        <f t="shared" si="1"/>
        <v>10163233</v>
      </c>
      <c r="AH318" s="1014">
        <v>28</v>
      </c>
      <c r="AI318" s="1014">
        <v>0</v>
      </c>
      <c r="AJ318" s="1014">
        <v>6</v>
      </c>
      <c r="AK318" s="1018">
        <v>0</v>
      </c>
      <c r="AL318" s="1020">
        <v>0</v>
      </c>
      <c r="AM318" s="1013">
        <f t="shared" si="102"/>
        <v>2160637</v>
      </c>
      <c r="AN318" s="1045">
        <f t="shared" si="3"/>
        <v>12323870</v>
      </c>
      <c r="AO318" s="1013">
        <v>864255</v>
      </c>
      <c r="AP318" s="1013">
        <v>44100</v>
      </c>
      <c r="AQ318" s="1013">
        <v>0</v>
      </c>
      <c r="AR318" s="1013">
        <v>0</v>
      </c>
      <c r="AS318" s="1013">
        <v>0</v>
      </c>
      <c r="AT318" s="1045">
        <f t="shared" si="105"/>
        <v>11415515</v>
      </c>
      <c r="AU318" s="1004"/>
      <c r="AV318" s="870"/>
      <c r="AW318" s="782" t="s">
        <v>3933</v>
      </c>
      <c r="AX318" s="782" t="s">
        <v>3934</v>
      </c>
      <c r="AY318" s="1007" t="s">
        <v>287</v>
      </c>
      <c r="AZ318" s="1007">
        <v>622</v>
      </c>
      <c r="BA318" s="347" t="str">
        <f t="shared" si="104"/>
        <v>Box</v>
      </c>
      <c r="BB318" s="1008"/>
      <c r="BC318" s="1009"/>
      <c r="BD318" s="1009"/>
    </row>
    <row r="319" spans="1:56" s="1010" customFormat="1" ht="36.75" customHeight="1">
      <c r="A319" s="661">
        <f>SUBTOTAL(3,B$6:B319)</f>
        <v>314</v>
      </c>
      <c r="B319" s="661" t="s">
        <v>1437</v>
      </c>
      <c r="C319" s="662" t="s">
        <v>1438</v>
      </c>
      <c r="D319" s="1011">
        <v>44049</v>
      </c>
      <c r="E319" s="1011" t="s">
        <v>217</v>
      </c>
      <c r="F319" s="787" t="s">
        <v>568</v>
      </c>
      <c r="G319" s="996" t="s">
        <v>894</v>
      </c>
      <c r="H319" s="1012">
        <v>5931000</v>
      </c>
      <c r="I319" s="1012">
        <v>800000</v>
      </c>
      <c r="J319" s="1012">
        <v>0</v>
      </c>
      <c r="K319" s="1012">
        <v>0</v>
      </c>
      <c r="L319" s="1013">
        <f t="shared" si="106"/>
        <v>6731000</v>
      </c>
      <c r="M319" s="1014">
        <v>24</v>
      </c>
      <c r="N319" s="1013">
        <f t="shared" si="107"/>
        <v>6213231</v>
      </c>
      <c r="O319" s="1015">
        <v>2</v>
      </c>
      <c r="P319" s="1013">
        <f t="shared" si="108"/>
        <v>517769</v>
      </c>
      <c r="Q319" s="1016">
        <v>32.5</v>
      </c>
      <c r="R319" s="1013">
        <f t="shared" si="109"/>
        <v>315516</v>
      </c>
      <c r="S319" s="1013">
        <f t="shared" si="110"/>
        <v>7046516</v>
      </c>
      <c r="T319" s="1017">
        <v>0</v>
      </c>
      <c r="U319" s="785">
        <v>150000</v>
      </c>
      <c r="V319" s="785">
        <v>200000</v>
      </c>
      <c r="W319" s="1017">
        <v>500000</v>
      </c>
      <c r="X319" s="1017">
        <v>0</v>
      </c>
      <c r="Y319" s="1017">
        <v>400000</v>
      </c>
      <c r="Z319" s="1017">
        <v>366561</v>
      </c>
      <c r="AA319" s="1018"/>
      <c r="AB319" s="1013"/>
      <c r="AC319" s="1017">
        <v>0</v>
      </c>
      <c r="AD319" s="1017">
        <v>0</v>
      </c>
      <c r="AE319" s="1013">
        <v>0</v>
      </c>
      <c r="AF319" s="1019"/>
      <c r="AG319" s="1019">
        <f t="shared" si="1"/>
        <v>8663077</v>
      </c>
      <c r="AH319" s="1014">
        <v>28</v>
      </c>
      <c r="AI319" s="1014">
        <v>0</v>
      </c>
      <c r="AJ319" s="1014">
        <v>6</v>
      </c>
      <c r="AK319" s="1018">
        <v>0</v>
      </c>
      <c r="AL319" s="1020">
        <v>0</v>
      </c>
      <c r="AM319" s="1013">
        <f t="shared" si="102"/>
        <v>1766888</v>
      </c>
      <c r="AN319" s="1045">
        <f t="shared" si="3"/>
        <v>10429965</v>
      </c>
      <c r="AO319" s="1013">
        <v>706755</v>
      </c>
      <c r="AP319" s="1013">
        <v>44100</v>
      </c>
      <c r="AQ319" s="1013">
        <v>0</v>
      </c>
      <c r="AR319" s="1013">
        <v>0</v>
      </c>
      <c r="AS319" s="1013">
        <v>0</v>
      </c>
      <c r="AT319" s="1045">
        <f t="shared" si="105"/>
        <v>9679110</v>
      </c>
      <c r="AU319" s="1004"/>
      <c r="AV319" s="870"/>
      <c r="AW319" s="782" t="s">
        <v>3935</v>
      </c>
      <c r="AX319" s="782" t="s">
        <v>3936</v>
      </c>
      <c r="AY319" s="1007" t="s">
        <v>287</v>
      </c>
      <c r="AZ319" s="1007">
        <v>622</v>
      </c>
      <c r="BA319" s="347" t="str">
        <f t="shared" si="104"/>
        <v>Box</v>
      </c>
      <c r="BB319" s="1008"/>
      <c r="BC319" s="1009"/>
      <c r="BD319" s="1009"/>
    </row>
    <row r="320" spans="1:56" s="1010" customFormat="1" ht="36.75" customHeight="1">
      <c r="A320" s="661">
        <f>SUBTOTAL(3,B$6:B320)</f>
        <v>315</v>
      </c>
      <c r="B320" s="661" t="s">
        <v>1439</v>
      </c>
      <c r="C320" s="662" t="s">
        <v>1440</v>
      </c>
      <c r="D320" s="1011">
        <v>44371</v>
      </c>
      <c r="E320" s="1011" t="s">
        <v>217</v>
      </c>
      <c r="F320" s="787" t="s">
        <v>568</v>
      </c>
      <c r="G320" s="996" t="s">
        <v>872</v>
      </c>
      <c r="H320" s="1012">
        <v>5931000</v>
      </c>
      <c r="I320" s="1012">
        <v>1700000</v>
      </c>
      <c r="J320" s="1012">
        <v>0</v>
      </c>
      <c r="K320" s="1012">
        <v>0</v>
      </c>
      <c r="L320" s="1013">
        <f t="shared" si="106"/>
        <v>7631000</v>
      </c>
      <c r="M320" s="1014">
        <v>22</v>
      </c>
      <c r="N320" s="1013">
        <f t="shared" si="107"/>
        <v>6457000</v>
      </c>
      <c r="O320" s="1015">
        <v>3</v>
      </c>
      <c r="P320" s="1013">
        <f t="shared" si="108"/>
        <v>880500</v>
      </c>
      <c r="Q320" s="1016">
        <v>0</v>
      </c>
      <c r="R320" s="1013">
        <f t="shared" si="109"/>
        <v>0</v>
      </c>
      <c r="S320" s="1013">
        <f t="shared" si="110"/>
        <v>7337500</v>
      </c>
      <c r="T320" s="1017">
        <v>0</v>
      </c>
      <c r="U320" s="785">
        <v>0</v>
      </c>
      <c r="V320" s="785">
        <v>200000</v>
      </c>
      <c r="W320" s="1017">
        <v>0</v>
      </c>
      <c r="X320" s="1017">
        <v>0</v>
      </c>
      <c r="Y320" s="1017">
        <v>300000</v>
      </c>
      <c r="Z320" s="1017">
        <v>310167</v>
      </c>
      <c r="AA320" s="1018"/>
      <c r="AB320" s="1013"/>
      <c r="AC320" s="1017">
        <v>0</v>
      </c>
      <c r="AD320" s="1017">
        <v>0</v>
      </c>
      <c r="AE320" s="1013">
        <v>0</v>
      </c>
      <c r="AF320" s="1019"/>
      <c r="AG320" s="1019">
        <f t="shared" si="1"/>
        <v>8147667</v>
      </c>
      <c r="AH320" s="1014">
        <v>21</v>
      </c>
      <c r="AI320" s="1014">
        <v>0</v>
      </c>
      <c r="AJ320" s="1014">
        <v>0</v>
      </c>
      <c r="AK320" s="1018">
        <v>0</v>
      </c>
      <c r="AL320" s="1020">
        <v>0</v>
      </c>
      <c r="AM320" s="1013">
        <f t="shared" si="102"/>
        <v>1155656</v>
      </c>
      <c r="AN320" s="1045">
        <f t="shared" si="3"/>
        <v>9303323</v>
      </c>
      <c r="AO320" s="1013">
        <v>801255</v>
      </c>
      <c r="AP320" s="1013">
        <v>44100</v>
      </c>
      <c r="AQ320" s="1013">
        <v>0</v>
      </c>
      <c r="AR320" s="1013">
        <v>0</v>
      </c>
      <c r="AS320" s="1013">
        <v>0</v>
      </c>
      <c r="AT320" s="1045">
        <f t="shared" si="105"/>
        <v>8457968</v>
      </c>
      <c r="AU320" s="1004"/>
      <c r="AV320" s="870"/>
      <c r="AW320" s="782" t="s">
        <v>3937</v>
      </c>
      <c r="AX320" s="782" t="s">
        <v>3938</v>
      </c>
      <c r="AY320" s="1007" t="s">
        <v>287</v>
      </c>
      <c r="AZ320" s="1007">
        <v>622</v>
      </c>
      <c r="BA320" s="347" t="str">
        <f t="shared" si="104"/>
        <v>Box</v>
      </c>
      <c r="BB320" s="1008"/>
      <c r="BC320" s="1009"/>
      <c r="BD320" s="1009"/>
    </row>
    <row r="321" spans="1:56" s="1010" customFormat="1" ht="36.75" customHeight="1">
      <c r="A321" s="661">
        <f>SUBTOTAL(3,B$6:B321)</f>
        <v>316</v>
      </c>
      <c r="B321" s="661" t="s">
        <v>1441</v>
      </c>
      <c r="C321" s="662" t="s">
        <v>1442</v>
      </c>
      <c r="D321" s="1011">
        <v>44616</v>
      </c>
      <c r="E321" s="1011" t="s">
        <v>217</v>
      </c>
      <c r="F321" s="787" t="s">
        <v>568</v>
      </c>
      <c r="G321" s="996" t="s">
        <v>872</v>
      </c>
      <c r="H321" s="1012">
        <v>5931000</v>
      </c>
      <c r="I321" s="1012">
        <v>1700000</v>
      </c>
      <c r="J321" s="1012">
        <v>0</v>
      </c>
      <c r="K321" s="1012">
        <v>0</v>
      </c>
      <c r="L321" s="1013">
        <f t="shared" si="106"/>
        <v>7631000</v>
      </c>
      <c r="M321" s="1014">
        <v>23</v>
      </c>
      <c r="N321" s="1013">
        <f t="shared" si="107"/>
        <v>6750500</v>
      </c>
      <c r="O321" s="1015">
        <v>3</v>
      </c>
      <c r="P321" s="1013">
        <f t="shared" si="108"/>
        <v>880500</v>
      </c>
      <c r="Q321" s="1016">
        <v>0</v>
      </c>
      <c r="R321" s="1013">
        <f t="shared" si="109"/>
        <v>0</v>
      </c>
      <c r="S321" s="1013">
        <f t="shared" si="110"/>
        <v>7631000</v>
      </c>
      <c r="T321" s="1017">
        <v>0</v>
      </c>
      <c r="U321" s="785">
        <v>0</v>
      </c>
      <c r="V321" s="785">
        <v>200000</v>
      </c>
      <c r="W321" s="1017">
        <v>500000</v>
      </c>
      <c r="X321" s="1017">
        <v>0</v>
      </c>
      <c r="Y321" s="1017">
        <v>400000</v>
      </c>
      <c r="Z321" s="1017">
        <v>351287</v>
      </c>
      <c r="AA321" s="1018"/>
      <c r="AB321" s="1013"/>
      <c r="AC321" s="1017">
        <v>0</v>
      </c>
      <c r="AD321" s="1017">
        <v>0</v>
      </c>
      <c r="AE321" s="1013">
        <v>0</v>
      </c>
      <c r="AF321" s="1019"/>
      <c r="AG321" s="1019">
        <f t="shared" si="1"/>
        <v>9082287</v>
      </c>
      <c r="AH321" s="1014">
        <v>56</v>
      </c>
      <c r="AI321" s="1014">
        <v>0</v>
      </c>
      <c r="AJ321" s="1014">
        <v>0</v>
      </c>
      <c r="AK321" s="1018">
        <v>0</v>
      </c>
      <c r="AL321" s="1020">
        <v>0</v>
      </c>
      <c r="AM321" s="1013">
        <f t="shared" si="102"/>
        <v>3081750</v>
      </c>
      <c r="AN321" s="1045">
        <f t="shared" si="3"/>
        <v>12164037</v>
      </c>
      <c r="AO321" s="1013">
        <v>801255</v>
      </c>
      <c r="AP321" s="1013">
        <v>44100</v>
      </c>
      <c r="AQ321" s="1013">
        <v>0</v>
      </c>
      <c r="AR321" s="1013">
        <v>0</v>
      </c>
      <c r="AS321" s="1013">
        <v>0</v>
      </c>
      <c r="AT321" s="1045">
        <f t="shared" si="105"/>
        <v>11318682</v>
      </c>
      <c r="AU321" s="1004"/>
      <c r="AV321" s="870"/>
      <c r="AW321" s="782" t="s">
        <v>3939</v>
      </c>
      <c r="AX321" s="782" t="s">
        <v>3940</v>
      </c>
      <c r="AY321" s="1007" t="s">
        <v>287</v>
      </c>
      <c r="AZ321" s="1007">
        <v>622</v>
      </c>
      <c r="BA321" s="347" t="str">
        <f t="shared" si="104"/>
        <v>Box</v>
      </c>
      <c r="BB321" s="1008"/>
      <c r="BC321" s="1009"/>
      <c r="BD321" s="1009"/>
    </row>
    <row r="322" spans="1:56" s="1010" customFormat="1" ht="36.75" customHeight="1">
      <c r="A322" s="661">
        <f>SUBTOTAL(3,B$6:B322)</f>
        <v>317</v>
      </c>
      <c r="B322" s="661" t="s">
        <v>1443</v>
      </c>
      <c r="C322" s="662" t="s">
        <v>1444</v>
      </c>
      <c r="D322" s="1011">
        <v>45503</v>
      </c>
      <c r="E322" s="1011" t="s">
        <v>217</v>
      </c>
      <c r="F322" s="787" t="s">
        <v>568</v>
      </c>
      <c r="G322" s="996" t="s">
        <v>894</v>
      </c>
      <c r="H322" s="1012">
        <v>5274000</v>
      </c>
      <c r="I322" s="1012">
        <v>600000</v>
      </c>
      <c r="J322" s="1012">
        <v>0</v>
      </c>
      <c r="K322" s="1012">
        <v>0</v>
      </c>
      <c r="L322" s="1013">
        <f t="shared" si="106"/>
        <v>5874000</v>
      </c>
      <c r="M322" s="1014">
        <v>21</v>
      </c>
      <c r="N322" s="1013">
        <f t="shared" si="107"/>
        <v>4744385</v>
      </c>
      <c r="O322" s="1015">
        <v>3</v>
      </c>
      <c r="P322" s="1013">
        <f t="shared" si="108"/>
        <v>677769</v>
      </c>
      <c r="Q322" s="1016">
        <v>39</v>
      </c>
      <c r="R322" s="1013">
        <f t="shared" si="109"/>
        <v>330413</v>
      </c>
      <c r="S322" s="1013">
        <f t="shared" si="110"/>
        <v>5752567</v>
      </c>
      <c r="T322" s="1017">
        <v>0</v>
      </c>
      <c r="U322" s="785">
        <v>180000</v>
      </c>
      <c r="V322" s="785">
        <v>200000</v>
      </c>
      <c r="W322" s="1017">
        <v>0</v>
      </c>
      <c r="X322" s="1017">
        <v>0</v>
      </c>
      <c r="Y322" s="1017">
        <v>0</v>
      </c>
      <c r="Z322" s="1017">
        <v>320741</v>
      </c>
      <c r="AA322" s="1018"/>
      <c r="AB322" s="1013"/>
      <c r="AC322" s="1017">
        <v>0</v>
      </c>
      <c r="AD322" s="1017">
        <v>0</v>
      </c>
      <c r="AE322" s="1013">
        <v>0</v>
      </c>
      <c r="AF322" s="1019"/>
      <c r="AG322" s="1019">
        <f t="shared" si="1"/>
        <v>6453308</v>
      </c>
      <c r="AH322" s="1014">
        <v>16</v>
      </c>
      <c r="AI322" s="1014">
        <v>0</v>
      </c>
      <c r="AJ322" s="1014">
        <v>0</v>
      </c>
      <c r="AK322" s="1018">
        <v>0</v>
      </c>
      <c r="AL322" s="1020">
        <v>0</v>
      </c>
      <c r="AM322" s="1013">
        <f t="shared" si="102"/>
        <v>677769</v>
      </c>
      <c r="AN322" s="1045">
        <f t="shared" si="3"/>
        <v>7131077</v>
      </c>
      <c r="AO322" s="1013">
        <v>616770</v>
      </c>
      <c r="AP322" s="1013">
        <v>44100</v>
      </c>
      <c r="AQ322" s="1013">
        <v>0</v>
      </c>
      <c r="AR322" s="1013">
        <v>0</v>
      </c>
      <c r="AS322" s="1013">
        <v>0</v>
      </c>
      <c r="AT322" s="1045">
        <f t="shared" si="105"/>
        <v>6470207</v>
      </c>
      <c r="AU322" s="1004"/>
      <c r="AV322" s="870"/>
      <c r="AW322" s="782" t="s">
        <v>3941</v>
      </c>
      <c r="AX322" s="782" t="s">
        <v>3942</v>
      </c>
      <c r="AY322" s="1007" t="s">
        <v>287</v>
      </c>
      <c r="AZ322" s="1007">
        <v>622</v>
      </c>
      <c r="BA322" s="347" t="str">
        <f t="shared" si="104"/>
        <v>Box</v>
      </c>
      <c r="BB322" s="1008"/>
      <c r="BC322" s="1009"/>
      <c r="BD322" s="1009"/>
    </row>
    <row r="323" spans="1:56" s="1010" customFormat="1" ht="36.75" customHeight="1">
      <c r="A323" s="661">
        <f>SUBTOTAL(3,B$6:B323)</f>
        <v>318</v>
      </c>
      <c r="B323" s="661" t="s">
        <v>1445</v>
      </c>
      <c r="C323" s="662" t="s">
        <v>1446</v>
      </c>
      <c r="D323" s="1011">
        <v>45696</v>
      </c>
      <c r="E323" s="1011" t="s">
        <v>217</v>
      </c>
      <c r="F323" s="787" t="s">
        <v>568</v>
      </c>
      <c r="G323" s="996" t="s">
        <v>1395</v>
      </c>
      <c r="H323" s="1012">
        <v>5023000</v>
      </c>
      <c r="I323" s="1012">
        <v>400000</v>
      </c>
      <c r="J323" s="1012">
        <v>0</v>
      </c>
      <c r="K323" s="1012">
        <v>0</v>
      </c>
      <c r="L323" s="1013">
        <f t="shared" si="106"/>
        <v>5423000</v>
      </c>
      <c r="M323" s="1014">
        <v>23</v>
      </c>
      <c r="N323" s="1013">
        <f t="shared" si="107"/>
        <v>4797269</v>
      </c>
      <c r="O323" s="1015">
        <v>3</v>
      </c>
      <c r="P323" s="1013">
        <f t="shared" si="108"/>
        <v>625731</v>
      </c>
      <c r="Q323" s="1016">
        <v>0</v>
      </c>
      <c r="R323" s="1013">
        <f t="shared" si="109"/>
        <v>0</v>
      </c>
      <c r="S323" s="1013">
        <f t="shared" si="110"/>
        <v>5423000</v>
      </c>
      <c r="T323" s="1017">
        <v>0</v>
      </c>
      <c r="U323" s="785">
        <v>0</v>
      </c>
      <c r="V323" s="785">
        <v>200000</v>
      </c>
      <c r="W323" s="1017">
        <v>500000</v>
      </c>
      <c r="X323" s="1017">
        <v>0</v>
      </c>
      <c r="Y323" s="1017">
        <v>400000</v>
      </c>
      <c r="Z323" s="1017">
        <v>351287</v>
      </c>
      <c r="AA323" s="1018"/>
      <c r="AB323" s="1013"/>
      <c r="AC323" s="1017">
        <v>0</v>
      </c>
      <c r="AD323" s="1017">
        <v>0</v>
      </c>
      <c r="AE323" s="1013">
        <v>0</v>
      </c>
      <c r="AF323" s="1019"/>
      <c r="AG323" s="1019">
        <f t="shared" si="1"/>
        <v>6874287</v>
      </c>
      <c r="AH323" s="1014">
        <v>36</v>
      </c>
      <c r="AI323" s="1014">
        <v>0</v>
      </c>
      <c r="AJ323" s="1014">
        <v>0</v>
      </c>
      <c r="AK323" s="1018">
        <v>0</v>
      </c>
      <c r="AL323" s="1020">
        <v>0</v>
      </c>
      <c r="AM323" s="1013">
        <f t="shared" si="102"/>
        <v>1407894</v>
      </c>
      <c r="AN323" s="1045">
        <f t="shared" si="3"/>
        <v>8282181</v>
      </c>
      <c r="AO323" s="1013">
        <v>569415</v>
      </c>
      <c r="AP323" s="1013">
        <v>44100</v>
      </c>
      <c r="AQ323" s="1013">
        <v>0</v>
      </c>
      <c r="AR323" s="1013">
        <v>0</v>
      </c>
      <c r="AS323" s="1013">
        <v>0</v>
      </c>
      <c r="AT323" s="1045">
        <f t="shared" si="105"/>
        <v>7668666</v>
      </c>
      <c r="AU323" s="1004"/>
      <c r="AV323" s="870"/>
      <c r="AW323" s="782" t="s">
        <v>3943</v>
      </c>
      <c r="AX323" s="782" t="s">
        <v>3944</v>
      </c>
      <c r="AY323" s="1007" t="s">
        <v>287</v>
      </c>
      <c r="AZ323" s="1007">
        <v>622</v>
      </c>
      <c r="BA323" s="347" t="str">
        <f t="shared" si="104"/>
        <v>Box</v>
      </c>
      <c r="BB323" s="1008"/>
      <c r="BC323" s="1009"/>
      <c r="BD323" s="1009"/>
    </row>
    <row r="324" spans="1:56" s="1010" customFormat="1" ht="36.75" customHeight="1">
      <c r="A324" s="661">
        <f>SUBTOTAL(3,B$6:B324)</f>
        <v>319</v>
      </c>
      <c r="B324" s="661" t="s">
        <v>1447</v>
      </c>
      <c r="C324" s="662" t="s">
        <v>1448</v>
      </c>
      <c r="D324" s="1011">
        <v>45706</v>
      </c>
      <c r="E324" s="1011" t="s">
        <v>217</v>
      </c>
      <c r="F324" s="787" t="s">
        <v>568</v>
      </c>
      <c r="G324" s="996" t="s">
        <v>1395</v>
      </c>
      <c r="H324" s="1012">
        <v>5023000</v>
      </c>
      <c r="I324" s="1012">
        <v>400000</v>
      </c>
      <c r="J324" s="1012">
        <v>0</v>
      </c>
      <c r="K324" s="1012">
        <v>0</v>
      </c>
      <c r="L324" s="1013">
        <f t="shared" si="106"/>
        <v>5423000</v>
      </c>
      <c r="M324" s="1014">
        <v>23</v>
      </c>
      <c r="N324" s="1013">
        <f t="shared" si="107"/>
        <v>4797269</v>
      </c>
      <c r="O324" s="1015">
        <v>3</v>
      </c>
      <c r="P324" s="1013">
        <f t="shared" si="108"/>
        <v>625731</v>
      </c>
      <c r="Q324" s="1016">
        <v>0</v>
      </c>
      <c r="R324" s="1013">
        <f t="shared" si="109"/>
        <v>0</v>
      </c>
      <c r="S324" s="1013">
        <f t="shared" si="110"/>
        <v>5423000</v>
      </c>
      <c r="T324" s="1017">
        <v>0</v>
      </c>
      <c r="U324" s="785">
        <v>0</v>
      </c>
      <c r="V324" s="785">
        <v>200000</v>
      </c>
      <c r="W324" s="1017">
        <v>500000</v>
      </c>
      <c r="X324" s="1017">
        <v>0</v>
      </c>
      <c r="Y324" s="1017">
        <v>400000</v>
      </c>
      <c r="Z324" s="1017">
        <v>351287</v>
      </c>
      <c r="AA324" s="1018"/>
      <c r="AB324" s="1013"/>
      <c r="AC324" s="1017">
        <v>0</v>
      </c>
      <c r="AD324" s="1017">
        <v>0</v>
      </c>
      <c r="AE324" s="1013">
        <v>0</v>
      </c>
      <c r="AF324" s="1019"/>
      <c r="AG324" s="1019">
        <f t="shared" si="1"/>
        <v>6874287</v>
      </c>
      <c r="AH324" s="1014">
        <v>37</v>
      </c>
      <c r="AI324" s="1014">
        <v>0</v>
      </c>
      <c r="AJ324" s="1014">
        <v>0</v>
      </c>
      <c r="AK324" s="1018">
        <v>0</v>
      </c>
      <c r="AL324" s="1020">
        <v>0</v>
      </c>
      <c r="AM324" s="1013">
        <f t="shared" si="102"/>
        <v>1447002</v>
      </c>
      <c r="AN324" s="1045">
        <f t="shared" si="3"/>
        <v>8321289</v>
      </c>
      <c r="AO324" s="1013">
        <v>569415</v>
      </c>
      <c r="AP324" s="1013">
        <v>44100</v>
      </c>
      <c r="AQ324" s="1013">
        <v>0</v>
      </c>
      <c r="AR324" s="1013">
        <v>0</v>
      </c>
      <c r="AS324" s="1013">
        <v>0</v>
      </c>
      <c r="AT324" s="1045">
        <f t="shared" si="105"/>
        <v>7707774</v>
      </c>
      <c r="AU324" s="1004"/>
      <c r="AV324" s="870"/>
      <c r="AW324" s="782" t="s">
        <v>3945</v>
      </c>
      <c r="AX324" s="782" t="s">
        <v>3946</v>
      </c>
      <c r="AY324" s="1007" t="s">
        <v>287</v>
      </c>
      <c r="AZ324" s="1007">
        <v>622</v>
      </c>
      <c r="BA324" s="347" t="str">
        <f t="shared" si="104"/>
        <v>Box</v>
      </c>
      <c r="BB324" s="1008"/>
      <c r="BC324" s="1009"/>
      <c r="BD324" s="1009"/>
    </row>
    <row r="325" spans="1:56" s="1010" customFormat="1" ht="36.75" customHeight="1">
      <c r="A325" s="661">
        <f>SUBTOTAL(3,B$6:B325)</f>
        <v>320</v>
      </c>
      <c r="B325" s="661" t="s">
        <v>1449</v>
      </c>
      <c r="C325" s="662" t="s">
        <v>1450</v>
      </c>
      <c r="D325" s="1011">
        <v>45715</v>
      </c>
      <c r="E325" s="1011" t="s">
        <v>217</v>
      </c>
      <c r="F325" s="787" t="s">
        <v>568</v>
      </c>
      <c r="G325" s="996" t="s">
        <v>1475</v>
      </c>
      <c r="H325" s="1012">
        <v>5023000</v>
      </c>
      <c r="I325" s="1012">
        <v>200000</v>
      </c>
      <c r="J325" s="1012">
        <v>0</v>
      </c>
      <c r="K325" s="1012">
        <v>0</v>
      </c>
      <c r="L325" s="1013">
        <f t="shared" si="106"/>
        <v>5223000</v>
      </c>
      <c r="M325" s="1014">
        <v>24</v>
      </c>
      <c r="N325" s="1013">
        <f t="shared" si="107"/>
        <v>4821231</v>
      </c>
      <c r="O325" s="1015">
        <v>2</v>
      </c>
      <c r="P325" s="1013">
        <f t="shared" si="108"/>
        <v>401769</v>
      </c>
      <c r="Q325" s="1016">
        <v>0</v>
      </c>
      <c r="R325" s="1013">
        <f t="shared" si="109"/>
        <v>0</v>
      </c>
      <c r="S325" s="1013">
        <f t="shared" si="110"/>
        <v>5223000</v>
      </c>
      <c r="T325" s="1017">
        <v>0</v>
      </c>
      <c r="U325" s="785">
        <v>0</v>
      </c>
      <c r="V325" s="785">
        <v>200000</v>
      </c>
      <c r="W325" s="1017">
        <v>500000</v>
      </c>
      <c r="X325" s="1017">
        <v>0</v>
      </c>
      <c r="Y325" s="1017">
        <v>300000</v>
      </c>
      <c r="Z325" s="1017">
        <v>190110</v>
      </c>
      <c r="AA325" s="1018"/>
      <c r="AB325" s="1013"/>
      <c r="AC325" s="1017">
        <v>0</v>
      </c>
      <c r="AD325" s="1017">
        <v>0</v>
      </c>
      <c r="AE325" s="1013">
        <v>0</v>
      </c>
      <c r="AF325" s="1019"/>
      <c r="AG325" s="1019">
        <f t="shared" si="1"/>
        <v>6413110</v>
      </c>
      <c r="AH325" s="1014">
        <v>48</v>
      </c>
      <c r="AI325" s="1014">
        <v>0</v>
      </c>
      <c r="AJ325" s="1014">
        <v>0</v>
      </c>
      <c r="AK325" s="1018">
        <v>0</v>
      </c>
      <c r="AL325" s="1020">
        <v>0</v>
      </c>
      <c r="AM325" s="1013">
        <f t="shared" si="102"/>
        <v>1807962</v>
      </c>
      <c r="AN325" s="1045">
        <f t="shared" si="3"/>
        <v>8221072</v>
      </c>
      <c r="AO325" s="1013">
        <v>548415</v>
      </c>
      <c r="AP325" s="1013">
        <v>44100</v>
      </c>
      <c r="AQ325" s="1013">
        <v>0</v>
      </c>
      <c r="AR325" s="1013">
        <v>0</v>
      </c>
      <c r="AS325" s="1013">
        <v>0</v>
      </c>
      <c r="AT325" s="1045">
        <f t="shared" si="105"/>
        <v>7628557</v>
      </c>
      <c r="AU325" s="1004"/>
      <c r="AV325" s="870"/>
      <c r="AW325" s="782" t="s">
        <v>3947</v>
      </c>
      <c r="AX325" s="782" t="s">
        <v>3948</v>
      </c>
      <c r="AY325" s="1007" t="s">
        <v>287</v>
      </c>
      <c r="AZ325" s="1007">
        <v>622</v>
      </c>
      <c r="BA325" s="347" t="str">
        <f t="shared" si="104"/>
        <v>Box</v>
      </c>
      <c r="BB325" s="1008"/>
      <c r="BC325" s="1009"/>
      <c r="BD325" s="1009"/>
    </row>
    <row r="326" spans="1:56" s="1010" customFormat="1" ht="36.75" customHeight="1">
      <c r="A326" s="661">
        <f>SUBTOTAL(3,B$6:B326)</f>
        <v>321</v>
      </c>
      <c r="B326" s="661" t="s">
        <v>1453</v>
      </c>
      <c r="C326" s="662" t="s">
        <v>1454</v>
      </c>
      <c r="D326" s="1011">
        <v>45736</v>
      </c>
      <c r="E326" s="1011" t="s">
        <v>217</v>
      </c>
      <c r="F326" s="787" t="s">
        <v>568</v>
      </c>
      <c r="G326" s="996" t="s">
        <v>554</v>
      </c>
      <c r="H326" s="1012">
        <v>4694000</v>
      </c>
      <c r="I326" s="1012">
        <v>0</v>
      </c>
      <c r="J326" s="1012">
        <v>0</v>
      </c>
      <c r="K326" s="1012">
        <v>0</v>
      </c>
      <c r="L326" s="1013">
        <f t="shared" si="106"/>
        <v>4694000</v>
      </c>
      <c r="M326" s="1014">
        <v>24</v>
      </c>
      <c r="N326" s="1013">
        <f t="shared" si="107"/>
        <v>4332923</v>
      </c>
      <c r="O326" s="1015">
        <v>2</v>
      </c>
      <c r="P326" s="1013">
        <f t="shared" si="108"/>
        <v>361077</v>
      </c>
      <c r="Q326" s="1016">
        <v>32.5</v>
      </c>
      <c r="R326" s="1013">
        <f t="shared" si="109"/>
        <v>220031</v>
      </c>
      <c r="S326" s="1013">
        <f t="shared" si="110"/>
        <v>4914031</v>
      </c>
      <c r="T326" s="1017">
        <v>0</v>
      </c>
      <c r="U326" s="785">
        <v>150000</v>
      </c>
      <c r="V326" s="785">
        <v>200000</v>
      </c>
      <c r="W326" s="1017">
        <v>500000</v>
      </c>
      <c r="X326" s="1017">
        <v>0</v>
      </c>
      <c r="Y326" s="1017">
        <v>400000</v>
      </c>
      <c r="Z326" s="1017">
        <v>366561</v>
      </c>
      <c r="AA326" s="1018"/>
      <c r="AB326" s="1013"/>
      <c r="AC326" s="1017">
        <v>0</v>
      </c>
      <c r="AD326" s="1017">
        <v>301237</v>
      </c>
      <c r="AE326" s="1013">
        <v>0</v>
      </c>
      <c r="AF326" s="1019"/>
      <c r="AG326" s="1019">
        <f t="shared" si="1"/>
        <v>6831829</v>
      </c>
      <c r="AH326" s="1014">
        <v>24</v>
      </c>
      <c r="AI326" s="1014">
        <v>0</v>
      </c>
      <c r="AJ326" s="1014">
        <v>2</v>
      </c>
      <c r="AK326" s="1018">
        <v>0</v>
      </c>
      <c r="AL326" s="1020">
        <v>0</v>
      </c>
      <c r="AM326" s="1013">
        <f t="shared" si="102"/>
        <v>907206</v>
      </c>
      <c r="AN326" s="1045">
        <f t="shared" si="3"/>
        <v>7739035</v>
      </c>
      <c r="AO326" s="1013">
        <v>0</v>
      </c>
      <c r="AP326" s="1013">
        <v>0</v>
      </c>
      <c r="AQ326" s="1013">
        <v>0</v>
      </c>
      <c r="AR326" s="1013">
        <v>0</v>
      </c>
      <c r="AS326" s="1013">
        <v>0</v>
      </c>
      <c r="AT326" s="1045">
        <f t="shared" si="105"/>
        <v>7739035</v>
      </c>
      <c r="AU326" s="1004"/>
      <c r="AV326" s="870"/>
      <c r="AW326" s="782" t="s">
        <v>3951</v>
      </c>
      <c r="AX326" s="782" t="s">
        <v>3952</v>
      </c>
      <c r="AY326" s="1007" t="s">
        <v>287</v>
      </c>
      <c r="AZ326" s="1007">
        <v>622</v>
      </c>
      <c r="BA326" s="347" t="str">
        <f t="shared" si="104"/>
        <v>Box</v>
      </c>
      <c r="BB326" s="1008"/>
      <c r="BC326" s="1009"/>
      <c r="BD326" s="1009"/>
    </row>
    <row r="327" spans="1:56" s="1010" customFormat="1" ht="36.75" customHeight="1">
      <c r="A327" s="661">
        <f>SUBTOTAL(3,B$6:B327)</f>
        <v>322</v>
      </c>
      <c r="B327" s="661" t="s">
        <v>1455</v>
      </c>
      <c r="C327" s="662" t="s">
        <v>1456</v>
      </c>
      <c r="D327" s="1011">
        <v>41563</v>
      </c>
      <c r="E327" s="1011" t="s">
        <v>217</v>
      </c>
      <c r="F327" s="787" t="s">
        <v>568</v>
      </c>
      <c r="G327" s="996" t="s">
        <v>1406</v>
      </c>
      <c r="H327" s="1012">
        <v>5931000</v>
      </c>
      <c r="I327" s="1012">
        <v>2300000</v>
      </c>
      <c r="J327" s="1012">
        <v>0</v>
      </c>
      <c r="K327" s="1012">
        <v>300000</v>
      </c>
      <c r="L327" s="1013">
        <f t="shared" si="106"/>
        <v>8531000</v>
      </c>
      <c r="M327" s="1014">
        <v>23.9</v>
      </c>
      <c r="N327" s="1013">
        <f t="shared" si="107"/>
        <v>7841958</v>
      </c>
      <c r="O327" s="1015">
        <v>2</v>
      </c>
      <c r="P327" s="1013">
        <f t="shared" si="108"/>
        <v>656231</v>
      </c>
      <c r="Q327" s="1016">
        <v>0</v>
      </c>
      <c r="R327" s="1013">
        <f t="shared" si="109"/>
        <v>0</v>
      </c>
      <c r="S327" s="1013">
        <f t="shared" si="110"/>
        <v>8498189</v>
      </c>
      <c r="T327" s="1017">
        <v>0</v>
      </c>
      <c r="U327" s="785">
        <v>0</v>
      </c>
      <c r="V327" s="785">
        <v>200000</v>
      </c>
      <c r="W327" s="1017">
        <v>500000</v>
      </c>
      <c r="X327" s="1017">
        <v>0</v>
      </c>
      <c r="Y327" s="1017">
        <v>400000</v>
      </c>
      <c r="Z327" s="1017">
        <v>365033</v>
      </c>
      <c r="AA327" s="1018"/>
      <c r="AB327" s="1013"/>
      <c r="AC327" s="1017">
        <v>0</v>
      </c>
      <c r="AD327" s="1017">
        <v>0</v>
      </c>
      <c r="AE327" s="1013">
        <v>0</v>
      </c>
      <c r="AF327" s="1019"/>
      <c r="AG327" s="1019">
        <f t="shared" si="1"/>
        <v>9963222</v>
      </c>
      <c r="AH327" s="1014">
        <v>52</v>
      </c>
      <c r="AI327" s="1014">
        <v>0</v>
      </c>
      <c r="AJ327" s="1014">
        <v>0</v>
      </c>
      <c r="AK327" s="1018">
        <v>0</v>
      </c>
      <c r="AL327" s="1020">
        <v>0</v>
      </c>
      <c r="AM327" s="1013">
        <f t="shared" ref="AM327:AM390" si="111">ROUND((N327/IF(M327&gt;26,26,M327)/8*(AH327*$AH$5+AI327*$AI$5+AJ327*$AJ$5+AK327*$AK$5+AL327*$AL$5)),0)</f>
        <v>3199125</v>
      </c>
      <c r="AN327" s="1045">
        <f t="shared" si="3"/>
        <v>13162347</v>
      </c>
      <c r="AO327" s="1013">
        <v>895755</v>
      </c>
      <c r="AP327" s="1013">
        <v>44100</v>
      </c>
      <c r="AQ327" s="1013">
        <v>0</v>
      </c>
      <c r="AR327" s="1013">
        <v>0</v>
      </c>
      <c r="AS327" s="1013">
        <v>0</v>
      </c>
      <c r="AT327" s="1045">
        <f t="shared" si="105"/>
        <v>12222492</v>
      </c>
      <c r="AU327" s="1004"/>
      <c r="AV327" s="870"/>
      <c r="AW327" s="782" t="s">
        <v>3953</v>
      </c>
      <c r="AX327" s="782" t="s">
        <v>3954</v>
      </c>
      <c r="AY327" s="1007" t="s">
        <v>287</v>
      </c>
      <c r="AZ327" s="1007">
        <v>622</v>
      </c>
      <c r="BA327" s="347" t="str">
        <f t="shared" si="104"/>
        <v>Box</v>
      </c>
      <c r="BB327" s="1008"/>
      <c r="BC327" s="1009"/>
      <c r="BD327" s="1009"/>
    </row>
    <row r="328" spans="1:56" s="1010" customFormat="1" ht="36.75" customHeight="1">
      <c r="A328" s="661">
        <f>SUBTOTAL(3,B$6:B328)</f>
        <v>323</v>
      </c>
      <c r="B328" s="661" t="s">
        <v>1457</v>
      </c>
      <c r="C328" s="662" t="s">
        <v>1458</v>
      </c>
      <c r="D328" s="1011">
        <v>43179</v>
      </c>
      <c r="E328" s="1011" t="s">
        <v>217</v>
      </c>
      <c r="F328" s="787" t="s">
        <v>568</v>
      </c>
      <c r="G328" s="996" t="s">
        <v>894</v>
      </c>
      <c r="H328" s="1012">
        <v>5931000</v>
      </c>
      <c r="I328" s="1012">
        <v>800000</v>
      </c>
      <c r="J328" s="1012">
        <v>0</v>
      </c>
      <c r="K328" s="1012">
        <v>0</v>
      </c>
      <c r="L328" s="1013">
        <f t="shared" si="106"/>
        <v>6731000</v>
      </c>
      <c r="M328" s="1014">
        <v>23.9</v>
      </c>
      <c r="N328" s="1013">
        <f t="shared" si="107"/>
        <v>6187342</v>
      </c>
      <c r="O328" s="1015">
        <v>2</v>
      </c>
      <c r="P328" s="1013">
        <f t="shared" si="108"/>
        <v>517769</v>
      </c>
      <c r="Q328" s="1016">
        <v>0</v>
      </c>
      <c r="R328" s="1013">
        <f t="shared" si="109"/>
        <v>0</v>
      </c>
      <c r="S328" s="1013">
        <f t="shared" si="110"/>
        <v>6705111</v>
      </c>
      <c r="T328" s="1017">
        <v>0</v>
      </c>
      <c r="U328" s="785">
        <v>0</v>
      </c>
      <c r="V328" s="785">
        <v>200000</v>
      </c>
      <c r="W328" s="1017">
        <v>500000</v>
      </c>
      <c r="X328" s="1017">
        <v>200000</v>
      </c>
      <c r="Y328" s="1017">
        <v>400000</v>
      </c>
      <c r="Z328" s="1017">
        <v>365727</v>
      </c>
      <c r="AA328" s="1018"/>
      <c r="AB328" s="1013"/>
      <c r="AC328" s="1017">
        <v>200000</v>
      </c>
      <c r="AD328" s="1017">
        <v>0</v>
      </c>
      <c r="AE328" s="1013">
        <v>0</v>
      </c>
      <c r="AF328" s="1019"/>
      <c r="AG328" s="1019">
        <f t="shared" si="1"/>
        <v>8570838</v>
      </c>
      <c r="AH328" s="1014">
        <v>32</v>
      </c>
      <c r="AI328" s="1014">
        <v>0</v>
      </c>
      <c r="AJ328" s="1014">
        <v>0</v>
      </c>
      <c r="AK328" s="1018">
        <v>0</v>
      </c>
      <c r="AL328" s="1020">
        <v>0</v>
      </c>
      <c r="AM328" s="1013">
        <f t="shared" si="111"/>
        <v>1553308</v>
      </c>
      <c r="AN328" s="1045">
        <f t="shared" si="3"/>
        <v>10124146</v>
      </c>
      <c r="AO328" s="1013">
        <v>706755</v>
      </c>
      <c r="AP328" s="1013">
        <v>44100</v>
      </c>
      <c r="AQ328" s="1013">
        <v>0</v>
      </c>
      <c r="AR328" s="1013">
        <v>0</v>
      </c>
      <c r="AS328" s="1013">
        <v>0</v>
      </c>
      <c r="AT328" s="1045">
        <f t="shared" si="105"/>
        <v>9373291</v>
      </c>
      <c r="AU328" s="1004"/>
      <c r="AV328" s="870"/>
      <c r="AW328" s="782" t="s">
        <v>3955</v>
      </c>
      <c r="AX328" s="782" t="s">
        <v>3956</v>
      </c>
      <c r="AY328" s="1007" t="s">
        <v>287</v>
      </c>
      <c r="AZ328" s="1007">
        <v>622</v>
      </c>
      <c r="BA328" s="347" t="str">
        <f t="shared" si="104"/>
        <v>Box</v>
      </c>
      <c r="BB328" s="1008"/>
      <c r="BC328" s="1009"/>
      <c r="BD328" s="1009"/>
    </row>
    <row r="329" spans="1:56" s="1010" customFormat="1" ht="36.75" customHeight="1">
      <c r="A329" s="661">
        <f>SUBTOTAL(3,B$6:B329)</f>
        <v>324</v>
      </c>
      <c r="B329" s="661" t="s">
        <v>1459</v>
      </c>
      <c r="C329" s="662" t="s">
        <v>1460</v>
      </c>
      <c r="D329" s="1011">
        <v>43522</v>
      </c>
      <c r="E329" s="1011" t="s">
        <v>217</v>
      </c>
      <c r="F329" s="787" t="s">
        <v>568</v>
      </c>
      <c r="G329" s="996" t="s">
        <v>872</v>
      </c>
      <c r="H329" s="1012">
        <v>5931000</v>
      </c>
      <c r="I329" s="1012">
        <v>2000000</v>
      </c>
      <c r="J329" s="1012">
        <v>0</v>
      </c>
      <c r="K329" s="1012">
        <v>0</v>
      </c>
      <c r="L329" s="1013">
        <f t="shared" si="106"/>
        <v>7931000</v>
      </c>
      <c r="M329" s="1014">
        <v>23.8</v>
      </c>
      <c r="N329" s="1013">
        <f t="shared" si="107"/>
        <v>7259915</v>
      </c>
      <c r="O329" s="1015">
        <v>2</v>
      </c>
      <c r="P329" s="1013">
        <f t="shared" si="108"/>
        <v>610077</v>
      </c>
      <c r="Q329" s="1016">
        <v>0</v>
      </c>
      <c r="R329" s="1013">
        <f t="shared" si="109"/>
        <v>0</v>
      </c>
      <c r="S329" s="1013">
        <f t="shared" si="110"/>
        <v>7869992</v>
      </c>
      <c r="T329" s="1017">
        <v>0</v>
      </c>
      <c r="U329" s="785">
        <v>0</v>
      </c>
      <c r="V329" s="785">
        <v>200000</v>
      </c>
      <c r="W329" s="1017">
        <v>500000</v>
      </c>
      <c r="X329" s="1017">
        <v>0</v>
      </c>
      <c r="Y329" s="1017">
        <v>400000</v>
      </c>
      <c r="Z329" s="1017">
        <v>364197</v>
      </c>
      <c r="AA329" s="1018"/>
      <c r="AB329" s="1013"/>
      <c r="AC329" s="1017">
        <v>0</v>
      </c>
      <c r="AD329" s="1017">
        <v>0</v>
      </c>
      <c r="AE329" s="1013">
        <v>0</v>
      </c>
      <c r="AF329" s="1019"/>
      <c r="AG329" s="1019">
        <f t="shared" si="1"/>
        <v>9334189</v>
      </c>
      <c r="AH329" s="1014">
        <v>29</v>
      </c>
      <c r="AI329" s="1014">
        <v>0</v>
      </c>
      <c r="AJ329" s="1014">
        <v>0</v>
      </c>
      <c r="AK329" s="1018">
        <v>0</v>
      </c>
      <c r="AL329" s="1020">
        <v>0</v>
      </c>
      <c r="AM329" s="1013">
        <f t="shared" si="111"/>
        <v>1658647</v>
      </c>
      <c r="AN329" s="1045">
        <f t="shared" si="3"/>
        <v>10992836</v>
      </c>
      <c r="AO329" s="1013">
        <v>832755</v>
      </c>
      <c r="AP329" s="1013">
        <v>44100</v>
      </c>
      <c r="AQ329" s="1013">
        <v>0</v>
      </c>
      <c r="AR329" s="1013">
        <v>0</v>
      </c>
      <c r="AS329" s="1013">
        <v>0</v>
      </c>
      <c r="AT329" s="1045">
        <f t="shared" si="105"/>
        <v>10115981</v>
      </c>
      <c r="AU329" s="1004"/>
      <c r="AV329" s="870"/>
      <c r="AW329" s="782" t="s">
        <v>3957</v>
      </c>
      <c r="AX329" s="782" t="s">
        <v>3958</v>
      </c>
      <c r="AY329" s="1007" t="s">
        <v>287</v>
      </c>
      <c r="AZ329" s="1007">
        <v>622</v>
      </c>
      <c r="BA329" s="347" t="str">
        <f t="shared" si="104"/>
        <v>Box</v>
      </c>
      <c r="BB329" s="1008"/>
      <c r="BC329" s="1009"/>
      <c r="BD329" s="1009"/>
    </row>
    <row r="330" spans="1:56" s="1010" customFormat="1" ht="36.75" customHeight="1">
      <c r="A330" s="661">
        <f>SUBTOTAL(3,B$6:B330)</f>
        <v>325</v>
      </c>
      <c r="B330" s="661" t="s">
        <v>1461</v>
      </c>
      <c r="C330" s="662" t="s">
        <v>1462</v>
      </c>
      <c r="D330" s="1011">
        <v>43637</v>
      </c>
      <c r="E330" s="1011" t="s">
        <v>217</v>
      </c>
      <c r="F330" s="787" t="s">
        <v>569</v>
      </c>
      <c r="G330" s="996" t="s">
        <v>973</v>
      </c>
      <c r="H330" s="1012">
        <v>5931000</v>
      </c>
      <c r="I330" s="1012">
        <v>2100000</v>
      </c>
      <c r="J330" s="1012">
        <v>0</v>
      </c>
      <c r="K330" s="1012">
        <v>0</v>
      </c>
      <c r="L330" s="1013">
        <f t="shared" si="106"/>
        <v>8031000</v>
      </c>
      <c r="M330" s="1014">
        <v>23</v>
      </c>
      <c r="N330" s="1013">
        <f t="shared" si="107"/>
        <v>7104346</v>
      </c>
      <c r="O330" s="1015">
        <v>3</v>
      </c>
      <c r="P330" s="1013">
        <f t="shared" si="108"/>
        <v>926654</v>
      </c>
      <c r="Q330" s="1016">
        <v>58.5</v>
      </c>
      <c r="R330" s="1013">
        <f t="shared" si="109"/>
        <v>677616</v>
      </c>
      <c r="S330" s="1013">
        <f t="shared" si="110"/>
        <v>8708616</v>
      </c>
      <c r="T330" s="1017">
        <v>0</v>
      </c>
      <c r="U330" s="785">
        <v>270000</v>
      </c>
      <c r="V330" s="785">
        <v>200000</v>
      </c>
      <c r="W330" s="1017">
        <v>500000</v>
      </c>
      <c r="X330" s="1017">
        <v>0</v>
      </c>
      <c r="Y330" s="1017">
        <v>400000</v>
      </c>
      <c r="Z330" s="1017">
        <v>280579</v>
      </c>
      <c r="AA330" s="1018"/>
      <c r="AB330" s="1013"/>
      <c r="AC330" s="1017">
        <v>0</v>
      </c>
      <c r="AD330" s="1017">
        <v>0</v>
      </c>
      <c r="AE330" s="1013">
        <v>0</v>
      </c>
      <c r="AF330" s="1019"/>
      <c r="AG330" s="1019">
        <f t="shared" si="1"/>
        <v>10359195</v>
      </c>
      <c r="AH330" s="1014">
        <v>24</v>
      </c>
      <c r="AI330" s="1014">
        <v>0</v>
      </c>
      <c r="AJ330" s="1014">
        <v>6</v>
      </c>
      <c r="AK330" s="1018">
        <v>0</v>
      </c>
      <c r="AL330" s="1020">
        <v>0</v>
      </c>
      <c r="AM330" s="1013">
        <f t="shared" si="111"/>
        <v>1876474</v>
      </c>
      <c r="AN330" s="1045">
        <f t="shared" si="3"/>
        <v>12235669</v>
      </c>
      <c r="AO330" s="1013">
        <v>843255</v>
      </c>
      <c r="AP330" s="1013">
        <v>44100</v>
      </c>
      <c r="AQ330" s="1013">
        <v>0</v>
      </c>
      <c r="AR330" s="1013">
        <v>0</v>
      </c>
      <c r="AS330" s="1013">
        <v>0</v>
      </c>
      <c r="AT330" s="1045">
        <f t="shared" si="105"/>
        <v>11348314</v>
      </c>
      <c r="AU330" s="1004"/>
      <c r="AV330" s="870"/>
      <c r="AW330" s="782" t="s">
        <v>3959</v>
      </c>
      <c r="AX330" s="782" t="s">
        <v>3960</v>
      </c>
      <c r="AY330" s="1007" t="s">
        <v>288</v>
      </c>
      <c r="AZ330" s="1007">
        <v>622</v>
      </c>
      <c r="BA330" s="347" t="str">
        <f t="shared" si="104"/>
        <v>Bag</v>
      </c>
      <c r="BB330" s="1008"/>
      <c r="BC330" s="1009"/>
      <c r="BD330" s="1009"/>
    </row>
    <row r="331" spans="1:56" s="1010" customFormat="1" ht="36.75" customHeight="1">
      <c r="A331" s="661">
        <f>SUBTOTAL(3,B$6:B331)</f>
        <v>326</v>
      </c>
      <c r="B331" s="661" t="s">
        <v>1463</v>
      </c>
      <c r="C331" s="662" t="s">
        <v>1464</v>
      </c>
      <c r="D331" s="1011">
        <v>44609</v>
      </c>
      <c r="E331" s="1011" t="s">
        <v>217</v>
      </c>
      <c r="F331" s="787" t="s">
        <v>569</v>
      </c>
      <c r="G331" s="996" t="s">
        <v>973</v>
      </c>
      <c r="H331" s="1012">
        <v>5931000</v>
      </c>
      <c r="I331" s="1012">
        <v>700000</v>
      </c>
      <c r="J331" s="1012">
        <v>0</v>
      </c>
      <c r="K331" s="1012">
        <v>0</v>
      </c>
      <c r="L331" s="1013">
        <f t="shared" si="106"/>
        <v>6631000</v>
      </c>
      <c r="M331" s="1014">
        <v>23</v>
      </c>
      <c r="N331" s="1013">
        <f t="shared" si="107"/>
        <v>5865885</v>
      </c>
      <c r="O331" s="1015">
        <v>2</v>
      </c>
      <c r="P331" s="1013">
        <f t="shared" si="108"/>
        <v>510077</v>
      </c>
      <c r="Q331" s="1016">
        <v>58.5</v>
      </c>
      <c r="R331" s="1013">
        <f t="shared" si="109"/>
        <v>559491</v>
      </c>
      <c r="S331" s="1013">
        <f t="shared" si="110"/>
        <v>6935453</v>
      </c>
      <c r="T331" s="1017">
        <v>0</v>
      </c>
      <c r="U331" s="785">
        <v>270000</v>
      </c>
      <c r="V331" s="785">
        <v>200000</v>
      </c>
      <c r="W331" s="1017">
        <v>0</v>
      </c>
      <c r="X331" s="1017">
        <v>0</v>
      </c>
      <c r="Y331" s="1017">
        <v>400000</v>
      </c>
      <c r="Z331" s="1017">
        <v>236775</v>
      </c>
      <c r="AA331" s="1018"/>
      <c r="AB331" s="1013"/>
      <c r="AC331" s="1017">
        <v>0</v>
      </c>
      <c r="AD331" s="1017">
        <v>0</v>
      </c>
      <c r="AE331" s="1013">
        <v>0</v>
      </c>
      <c r="AF331" s="1019"/>
      <c r="AG331" s="1019">
        <f t="shared" si="1"/>
        <v>8042228</v>
      </c>
      <c r="AH331" s="1014">
        <v>8</v>
      </c>
      <c r="AI331" s="1014">
        <v>0</v>
      </c>
      <c r="AJ331" s="1014">
        <v>6</v>
      </c>
      <c r="AK331" s="1018">
        <v>0</v>
      </c>
      <c r="AL331" s="1020">
        <v>0</v>
      </c>
      <c r="AM331" s="1013">
        <f t="shared" si="111"/>
        <v>784243</v>
      </c>
      <c r="AN331" s="1045">
        <f t="shared" si="3"/>
        <v>8826471</v>
      </c>
      <c r="AO331" s="1013">
        <v>696255</v>
      </c>
      <c r="AP331" s="1013">
        <v>44100</v>
      </c>
      <c r="AQ331" s="1013">
        <v>0</v>
      </c>
      <c r="AR331" s="1013">
        <v>0</v>
      </c>
      <c r="AS331" s="1013">
        <v>0</v>
      </c>
      <c r="AT331" s="1045">
        <f t="shared" si="105"/>
        <v>8086116</v>
      </c>
      <c r="AU331" s="1004"/>
      <c r="AV331" s="870"/>
      <c r="AW331" s="782" t="s">
        <v>3961</v>
      </c>
      <c r="AX331" s="782" t="s">
        <v>3962</v>
      </c>
      <c r="AY331" s="1007" t="s">
        <v>288</v>
      </c>
      <c r="AZ331" s="1007">
        <v>622</v>
      </c>
      <c r="BA331" s="347" t="str">
        <f t="shared" si="104"/>
        <v>Bag</v>
      </c>
      <c r="BB331" s="1008"/>
      <c r="BC331" s="1009"/>
      <c r="BD331" s="1009"/>
    </row>
    <row r="332" spans="1:56" s="1010" customFormat="1" ht="36.75" customHeight="1">
      <c r="A332" s="661">
        <f>SUBTOTAL(3,B$6:B332)</f>
        <v>327</v>
      </c>
      <c r="B332" s="661" t="s">
        <v>1465</v>
      </c>
      <c r="C332" s="662" t="s">
        <v>1466</v>
      </c>
      <c r="D332" s="1011">
        <v>45352</v>
      </c>
      <c r="E332" s="1011" t="s">
        <v>217</v>
      </c>
      <c r="F332" s="787" t="s">
        <v>569</v>
      </c>
      <c r="G332" s="996" t="s">
        <v>973</v>
      </c>
      <c r="H332" s="1012">
        <v>5538000</v>
      </c>
      <c r="I332" s="1012">
        <v>700000</v>
      </c>
      <c r="J332" s="1012">
        <v>0</v>
      </c>
      <c r="K332" s="1012">
        <v>0</v>
      </c>
      <c r="L332" s="1013">
        <f t="shared" si="106"/>
        <v>6238000</v>
      </c>
      <c r="M332" s="1014">
        <v>21.8</v>
      </c>
      <c r="N332" s="1013">
        <f t="shared" si="107"/>
        <v>5230323</v>
      </c>
      <c r="O332" s="1015">
        <v>2</v>
      </c>
      <c r="P332" s="1013">
        <f t="shared" si="108"/>
        <v>479846</v>
      </c>
      <c r="Q332" s="1016">
        <v>32.5</v>
      </c>
      <c r="R332" s="1013">
        <f t="shared" si="109"/>
        <v>292406</v>
      </c>
      <c r="S332" s="1013">
        <f t="shared" si="110"/>
        <v>6002575</v>
      </c>
      <c r="T332" s="1017">
        <v>0</v>
      </c>
      <c r="U332" s="785">
        <v>150000</v>
      </c>
      <c r="V332" s="785">
        <v>200000</v>
      </c>
      <c r="W332" s="1017">
        <v>0</v>
      </c>
      <c r="X332" s="1017">
        <v>0</v>
      </c>
      <c r="Y332" s="1017">
        <v>150000</v>
      </c>
      <c r="Z332" s="1017">
        <v>238059</v>
      </c>
      <c r="AA332" s="1018"/>
      <c r="AB332" s="1013"/>
      <c r="AC332" s="1017">
        <v>0</v>
      </c>
      <c r="AD332" s="1017">
        <v>0</v>
      </c>
      <c r="AE332" s="1013">
        <v>0</v>
      </c>
      <c r="AF332" s="1019"/>
      <c r="AG332" s="1019">
        <f t="shared" si="1"/>
        <v>6740634</v>
      </c>
      <c r="AH332" s="1014">
        <v>24</v>
      </c>
      <c r="AI332" s="1014">
        <v>0</v>
      </c>
      <c r="AJ332" s="1014">
        <v>0</v>
      </c>
      <c r="AK332" s="1018">
        <v>0</v>
      </c>
      <c r="AL332" s="1020">
        <v>0</v>
      </c>
      <c r="AM332" s="1013">
        <f t="shared" si="111"/>
        <v>1079654</v>
      </c>
      <c r="AN332" s="1045">
        <f t="shared" si="3"/>
        <v>7820288</v>
      </c>
      <c r="AO332" s="1013">
        <v>654990</v>
      </c>
      <c r="AP332" s="1013">
        <v>44100</v>
      </c>
      <c r="AQ332" s="1013">
        <v>0</v>
      </c>
      <c r="AR332" s="1013">
        <v>0</v>
      </c>
      <c r="AS332" s="1013">
        <v>0</v>
      </c>
      <c r="AT332" s="1045">
        <f t="shared" si="105"/>
        <v>7121198</v>
      </c>
      <c r="AU332" s="1004"/>
      <c r="AV332" s="870"/>
      <c r="AW332" s="782" t="s">
        <v>3963</v>
      </c>
      <c r="AX332" s="782" t="s">
        <v>3964</v>
      </c>
      <c r="AY332" s="1007" t="s">
        <v>288</v>
      </c>
      <c r="AZ332" s="1007">
        <v>622</v>
      </c>
      <c r="BA332" s="347" t="str">
        <f t="shared" si="104"/>
        <v>Bag</v>
      </c>
      <c r="BB332" s="1008"/>
      <c r="BC332" s="1009"/>
      <c r="BD332" s="1009"/>
    </row>
    <row r="333" spans="1:56" s="1010" customFormat="1" ht="36.75" customHeight="1">
      <c r="A333" s="661">
        <f>SUBTOTAL(3,B$6:B333)</f>
        <v>328</v>
      </c>
      <c r="B333" s="661" t="s">
        <v>1467</v>
      </c>
      <c r="C333" s="662" t="s">
        <v>1468</v>
      </c>
      <c r="D333" s="1011">
        <v>45352</v>
      </c>
      <c r="E333" s="1011" t="s">
        <v>217</v>
      </c>
      <c r="F333" s="787" t="s">
        <v>569</v>
      </c>
      <c r="G333" s="996" t="s">
        <v>1363</v>
      </c>
      <c r="H333" s="1012">
        <v>5538000</v>
      </c>
      <c r="I333" s="1012">
        <v>400000</v>
      </c>
      <c r="J333" s="1012">
        <v>0</v>
      </c>
      <c r="K333" s="1012">
        <v>0</v>
      </c>
      <c r="L333" s="1013">
        <f t="shared" si="106"/>
        <v>5938000</v>
      </c>
      <c r="M333" s="1014">
        <v>23.5</v>
      </c>
      <c r="N333" s="1013">
        <f t="shared" si="107"/>
        <v>5367038</v>
      </c>
      <c r="O333" s="1015">
        <v>2</v>
      </c>
      <c r="P333" s="1013">
        <f t="shared" si="108"/>
        <v>456769</v>
      </c>
      <c r="Q333" s="1016">
        <v>32.5</v>
      </c>
      <c r="R333" s="1013">
        <f t="shared" si="109"/>
        <v>278344</v>
      </c>
      <c r="S333" s="1013">
        <f t="shared" si="110"/>
        <v>6102151</v>
      </c>
      <c r="T333" s="1017">
        <v>0</v>
      </c>
      <c r="U333" s="785">
        <v>150000</v>
      </c>
      <c r="V333" s="785">
        <v>200000</v>
      </c>
      <c r="W333" s="1017">
        <v>500000</v>
      </c>
      <c r="X333" s="1017">
        <v>0</v>
      </c>
      <c r="Y333" s="1017">
        <v>400000</v>
      </c>
      <c r="Z333" s="1017">
        <v>241923</v>
      </c>
      <c r="AA333" s="1018"/>
      <c r="AB333" s="1013"/>
      <c r="AC333" s="1017">
        <v>0</v>
      </c>
      <c r="AD333" s="1017">
        <v>0</v>
      </c>
      <c r="AE333" s="1013">
        <v>0</v>
      </c>
      <c r="AF333" s="1019"/>
      <c r="AG333" s="1019">
        <f t="shared" si="1"/>
        <v>7594074</v>
      </c>
      <c r="AH333" s="1014">
        <v>24</v>
      </c>
      <c r="AI333" s="1014">
        <v>0</v>
      </c>
      <c r="AJ333" s="1014">
        <v>0</v>
      </c>
      <c r="AK333" s="1018">
        <v>0</v>
      </c>
      <c r="AL333" s="1020">
        <v>0</v>
      </c>
      <c r="AM333" s="1013">
        <f t="shared" si="111"/>
        <v>1027731</v>
      </c>
      <c r="AN333" s="1045">
        <f t="shared" si="3"/>
        <v>8621805</v>
      </c>
      <c r="AO333" s="1013">
        <v>623490</v>
      </c>
      <c r="AP333" s="1013">
        <v>44100</v>
      </c>
      <c r="AQ333" s="1013">
        <v>0</v>
      </c>
      <c r="AR333" s="1013">
        <v>0</v>
      </c>
      <c r="AS333" s="1013">
        <v>0</v>
      </c>
      <c r="AT333" s="1045">
        <f t="shared" si="105"/>
        <v>7954215</v>
      </c>
      <c r="AU333" s="1004"/>
      <c r="AV333" s="870"/>
      <c r="AW333" s="782" t="s">
        <v>3965</v>
      </c>
      <c r="AX333" s="782" t="s">
        <v>3966</v>
      </c>
      <c r="AY333" s="1007" t="s">
        <v>288</v>
      </c>
      <c r="AZ333" s="1007">
        <v>622</v>
      </c>
      <c r="BA333" s="347" t="str">
        <f t="shared" si="104"/>
        <v>Bag</v>
      </c>
      <c r="BB333" s="1008"/>
      <c r="BC333" s="1009"/>
      <c r="BD333" s="1009"/>
    </row>
    <row r="334" spans="1:56" s="1010" customFormat="1" ht="36.75" customHeight="1">
      <c r="A334" s="661">
        <f>SUBTOTAL(3,B$6:B334)</f>
        <v>329</v>
      </c>
      <c r="B334" s="661" t="s">
        <v>1469</v>
      </c>
      <c r="C334" s="662" t="s">
        <v>1470</v>
      </c>
      <c r="D334" s="1011">
        <v>45352</v>
      </c>
      <c r="E334" s="1011" t="s">
        <v>217</v>
      </c>
      <c r="F334" s="787" t="s">
        <v>569</v>
      </c>
      <c r="G334" s="996" t="s">
        <v>973</v>
      </c>
      <c r="H334" s="1012">
        <v>5538000</v>
      </c>
      <c r="I334" s="1012">
        <v>700000</v>
      </c>
      <c r="J334" s="1012">
        <v>0</v>
      </c>
      <c r="K334" s="1012">
        <v>0</v>
      </c>
      <c r="L334" s="1013">
        <f t="shared" si="106"/>
        <v>6238000</v>
      </c>
      <c r="M334" s="1014">
        <v>23.9</v>
      </c>
      <c r="N334" s="1013">
        <f t="shared" si="107"/>
        <v>5734162</v>
      </c>
      <c r="O334" s="1015">
        <v>2</v>
      </c>
      <c r="P334" s="1013">
        <f t="shared" si="108"/>
        <v>479846</v>
      </c>
      <c r="Q334" s="1016">
        <v>0</v>
      </c>
      <c r="R334" s="1013">
        <f t="shared" si="109"/>
        <v>0</v>
      </c>
      <c r="S334" s="1013">
        <f t="shared" si="110"/>
        <v>6214008</v>
      </c>
      <c r="T334" s="1017">
        <v>0</v>
      </c>
      <c r="U334" s="785">
        <v>0</v>
      </c>
      <c r="V334" s="785">
        <v>200000</v>
      </c>
      <c r="W334" s="1017">
        <v>500000</v>
      </c>
      <c r="X334" s="1017">
        <v>0</v>
      </c>
      <c r="Y334" s="1017">
        <v>400000</v>
      </c>
      <c r="Z334" s="1017">
        <v>340200</v>
      </c>
      <c r="AA334" s="1018"/>
      <c r="AB334" s="1013"/>
      <c r="AC334" s="1017">
        <v>0</v>
      </c>
      <c r="AD334" s="1017">
        <v>0</v>
      </c>
      <c r="AE334" s="1013">
        <v>0</v>
      </c>
      <c r="AF334" s="1019"/>
      <c r="AG334" s="1019">
        <f t="shared" si="1"/>
        <v>7654208</v>
      </c>
      <c r="AH334" s="1014">
        <v>44</v>
      </c>
      <c r="AI334" s="1014">
        <v>0</v>
      </c>
      <c r="AJ334" s="1014">
        <v>0</v>
      </c>
      <c r="AK334" s="1018">
        <v>0</v>
      </c>
      <c r="AL334" s="1020">
        <v>0</v>
      </c>
      <c r="AM334" s="1013">
        <f t="shared" si="111"/>
        <v>1979366</v>
      </c>
      <c r="AN334" s="1045">
        <f t="shared" si="3"/>
        <v>9633574</v>
      </c>
      <c r="AO334" s="1013">
        <v>654990</v>
      </c>
      <c r="AP334" s="1013">
        <v>44100</v>
      </c>
      <c r="AQ334" s="1013">
        <v>0</v>
      </c>
      <c r="AR334" s="1013">
        <v>0</v>
      </c>
      <c r="AS334" s="1013">
        <v>0</v>
      </c>
      <c r="AT334" s="1045">
        <f t="shared" si="105"/>
        <v>8934484</v>
      </c>
      <c r="AU334" s="1004"/>
      <c r="AV334" s="870"/>
      <c r="AW334" s="782" t="s">
        <v>3967</v>
      </c>
      <c r="AX334" s="782" t="s">
        <v>3968</v>
      </c>
      <c r="AY334" s="1007" t="s">
        <v>288</v>
      </c>
      <c r="AZ334" s="1007">
        <v>622</v>
      </c>
      <c r="BA334" s="347" t="str">
        <f t="shared" si="104"/>
        <v>Bag</v>
      </c>
      <c r="BB334" s="1008"/>
      <c r="BC334" s="1009"/>
      <c r="BD334" s="1009"/>
    </row>
    <row r="335" spans="1:56" s="1010" customFormat="1" ht="36.75" customHeight="1">
      <c r="A335" s="661">
        <f>SUBTOTAL(3,B$6:B335)</f>
        <v>330</v>
      </c>
      <c r="B335" s="661" t="s">
        <v>1471</v>
      </c>
      <c r="C335" s="662" t="s">
        <v>1472</v>
      </c>
      <c r="D335" s="1011">
        <v>45419</v>
      </c>
      <c r="E335" s="1011" t="s">
        <v>217</v>
      </c>
      <c r="F335" s="787" t="s">
        <v>569</v>
      </c>
      <c r="G335" s="996" t="s">
        <v>1363</v>
      </c>
      <c r="H335" s="1012">
        <v>5274000</v>
      </c>
      <c r="I335" s="1012">
        <v>400000</v>
      </c>
      <c r="J335" s="1012">
        <v>0</v>
      </c>
      <c r="K335" s="1012">
        <v>0</v>
      </c>
      <c r="L335" s="1013">
        <f t="shared" si="106"/>
        <v>5674000</v>
      </c>
      <c r="M335" s="1014">
        <v>22.7</v>
      </c>
      <c r="N335" s="1013">
        <f t="shared" si="107"/>
        <v>4953838</v>
      </c>
      <c r="O335" s="1015">
        <v>3</v>
      </c>
      <c r="P335" s="1013">
        <f t="shared" si="108"/>
        <v>654692</v>
      </c>
      <c r="Q335" s="1016">
        <v>0</v>
      </c>
      <c r="R335" s="1013">
        <f t="shared" si="109"/>
        <v>0</v>
      </c>
      <c r="S335" s="1013">
        <f t="shared" si="110"/>
        <v>5608530</v>
      </c>
      <c r="T335" s="1017">
        <v>0</v>
      </c>
      <c r="U335" s="785">
        <v>0</v>
      </c>
      <c r="V335" s="785">
        <v>200000</v>
      </c>
      <c r="W335" s="1017">
        <v>500000</v>
      </c>
      <c r="X335" s="1017">
        <v>0</v>
      </c>
      <c r="Y335" s="1017">
        <v>400000</v>
      </c>
      <c r="Z335" s="1017">
        <v>199051</v>
      </c>
      <c r="AA335" s="1018"/>
      <c r="AB335" s="1013"/>
      <c r="AC335" s="1017">
        <v>0</v>
      </c>
      <c r="AD335" s="1017">
        <v>0</v>
      </c>
      <c r="AE335" s="1013">
        <v>0</v>
      </c>
      <c r="AF335" s="1019"/>
      <c r="AG335" s="1019">
        <f t="shared" si="1"/>
        <v>6907581</v>
      </c>
      <c r="AH335" s="1014">
        <v>44</v>
      </c>
      <c r="AI335" s="1014">
        <v>0</v>
      </c>
      <c r="AJ335" s="1014">
        <v>0</v>
      </c>
      <c r="AK335" s="1018">
        <v>0</v>
      </c>
      <c r="AL335" s="1020">
        <v>0</v>
      </c>
      <c r="AM335" s="1013">
        <f t="shared" si="111"/>
        <v>1800404</v>
      </c>
      <c r="AN335" s="1045">
        <f t="shared" si="3"/>
        <v>8707985</v>
      </c>
      <c r="AO335" s="1013">
        <v>595770</v>
      </c>
      <c r="AP335" s="1013">
        <v>44100</v>
      </c>
      <c r="AQ335" s="1013">
        <v>0</v>
      </c>
      <c r="AR335" s="1013">
        <v>0</v>
      </c>
      <c r="AS335" s="1013">
        <v>0</v>
      </c>
      <c r="AT335" s="1045">
        <f t="shared" si="105"/>
        <v>8068115</v>
      </c>
      <c r="AU335" s="1004"/>
      <c r="AV335" s="870"/>
      <c r="AW335" s="782" t="s">
        <v>3969</v>
      </c>
      <c r="AX335" s="782" t="s">
        <v>3970</v>
      </c>
      <c r="AY335" s="1007" t="s">
        <v>288</v>
      </c>
      <c r="AZ335" s="1007">
        <v>622</v>
      </c>
      <c r="BA335" s="347" t="str">
        <f t="shared" si="104"/>
        <v>Bag</v>
      </c>
      <c r="BB335" s="1008"/>
      <c r="BC335" s="1009"/>
      <c r="BD335" s="1009"/>
    </row>
    <row r="336" spans="1:56" s="1010" customFormat="1" ht="36.75" customHeight="1">
      <c r="A336" s="661">
        <f>SUBTOTAL(3,B$6:B336)</f>
        <v>331</v>
      </c>
      <c r="B336" s="661" t="s">
        <v>1473</v>
      </c>
      <c r="C336" s="662" t="s">
        <v>1474</v>
      </c>
      <c r="D336" s="1011">
        <v>45423</v>
      </c>
      <c r="E336" s="1011" t="s">
        <v>217</v>
      </c>
      <c r="F336" s="787" t="s">
        <v>569</v>
      </c>
      <c r="G336" s="996" t="s">
        <v>1475</v>
      </c>
      <c r="H336" s="1012">
        <v>5274000</v>
      </c>
      <c r="I336" s="1012">
        <v>200000</v>
      </c>
      <c r="J336" s="1012">
        <v>0</v>
      </c>
      <c r="K336" s="1012">
        <v>0</v>
      </c>
      <c r="L336" s="1013">
        <f t="shared" si="106"/>
        <v>5474000</v>
      </c>
      <c r="M336" s="1014">
        <v>24</v>
      </c>
      <c r="N336" s="1013">
        <f t="shared" si="107"/>
        <v>5052923</v>
      </c>
      <c r="O336" s="1015">
        <v>2</v>
      </c>
      <c r="P336" s="1013">
        <f t="shared" si="108"/>
        <v>421077</v>
      </c>
      <c r="Q336" s="1016">
        <v>6.5</v>
      </c>
      <c r="R336" s="1013">
        <f t="shared" si="109"/>
        <v>51319</v>
      </c>
      <c r="S336" s="1013">
        <f t="shared" si="110"/>
        <v>5525319</v>
      </c>
      <c r="T336" s="1017">
        <v>0</v>
      </c>
      <c r="U336" s="785">
        <v>30000</v>
      </c>
      <c r="V336" s="785">
        <v>200000</v>
      </c>
      <c r="W336" s="1017">
        <v>500000</v>
      </c>
      <c r="X336" s="1017">
        <v>0</v>
      </c>
      <c r="Y336" s="1017">
        <v>400000</v>
      </c>
      <c r="Z336" s="1017">
        <v>247070</v>
      </c>
      <c r="AA336" s="1018"/>
      <c r="AB336" s="1013"/>
      <c r="AC336" s="1017">
        <v>200000</v>
      </c>
      <c r="AD336" s="1017">
        <v>0</v>
      </c>
      <c r="AE336" s="1013">
        <v>0</v>
      </c>
      <c r="AF336" s="1019"/>
      <c r="AG336" s="1019">
        <f t="shared" si="1"/>
        <v>7102389</v>
      </c>
      <c r="AH336" s="1014">
        <v>40</v>
      </c>
      <c r="AI336" s="1014">
        <v>0</v>
      </c>
      <c r="AJ336" s="1014">
        <v>2</v>
      </c>
      <c r="AK336" s="1018">
        <v>0</v>
      </c>
      <c r="AL336" s="1020">
        <v>0</v>
      </c>
      <c r="AM336" s="1013">
        <f t="shared" si="111"/>
        <v>1689571</v>
      </c>
      <c r="AN336" s="1045">
        <f t="shared" si="3"/>
        <v>8791960</v>
      </c>
      <c r="AO336" s="1013">
        <v>574770</v>
      </c>
      <c r="AP336" s="1013">
        <v>44100</v>
      </c>
      <c r="AQ336" s="1013">
        <v>0</v>
      </c>
      <c r="AR336" s="1013">
        <v>0</v>
      </c>
      <c r="AS336" s="1013">
        <v>0</v>
      </c>
      <c r="AT336" s="1045">
        <f t="shared" si="105"/>
        <v>8173090</v>
      </c>
      <c r="AU336" s="1004"/>
      <c r="AV336" s="870"/>
      <c r="AW336" s="782" t="s">
        <v>3971</v>
      </c>
      <c r="AX336" s="782" t="s">
        <v>3972</v>
      </c>
      <c r="AY336" s="1007" t="s">
        <v>288</v>
      </c>
      <c r="AZ336" s="1007">
        <v>622</v>
      </c>
      <c r="BA336" s="347" t="str">
        <f t="shared" si="104"/>
        <v>Bag</v>
      </c>
      <c r="BB336" s="1008"/>
      <c r="BC336" s="1009"/>
      <c r="BD336" s="1009"/>
    </row>
    <row r="337" spans="1:56" s="1010" customFormat="1" ht="36.75" customHeight="1">
      <c r="A337" s="661">
        <f>SUBTOTAL(3,B$6:B337)</f>
        <v>332</v>
      </c>
      <c r="B337" s="661" t="s">
        <v>1476</v>
      </c>
      <c r="C337" s="662" t="s">
        <v>1477</v>
      </c>
      <c r="D337" s="1011">
        <v>45430</v>
      </c>
      <c r="E337" s="1011" t="s">
        <v>217</v>
      </c>
      <c r="F337" s="787" t="s">
        <v>569</v>
      </c>
      <c r="G337" s="996" t="s">
        <v>973</v>
      </c>
      <c r="H337" s="1012">
        <v>5274000</v>
      </c>
      <c r="I337" s="1012">
        <v>700000</v>
      </c>
      <c r="J337" s="1012">
        <v>0</v>
      </c>
      <c r="K337" s="1012">
        <v>0</v>
      </c>
      <c r="L337" s="1013">
        <f t="shared" si="106"/>
        <v>5974000</v>
      </c>
      <c r="M337" s="1014">
        <v>23.5</v>
      </c>
      <c r="N337" s="1013">
        <f t="shared" si="107"/>
        <v>5399577</v>
      </c>
      <c r="O337" s="1015">
        <v>2</v>
      </c>
      <c r="P337" s="1013">
        <f t="shared" si="108"/>
        <v>459538</v>
      </c>
      <c r="Q337" s="1016">
        <v>32.5</v>
      </c>
      <c r="R337" s="1013">
        <f t="shared" si="109"/>
        <v>280031</v>
      </c>
      <c r="S337" s="1013">
        <f t="shared" si="110"/>
        <v>6139146</v>
      </c>
      <c r="T337" s="1017">
        <v>0</v>
      </c>
      <c r="U337" s="785">
        <v>150000</v>
      </c>
      <c r="V337" s="785">
        <v>200000</v>
      </c>
      <c r="W337" s="1017">
        <v>500000</v>
      </c>
      <c r="X337" s="1017">
        <v>0</v>
      </c>
      <c r="Y337" s="1017">
        <v>400000</v>
      </c>
      <c r="Z337" s="1017">
        <v>329578</v>
      </c>
      <c r="AA337" s="1018"/>
      <c r="AB337" s="1013"/>
      <c r="AC337" s="1017">
        <v>0</v>
      </c>
      <c r="AD337" s="1017">
        <v>0</v>
      </c>
      <c r="AE337" s="1013">
        <v>0</v>
      </c>
      <c r="AF337" s="1019"/>
      <c r="AG337" s="1019">
        <f t="shared" si="1"/>
        <v>7718724</v>
      </c>
      <c r="AH337" s="1014">
        <v>28</v>
      </c>
      <c r="AI337" s="1014">
        <v>0</v>
      </c>
      <c r="AJ337" s="1014">
        <v>2</v>
      </c>
      <c r="AK337" s="1018">
        <v>0</v>
      </c>
      <c r="AL337" s="1020">
        <v>0</v>
      </c>
      <c r="AM337" s="1013">
        <f t="shared" si="111"/>
        <v>1326917</v>
      </c>
      <c r="AN337" s="1045">
        <f t="shared" si="3"/>
        <v>9045641</v>
      </c>
      <c r="AO337" s="1013">
        <v>627270</v>
      </c>
      <c r="AP337" s="1013">
        <v>44100</v>
      </c>
      <c r="AQ337" s="1013">
        <v>0</v>
      </c>
      <c r="AR337" s="1013">
        <v>0</v>
      </c>
      <c r="AS337" s="1013">
        <v>0</v>
      </c>
      <c r="AT337" s="1045">
        <f t="shared" si="105"/>
        <v>8374271</v>
      </c>
      <c r="AU337" s="1004"/>
      <c r="AV337" s="870"/>
      <c r="AW337" s="782" t="s">
        <v>3973</v>
      </c>
      <c r="AX337" s="782" t="s">
        <v>3974</v>
      </c>
      <c r="AY337" s="1007" t="s">
        <v>288</v>
      </c>
      <c r="AZ337" s="1007">
        <v>622</v>
      </c>
      <c r="BA337" s="347" t="str">
        <f t="shared" si="104"/>
        <v>Bag</v>
      </c>
      <c r="BB337" s="1008"/>
      <c r="BC337" s="1009"/>
      <c r="BD337" s="1009"/>
    </row>
    <row r="338" spans="1:56" s="1010" customFormat="1" ht="36.75" customHeight="1">
      <c r="A338" s="661">
        <f>SUBTOTAL(3,B$6:B338)</f>
        <v>333</v>
      </c>
      <c r="B338" s="661" t="s">
        <v>1478</v>
      </c>
      <c r="C338" s="662" t="s">
        <v>1479</v>
      </c>
      <c r="D338" s="1011">
        <v>45533</v>
      </c>
      <c r="E338" s="1011" t="s">
        <v>217</v>
      </c>
      <c r="F338" s="787" t="s">
        <v>569</v>
      </c>
      <c r="G338" s="996" t="s">
        <v>1363</v>
      </c>
      <c r="H338" s="1012">
        <v>5274000</v>
      </c>
      <c r="I338" s="1012">
        <v>400000</v>
      </c>
      <c r="J338" s="1012">
        <v>0</v>
      </c>
      <c r="K338" s="1012">
        <v>0</v>
      </c>
      <c r="L338" s="1013">
        <f t="shared" si="106"/>
        <v>5674000</v>
      </c>
      <c r="M338" s="1014">
        <v>22.9</v>
      </c>
      <c r="N338" s="1013">
        <f t="shared" si="107"/>
        <v>4997485</v>
      </c>
      <c r="O338" s="1015">
        <v>3</v>
      </c>
      <c r="P338" s="1013">
        <f t="shared" si="108"/>
        <v>654692</v>
      </c>
      <c r="Q338" s="1016">
        <v>26</v>
      </c>
      <c r="R338" s="1013">
        <f t="shared" si="109"/>
        <v>212775</v>
      </c>
      <c r="S338" s="1013">
        <f t="shared" si="110"/>
        <v>5864952</v>
      </c>
      <c r="T338" s="1017">
        <v>0</v>
      </c>
      <c r="U338" s="785">
        <v>120000</v>
      </c>
      <c r="V338" s="785">
        <v>200000</v>
      </c>
      <c r="W338" s="1017">
        <v>500000</v>
      </c>
      <c r="X338" s="1017">
        <v>0</v>
      </c>
      <c r="Y338" s="1017">
        <v>400000</v>
      </c>
      <c r="Z338" s="1017">
        <v>330912</v>
      </c>
      <c r="AA338" s="1018"/>
      <c r="AB338" s="1013"/>
      <c r="AC338" s="1017">
        <v>0</v>
      </c>
      <c r="AD338" s="1017">
        <v>0</v>
      </c>
      <c r="AE338" s="1013">
        <v>0</v>
      </c>
      <c r="AF338" s="1019"/>
      <c r="AG338" s="1019">
        <f t="shared" ref="AG338:AG400" si="112">ROUND(SUM(S338:AF338)-AA338,0)</f>
        <v>7415864</v>
      </c>
      <c r="AH338" s="1014">
        <v>32</v>
      </c>
      <c r="AI338" s="1014">
        <v>0</v>
      </c>
      <c r="AJ338" s="1014">
        <v>0</v>
      </c>
      <c r="AK338" s="1018">
        <v>0</v>
      </c>
      <c r="AL338" s="1020">
        <v>0</v>
      </c>
      <c r="AM338" s="1013">
        <f t="shared" si="111"/>
        <v>1309385</v>
      </c>
      <c r="AN338" s="1045">
        <f t="shared" ref="AN338:AN399" si="113">ROUND(AG338+AM338,0)</f>
        <v>8725249</v>
      </c>
      <c r="AO338" s="1013">
        <v>595770</v>
      </c>
      <c r="AP338" s="1013">
        <v>44100</v>
      </c>
      <c r="AQ338" s="1013">
        <v>0</v>
      </c>
      <c r="AR338" s="1013">
        <v>0</v>
      </c>
      <c r="AS338" s="1013">
        <v>0</v>
      </c>
      <c r="AT338" s="1045">
        <f t="shared" si="105"/>
        <v>8085379</v>
      </c>
      <c r="AU338" s="1004"/>
      <c r="AV338" s="870"/>
      <c r="AW338" s="782" t="s">
        <v>3975</v>
      </c>
      <c r="AX338" s="782" t="s">
        <v>3976</v>
      </c>
      <c r="AY338" s="1007" t="s">
        <v>288</v>
      </c>
      <c r="AZ338" s="1007">
        <v>622</v>
      </c>
      <c r="BA338" s="347" t="str">
        <f t="shared" si="104"/>
        <v>Bag</v>
      </c>
      <c r="BB338" s="1008"/>
      <c r="BC338" s="1009"/>
      <c r="BD338" s="1009"/>
    </row>
    <row r="339" spans="1:56" s="1010" customFormat="1" ht="36.75" customHeight="1">
      <c r="A339" s="661">
        <f>SUBTOTAL(3,B$6:B339)</f>
        <v>334</v>
      </c>
      <c r="B339" s="661" t="s">
        <v>1480</v>
      </c>
      <c r="C339" s="662" t="s">
        <v>1481</v>
      </c>
      <c r="D339" s="1011">
        <v>45701</v>
      </c>
      <c r="E339" s="1011" t="s">
        <v>217</v>
      </c>
      <c r="F339" s="787" t="s">
        <v>569</v>
      </c>
      <c r="G339" s="996" t="s">
        <v>1475</v>
      </c>
      <c r="H339" s="1012">
        <v>5023000</v>
      </c>
      <c r="I339" s="1012">
        <v>200000</v>
      </c>
      <c r="J339" s="1012">
        <v>0</v>
      </c>
      <c r="K339" s="1012">
        <v>0</v>
      </c>
      <c r="L339" s="1013">
        <f t="shared" si="106"/>
        <v>5223000</v>
      </c>
      <c r="M339" s="1014">
        <v>22.9</v>
      </c>
      <c r="N339" s="1013">
        <f t="shared" si="107"/>
        <v>4600258</v>
      </c>
      <c r="O339" s="1015">
        <v>2</v>
      </c>
      <c r="P339" s="1013">
        <f t="shared" si="108"/>
        <v>401769</v>
      </c>
      <c r="Q339" s="1016">
        <v>0</v>
      </c>
      <c r="R339" s="1013">
        <f t="shared" si="109"/>
        <v>0</v>
      </c>
      <c r="S339" s="1013">
        <f t="shared" si="110"/>
        <v>5002027</v>
      </c>
      <c r="T339" s="1017">
        <v>0</v>
      </c>
      <c r="U339" s="785">
        <v>0</v>
      </c>
      <c r="V339" s="785">
        <v>200000</v>
      </c>
      <c r="W339" s="1017">
        <v>0</v>
      </c>
      <c r="X339" s="1017">
        <v>0</v>
      </c>
      <c r="Y339" s="1017">
        <v>400000</v>
      </c>
      <c r="Z339" s="1017">
        <v>366203</v>
      </c>
      <c r="AA339" s="1018"/>
      <c r="AB339" s="1013"/>
      <c r="AC339" s="1017">
        <v>0</v>
      </c>
      <c r="AD339" s="1017">
        <v>0</v>
      </c>
      <c r="AE339" s="1013">
        <v>0</v>
      </c>
      <c r="AF339" s="1019"/>
      <c r="AG339" s="1019">
        <f t="shared" si="112"/>
        <v>5968230</v>
      </c>
      <c r="AH339" s="1014">
        <v>36</v>
      </c>
      <c r="AI339" s="1014">
        <v>0</v>
      </c>
      <c r="AJ339" s="1014">
        <v>0</v>
      </c>
      <c r="AK339" s="1018">
        <v>0</v>
      </c>
      <c r="AL339" s="1020">
        <v>0</v>
      </c>
      <c r="AM339" s="1013">
        <f t="shared" si="111"/>
        <v>1355971</v>
      </c>
      <c r="AN339" s="1045">
        <f t="shared" si="113"/>
        <v>7324201</v>
      </c>
      <c r="AO339" s="1013">
        <v>548415</v>
      </c>
      <c r="AP339" s="1013">
        <v>44100</v>
      </c>
      <c r="AQ339" s="1013">
        <v>0</v>
      </c>
      <c r="AR339" s="1013">
        <v>0</v>
      </c>
      <c r="AS339" s="1013">
        <v>0</v>
      </c>
      <c r="AT339" s="1045">
        <f t="shared" si="105"/>
        <v>6731686</v>
      </c>
      <c r="AU339" s="1004"/>
      <c r="AV339" s="870"/>
      <c r="AW339" s="782" t="s">
        <v>3977</v>
      </c>
      <c r="AX339" s="782" t="s">
        <v>3978</v>
      </c>
      <c r="AY339" s="1007" t="s">
        <v>288</v>
      </c>
      <c r="AZ339" s="1007">
        <v>622</v>
      </c>
      <c r="BA339" s="347" t="str">
        <f t="shared" si="104"/>
        <v>Bag</v>
      </c>
      <c r="BB339" s="1008"/>
      <c r="BC339" s="1009"/>
      <c r="BD339" s="1009"/>
    </row>
    <row r="340" spans="1:56" s="1010" customFormat="1" ht="36.75" customHeight="1">
      <c r="A340" s="661">
        <f>SUBTOTAL(3,B$6:B340)</f>
        <v>335</v>
      </c>
      <c r="B340" s="661" t="s">
        <v>1482</v>
      </c>
      <c r="C340" s="662" t="s">
        <v>1483</v>
      </c>
      <c r="D340" s="1011">
        <v>45701</v>
      </c>
      <c r="E340" s="1011" t="s">
        <v>217</v>
      </c>
      <c r="F340" s="787" t="s">
        <v>569</v>
      </c>
      <c r="G340" s="996" t="s">
        <v>1475</v>
      </c>
      <c r="H340" s="1012">
        <v>5023000</v>
      </c>
      <c r="I340" s="1012">
        <v>200000</v>
      </c>
      <c r="J340" s="1012">
        <v>0</v>
      </c>
      <c r="K340" s="1012">
        <v>0</v>
      </c>
      <c r="L340" s="1013">
        <f t="shared" si="106"/>
        <v>5223000</v>
      </c>
      <c r="M340" s="1014">
        <v>21.9</v>
      </c>
      <c r="N340" s="1013">
        <f t="shared" si="107"/>
        <v>4399373</v>
      </c>
      <c r="O340" s="1015">
        <v>2</v>
      </c>
      <c r="P340" s="1013">
        <f t="shared" si="108"/>
        <v>401769</v>
      </c>
      <c r="Q340" s="1016">
        <v>0</v>
      </c>
      <c r="R340" s="1013">
        <f t="shared" si="109"/>
        <v>0</v>
      </c>
      <c r="S340" s="1013">
        <f t="shared" si="110"/>
        <v>4801142</v>
      </c>
      <c r="T340" s="1017">
        <v>0</v>
      </c>
      <c r="U340" s="785">
        <v>0</v>
      </c>
      <c r="V340" s="785">
        <v>200000</v>
      </c>
      <c r="W340" s="1017">
        <v>0</v>
      </c>
      <c r="X340" s="1017">
        <v>0</v>
      </c>
      <c r="Y340" s="1017">
        <v>150000</v>
      </c>
      <c r="Z340" s="1017">
        <v>148487</v>
      </c>
      <c r="AA340" s="1018"/>
      <c r="AB340" s="1013"/>
      <c r="AC340" s="1017">
        <v>0</v>
      </c>
      <c r="AD340" s="1017">
        <v>0</v>
      </c>
      <c r="AE340" s="1013">
        <v>0</v>
      </c>
      <c r="AF340" s="1019"/>
      <c r="AG340" s="1019">
        <f t="shared" si="112"/>
        <v>5299629</v>
      </c>
      <c r="AH340" s="1014">
        <v>36</v>
      </c>
      <c r="AI340" s="1014">
        <v>0</v>
      </c>
      <c r="AJ340" s="1014">
        <v>0</v>
      </c>
      <c r="AK340" s="1018">
        <v>0</v>
      </c>
      <c r="AL340" s="1020">
        <v>0</v>
      </c>
      <c r="AM340" s="1013">
        <f t="shared" si="111"/>
        <v>1355971</v>
      </c>
      <c r="AN340" s="1045">
        <f t="shared" si="113"/>
        <v>6655600</v>
      </c>
      <c r="AO340" s="1013">
        <v>548415</v>
      </c>
      <c r="AP340" s="1013">
        <v>44100</v>
      </c>
      <c r="AQ340" s="1013">
        <v>0</v>
      </c>
      <c r="AR340" s="1013">
        <v>0</v>
      </c>
      <c r="AS340" s="1013">
        <v>0</v>
      </c>
      <c r="AT340" s="1045">
        <f t="shared" si="105"/>
        <v>6063085</v>
      </c>
      <c r="AU340" s="1004"/>
      <c r="AV340" s="870"/>
      <c r="AW340" s="782" t="s">
        <v>3979</v>
      </c>
      <c r="AX340" s="782" t="s">
        <v>3980</v>
      </c>
      <c r="AY340" s="1007" t="s">
        <v>288</v>
      </c>
      <c r="AZ340" s="1007">
        <v>622</v>
      </c>
      <c r="BA340" s="347" t="str">
        <f t="shared" si="104"/>
        <v>Bag</v>
      </c>
      <c r="BB340" s="1008"/>
      <c r="BC340" s="1009"/>
      <c r="BD340" s="1009"/>
    </row>
    <row r="341" spans="1:56" s="1010" customFormat="1" ht="36.75" customHeight="1">
      <c r="A341" s="661">
        <f>SUBTOTAL(3,B$6:B341)</f>
        <v>336</v>
      </c>
      <c r="B341" s="661" t="s">
        <v>1484</v>
      </c>
      <c r="C341" s="662" t="s">
        <v>1485</v>
      </c>
      <c r="D341" s="1011">
        <v>45715</v>
      </c>
      <c r="E341" s="1011" t="s">
        <v>217</v>
      </c>
      <c r="F341" s="787" t="s">
        <v>569</v>
      </c>
      <c r="G341" s="996" t="s">
        <v>1475</v>
      </c>
      <c r="H341" s="1012">
        <v>5023000</v>
      </c>
      <c r="I341" s="1012">
        <v>200000</v>
      </c>
      <c r="J341" s="1012">
        <v>0</v>
      </c>
      <c r="K341" s="1012">
        <v>0</v>
      </c>
      <c r="L341" s="1013">
        <f t="shared" si="106"/>
        <v>5223000</v>
      </c>
      <c r="M341" s="1014">
        <v>17.100000000000001</v>
      </c>
      <c r="N341" s="1013">
        <f t="shared" si="107"/>
        <v>3435127</v>
      </c>
      <c r="O341" s="1015">
        <v>3</v>
      </c>
      <c r="P341" s="1013">
        <f t="shared" si="108"/>
        <v>602654</v>
      </c>
      <c r="Q341" s="1016">
        <v>0</v>
      </c>
      <c r="R341" s="1013">
        <f t="shared" si="109"/>
        <v>0</v>
      </c>
      <c r="S341" s="1013">
        <f t="shared" si="110"/>
        <v>4037781</v>
      </c>
      <c r="T341" s="1017">
        <v>0</v>
      </c>
      <c r="U341" s="785">
        <v>0</v>
      </c>
      <c r="V341" s="785">
        <v>200000</v>
      </c>
      <c r="W341" s="1017">
        <v>0</v>
      </c>
      <c r="X341" s="1017">
        <v>0</v>
      </c>
      <c r="Y341" s="1017">
        <v>0</v>
      </c>
      <c r="Z341" s="1017">
        <v>240428</v>
      </c>
      <c r="AA341" s="1018"/>
      <c r="AB341" s="1013"/>
      <c r="AC341" s="1017">
        <v>0</v>
      </c>
      <c r="AD341" s="1017">
        <v>0</v>
      </c>
      <c r="AE341" s="1013">
        <v>0</v>
      </c>
      <c r="AF341" s="1019"/>
      <c r="AG341" s="1019">
        <f t="shared" si="112"/>
        <v>4478209</v>
      </c>
      <c r="AH341" s="1014">
        <v>29</v>
      </c>
      <c r="AI341" s="1014">
        <v>0</v>
      </c>
      <c r="AJ341" s="1014">
        <v>0</v>
      </c>
      <c r="AK341" s="1018">
        <v>0</v>
      </c>
      <c r="AL341" s="1020">
        <v>0</v>
      </c>
      <c r="AM341" s="1013">
        <f t="shared" si="111"/>
        <v>1092310</v>
      </c>
      <c r="AN341" s="1045">
        <f t="shared" si="113"/>
        <v>5570519</v>
      </c>
      <c r="AO341" s="1013">
        <v>548415</v>
      </c>
      <c r="AP341" s="1013">
        <v>0</v>
      </c>
      <c r="AQ341" s="1013">
        <v>0</v>
      </c>
      <c r="AR341" s="1013">
        <v>0</v>
      </c>
      <c r="AS341" s="1013">
        <v>0</v>
      </c>
      <c r="AT341" s="1045">
        <f t="shared" si="105"/>
        <v>5022104</v>
      </c>
      <c r="AU341" s="1004"/>
      <c r="AV341" s="870"/>
      <c r="AW341" s="782" t="s">
        <v>3981</v>
      </c>
      <c r="AX341" s="782" t="s">
        <v>3982</v>
      </c>
      <c r="AY341" s="1007" t="s">
        <v>288</v>
      </c>
      <c r="AZ341" s="1007">
        <v>622</v>
      </c>
      <c r="BA341" s="347" t="str">
        <f t="shared" si="104"/>
        <v>Bag</v>
      </c>
      <c r="BB341" s="1008"/>
      <c r="BC341" s="1009"/>
      <c r="BD341" s="1009"/>
    </row>
    <row r="342" spans="1:56" s="1010" customFormat="1" ht="36.75" customHeight="1">
      <c r="A342" s="661">
        <f>SUBTOTAL(3,B$6:B342)</f>
        <v>337</v>
      </c>
      <c r="B342" s="661" t="s">
        <v>1486</v>
      </c>
      <c r="C342" s="662" t="s">
        <v>1487</v>
      </c>
      <c r="D342" s="1011">
        <v>43161</v>
      </c>
      <c r="E342" s="1011" t="s">
        <v>217</v>
      </c>
      <c r="F342" s="787" t="s">
        <v>569</v>
      </c>
      <c r="G342" s="996" t="s">
        <v>1406</v>
      </c>
      <c r="H342" s="1012">
        <v>5931000</v>
      </c>
      <c r="I342" s="1012">
        <v>3800000</v>
      </c>
      <c r="J342" s="1012">
        <v>0</v>
      </c>
      <c r="K342" s="1012">
        <v>400000</v>
      </c>
      <c r="L342" s="1013">
        <f t="shared" si="106"/>
        <v>10131000</v>
      </c>
      <c r="M342" s="1014">
        <v>23.8</v>
      </c>
      <c r="N342" s="1013">
        <f t="shared" si="107"/>
        <v>9273762</v>
      </c>
      <c r="O342" s="1015">
        <v>2</v>
      </c>
      <c r="P342" s="1013">
        <f t="shared" si="108"/>
        <v>779308</v>
      </c>
      <c r="Q342" s="1016">
        <v>0</v>
      </c>
      <c r="R342" s="1013">
        <f t="shared" si="109"/>
        <v>0</v>
      </c>
      <c r="S342" s="1013">
        <f t="shared" si="110"/>
        <v>10053070</v>
      </c>
      <c r="T342" s="1017">
        <v>0</v>
      </c>
      <c r="U342" s="785">
        <v>0</v>
      </c>
      <c r="V342" s="785">
        <v>200000</v>
      </c>
      <c r="W342" s="1017">
        <v>500000</v>
      </c>
      <c r="X342" s="1017">
        <v>0</v>
      </c>
      <c r="Y342" s="1017">
        <v>400000</v>
      </c>
      <c r="Z342" s="1017">
        <v>282723</v>
      </c>
      <c r="AA342" s="1018"/>
      <c r="AB342" s="1013"/>
      <c r="AC342" s="1017">
        <v>0</v>
      </c>
      <c r="AD342" s="1017">
        <v>0</v>
      </c>
      <c r="AE342" s="1013">
        <v>0</v>
      </c>
      <c r="AF342" s="1019"/>
      <c r="AG342" s="1019">
        <f t="shared" si="112"/>
        <v>11435793</v>
      </c>
      <c r="AH342" s="1014">
        <v>44</v>
      </c>
      <c r="AI342" s="1014">
        <v>0</v>
      </c>
      <c r="AJ342" s="1014">
        <v>0</v>
      </c>
      <c r="AK342" s="1018">
        <v>0</v>
      </c>
      <c r="AL342" s="1020">
        <v>0</v>
      </c>
      <c r="AM342" s="1013">
        <f t="shared" si="111"/>
        <v>3214644</v>
      </c>
      <c r="AN342" s="1045">
        <f t="shared" si="113"/>
        <v>14650437</v>
      </c>
      <c r="AO342" s="1013">
        <v>1063755</v>
      </c>
      <c r="AP342" s="1013">
        <v>44100</v>
      </c>
      <c r="AQ342" s="1013">
        <v>80757</v>
      </c>
      <c r="AR342" s="1013">
        <v>0</v>
      </c>
      <c r="AS342" s="1013">
        <v>0</v>
      </c>
      <c r="AT342" s="1045">
        <f t="shared" si="105"/>
        <v>13461825</v>
      </c>
      <c r="AU342" s="1004"/>
      <c r="AV342" s="870"/>
      <c r="AW342" s="782" t="s">
        <v>3983</v>
      </c>
      <c r="AX342" s="782" t="s">
        <v>3984</v>
      </c>
      <c r="AY342" s="1007" t="s">
        <v>288</v>
      </c>
      <c r="AZ342" s="1007">
        <v>622</v>
      </c>
      <c r="BA342" s="347" t="str">
        <f t="shared" si="104"/>
        <v>Bag</v>
      </c>
      <c r="BB342" s="1008"/>
      <c r="BC342" s="1009"/>
      <c r="BD342" s="1009"/>
    </row>
    <row r="343" spans="1:56" s="1010" customFormat="1" ht="36.75" customHeight="1">
      <c r="A343" s="661">
        <f>SUBTOTAL(3,B$6:B343)</f>
        <v>338</v>
      </c>
      <c r="B343" s="661" t="s">
        <v>1488</v>
      </c>
      <c r="C343" s="662" t="s">
        <v>1489</v>
      </c>
      <c r="D343" s="1011">
        <v>44008</v>
      </c>
      <c r="E343" s="1011" t="s">
        <v>217</v>
      </c>
      <c r="F343" s="787" t="s">
        <v>570</v>
      </c>
      <c r="G343" s="996" t="s">
        <v>1108</v>
      </c>
      <c r="H343" s="1012">
        <v>5931000</v>
      </c>
      <c r="I343" s="1012">
        <v>400000</v>
      </c>
      <c r="J343" s="1012">
        <v>0</v>
      </c>
      <c r="K343" s="1012">
        <v>0</v>
      </c>
      <c r="L343" s="1013">
        <f t="shared" si="106"/>
        <v>6331000</v>
      </c>
      <c r="M343" s="1014">
        <v>24</v>
      </c>
      <c r="N343" s="1013">
        <f t="shared" si="107"/>
        <v>5844000</v>
      </c>
      <c r="O343" s="1015">
        <v>2</v>
      </c>
      <c r="P343" s="1013">
        <f t="shared" si="108"/>
        <v>487000</v>
      </c>
      <c r="Q343" s="1016">
        <v>0</v>
      </c>
      <c r="R343" s="1013">
        <f t="shared" si="109"/>
        <v>0</v>
      </c>
      <c r="S343" s="1013">
        <f t="shared" si="110"/>
        <v>6331000</v>
      </c>
      <c r="T343" s="1017">
        <v>0</v>
      </c>
      <c r="U343" s="785">
        <v>0</v>
      </c>
      <c r="V343" s="785">
        <v>200000</v>
      </c>
      <c r="W343" s="1017">
        <v>500000</v>
      </c>
      <c r="X343" s="1017">
        <v>0</v>
      </c>
      <c r="Y343" s="1017">
        <v>400000</v>
      </c>
      <c r="Z343" s="1017">
        <v>367258</v>
      </c>
      <c r="AA343" s="1018"/>
      <c r="AB343" s="1013"/>
      <c r="AC343" s="1017">
        <v>0</v>
      </c>
      <c r="AD343" s="1017">
        <v>0</v>
      </c>
      <c r="AE343" s="1013">
        <v>0</v>
      </c>
      <c r="AF343" s="1019"/>
      <c r="AG343" s="1019">
        <f t="shared" si="112"/>
        <v>7798258</v>
      </c>
      <c r="AH343" s="1014">
        <v>40</v>
      </c>
      <c r="AI343" s="1014">
        <v>0</v>
      </c>
      <c r="AJ343" s="1014">
        <v>0</v>
      </c>
      <c r="AK343" s="1018">
        <v>0</v>
      </c>
      <c r="AL343" s="1020">
        <v>0</v>
      </c>
      <c r="AM343" s="1013">
        <f t="shared" si="111"/>
        <v>1826250</v>
      </c>
      <c r="AN343" s="1045">
        <f t="shared" si="113"/>
        <v>9624508</v>
      </c>
      <c r="AO343" s="1013">
        <v>664755</v>
      </c>
      <c r="AP343" s="1013">
        <v>44100</v>
      </c>
      <c r="AQ343" s="1013">
        <v>0</v>
      </c>
      <c r="AR343" s="1013">
        <v>0</v>
      </c>
      <c r="AS343" s="1013">
        <v>0</v>
      </c>
      <c r="AT343" s="1045">
        <f t="shared" si="105"/>
        <v>8915653</v>
      </c>
      <c r="AU343" s="1004"/>
      <c r="AV343" s="870"/>
      <c r="AW343" s="782" t="s">
        <v>3985</v>
      </c>
      <c r="AX343" s="782" t="s">
        <v>3986</v>
      </c>
      <c r="AY343" s="1007" t="s">
        <v>287</v>
      </c>
      <c r="AZ343" s="1007">
        <v>622</v>
      </c>
      <c r="BA343" s="347" t="str">
        <f t="shared" si="104"/>
        <v>Box</v>
      </c>
      <c r="BB343" s="1008"/>
      <c r="BC343" s="1009"/>
      <c r="BD343" s="1009"/>
    </row>
    <row r="344" spans="1:56" s="1010" customFormat="1" ht="36.75" customHeight="1">
      <c r="A344" s="661">
        <f>SUBTOTAL(3,B$6:B344)</f>
        <v>339</v>
      </c>
      <c r="B344" s="661" t="s">
        <v>1490</v>
      </c>
      <c r="C344" s="662" t="s">
        <v>1491</v>
      </c>
      <c r="D344" s="1011">
        <v>44775</v>
      </c>
      <c r="E344" s="1011" t="s">
        <v>217</v>
      </c>
      <c r="F344" s="787" t="s">
        <v>570</v>
      </c>
      <c r="G344" s="996" t="s">
        <v>1395</v>
      </c>
      <c r="H344" s="1012">
        <v>5815000</v>
      </c>
      <c r="I344" s="1012">
        <v>400000</v>
      </c>
      <c r="J344" s="1012">
        <v>0</v>
      </c>
      <c r="K344" s="1012">
        <v>0</v>
      </c>
      <c r="L344" s="1013">
        <f t="shared" si="106"/>
        <v>6215000</v>
      </c>
      <c r="M344" s="1014">
        <v>23</v>
      </c>
      <c r="N344" s="1013">
        <f t="shared" si="107"/>
        <v>5497885</v>
      </c>
      <c r="O344" s="1015">
        <v>3</v>
      </c>
      <c r="P344" s="1013">
        <f t="shared" si="108"/>
        <v>717115</v>
      </c>
      <c r="Q344" s="1016">
        <v>0</v>
      </c>
      <c r="R344" s="1013">
        <f t="shared" si="109"/>
        <v>0</v>
      </c>
      <c r="S344" s="1013">
        <f t="shared" si="110"/>
        <v>6215000</v>
      </c>
      <c r="T344" s="1017">
        <v>0</v>
      </c>
      <c r="U344" s="785">
        <v>0</v>
      </c>
      <c r="V344" s="785">
        <v>200000</v>
      </c>
      <c r="W344" s="1017">
        <v>500000</v>
      </c>
      <c r="X344" s="1017">
        <v>0</v>
      </c>
      <c r="Y344" s="1017">
        <v>400000</v>
      </c>
      <c r="Z344" s="1017">
        <v>351955</v>
      </c>
      <c r="AA344" s="1018"/>
      <c r="AB344" s="1013"/>
      <c r="AC344" s="1017">
        <v>0</v>
      </c>
      <c r="AD344" s="1017">
        <v>0</v>
      </c>
      <c r="AE344" s="1013">
        <v>0</v>
      </c>
      <c r="AF344" s="1019"/>
      <c r="AG344" s="1019">
        <f t="shared" si="112"/>
        <v>7666955</v>
      </c>
      <c r="AH344" s="1014">
        <v>40</v>
      </c>
      <c r="AI344" s="1014">
        <v>0</v>
      </c>
      <c r="AJ344" s="1014">
        <v>0</v>
      </c>
      <c r="AK344" s="1018">
        <v>0</v>
      </c>
      <c r="AL344" s="1020">
        <v>0</v>
      </c>
      <c r="AM344" s="1013">
        <f t="shared" si="111"/>
        <v>1792789</v>
      </c>
      <c r="AN344" s="1045">
        <f t="shared" si="113"/>
        <v>9459744</v>
      </c>
      <c r="AO344" s="1013">
        <v>652575</v>
      </c>
      <c r="AP344" s="1013">
        <v>44100</v>
      </c>
      <c r="AQ344" s="1013">
        <v>0</v>
      </c>
      <c r="AR344" s="1013">
        <v>0</v>
      </c>
      <c r="AS344" s="1013">
        <v>0</v>
      </c>
      <c r="AT344" s="1045">
        <f t="shared" si="105"/>
        <v>8763069</v>
      </c>
      <c r="AU344" s="1004"/>
      <c r="AV344" s="870"/>
      <c r="AW344" s="782" t="s">
        <v>3987</v>
      </c>
      <c r="AX344" s="782" t="s">
        <v>3988</v>
      </c>
      <c r="AY344" s="1007" t="s">
        <v>287</v>
      </c>
      <c r="AZ344" s="1007">
        <v>622</v>
      </c>
      <c r="BA344" s="347" t="str">
        <f t="shared" si="104"/>
        <v>Box</v>
      </c>
      <c r="BB344" s="1008"/>
      <c r="BC344" s="1009"/>
      <c r="BD344" s="1009"/>
    </row>
    <row r="345" spans="1:56" s="1010" customFormat="1" ht="36.75" customHeight="1">
      <c r="A345" s="661">
        <f>SUBTOTAL(3,B$6:B345)</f>
        <v>340</v>
      </c>
      <c r="B345" s="661" t="s">
        <v>1492</v>
      </c>
      <c r="C345" s="662" t="s">
        <v>1493</v>
      </c>
      <c r="D345" s="1011">
        <v>45265</v>
      </c>
      <c r="E345" s="1011" t="s">
        <v>217</v>
      </c>
      <c r="F345" s="787" t="s">
        <v>570</v>
      </c>
      <c r="G345" s="996" t="s">
        <v>1108</v>
      </c>
      <c r="H345" s="1012">
        <v>5538000</v>
      </c>
      <c r="I345" s="1012">
        <v>400000</v>
      </c>
      <c r="J345" s="1012">
        <v>0</v>
      </c>
      <c r="K345" s="1012">
        <v>0</v>
      </c>
      <c r="L345" s="1013">
        <f t="shared" si="106"/>
        <v>5938000</v>
      </c>
      <c r="M345" s="1014">
        <v>23.9</v>
      </c>
      <c r="N345" s="1013">
        <f t="shared" si="107"/>
        <v>5458392</v>
      </c>
      <c r="O345" s="1015">
        <v>2</v>
      </c>
      <c r="P345" s="1013">
        <f t="shared" si="108"/>
        <v>456769</v>
      </c>
      <c r="Q345" s="1016">
        <v>0</v>
      </c>
      <c r="R345" s="1013">
        <f t="shared" si="109"/>
        <v>0</v>
      </c>
      <c r="S345" s="1013">
        <f t="shared" si="110"/>
        <v>5915161</v>
      </c>
      <c r="T345" s="1017">
        <v>0</v>
      </c>
      <c r="U345" s="785">
        <v>0</v>
      </c>
      <c r="V345" s="785">
        <v>200000</v>
      </c>
      <c r="W345" s="1017">
        <v>500000</v>
      </c>
      <c r="X345" s="1017">
        <v>0</v>
      </c>
      <c r="Y345" s="1017">
        <v>400000</v>
      </c>
      <c r="Z345" s="1017">
        <v>365727</v>
      </c>
      <c r="AA345" s="1018"/>
      <c r="AB345" s="1013"/>
      <c r="AC345" s="1017">
        <v>0</v>
      </c>
      <c r="AD345" s="1017">
        <v>0</v>
      </c>
      <c r="AE345" s="1013">
        <v>0</v>
      </c>
      <c r="AF345" s="1019"/>
      <c r="AG345" s="1019">
        <f t="shared" si="112"/>
        <v>7380888</v>
      </c>
      <c r="AH345" s="1014">
        <v>32</v>
      </c>
      <c r="AI345" s="1014">
        <v>0</v>
      </c>
      <c r="AJ345" s="1014">
        <v>0</v>
      </c>
      <c r="AK345" s="1018">
        <v>0</v>
      </c>
      <c r="AL345" s="1020">
        <v>0</v>
      </c>
      <c r="AM345" s="1013">
        <f t="shared" si="111"/>
        <v>1370308</v>
      </c>
      <c r="AN345" s="1045">
        <f t="shared" si="113"/>
        <v>8751196</v>
      </c>
      <c r="AO345" s="1013">
        <v>623490</v>
      </c>
      <c r="AP345" s="1013">
        <v>44100</v>
      </c>
      <c r="AQ345" s="1013">
        <v>0</v>
      </c>
      <c r="AR345" s="1013">
        <v>0</v>
      </c>
      <c r="AS345" s="1013">
        <v>0</v>
      </c>
      <c r="AT345" s="1045">
        <f t="shared" si="105"/>
        <v>8083606</v>
      </c>
      <c r="AU345" s="1004"/>
      <c r="AV345" s="870"/>
      <c r="AW345" s="782" t="s">
        <v>3989</v>
      </c>
      <c r="AX345" s="782" t="s">
        <v>3990</v>
      </c>
      <c r="AY345" s="1007" t="s">
        <v>287</v>
      </c>
      <c r="AZ345" s="1007">
        <v>622</v>
      </c>
      <c r="BA345" s="347" t="str">
        <f t="shared" ref="BA345:BA378" si="114">+IF(AY345="SK1 Box","Box",IF(AY345="Seaman","Seaman","Bag"))</f>
        <v>Box</v>
      </c>
      <c r="BB345" s="1008"/>
      <c r="BC345" s="1009"/>
      <c r="BD345" s="1009"/>
    </row>
    <row r="346" spans="1:56" s="1010" customFormat="1" ht="36.75" customHeight="1">
      <c r="A346" s="661">
        <f>SUBTOTAL(3,B$6:B346)</f>
        <v>341</v>
      </c>
      <c r="B346" s="661" t="s">
        <v>1494</v>
      </c>
      <c r="C346" s="662" t="s">
        <v>1495</v>
      </c>
      <c r="D346" s="1011">
        <v>45344</v>
      </c>
      <c r="E346" s="1011" t="s">
        <v>217</v>
      </c>
      <c r="F346" s="787" t="s">
        <v>570</v>
      </c>
      <c r="G346" s="996" t="s">
        <v>1108</v>
      </c>
      <c r="H346" s="1012">
        <v>5538000</v>
      </c>
      <c r="I346" s="1012">
        <v>400000</v>
      </c>
      <c r="J346" s="1012">
        <v>0</v>
      </c>
      <c r="K346" s="1012">
        <v>0</v>
      </c>
      <c r="L346" s="1013">
        <f t="shared" si="106"/>
        <v>5938000</v>
      </c>
      <c r="M346" s="1014">
        <v>24</v>
      </c>
      <c r="N346" s="1013">
        <f t="shared" si="107"/>
        <v>5481231</v>
      </c>
      <c r="O346" s="1015">
        <v>2</v>
      </c>
      <c r="P346" s="1013">
        <f t="shared" si="108"/>
        <v>456769</v>
      </c>
      <c r="Q346" s="1016">
        <v>0</v>
      </c>
      <c r="R346" s="1013">
        <f t="shared" si="109"/>
        <v>0</v>
      </c>
      <c r="S346" s="1013">
        <f t="shared" si="110"/>
        <v>5938000</v>
      </c>
      <c r="T346" s="1017">
        <v>0</v>
      </c>
      <c r="U346" s="785">
        <v>0</v>
      </c>
      <c r="V346" s="785">
        <v>200000</v>
      </c>
      <c r="W346" s="1017">
        <v>500000</v>
      </c>
      <c r="X346" s="1017">
        <v>0</v>
      </c>
      <c r="Y346" s="1017">
        <v>400000</v>
      </c>
      <c r="Z346" s="1017">
        <v>367258</v>
      </c>
      <c r="AA346" s="1018"/>
      <c r="AB346" s="1013"/>
      <c r="AC346" s="1017">
        <v>0</v>
      </c>
      <c r="AD346" s="1017">
        <v>0</v>
      </c>
      <c r="AE346" s="1013">
        <v>42822.1171875</v>
      </c>
      <c r="AF346" s="1019"/>
      <c r="AG346" s="1019">
        <f t="shared" si="112"/>
        <v>7448080</v>
      </c>
      <c r="AH346" s="1014">
        <v>40</v>
      </c>
      <c r="AI346" s="1014">
        <v>0</v>
      </c>
      <c r="AJ346" s="1014">
        <v>0</v>
      </c>
      <c r="AK346" s="1018">
        <v>0</v>
      </c>
      <c r="AL346" s="1020">
        <v>0</v>
      </c>
      <c r="AM346" s="1013">
        <f t="shared" si="111"/>
        <v>1712885</v>
      </c>
      <c r="AN346" s="1045">
        <f t="shared" si="113"/>
        <v>9160965</v>
      </c>
      <c r="AO346" s="1013">
        <v>623490</v>
      </c>
      <c r="AP346" s="1013">
        <v>44100</v>
      </c>
      <c r="AQ346" s="1013">
        <v>0</v>
      </c>
      <c r="AR346" s="1013">
        <v>0</v>
      </c>
      <c r="AS346" s="1013">
        <v>0</v>
      </c>
      <c r="AT346" s="1045">
        <f t="shared" si="105"/>
        <v>8493375</v>
      </c>
      <c r="AU346" s="1004"/>
      <c r="AV346" s="870"/>
      <c r="AW346" s="782" t="s">
        <v>3991</v>
      </c>
      <c r="AX346" s="782" t="s">
        <v>3992</v>
      </c>
      <c r="AY346" s="1007" t="s">
        <v>287</v>
      </c>
      <c r="AZ346" s="1007">
        <v>622</v>
      </c>
      <c r="BA346" s="347" t="str">
        <f t="shared" si="114"/>
        <v>Box</v>
      </c>
      <c r="BB346" s="1008"/>
      <c r="BC346" s="1009"/>
      <c r="BD346" s="1009"/>
    </row>
    <row r="347" spans="1:56" s="1010" customFormat="1" ht="36.75" customHeight="1">
      <c r="A347" s="661">
        <f>SUBTOTAL(3,B$6:B347)</f>
        <v>342</v>
      </c>
      <c r="B347" s="661" t="s">
        <v>1496</v>
      </c>
      <c r="C347" s="662" t="s">
        <v>1497</v>
      </c>
      <c r="D347" s="1011">
        <v>45510</v>
      </c>
      <c r="E347" s="1011" t="s">
        <v>217</v>
      </c>
      <c r="F347" s="787" t="s">
        <v>570</v>
      </c>
      <c r="G347" s="996" t="s">
        <v>1108</v>
      </c>
      <c r="H347" s="1012">
        <v>5274000</v>
      </c>
      <c r="I347" s="1012">
        <v>300000</v>
      </c>
      <c r="J347" s="1012">
        <v>0</v>
      </c>
      <c r="K347" s="1012">
        <v>0</v>
      </c>
      <c r="L347" s="1013">
        <f t="shared" si="106"/>
        <v>5574000</v>
      </c>
      <c r="M347" s="1014">
        <v>21.3</v>
      </c>
      <c r="N347" s="1013">
        <f t="shared" si="107"/>
        <v>4566392</v>
      </c>
      <c r="O347" s="1015">
        <v>2</v>
      </c>
      <c r="P347" s="1013">
        <f t="shared" si="108"/>
        <v>428769</v>
      </c>
      <c r="Q347" s="1016">
        <v>0</v>
      </c>
      <c r="R347" s="1013">
        <f t="shared" si="109"/>
        <v>0</v>
      </c>
      <c r="S347" s="1013">
        <f t="shared" si="110"/>
        <v>4995161</v>
      </c>
      <c r="T347" s="1017">
        <v>0</v>
      </c>
      <c r="U347" s="785">
        <v>0</v>
      </c>
      <c r="V347" s="785">
        <v>200000</v>
      </c>
      <c r="W347" s="1017">
        <v>0</v>
      </c>
      <c r="X347" s="1017">
        <v>0</v>
      </c>
      <c r="Y347" s="1017">
        <v>300000</v>
      </c>
      <c r="Z347" s="1017">
        <v>325941</v>
      </c>
      <c r="AA347" s="1018"/>
      <c r="AB347" s="1013"/>
      <c r="AC347" s="1017">
        <v>0</v>
      </c>
      <c r="AD347" s="1017">
        <v>0</v>
      </c>
      <c r="AE347" s="1013">
        <v>40197.112676056335</v>
      </c>
      <c r="AF347" s="1019"/>
      <c r="AG347" s="1019">
        <f t="shared" si="112"/>
        <v>5861299</v>
      </c>
      <c r="AH347" s="1014">
        <v>24</v>
      </c>
      <c r="AI347" s="1014">
        <v>0</v>
      </c>
      <c r="AJ347" s="1014">
        <v>0</v>
      </c>
      <c r="AK347" s="1018">
        <v>0</v>
      </c>
      <c r="AL347" s="1020">
        <v>0</v>
      </c>
      <c r="AM347" s="1013">
        <f t="shared" si="111"/>
        <v>964731</v>
      </c>
      <c r="AN347" s="1045">
        <f t="shared" si="113"/>
        <v>6826030</v>
      </c>
      <c r="AO347" s="1013">
        <v>585270</v>
      </c>
      <c r="AP347" s="1013">
        <v>44100</v>
      </c>
      <c r="AQ347" s="1013">
        <v>0</v>
      </c>
      <c r="AR347" s="1013">
        <v>0</v>
      </c>
      <c r="AS347" s="1013">
        <v>0</v>
      </c>
      <c r="AT347" s="1045">
        <f t="shared" si="105"/>
        <v>6196660</v>
      </c>
      <c r="AU347" s="1004"/>
      <c r="AV347" s="870"/>
      <c r="AW347" s="782" t="s">
        <v>3993</v>
      </c>
      <c r="AX347" s="782" t="s">
        <v>3994</v>
      </c>
      <c r="AY347" s="1007" t="s">
        <v>287</v>
      </c>
      <c r="AZ347" s="1007">
        <v>622</v>
      </c>
      <c r="BA347" s="347" t="str">
        <f t="shared" si="114"/>
        <v>Box</v>
      </c>
      <c r="BB347" s="1008"/>
      <c r="BC347" s="1009"/>
      <c r="BD347" s="1009"/>
    </row>
    <row r="348" spans="1:56" s="1010" customFormat="1" ht="36.75" customHeight="1">
      <c r="A348" s="661">
        <f>SUBTOTAL(3,B$6:B348)</f>
        <v>343</v>
      </c>
      <c r="B348" s="661" t="s">
        <v>1498</v>
      </c>
      <c r="C348" s="662" t="s">
        <v>1499</v>
      </c>
      <c r="D348" s="1011">
        <v>45558</v>
      </c>
      <c r="E348" s="1011" t="s">
        <v>217</v>
      </c>
      <c r="F348" s="787" t="s">
        <v>570</v>
      </c>
      <c r="G348" s="996" t="s">
        <v>1108</v>
      </c>
      <c r="H348" s="1012">
        <v>5274000</v>
      </c>
      <c r="I348" s="1012">
        <v>300000</v>
      </c>
      <c r="J348" s="1012">
        <v>0</v>
      </c>
      <c r="K348" s="1012">
        <v>0</v>
      </c>
      <c r="L348" s="1013">
        <f t="shared" si="106"/>
        <v>5574000</v>
      </c>
      <c r="M348" s="1014">
        <v>24</v>
      </c>
      <c r="N348" s="1013">
        <f t="shared" si="107"/>
        <v>5145231</v>
      </c>
      <c r="O348" s="1015">
        <v>2</v>
      </c>
      <c r="P348" s="1013">
        <f t="shared" si="108"/>
        <v>428769</v>
      </c>
      <c r="Q348" s="1016">
        <v>0</v>
      </c>
      <c r="R348" s="1013">
        <f t="shared" si="109"/>
        <v>0</v>
      </c>
      <c r="S348" s="1013">
        <f t="shared" si="110"/>
        <v>5574000</v>
      </c>
      <c r="T348" s="1017">
        <v>0</v>
      </c>
      <c r="U348" s="785">
        <v>0</v>
      </c>
      <c r="V348" s="785">
        <v>200000</v>
      </c>
      <c r="W348" s="1017">
        <v>500000</v>
      </c>
      <c r="X348" s="1017">
        <v>0</v>
      </c>
      <c r="Y348" s="1017">
        <v>400000</v>
      </c>
      <c r="Z348" s="1017">
        <v>367258</v>
      </c>
      <c r="AA348" s="1018"/>
      <c r="AB348" s="1013"/>
      <c r="AC348" s="1017">
        <v>0</v>
      </c>
      <c r="AD348" s="1017">
        <v>0</v>
      </c>
      <c r="AE348" s="1013">
        <v>0</v>
      </c>
      <c r="AF348" s="1019"/>
      <c r="AG348" s="1019">
        <f t="shared" si="112"/>
        <v>7041258</v>
      </c>
      <c r="AH348" s="1014">
        <v>40</v>
      </c>
      <c r="AI348" s="1014">
        <v>0</v>
      </c>
      <c r="AJ348" s="1014">
        <v>0</v>
      </c>
      <c r="AK348" s="1018">
        <v>0</v>
      </c>
      <c r="AL348" s="1020">
        <v>0</v>
      </c>
      <c r="AM348" s="1013">
        <f t="shared" si="111"/>
        <v>1607885</v>
      </c>
      <c r="AN348" s="1045">
        <f t="shared" si="113"/>
        <v>8649143</v>
      </c>
      <c r="AO348" s="1013">
        <v>585270</v>
      </c>
      <c r="AP348" s="1013">
        <v>44100</v>
      </c>
      <c r="AQ348" s="1013">
        <v>0</v>
      </c>
      <c r="AR348" s="1013">
        <v>0</v>
      </c>
      <c r="AS348" s="1013">
        <v>0</v>
      </c>
      <c r="AT348" s="1045">
        <f t="shared" si="105"/>
        <v>8019773</v>
      </c>
      <c r="AU348" s="1004"/>
      <c r="AV348" s="870"/>
      <c r="AW348" s="782" t="s">
        <v>3995</v>
      </c>
      <c r="AX348" s="782" t="s">
        <v>3996</v>
      </c>
      <c r="AY348" s="1007" t="s">
        <v>287</v>
      </c>
      <c r="AZ348" s="1007">
        <v>622</v>
      </c>
      <c r="BA348" s="347" t="str">
        <f t="shared" si="114"/>
        <v>Box</v>
      </c>
      <c r="BB348" s="1008"/>
      <c r="BC348" s="1009"/>
      <c r="BD348" s="1009"/>
    </row>
    <row r="349" spans="1:56" s="1010" customFormat="1" ht="36.75" customHeight="1">
      <c r="A349" s="661">
        <f>SUBTOTAL(3,B$6:B349)</f>
        <v>344</v>
      </c>
      <c r="B349" s="661" t="s">
        <v>1500</v>
      </c>
      <c r="C349" s="662" t="s">
        <v>1501</v>
      </c>
      <c r="D349" s="1011">
        <v>45561</v>
      </c>
      <c r="E349" s="1011" t="s">
        <v>217</v>
      </c>
      <c r="F349" s="787" t="s">
        <v>570</v>
      </c>
      <c r="G349" s="996" t="s">
        <v>1108</v>
      </c>
      <c r="H349" s="1012">
        <v>5274000</v>
      </c>
      <c r="I349" s="1012">
        <v>300000</v>
      </c>
      <c r="J349" s="1012">
        <v>0</v>
      </c>
      <c r="K349" s="1012">
        <v>0</v>
      </c>
      <c r="L349" s="1013">
        <f t="shared" si="106"/>
        <v>5574000</v>
      </c>
      <c r="M349" s="1014">
        <v>23.2</v>
      </c>
      <c r="N349" s="1013">
        <f t="shared" si="107"/>
        <v>4973723</v>
      </c>
      <c r="O349" s="1015">
        <v>2</v>
      </c>
      <c r="P349" s="1013">
        <f t="shared" si="108"/>
        <v>428769</v>
      </c>
      <c r="Q349" s="1016">
        <v>0</v>
      </c>
      <c r="R349" s="1013">
        <f t="shared" si="109"/>
        <v>0</v>
      </c>
      <c r="S349" s="1013">
        <f t="shared" si="110"/>
        <v>5402492</v>
      </c>
      <c r="T349" s="1017">
        <v>0</v>
      </c>
      <c r="U349" s="785">
        <v>0</v>
      </c>
      <c r="V349" s="785">
        <v>200000</v>
      </c>
      <c r="W349" s="1017">
        <v>0</v>
      </c>
      <c r="X349" s="1017">
        <v>0</v>
      </c>
      <c r="Y349" s="1017">
        <v>400000</v>
      </c>
      <c r="Z349" s="1017">
        <v>355016</v>
      </c>
      <c r="AA349" s="1018"/>
      <c r="AB349" s="1013"/>
      <c r="AC349" s="1017">
        <v>0</v>
      </c>
      <c r="AD349" s="1017">
        <v>0</v>
      </c>
      <c r="AE349" s="1013">
        <v>0</v>
      </c>
      <c r="AF349" s="1019"/>
      <c r="AG349" s="1019">
        <f t="shared" si="112"/>
        <v>6357508</v>
      </c>
      <c r="AH349" s="1014">
        <v>32</v>
      </c>
      <c r="AI349" s="1014">
        <v>0</v>
      </c>
      <c r="AJ349" s="1014">
        <v>0</v>
      </c>
      <c r="AK349" s="1018">
        <v>0</v>
      </c>
      <c r="AL349" s="1020">
        <v>0</v>
      </c>
      <c r="AM349" s="1013">
        <f t="shared" si="111"/>
        <v>1286308</v>
      </c>
      <c r="AN349" s="1045">
        <f t="shared" si="113"/>
        <v>7643816</v>
      </c>
      <c r="AO349" s="1013">
        <v>585270</v>
      </c>
      <c r="AP349" s="1013">
        <v>44100</v>
      </c>
      <c r="AQ349" s="1013">
        <v>0</v>
      </c>
      <c r="AR349" s="1013">
        <v>0</v>
      </c>
      <c r="AS349" s="1013">
        <v>0</v>
      </c>
      <c r="AT349" s="1045">
        <f t="shared" si="105"/>
        <v>7014446</v>
      </c>
      <c r="AU349" s="1004"/>
      <c r="AV349" s="870"/>
      <c r="AW349" s="782" t="s">
        <v>3997</v>
      </c>
      <c r="AX349" s="782" t="s">
        <v>3998</v>
      </c>
      <c r="AY349" s="1007" t="s">
        <v>287</v>
      </c>
      <c r="AZ349" s="1007">
        <v>622</v>
      </c>
      <c r="BA349" s="347" t="str">
        <f t="shared" si="114"/>
        <v>Box</v>
      </c>
      <c r="BB349" s="1008"/>
      <c r="BC349" s="1009"/>
      <c r="BD349" s="1009"/>
    </row>
    <row r="350" spans="1:56" s="1010" customFormat="1" ht="36.75" customHeight="1">
      <c r="A350" s="661">
        <f>SUBTOTAL(3,B$6:B350)</f>
        <v>345</v>
      </c>
      <c r="B350" s="661" t="s">
        <v>1502</v>
      </c>
      <c r="C350" s="662" t="s">
        <v>1503</v>
      </c>
      <c r="D350" s="1011">
        <v>45563</v>
      </c>
      <c r="E350" s="1011" t="s">
        <v>217</v>
      </c>
      <c r="F350" s="787" t="s">
        <v>570</v>
      </c>
      <c r="G350" s="996" t="s">
        <v>1108</v>
      </c>
      <c r="H350" s="1012">
        <v>5274000</v>
      </c>
      <c r="I350" s="1012">
        <v>300000</v>
      </c>
      <c r="J350" s="1012">
        <v>0</v>
      </c>
      <c r="K350" s="1012">
        <v>0</v>
      </c>
      <c r="L350" s="1013">
        <f t="shared" si="106"/>
        <v>5574000</v>
      </c>
      <c r="M350" s="1014">
        <v>22.8</v>
      </c>
      <c r="N350" s="1013">
        <f t="shared" si="107"/>
        <v>4887969</v>
      </c>
      <c r="O350" s="1015">
        <v>3</v>
      </c>
      <c r="P350" s="1013">
        <f t="shared" si="108"/>
        <v>643154</v>
      </c>
      <c r="Q350" s="1016">
        <v>0</v>
      </c>
      <c r="R350" s="1013">
        <f t="shared" si="109"/>
        <v>0</v>
      </c>
      <c r="S350" s="1013">
        <f t="shared" si="110"/>
        <v>5531123</v>
      </c>
      <c r="T350" s="1017">
        <v>0</v>
      </c>
      <c r="U350" s="785">
        <v>0</v>
      </c>
      <c r="V350" s="785">
        <v>200000</v>
      </c>
      <c r="W350" s="1017">
        <v>500000</v>
      </c>
      <c r="X350" s="1017">
        <v>0</v>
      </c>
      <c r="Y350" s="1017">
        <v>400000</v>
      </c>
      <c r="Z350" s="1017">
        <v>348895</v>
      </c>
      <c r="AA350" s="1018"/>
      <c r="AB350" s="1013"/>
      <c r="AC350" s="1017">
        <v>0</v>
      </c>
      <c r="AD350" s="1017">
        <v>0</v>
      </c>
      <c r="AE350" s="1013">
        <v>0</v>
      </c>
      <c r="AF350" s="1019"/>
      <c r="AG350" s="1019">
        <f t="shared" si="112"/>
        <v>6980018</v>
      </c>
      <c r="AH350" s="1014">
        <v>40</v>
      </c>
      <c r="AI350" s="1014">
        <v>0</v>
      </c>
      <c r="AJ350" s="1014">
        <v>0</v>
      </c>
      <c r="AK350" s="1018">
        <v>0</v>
      </c>
      <c r="AL350" s="1020">
        <v>0</v>
      </c>
      <c r="AM350" s="1013">
        <f t="shared" si="111"/>
        <v>1607885</v>
      </c>
      <c r="AN350" s="1045">
        <f t="shared" si="113"/>
        <v>8587903</v>
      </c>
      <c r="AO350" s="1013">
        <v>585270</v>
      </c>
      <c r="AP350" s="1013">
        <v>44100</v>
      </c>
      <c r="AQ350" s="1013">
        <v>0</v>
      </c>
      <c r="AR350" s="1013">
        <v>0</v>
      </c>
      <c r="AS350" s="1013">
        <v>0</v>
      </c>
      <c r="AT350" s="1045">
        <f t="shared" si="105"/>
        <v>7958533</v>
      </c>
      <c r="AU350" s="1004"/>
      <c r="AV350" s="870"/>
      <c r="AW350" s="782" t="s">
        <v>3999</v>
      </c>
      <c r="AX350" s="782" t="s">
        <v>4000</v>
      </c>
      <c r="AY350" s="1007" t="s">
        <v>287</v>
      </c>
      <c r="AZ350" s="1007">
        <v>622</v>
      </c>
      <c r="BA350" s="347" t="str">
        <f t="shared" si="114"/>
        <v>Box</v>
      </c>
      <c r="BB350" s="1008"/>
      <c r="BC350" s="1009"/>
      <c r="BD350" s="1009"/>
    </row>
    <row r="351" spans="1:56" s="1010" customFormat="1" ht="36.75" customHeight="1">
      <c r="A351" s="661">
        <f>SUBTOTAL(3,B$6:B351)</f>
        <v>346</v>
      </c>
      <c r="B351" s="661" t="s">
        <v>1504</v>
      </c>
      <c r="C351" s="662" t="s">
        <v>1505</v>
      </c>
      <c r="D351" s="1011">
        <v>45579</v>
      </c>
      <c r="E351" s="1011" t="s">
        <v>217</v>
      </c>
      <c r="F351" s="787" t="s">
        <v>570</v>
      </c>
      <c r="G351" s="996" t="s">
        <v>1108</v>
      </c>
      <c r="H351" s="1012">
        <v>5274000</v>
      </c>
      <c r="I351" s="1012">
        <v>300000</v>
      </c>
      <c r="J351" s="1012">
        <v>0</v>
      </c>
      <c r="K351" s="1012">
        <v>0</v>
      </c>
      <c r="L351" s="1013">
        <f t="shared" si="106"/>
        <v>5574000</v>
      </c>
      <c r="M351" s="1014">
        <v>24</v>
      </c>
      <c r="N351" s="1013">
        <f t="shared" si="107"/>
        <v>5145231</v>
      </c>
      <c r="O351" s="1015">
        <v>2</v>
      </c>
      <c r="P351" s="1013">
        <f t="shared" si="108"/>
        <v>428769</v>
      </c>
      <c r="Q351" s="1016">
        <v>0</v>
      </c>
      <c r="R351" s="1013">
        <f t="shared" si="109"/>
        <v>0</v>
      </c>
      <c r="S351" s="1013">
        <f t="shared" si="110"/>
        <v>5574000</v>
      </c>
      <c r="T351" s="1017">
        <v>0</v>
      </c>
      <c r="U351" s="785">
        <v>0</v>
      </c>
      <c r="V351" s="785">
        <v>200000</v>
      </c>
      <c r="W351" s="1017">
        <v>500000</v>
      </c>
      <c r="X351" s="1017">
        <v>0</v>
      </c>
      <c r="Y351" s="1017">
        <v>400000</v>
      </c>
      <c r="Z351" s="1017">
        <v>367258</v>
      </c>
      <c r="AA351" s="1018"/>
      <c r="AB351" s="1013"/>
      <c r="AC351" s="1017">
        <v>0</v>
      </c>
      <c r="AD351" s="1017">
        <v>0</v>
      </c>
      <c r="AE351" s="1013">
        <v>0</v>
      </c>
      <c r="AF351" s="1019"/>
      <c r="AG351" s="1019">
        <f t="shared" si="112"/>
        <v>7041258</v>
      </c>
      <c r="AH351" s="1014">
        <v>40</v>
      </c>
      <c r="AI351" s="1014">
        <v>0</v>
      </c>
      <c r="AJ351" s="1014">
        <v>0</v>
      </c>
      <c r="AK351" s="1018">
        <v>0</v>
      </c>
      <c r="AL351" s="1020">
        <v>0</v>
      </c>
      <c r="AM351" s="1013">
        <f t="shared" si="111"/>
        <v>1607885</v>
      </c>
      <c r="AN351" s="1045">
        <f t="shared" si="113"/>
        <v>8649143</v>
      </c>
      <c r="AO351" s="1013">
        <v>585270</v>
      </c>
      <c r="AP351" s="1013">
        <v>44100</v>
      </c>
      <c r="AQ351" s="1013">
        <v>0</v>
      </c>
      <c r="AR351" s="1013">
        <v>0</v>
      </c>
      <c r="AS351" s="1013">
        <v>0</v>
      </c>
      <c r="AT351" s="1045">
        <f t="shared" si="105"/>
        <v>8019773</v>
      </c>
      <c r="AU351" s="1004"/>
      <c r="AV351" s="870"/>
      <c r="AW351" s="782" t="s">
        <v>4001</v>
      </c>
      <c r="AX351" s="782" t="s">
        <v>4002</v>
      </c>
      <c r="AY351" s="1007" t="s">
        <v>287</v>
      </c>
      <c r="AZ351" s="1007">
        <v>622</v>
      </c>
      <c r="BA351" s="347" t="str">
        <f t="shared" si="114"/>
        <v>Box</v>
      </c>
      <c r="BB351" s="1008"/>
      <c r="BC351" s="1009"/>
      <c r="BD351" s="1009"/>
    </row>
    <row r="352" spans="1:56" s="1010" customFormat="1" ht="36.75" customHeight="1">
      <c r="A352" s="661">
        <f>SUBTOTAL(3,B$6:B352)</f>
        <v>347</v>
      </c>
      <c r="B352" s="661" t="s">
        <v>1506</v>
      </c>
      <c r="C352" s="662" t="s">
        <v>1507</v>
      </c>
      <c r="D352" s="1011">
        <v>45701</v>
      </c>
      <c r="E352" s="1011" t="s">
        <v>217</v>
      </c>
      <c r="F352" s="787" t="s">
        <v>570</v>
      </c>
      <c r="G352" s="996" t="s">
        <v>1108</v>
      </c>
      <c r="H352" s="1012">
        <v>5023000</v>
      </c>
      <c r="I352" s="1012">
        <v>300000</v>
      </c>
      <c r="J352" s="1012">
        <v>0</v>
      </c>
      <c r="K352" s="1012">
        <v>0</v>
      </c>
      <c r="L352" s="1013">
        <f t="shared" si="106"/>
        <v>5323000</v>
      </c>
      <c r="M352" s="1014">
        <v>24</v>
      </c>
      <c r="N352" s="1013">
        <f t="shared" si="107"/>
        <v>4913538</v>
      </c>
      <c r="O352" s="1015">
        <v>2</v>
      </c>
      <c r="P352" s="1013">
        <f t="shared" si="108"/>
        <v>409462</v>
      </c>
      <c r="Q352" s="1016">
        <v>0</v>
      </c>
      <c r="R352" s="1013">
        <f t="shared" si="109"/>
        <v>0</v>
      </c>
      <c r="S352" s="1013">
        <f t="shared" si="110"/>
        <v>5323000</v>
      </c>
      <c r="T352" s="1017">
        <v>0</v>
      </c>
      <c r="U352" s="785">
        <v>0</v>
      </c>
      <c r="V352" s="785">
        <v>200000</v>
      </c>
      <c r="W352" s="1017">
        <v>500000</v>
      </c>
      <c r="X352" s="1017">
        <v>0</v>
      </c>
      <c r="Y352" s="1017">
        <v>400000</v>
      </c>
      <c r="Z352" s="1017">
        <v>367258</v>
      </c>
      <c r="AA352" s="1018"/>
      <c r="AB352" s="1013"/>
      <c r="AC352" s="1017">
        <v>0</v>
      </c>
      <c r="AD352" s="1017">
        <v>0</v>
      </c>
      <c r="AE352" s="1013">
        <v>38387.015625</v>
      </c>
      <c r="AF352" s="1019"/>
      <c r="AG352" s="1019">
        <f t="shared" si="112"/>
        <v>6828645</v>
      </c>
      <c r="AH352" s="1014">
        <v>40</v>
      </c>
      <c r="AI352" s="1014">
        <v>0</v>
      </c>
      <c r="AJ352" s="1014">
        <v>0</v>
      </c>
      <c r="AK352" s="1018">
        <v>0</v>
      </c>
      <c r="AL352" s="1020">
        <v>0</v>
      </c>
      <c r="AM352" s="1013">
        <f t="shared" si="111"/>
        <v>1535481</v>
      </c>
      <c r="AN352" s="1045">
        <f t="shared" si="113"/>
        <v>8364126</v>
      </c>
      <c r="AO352" s="1013">
        <v>558915</v>
      </c>
      <c r="AP352" s="1013">
        <v>44100</v>
      </c>
      <c r="AQ352" s="1013">
        <v>0</v>
      </c>
      <c r="AR352" s="1013">
        <v>0</v>
      </c>
      <c r="AS352" s="1013">
        <v>0</v>
      </c>
      <c r="AT352" s="1045">
        <f t="shared" si="105"/>
        <v>7761111</v>
      </c>
      <c r="AU352" s="1004"/>
      <c r="AV352" s="870"/>
      <c r="AW352" s="782" t="s">
        <v>4003</v>
      </c>
      <c r="AX352" s="782" t="s">
        <v>4004</v>
      </c>
      <c r="AY352" s="1007" t="s">
        <v>287</v>
      </c>
      <c r="AZ352" s="1007">
        <v>622</v>
      </c>
      <c r="BA352" s="347" t="str">
        <f t="shared" si="114"/>
        <v>Box</v>
      </c>
      <c r="BB352" s="1008"/>
      <c r="BC352" s="1009"/>
      <c r="BD352" s="1009"/>
    </row>
    <row r="353" spans="1:56" s="1010" customFormat="1" ht="36.75" customHeight="1">
      <c r="A353" s="661">
        <f>SUBTOTAL(3,B$6:B353)</f>
        <v>348</v>
      </c>
      <c r="B353" s="661" t="s">
        <v>1508</v>
      </c>
      <c r="C353" s="662" t="s">
        <v>1509</v>
      </c>
      <c r="D353" s="1011">
        <v>45701</v>
      </c>
      <c r="E353" s="1011" t="s">
        <v>217</v>
      </c>
      <c r="F353" s="787" t="s">
        <v>570</v>
      </c>
      <c r="G353" s="996" t="s">
        <v>1108</v>
      </c>
      <c r="H353" s="1012">
        <v>5023000</v>
      </c>
      <c r="I353" s="1012">
        <v>300000</v>
      </c>
      <c r="J353" s="1012">
        <v>0</v>
      </c>
      <c r="K353" s="1012">
        <v>0</v>
      </c>
      <c r="L353" s="1013">
        <f t="shared" si="106"/>
        <v>5323000</v>
      </c>
      <c r="M353" s="1014">
        <v>23.6</v>
      </c>
      <c r="N353" s="1013">
        <f t="shared" si="107"/>
        <v>4831646</v>
      </c>
      <c r="O353" s="1015">
        <v>2</v>
      </c>
      <c r="P353" s="1013">
        <f t="shared" si="108"/>
        <v>409462</v>
      </c>
      <c r="Q353" s="1016">
        <v>0</v>
      </c>
      <c r="R353" s="1013">
        <f t="shared" si="109"/>
        <v>0</v>
      </c>
      <c r="S353" s="1013">
        <f t="shared" si="110"/>
        <v>5241108</v>
      </c>
      <c r="T353" s="1017">
        <v>0</v>
      </c>
      <c r="U353" s="785">
        <v>0</v>
      </c>
      <c r="V353" s="785">
        <v>200000</v>
      </c>
      <c r="W353" s="1017">
        <v>500000</v>
      </c>
      <c r="X353" s="1017">
        <v>0</v>
      </c>
      <c r="Y353" s="1017">
        <v>400000</v>
      </c>
      <c r="Z353" s="1017">
        <v>361137</v>
      </c>
      <c r="AA353" s="1018"/>
      <c r="AB353" s="1013"/>
      <c r="AC353" s="1017">
        <v>0</v>
      </c>
      <c r="AD353" s="1017">
        <v>0</v>
      </c>
      <c r="AE353" s="1013">
        <v>0</v>
      </c>
      <c r="AF353" s="1019"/>
      <c r="AG353" s="1019">
        <f t="shared" si="112"/>
        <v>6702245</v>
      </c>
      <c r="AH353" s="1014">
        <v>36</v>
      </c>
      <c r="AI353" s="1014">
        <v>0</v>
      </c>
      <c r="AJ353" s="1014">
        <v>0</v>
      </c>
      <c r="AK353" s="1018">
        <v>0</v>
      </c>
      <c r="AL353" s="1020">
        <v>0</v>
      </c>
      <c r="AM353" s="1013">
        <f t="shared" si="111"/>
        <v>1381933</v>
      </c>
      <c r="AN353" s="1045">
        <f t="shared" si="113"/>
        <v>8084178</v>
      </c>
      <c r="AO353" s="1013">
        <v>558915</v>
      </c>
      <c r="AP353" s="1013">
        <v>44100</v>
      </c>
      <c r="AQ353" s="1013">
        <v>0</v>
      </c>
      <c r="AR353" s="1013">
        <v>0</v>
      </c>
      <c r="AS353" s="1013">
        <v>0</v>
      </c>
      <c r="AT353" s="1045">
        <f t="shared" si="105"/>
        <v>7481163</v>
      </c>
      <c r="AU353" s="1004"/>
      <c r="AV353" s="870"/>
      <c r="AW353" s="782" t="s">
        <v>4005</v>
      </c>
      <c r="AX353" s="782" t="s">
        <v>4006</v>
      </c>
      <c r="AY353" s="1007" t="s">
        <v>287</v>
      </c>
      <c r="AZ353" s="1007">
        <v>622</v>
      </c>
      <c r="BA353" s="347" t="str">
        <f t="shared" si="114"/>
        <v>Box</v>
      </c>
      <c r="BB353" s="1008"/>
      <c r="BC353" s="1009"/>
      <c r="BD353" s="1009"/>
    </row>
    <row r="354" spans="1:56" s="1010" customFormat="1" ht="36.75" customHeight="1">
      <c r="A354" s="661">
        <f>SUBTOTAL(3,B$6:B354)</f>
        <v>349</v>
      </c>
      <c r="B354" s="661" t="s">
        <v>1510</v>
      </c>
      <c r="C354" s="662" t="s">
        <v>1511</v>
      </c>
      <c r="D354" s="1011">
        <v>39776</v>
      </c>
      <c r="E354" s="1011" t="s">
        <v>217</v>
      </c>
      <c r="F354" s="787" t="s">
        <v>239</v>
      </c>
      <c r="G354" s="996" t="s">
        <v>1512</v>
      </c>
      <c r="H354" s="1012">
        <v>5931000</v>
      </c>
      <c r="I354" s="1012">
        <v>900000</v>
      </c>
      <c r="J354" s="1012">
        <v>0</v>
      </c>
      <c r="K354" s="1012">
        <v>0</v>
      </c>
      <c r="L354" s="1013">
        <f t="shared" si="0"/>
        <v>6831000</v>
      </c>
      <c r="M354" s="1014">
        <v>24</v>
      </c>
      <c r="N354" s="1013">
        <f t="shared" si="82"/>
        <v>6305538</v>
      </c>
      <c r="O354" s="1015">
        <v>2</v>
      </c>
      <c r="P354" s="1013">
        <f t="shared" si="83"/>
        <v>525462</v>
      </c>
      <c r="Q354" s="1016">
        <v>0</v>
      </c>
      <c r="R354" s="1013">
        <f t="shared" si="84"/>
        <v>0</v>
      </c>
      <c r="S354" s="1013">
        <f t="shared" si="85"/>
        <v>6831000</v>
      </c>
      <c r="T354" s="1017">
        <v>0</v>
      </c>
      <c r="U354" s="785">
        <v>0</v>
      </c>
      <c r="V354" s="785">
        <v>200000</v>
      </c>
      <c r="W354" s="1017">
        <v>500000</v>
      </c>
      <c r="X354" s="1017">
        <v>0</v>
      </c>
      <c r="Y354" s="1017">
        <v>400000</v>
      </c>
      <c r="Z354" s="1017">
        <v>0</v>
      </c>
      <c r="AA354" s="1018"/>
      <c r="AB354" s="1013"/>
      <c r="AC354" s="1017">
        <v>0</v>
      </c>
      <c r="AD354" s="1017">
        <v>0</v>
      </c>
      <c r="AE354" s="1013">
        <v>49262.015625</v>
      </c>
      <c r="AF354" s="1019"/>
      <c r="AG354" s="1019">
        <f t="shared" si="112"/>
        <v>7980262</v>
      </c>
      <c r="AH354" s="1014">
        <v>52</v>
      </c>
      <c r="AI354" s="1014">
        <v>0</v>
      </c>
      <c r="AJ354" s="1014">
        <v>0</v>
      </c>
      <c r="AK354" s="1018">
        <v>0</v>
      </c>
      <c r="AL354" s="1020">
        <v>0</v>
      </c>
      <c r="AM354" s="1013">
        <f t="shared" si="111"/>
        <v>2561625</v>
      </c>
      <c r="AN354" s="1045">
        <f t="shared" si="113"/>
        <v>10541887</v>
      </c>
      <c r="AO354" s="1013">
        <v>717255</v>
      </c>
      <c r="AP354" s="1013">
        <v>44100</v>
      </c>
      <c r="AQ354" s="1013">
        <v>0</v>
      </c>
      <c r="AR354" s="1013">
        <v>0</v>
      </c>
      <c r="AS354" s="1013">
        <v>0</v>
      </c>
      <c r="AT354" s="1045">
        <f t="shared" si="105"/>
        <v>9780532</v>
      </c>
      <c r="AU354" s="1004"/>
      <c r="AV354" s="870"/>
      <c r="AW354" s="782" t="s">
        <v>4007</v>
      </c>
      <c r="AX354" s="782" t="s">
        <v>4008</v>
      </c>
      <c r="AY354" s="1007" t="s">
        <v>288</v>
      </c>
      <c r="AZ354" s="1007">
        <v>622</v>
      </c>
      <c r="BA354" s="347" t="str">
        <f t="shared" si="114"/>
        <v>Bag</v>
      </c>
      <c r="BB354" s="1008"/>
      <c r="BC354" s="1009"/>
      <c r="BD354" s="1009"/>
    </row>
    <row r="355" spans="1:56" s="1010" customFormat="1" ht="36.75" customHeight="1">
      <c r="A355" s="661">
        <f>SUBTOTAL(3,B$6:B355)</f>
        <v>350</v>
      </c>
      <c r="B355" s="661" t="s">
        <v>1513</v>
      </c>
      <c r="C355" s="662" t="s">
        <v>1514</v>
      </c>
      <c r="D355" s="1011">
        <v>44281</v>
      </c>
      <c r="E355" s="1011" t="s">
        <v>217</v>
      </c>
      <c r="F355" s="787" t="s">
        <v>571</v>
      </c>
      <c r="G355" s="996" t="s">
        <v>973</v>
      </c>
      <c r="H355" s="1012">
        <v>5931000</v>
      </c>
      <c r="I355" s="1012">
        <v>1200000</v>
      </c>
      <c r="J355" s="1012">
        <v>0</v>
      </c>
      <c r="K355" s="1012">
        <v>0</v>
      </c>
      <c r="L355" s="1013">
        <f t="shared" si="0"/>
        <v>7131000</v>
      </c>
      <c r="M355" s="1014">
        <v>23.6</v>
      </c>
      <c r="N355" s="1013">
        <f t="shared" si="82"/>
        <v>6472754</v>
      </c>
      <c r="O355" s="1015">
        <v>2</v>
      </c>
      <c r="P355" s="1013">
        <f t="shared" si="83"/>
        <v>548538</v>
      </c>
      <c r="Q355" s="1016">
        <v>58.5</v>
      </c>
      <c r="R355" s="1013">
        <f t="shared" si="84"/>
        <v>601678</v>
      </c>
      <c r="S355" s="1013">
        <f t="shared" si="85"/>
        <v>7622970</v>
      </c>
      <c r="T355" s="1017">
        <v>0</v>
      </c>
      <c r="U355" s="785">
        <v>291000</v>
      </c>
      <c r="V355" s="785">
        <v>200000</v>
      </c>
      <c r="W355" s="1017">
        <v>500000</v>
      </c>
      <c r="X355" s="1017">
        <v>0</v>
      </c>
      <c r="Y355" s="1017">
        <v>400000</v>
      </c>
      <c r="Z355" s="1017">
        <v>434905</v>
      </c>
      <c r="AA355" s="1018"/>
      <c r="AB355" s="1013"/>
      <c r="AC355" s="1017">
        <v>0</v>
      </c>
      <c r="AD355" s="1017">
        <v>0</v>
      </c>
      <c r="AE355" s="1013">
        <v>0</v>
      </c>
      <c r="AF355" s="1019"/>
      <c r="AG355" s="1019">
        <f t="shared" si="112"/>
        <v>9448875</v>
      </c>
      <c r="AH355" s="1014">
        <v>16</v>
      </c>
      <c r="AI355" s="1014">
        <v>0</v>
      </c>
      <c r="AJ355" s="1014">
        <v>10</v>
      </c>
      <c r="AK355" s="1018">
        <v>0</v>
      </c>
      <c r="AL355" s="1020">
        <v>0</v>
      </c>
      <c r="AM355" s="1013">
        <f t="shared" si="111"/>
        <v>1542764</v>
      </c>
      <c r="AN355" s="1045">
        <f t="shared" si="113"/>
        <v>10991639</v>
      </c>
      <c r="AO355" s="1013">
        <v>748755</v>
      </c>
      <c r="AP355" s="1013">
        <v>44100</v>
      </c>
      <c r="AQ355" s="1013">
        <v>0</v>
      </c>
      <c r="AR355" s="1013">
        <v>0</v>
      </c>
      <c r="AS355" s="1013">
        <v>0</v>
      </c>
      <c r="AT355" s="1045">
        <f t="shared" si="105"/>
        <v>10198784</v>
      </c>
      <c r="AU355" s="1004"/>
      <c r="AV355" s="870"/>
      <c r="AW355" s="782" t="s">
        <v>4009</v>
      </c>
      <c r="AX355" s="782" t="s">
        <v>4010</v>
      </c>
      <c r="AY355" s="1007" t="s">
        <v>288</v>
      </c>
      <c r="AZ355" s="1007">
        <v>622</v>
      </c>
      <c r="BA355" s="347" t="str">
        <f t="shared" si="114"/>
        <v>Bag</v>
      </c>
      <c r="BB355" s="1008"/>
      <c r="BC355" s="1009"/>
      <c r="BD355" s="1009"/>
    </row>
    <row r="356" spans="1:56" s="1010" customFormat="1" ht="36.75" customHeight="1">
      <c r="A356" s="661">
        <f>SUBTOTAL(3,B$6:B356)</f>
        <v>351</v>
      </c>
      <c r="B356" s="661" t="s">
        <v>1515</v>
      </c>
      <c r="C356" s="662" t="s">
        <v>1516</v>
      </c>
      <c r="D356" s="1011">
        <v>44601</v>
      </c>
      <c r="E356" s="1011" t="s">
        <v>217</v>
      </c>
      <c r="F356" s="787" t="s">
        <v>571</v>
      </c>
      <c r="G356" s="996" t="s">
        <v>992</v>
      </c>
      <c r="H356" s="1012">
        <v>5931000</v>
      </c>
      <c r="I356" s="1012">
        <v>400000</v>
      </c>
      <c r="J356" s="1012">
        <v>0</v>
      </c>
      <c r="K356" s="1012">
        <v>0</v>
      </c>
      <c r="L356" s="1013">
        <f t="shared" si="0"/>
        <v>6331000</v>
      </c>
      <c r="M356" s="1014">
        <v>23.8</v>
      </c>
      <c r="N356" s="1013">
        <f t="shared" si="82"/>
        <v>5795300</v>
      </c>
      <c r="O356" s="1015">
        <v>2</v>
      </c>
      <c r="P356" s="1013">
        <f t="shared" si="83"/>
        <v>487000</v>
      </c>
      <c r="Q356" s="1016">
        <v>0</v>
      </c>
      <c r="R356" s="1013">
        <f t="shared" si="84"/>
        <v>0</v>
      </c>
      <c r="S356" s="1013">
        <f t="shared" si="85"/>
        <v>6282300</v>
      </c>
      <c r="T356" s="1017">
        <v>0</v>
      </c>
      <c r="U356" s="785">
        <v>0</v>
      </c>
      <c r="V356" s="785">
        <v>200000</v>
      </c>
      <c r="W356" s="1017">
        <v>500000</v>
      </c>
      <c r="X356" s="1017">
        <v>0</v>
      </c>
      <c r="Y356" s="1017">
        <v>400000</v>
      </c>
      <c r="Z356" s="1017">
        <v>364197</v>
      </c>
      <c r="AA356" s="1018"/>
      <c r="AB356" s="1013"/>
      <c r="AC356" s="1017">
        <v>0</v>
      </c>
      <c r="AD356" s="1017">
        <v>0</v>
      </c>
      <c r="AE356" s="1013">
        <v>0</v>
      </c>
      <c r="AF356" s="1019"/>
      <c r="AG356" s="1019">
        <f t="shared" si="112"/>
        <v>7746497</v>
      </c>
      <c r="AH356" s="1014">
        <v>52</v>
      </c>
      <c r="AI356" s="1014">
        <v>0</v>
      </c>
      <c r="AJ356" s="1014">
        <v>0</v>
      </c>
      <c r="AK356" s="1018">
        <v>0</v>
      </c>
      <c r="AL356" s="1020">
        <v>0</v>
      </c>
      <c r="AM356" s="1013">
        <f t="shared" si="111"/>
        <v>2374125</v>
      </c>
      <c r="AN356" s="1045">
        <f t="shared" si="113"/>
        <v>10120622</v>
      </c>
      <c r="AO356" s="1013">
        <v>664755</v>
      </c>
      <c r="AP356" s="1013">
        <v>44100</v>
      </c>
      <c r="AQ356" s="1013">
        <v>0</v>
      </c>
      <c r="AR356" s="1013">
        <v>0</v>
      </c>
      <c r="AS356" s="1013">
        <v>0</v>
      </c>
      <c r="AT356" s="1045">
        <f t="shared" si="105"/>
        <v>9411767</v>
      </c>
      <c r="AU356" s="1004"/>
      <c r="AV356" s="870"/>
      <c r="AW356" s="782" t="s">
        <v>4011</v>
      </c>
      <c r="AX356" s="782" t="s">
        <v>4012</v>
      </c>
      <c r="AY356" s="1007" t="s">
        <v>288</v>
      </c>
      <c r="AZ356" s="1007">
        <v>622</v>
      </c>
      <c r="BA356" s="347" t="str">
        <f t="shared" si="114"/>
        <v>Bag</v>
      </c>
      <c r="BB356" s="1008"/>
      <c r="BC356" s="1009"/>
      <c r="BD356" s="1009"/>
    </row>
    <row r="357" spans="1:56" s="1010" customFormat="1" ht="36.75" customHeight="1">
      <c r="A357" s="661">
        <f>SUBTOTAL(3,B$6:B357)</f>
        <v>352</v>
      </c>
      <c r="B357" s="661" t="s">
        <v>1517</v>
      </c>
      <c r="C357" s="662" t="s">
        <v>1518</v>
      </c>
      <c r="D357" s="1011">
        <v>44621</v>
      </c>
      <c r="E357" s="1011" t="s">
        <v>217</v>
      </c>
      <c r="F357" s="787" t="s">
        <v>571</v>
      </c>
      <c r="G357" s="996" t="s">
        <v>973</v>
      </c>
      <c r="H357" s="1012">
        <v>5931000</v>
      </c>
      <c r="I357" s="1012">
        <v>1200000</v>
      </c>
      <c r="J357" s="1012">
        <v>0</v>
      </c>
      <c r="K357" s="1012">
        <v>0</v>
      </c>
      <c r="L357" s="1013">
        <f t="shared" si="0"/>
        <v>7131000</v>
      </c>
      <c r="M357" s="1014">
        <v>22.8</v>
      </c>
      <c r="N357" s="1013">
        <f t="shared" si="82"/>
        <v>6253338</v>
      </c>
      <c r="O357" s="1015">
        <v>3</v>
      </c>
      <c r="P357" s="1013">
        <f t="shared" si="83"/>
        <v>822808</v>
      </c>
      <c r="Q357" s="1016">
        <v>58.5</v>
      </c>
      <c r="R357" s="1013">
        <f t="shared" si="84"/>
        <v>601678</v>
      </c>
      <c r="S357" s="1013">
        <f t="shared" si="85"/>
        <v>7677824</v>
      </c>
      <c r="T357" s="1017">
        <v>0</v>
      </c>
      <c r="U357" s="785">
        <v>270000</v>
      </c>
      <c r="V357" s="785">
        <v>200000</v>
      </c>
      <c r="W357" s="1017">
        <v>500000</v>
      </c>
      <c r="X357" s="1017">
        <v>0</v>
      </c>
      <c r="Y357" s="1017">
        <v>400000</v>
      </c>
      <c r="Z357" s="1017">
        <v>542585</v>
      </c>
      <c r="AA357" s="1018"/>
      <c r="AB357" s="1013"/>
      <c r="AC357" s="1017">
        <v>0</v>
      </c>
      <c r="AD357" s="1017">
        <v>0</v>
      </c>
      <c r="AE357" s="1013">
        <v>0</v>
      </c>
      <c r="AF357" s="1019"/>
      <c r="AG357" s="1019">
        <f t="shared" si="112"/>
        <v>9590409</v>
      </c>
      <c r="AH357" s="1014">
        <v>24</v>
      </c>
      <c r="AI357" s="1014">
        <v>0</v>
      </c>
      <c r="AJ357" s="1014">
        <v>12</v>
      </c>
      <c r="AK357" s="1018">
        <v>0</v>
      </c>
      <c r="AL357" s="1020">
        <v>0</v>
      </c>
      <c r="AM357" s="1013">
        <f t="shared" si="111"/>
        <v>2098159</v>
      </c>
      <c r="AN357" s="1045">
        <f t="shared" si="113"/>
        <v>11688568</v>
      </c>
      <c r="AO357" s="1013">
        <v>748755</v>
      </c>
      <c r="AP357" s="1013">
        <v>44100</v>
      </c>
      <c r="AQ357" s="1013">
        <v>0</v>
      </c>
      <c r="AR357" s="1013">
        <v>0</v>
      </c>
      <c r="AS357" s="1013">
        <v>0</v>
      </c>
      <c r="AT357" s="1045">
        <f t="shared" si="105"/>
        <v>10895713</v>
      </c>
      <c r="AU357" s="1004"/>
      <c r="AV357" s="870"/>
      <c r="AW357" s="782" t="s">
        <v>4013</v>
      </c>
      <c r="AX357" s="782" t="s">
        <v>4014</v>
      </c>
      <c r="AY357" s="1007" t="s">
        <v>288</v>
      </c>
      <c r="AZ357" s="1007">
        <v>622</v>
      </c>
      <c r="BA357" s="347" t="str">
        <f t="shared" si="114"/>
        <v>Bag</v>
      </c>
      <c r="BB357" s="1008"/>
      <c r="BC357" s="1009"/>
      <c r="BD357" s="1009"/>
    </row>
    <row r="358" spans="1:56" s="1010" customFormat="1" ht="36.75" customHeight="1">
      <c r="A358" s="661">
        <f>SUBTOTAL(3,B$6:B358)</f>
        <v>353</v>
      </c>
      <c r="B358" s="661" t="s">
        <v>1519</v>
      </c>
      <c r="C358" s="662" t="s">
        <v>1520</v>
      </c>
      <c r="D358" s="1011">
        <v>45362</v>
      </c>
      <c r="E358" s="1011" t="s">
        <v>217</v>
      </c>
      <c r="F358" s="787" t="s">
        <v>571</v>
      </c>
      <c r="G358" s="996" t="s">
        <v>973</v>
      </c>
      <c r="H358" s="1012">
        <v>5538000</v>
      </c>
      <c r="I358" s="1012">
        <v>700000</v>
      </c>
      <c r="J358" s="1012">
        <v>0</v>
      </c>
      <c r="K358" s="1012">
        <v>0</v>
      </c>
      <c r="L358" s="1013">
        <f t="shared" si="0"/>
        <v>6238000</v>
      </c>
      <c r="M358" s="1014">
        <v>24</v>
      </c>
      <c r="N358" s="1013">
        <f t="shared" si="82"/>
        <v>5758154</v>
      </c>
      <c r="O358" s="1015">
        <v>2</v>
      </c>
      <c r="P358" s="1013">
        <f t="shared" si="83"/>
        <v>479846</v>
      </c>
      <c r="Q358" s="1016">
        <v>65</v>
      </c>
      <c r="R358" s="1013">
        <f t="shared" si="84"/>
        <v>584813</v>
      </c>
      <c r="S358" s="1013">
        <f t="shared" si="85"/>
        <v>6822813</v>
      </c>
      <c r="T358" s="1017">
        <v>0</v>
      </c>
      <c r="U358" s="785">
        <v>321000</v>
      </c>
      <c r="V358" s="785">
        <v>200000</v>
      </c>
      <c r="W358" s="1017">
        <v>500000</v>
      </c>
      <c r="X358" s="1017">
        <v>0</v>
      </c>
      <c r="Y358" s="1017">
        <v>400000</v>
      </c>
      <c r="Z358" s="1017">
        <v>586209</v>
      </c>
      <c r="AA358" s="1018"/>
      <c r="AB358" s="1013"/>
      <c r="AC358" s="1017">
        <v>0</v>
      </c>
      <c r="AD358" s="1017">
        <v>0</v>
      </c>
      <c r="AE358" s="1013">
        <v>0</v>
      </c>
      <c r="AF358" s="1019"/>
      <c r="AG358" s="1019">
        <f t="shared" si="112"/>
        <v>8830022</v>
      </c>
      <c r="AH358" s="1014">
        <v>24</v>
      </c>
      <c r="AI358" s="1014">
        <v>8</v>
      </c>
      <c r="AJ358" s="1014">
        <v>10</v>
      </c>
      <c r="AK358" s="1018">
        <v>0</v>
      </c>
      <c r="AL358" s="1020">
        <v>0</v>
      </c>
      <c r="AM358" s="1013">
        <f t="shared" si="111"/>
        <v>2189298</v>
      </c>
      <c r="AN358" s="1045">
        <f t="shared" si="113"/>
        <v>11019320</v>
      </c>
      <c r="AO358" s="1013">
        <v>654990</v>
      </c>
      <c r="AP358" s="1013">
        <v>44100</v>
      </c>
      <c r="AQ358" s="1013">
        <v>0</v>
      </c>
      <c r="AR358" s="1013">
        <v>0</v>
      </c>
      <c r="AS358" s="1013">
        <v>0</v>
      </c>
      <c r="AT358" s="1045">
        <f t="shared" si="105"/>
        <v>10320230</v>
      </c>
      <c r="AU358" s="1004"/>
      <c r="AV358" s="870"/>
      <c r="AW358" s="782" t="s">
        <v>4015</v>
      </c>
      <c r="AX358" s="782" t="s">
        <v>4016</v>
      </c>
      <c r="AY358" s="1007" t="s">
        <v>288</v>
      </c>
      <c r="AZ358" s="1007">
        <v>622</v>
      </c>
      <c r="BA358" s="347" t="str">
        <f t="shared" si="114"/>
        <v>Bag</v>
      </c>
      <c r="BB358" s="1008"/>
      <c r="BC358" s="1009"/>
      <c r="BD358" s="1009"/>
    </row>
    <row r="359" spans="1:56" s="1010" customFormat="1" ht="36.75" customHeight="1">
      <c r="A359" s="661">
        <f>SUBTOTAL(3,B$6:B359)</f>
        <v>354</v>
      </c>
      <c r="B359" s="661" t="s">
        <v>1521</v>
      </c>
      <c r="C359" s="662" t="s">
        <v>1522</v>
      </c>
      <c r="D359" s="1011">
        <v>45419</v>
      </c>
      <c r="E359" s="1011" t="s">
        <v>217</v>
      </c>
      <c r="F359" s="787" t="s">
        <v>571</v>
      </c>
      <c r="G359" s="996" t="s">
        <v>1363</v>
      </c>
      <c r="H359" s="1012">
        <v>5274000</v>
      </c>
      <c r="I359" s="1012">
        <v>400000</v>
      </c>
      <c r="J359" s="1012">
        <v>0</v>
      </c>
      <c r="K359" s="1012">
        <v>0</v>
      </c>
      <c r="L359" s="1013">
        <f t="shared" si="0"/>
        <v>5674000</v>
      </c>
      <c r="M359" s="1014">
        <v>17</v>
      </c>
      <c r="N359" s="1013">
        <f t="shared" si="82"/>
        <v>3709923</v>
      </c>
      <c r="O359" s="1015">
        <v>2</v>
      </c>
      <c r="P359" s="1013">
        <f t="shared" si="83"/>
        <v>436462</v>
      </c>
      <c r="Q359" s="1016">
        <v>39</v>
      </c>
      <c r="R359" s="1013">
        <f t="shared" si="84"/>
        <v>319162</v>
      </c>
      <c r="S359" s="1013">
        <f t="shared" si="85"/>
        <v>4465547</v>
      </c>
      <c r="T359" s="1017">
        <v>0</v>
      </c>
      <c r="U359" s="785">
        <v>180000</v>
      </c>
      <c r="V359" s="785">
        <v>200000</v>
      </c>
      <c r="W359" s="1017">
        <v>0</v>
      </c>
      <c r="X359" s="1017">
        <v>0</v>
      </c>
      <c r="Y359" s="1017">
        <v>0</v>
      </c>
      <c r="Z359" s="1017">
        <v>400248</v>
      </c>
      <c r="AA359" s="1018"/>
      <c r="AB359" s="1013"/>
      <c r="AC359" s="1017">
        <v>0</v>
      </c>
      <c r="AD359" s="1017">
        <v>0</v>
      </c>
      <c r="AE359" s="1013">
        <v>0</v>
      </c>
      <c r="AF359" s="1019"/>
      <c r="AG359" s="1019">
        <f t="shared" si="112"/>
        <v>5245795</v>
      </c>
      <c r="AH359" s="1014">
        <v>12</v>
      </c>
      <c r="AI359" s="1014">
        <v>0</v>
      </c>
      <c r="AJ359" s="1014">
        <v>6</v>
      </c>
      <c r="AK359" s="1018">
        <v>0</v>
      </c>
      <c r="AL359" s="1020">
        <v>0</v>
      </c>
      <c r="AM359" s="1013">
        <f t="shared" si="111"/>
        <v>834733</v>
      </c>
      <c r="AN359" s="1045">
        <f t="shared" si="113"/>
        <v>6080528</v>
      </c>
      <c r="AO359" s="1013">
        <v>595770</v>
      </c>
      <c r="AP359" s="1013">
        <v>44100</v>
      </c>
      <c r="AQ359" s="1013">
        <v>0</v>
      </c>
      <c r="AR359" s="1013">
        <v>0</v>
      </c>
      <c r="AS359" s="1013">
        <v>0</v>
      </c>
      <c r="AT359" s="1045">
        <f t="shared" si="105"/>
        <v>5440658</v>
      </c>
      <c r="AU359" s="1004"/>
      <c r="AV359" s="870"/>
      <c r="AW359" s="782" t="s">
        <v>4017</v>
      </c>
      <c r="AX359" s="782" t="s">
        <v>4018</v>
      </c>
      <c r="AY359" s="1007" t="s">
        <v>288</v>
      </c>
      <c r="AZ359" s="1007">
        <v>622</v>
      </c>
      <c r="BA359" s="347" t="str">
        <f t="shared" si="114"/>
        <v>Bag</v>
      </c>
      <c r="BB359" s="1008"/>
      <c r="BC359" s="1009"/>
      <c r="BD359" s="1009"/>
    </row>
    <row r="360" spans="1:56" s="1010" customFormat="1" ht="36.75" customHeight="1">
      <c r="A360" s="661">
        <f>SUBTOTAL(3,B$6:B360)</f>
        <v>355</v>
      </c>
      <c r="B360" s="661" t="s">
        <v>1523</v>
      </c>
      <c r="C360" s="662" t="s">
        <v>1524</v>
      </c>
      <c r="D360" s="1011">
        <v>45430</v>
      </c>
      <c r="E360" s="1011" t="s">
        <v>217</v>
      </c>
      <c r="F360" s="787" t="s">
        <v>571</v>
      </c>
      <c r="G360" s="996" t="s">
        <v>987</v>
      </c>
      <c r="H360" s="1012">
        <v>5274000</v>
      </c>
      <c r="I360" s="1012">
        <v>200000</v>
      </c>
      <c r="J360" s="1012">
        <v>0</v>
      </c>
      <c r="K360" s="1012">
        <v>0</v>
      </c>
      <c r="L360" s="1013">
        <f t="shared" si="0"/>
        <v>5474000</v>
      </c>
      <c r="M360" s="1014">
        <v>23</v>
      </c>
      <c r="N360" s="1013">
        <f t="shared" si="82"/>
        <v>4842385</v>
      </c>
      <c r="O360" s="1015">
        <v>3</v>
      </c>
      <c r="P360" s="1013">
        <f t="shared" si="83"/>
        <v>631615</v>
      </c>
      <c r="Q360" s="1016">
        <v>0</v>
      </c>
      <c r="R360" s="1013">
        <f t="shared" si="84"/>
        <v>0</v>
      </c>
      <c r="S360" s="1013">
        <f t="shared" si="85"/>
        <v>5474000</v>
      </c>
      <c r="T360" s="1017">
        <v>0</v>
      </c>
      <c r="U360" s="785">
        <v>0</v>
      </c>
      <c r="V360" s="785">
        <v>200000</v>
      </c>
      <c r="W360" s="1017">
        <v>500000</v>
      </c>
      <c r="X360" s="1017">
        <v>0</v>
      </c>
      <c r="Y360" s="1017">
        <v>400000</v>
      </c>
      <c r="Z360" s="1017">
        <v>351955</v>
      </c>
      <c r="AA360" s="1018"/>
      <c r="AB360" s="1013"/>
      <c r="AC360" s="1017">
        <v>0</v>
      </c>
      <c r="AD360" s="1017">
        <v>0</v>
      </c>
      <c r="AE360" s="1013">
        <v>0</v>
      </c>
      <c r="AF360" s="1019"/>
      <c r="AG360" s="1019">
        <f t="shared" si="112"/>
        <v>6925955</v>
      </c>
      <c r="AH360" s="1014">
        <v>40</v>
      </c>
      <c r="AI360" s="1014">
        <v>0</v>
      </c>
      <c r="AJ360" s="1014">
        <v>0</v>
      </c>
      <c r="AK360" s="1018">
        <v>0</v>
      </c>
      <c r="AL360" s="1020">
        <v>0</v>
      </c>
      <c r="AM360" s="1013">
        <f t="shared" si="111"/>
        <v>1579039</v>
      </c>
      <c r="AN360" s="1045">
        <f t="shared" si="113"/>
        <v>8504994</v>
      </c>
      <c r="AO360" s="1013">
        <v>574770</v>
      </c>
      <c r="AP360" s="1013">
        <v>44100</v>
      </c>
      <c r="AQ360" s="1013">
        <v>0</v>
      </c>
      <c r="AR360" s="1013">
        <v>0</v>
      </c>
      <c r="AS360" s="1013">
        <v>0</v>
      </c>
      <c r="AT360" s="1045">
        <f t="shared" si="105"/>
        <v>7886124</v>
      </c>
      <c r="AU360" s="1004"/>
      <c r="AV360" s="870"/>
      <c r="AW360" s="782" t="s">
        <v>4019</v>
      </c>
      <c r="AX360" s="782" t="s">
        <v>4020</v>
      </c>
      <c r="AY360" s="1007" t="s">
        <v>288</v>
      </c>
      <c r="AZ360" s="1007">
        <v>622</v>
      </c>
      <c r="BA360" s="347" t="str">
        <f t="shared" si="114"/>
        <v>Bag</v>
      </c>
      <c r="BB360" s="1008"/>
      <c r="BC360" s="1009"/>
      <c r="BD360" s="1009"/>
    </row>
    <row r="361" spans="1:56" s="1010" customFormat="1" ht="36.75" customHeight="1">
      <c r="A361" s="661">
        <f>SUBTOTAL(3,B$6:B361)</f>
        <v>356</v>
      </c>
      <c r="B361" s="661" t="s">
        <v>1525</v>
      </c>
      <c r="C361" s="662" t="s">
        <v>1526</v>
      </c>
      <c r="D361" s="1011">
        <v>45510</v>
      </c>
      <c r="E361" s="1011" t="s">
        <v>217</v>
      </c>
      <c r="F361" s="787" t="s">
        <v>571</v>
      </c>
      <c r="G361" s="996" t="s">
        <v>1363</v>
      </c>
      <c r="H361" s="1012">
        <v>5274000</v>
      </c>
      <c r="I361" s="1012">
        <v>400000</v>
      </c>
      <c r="J361" s="1012">
        <v>0</v>
      </c>
      <c r="K361" s="1012">
        <v>0</v>
      </c>
      <c r="L361" s="1013">
        <f t="shared" si="0"/>
        <v>5674000</v>
      </c>
      <c r="M361" s="1014">
        <v>17.8</v>
      </c>
      <c r="N361" s="1013">
        <f t="shared" si="82"/>
        <v>3884508</v>
      </c>
      <c r="O361" s="1015">
        <v>3</v>
      </c>
      <c r="P361" s="1013">
        <f t="shared" si="83"/>
        <v>654692</v>
      </c>
      <c r="Q361" s="1016">
        <v>39</v>
      </c>
      <c r="R361" s="1013">
        <f t="shared" si="84"/>
        <v>319163</v>
      </c>
      <c r="S361" s="1013">
        <f t="shared" si="85"/>
        <v>4858363</v>
      </c>
      <c r="T361" s="1017">
        <v>0</v>
      </c>
      <c r="U361" s="785">
        <v>180000</v>
      </c>
      <c r="V361" s="785">
        <v>200000</v>
      </c>
      <c r="W361" s="1017">
        <v>0</v>
      </c>
      <c r="X361" s="1017">
        <v>0</v>
      </c>
      <c r="Y361" s="1017">
        <v>0</v>
      </c>
      <c r="Z361" s="1017">
        <v>411186</v>
      </c>
      <c r="AA361" s="1018"/>
      <c r="AB361" s="1013"/>
      <c r="AC361" s="1017">
        <v>0</v>
      </c>
      <c r="AD361" s="1017">
        <v>0</v>
      </c>
      <c r="AE361" s="1013">
        <v>0</v>
      </c>
      <c r="AF361" s="1019"/>
      <c r="AG361" s="1019">
        <f t="shared" si="112"/>
        <v>5649549</v>
      </c>
      <c r="AH361" s="1014">
        <v>16</v>
      </c>
      <c r="AI361" s="1014">
        <v>8</v>
      </c>
      <c r="AJ361" s="1014">
        <v>6</v>
      </c>
      <c r="AK361" s="1018">
        <v>0</v>
      </c>
      <c r="AL361" s="1020">
        <v>0</v>
      </c>
      <c r="AM361" s="1013">
        <f t="shared" si="111"/>
        <v>1434867</v>
      </c>
      <c r="AN361" s="1045">
        <f t="shared" si="113"/>
        <v>7084416</v>
      </c>
      <c r="AO361" s="1013">
        <v>595770</v>
      </c>
      <c r="AP361" s="1013">
        <v>44100</v>
      </c>
      <c r="AQ361" s="1013">
        <v>0</v>
      </c>
      <c r="AR361" s="1013">
        <v>0</v>
      </c>
      <c r="AS361" s="1013">
        <v>0</v>
      </c>
      <c r="AT361" s="1045">
        <f t="shared" si="105"/>
        <v>6444546</v>
      </c>
      <c r="AU361" s="1004"/>
      <c r="AV361" s="870"/>
      <c r="AW361" s="782" t="s">
        <v>4021</v>
      </c>
      <c r="AX361" s="782" t="s">
        <v>4022</v>
      </c>
      <c r="AY361" s="1007" t="s">
        <v>288</v>
      </c>
      <c r="AZ361" s="1007">
        <v>622</v>
      </c>
      <c r="BA361" s="347" t="str">
        <f t="shared" si="114"/>
        <v>Bag</v>
      </c>
      <c r="BB361" s="1008"/>
      <c r="BC361" s="1009"/>
      <c r="BD361" s="1009"/>
    </row>
    <row r="362" spans="1:56" s="1010" customFormat="1" ht="36.75" customHeight="1">
      <c r="A362" s="661">
        <f>SUBTOTAL(3,B$6:B362)</f>
        <v>357</v>
      </c>
      <c r="B362" s="661" t="s">
        <v>1527</v>
      </c>
      <c r="C362" s="662" t="s">
        <v>1528</v>
      </c>
      <c r="D362" s="1011">
        <v>45561</v>
      </c>
      <c r="E362" s="1011" t="s">
        <v>217</v>
      </c>
      <c r="F362" s="787" t="s">
        <v>571</v>
      </c>
      <c r="G362" s="996" t="s">
        <v>987</v>
      </c>
      <c r="H362" s="1012">
        <v>5274000</v>
      </c>
      <c r="I362" s="1012">
        <v>200000</v>
      </c>
      <c r="J362" s="1012">
        <v>0</v>
      </c>
      <c r="K362" s="1012">
        <v>0</v>
      </c>
      <c r="L362" s="1013">
        <f t="shared" si="0"/>
        <v>5474000</v>
      </c>
      <c r="M362" s="1014">
        <v>22.6</v>
      </c>
      <c r="N362" s="1013">
        <f t="shared" si="82"/>
        <v>4758169</v>
      </c>
      <c r="O362" s="1015">
        <v>3</v>
      </c>
      <c r="P362" s="1013">
        <f t="shared" si="83"/>
        <v>631615</v>
      </c>
      <c r="Q362" s="1016">
        <v>0</v>
      </c>
      <c r="R362" s="1013">
        <f t="shared" si="84"/>
        <v>0</v>
      </c>
      <c r="S362" s="1013">
        <f t="shared" si="85"/>
        <v>5389784</v>
      </c>
      <c r="T362" s="1017">
        <v>0</v>
      </c>
      <c r="U362" s="785">
        <v>0</v>
      </c>
      <c r="V362" s="785">
        <v>200000</v>
      </c>
      <c r="W362" s="1017">
        <v>500000</v>
      </c>
      <c r="X362" s="1017">
        <v>0</v>
      </c>
      <c r="Y362" s="1017">
        <v>400000</v>
      </c>
      <c r="Z362" s="1017">
        <v>345834</v>
      </c>
      <c r="AA362" s="1018"/>
      <c r="AB362" s="1013"/>
      <c r="AC362" s="1017">
        <v>0</v>
      </c>
      <c r="AD362" s="1017">
        <v>0</v>
      </c>
      <c r="AE362" s="1013">
        <v>0</v>
      </c>
      <c r="AF362" s="1019"/>
      <c r="AG362" s="1019">
        <f t="shared" si="112"/>
        <v>6835618</v>
      </c>
      <c r="AH362" s="1014">
        <v>40</v>
      </c>
      <c r="AI362" s="1014">
        <v>0</v>
      </c>
      <c r="AJ362" s="1014">
        <v>0</v>
      </c>
      <c r="AK362" s="1018">
        <v>0</v>
      </c>
      <c r="AL362" s="1020">
        <v>0</v>
      </c>
      <c r="AM362" s="1013">
        <f t="shared" si="111"/>
        <v>1579038</v>
      </c>
      <c r="AN362" s="1045">
        <f t="shared" si="113"/>
        <v>8414656</v>
      </c>
      <c r="AO362" s="1013">
        <v>574770</v>
      </c>
      <c r="AP362" s="1013">
        <v>44100</v>
      </c>
      <c r="AQ362" s="1013">
        <v>0</v>
      </c>
      <c r="AR362" s="1013">
        <v>0</v>
      </c>
      <c r="AS362" s="1013">
        <v>0</v>
      </c>
      <c r="AT362" s="1045">
        <f t="shared" si="105"/>
        <v>7795786</v>
      </c>
      <c r="AU362" s="1004"/>
      <c r="AV362" s="870"/>
      <c r="AW362" s="782" t="s">
        <v>4023</v>
      </c>
      <c r="AX362" s="782" t="s">
        <v>4024</v>
      </c>
      <c r="AY362" s="1007" t="s">
        <v>288</v>
      </c>
      <c r="AZ362" s="1007">
        <v>622</v>
      </c>
      <c r="BA362" s="347" t="str">
        <f t="shared" si="114"/>
        <v>Bag</v>
      </c>
      <c r="BB362" s="1008"/>
      <c r="BC362" s="1009"/>
      <c r="BD362" s="1009"/>
    </row>
    <row r="363" spans="1:56" s="1010" customFormat="1" ht="36.75" customHeight="1">
      <c r="A363" s="661">
        <f>SUBTOTAL(3,B$6:B363)</f>
        <v>358</v>
      </c>
      <c r="B363" s="661" t="s">
        <v>1529</v>
      </c>
      <c r="C363" s="662" t="s">
        <v>1530</v>
      </c>
      <c r="D363" s="1011">
        <v>41717</v>
      </c>
      <c r="E363" s="1011" t="s">
        <v>217</v>
      </c>
      <c r="F363" s="787" t="s">
        <v>571</v>
      </c>
      <c r="G363" s="996" t="s">
        <v>1377</v>
      </c>
      <c r="H363" s="1012">
        <v>5931000</v>
      </c>
      <c r="I363" s="1012">
        <v>3500000</v>
      </c>
      <c r="J363" s="1012">
        <v>0</v>
      </c>
      <c r="K363" s="1012">
        <v>300000</v>
      </c>
      <c r="L363" s="1013">
        <f t="shared" si="0"/>
        <v>9731000</v>
      </c>
      <c r="M363" s="1014">
        <v>24</v>
      </c>
      <c r="N363" s="1013">
        <f t="shared" si="82"/>
        <v>8982462</v>
      </c>
      <c r="O363" s="1015">
        <v>2</v>
      </c>
      <c r="P363" s="1013">
        <f t="shared" si="83"/>
        <v>748538</v>
      </c>
      <c r="Q363" s="1016">
        <v>0</v>
      </c>
      <c r="R363" s="1013">
        <f t="shared" si="84"/>
        <v>0</v>
      </c>
      <c r="S363" s="1013">
        <f t="shared" si="85"/>
        <v>9731000</v>
      </c>
      <c r="T363" s="1017">
        <v>0</v>
      </c>
      <c r="U363" s="785">
        <v>21000</v>
      </c>
      <c r="V363" s="785">
        <v>200000</v>
      </c>
      <c r="W363" s="1017">
        <v>500000</v>
      </c>
      <c r="X363" s="1017">
        <v>0</v>
      </c>
      <c r="Y363" s="1017">
        <v>400000</v>
      </c>
      <c r="Z363" s="1017">
        <v>424802</v>
      </c>
      <c r="AA363" s="1018"/>
      <c r="AB363" s="1013"/>
      <c r="AC363" s="1017">
        <v>0</v>
      </c>
      <c r="AD363" s="1017">
        <v>0</v>
      </c>
      <c r="AE363" s="1013">
        <v>0</v>
      </c>
      <c r="AF363" s="1019"/>
      <c r="AG363" s="1019">
        <f t="shared" si="112"/>
        <v>11276802</v>
      </c>
      <c r="AH363" s="1014">
        <v>56</v>
      </c>
      <c r="AI363" s="1014">
        <v>8</v>
      </c>
      <c r="AJ363" s="1014">
        <v>0</v>
      </c>
      <c r="AK363" s="1018">
        <v>0</v>
      </c>
      <c r="AL363" s="1020">
        <v>0</v>
      </c>
      <c r="AM363" s="1013">
        <f t="shared" si="111"/>
        <v>4678366</v>
      </c>
      <c r="AN363" s="1045">
        <f t="shared" si="113"/>
        <v>15955168</v>
      </c>
      <c r="AO363" s="1013">
        <v>1021755</v>
      </c>
      <c r="AP363" s="1013">
        <v>44100</v>
      </c>
      <c r="AQ363" s="1013">
        <v>0</v>
      </c>
      <c r="AR363" s="1013">
        <v>0</v>
      </c>
      <c r="AS363" s="1013">
        <v>0</v>
      </c>
      <c r="AT363" s="1045">
        <f t="shared" si="105"/>
        <v>14889313</v>
      </c>
      <c r="AU363" s="1004"/>
      <c r="AV363" s="870"/>
      <c r="AW363" s="782" t="s">
        <v>4025</v>
      </c>
      <c r="AX363" s="782" t="s">
        <v>4026</v>
      </c>
      <c r="AY363" s="1007" t="s">
        <v>288</v>
      </c>
      <c r="AZ363" s="1007">
        <v>622</v>
      </c>
      <c r="BA363" s="347" t="str">
        <f t="shared" si="114"/>
        <v>Bag</v>
      </c>
      <c r="BB363" s="1008"/>
      <c r="BC363" s="1009"/>
      <c r="BD363" s="1009"/>
    </row>
    <row r="364" spans="1:56" s="1010" customFormat="1" ht="36.75" customHeight="1">
      <c r="A364" s="661">
        <f>SUBTOTAL(3,B$6:B364)</f>
        <v>359</v>
      </c>
      <c r="B364" s="661" t="s">
        <v>1531</v>
      </c>
      <c r="C364" s="662" t="s">
        <v>1532</v>
      </c>
      <c r="D364" s="1011">
        <v>43164</v>
      </c>
      <c r="E364" s="1011" t="s">
        <v>217</v>
      </c>
      <c r="F364" s="787" t="s">
        <v>571</v>
      </c>
      <c r="G364" s="996" t="s">
        <v>1413</v>
      </c>
      <c r="H364" s="1012">
        <v>5931000</v>
      </c>
      <c r="I364" s="1012">
        <v>2700000</v>
      </c>
      <c r="J364" s="1012">
        <v>0</v>
      </c>
      <c r="K364" s="1012">
        <v>300000</v>
      </c>
      <c r="L364" s="1013">
        <f t="shared" si="0"/>
        <v>8931000</v>
      </c>
      <c r="M364" s="1014">
        <v>23</v>
      </c>
      <c r="N364" s="1013">
        <f t="shared" si="82"/>
        <v>7900500</v>
      </c>
      <c r="O364" s="1015">
        <v>3</v>
      </c>
      <c r="P364" s="1013">
        <f t="shared" si="83"/>
        <v>1030500</v>
      </c>
      <c r="Q364" s="1016">
        <v>52</v>
      </c>
      <c r="R364" s="1013">
        <f t="shared" si="84"/>
        <v>669825</v>
      </c>
      <c r="S364" s="1013">
        <f t="shared" si="85"/>
        <v>9600825</v>
      </c>
      <c r="T364" s="1017">
        <v>0</v>
      </c>
      <c r="U364" s="785">
        <v>240000</v>
      </c>
      <c r="V364" s="785">
        <v>200000</v>
      </c>
      <c r="W364" s="1017">
        <v>500000</v>
      </c>
      <c r="X364" s="1017">
        <v>0</v>
      </c>
      <c r="Y364" s="1017">
        <v>400000</v>
      </c>
      <c r="Z364" s="1017">
        <v>266894</v>
      </c>
      <c r="AA364" s="1018"/>
      <c r="AB364" s="1013"/>
      <c r="AC364" s="1017">
        <v>0</v>
      </c>
      <c r="AD364" s="1017">
        <v>0</v>
      </c>
      <c r="AE364" s="1013">
        <v>0</v>
      </c>
      <c r="AF364" s="1019"/>
      <c r="AG364" s="1019">
        <f t="shared" si="112"/>
        <v>11207719</v>
      </c>
      <c r="AH364" s="1014">
        <v>32</v>
      </c>
      <c r="AI364" s="1014">
        <v>0</v>
      </c>
      <c r="AJ364" s="1014">
        <v>10</v>
      </c>
      <c r="AK364" s="1018">
        <v>0</v>
      </c>
      <c r="AL364" s="1020">
        <v>0</v>
      </c>
      <c r="AM364" s="1013">
        <f t="shared" si="111"/>
        <v>2962688</v>
      </c>
      <c r="AN364" s="1045">
        <f t="shared" si="113"/>
        <v>14170407</v>
      </c>
      <c r="AO364" s="1013">
        <v>937755</v>
      </c>
      <c r="AP364" s="1013">
        <v>44100</v>
      </c>
      <c r="AQ364" s="1013">
        <v>25176</v>
      </c>
      <c r="AR364" s="1013">
        <v>0</v>
      </c>
      <c r="AS364" s="1013">
        <v>0</v>
      </c>
      <c r="AT364" s="1045">
        <f t="shared" si="105"/>
        <v>13163376</v>
      </c>
      <c r="AU364" s="1004"/>
      <c r="AV364" s="870"/>
      <c r="AW364" s="782" t="s">
        <v>4027</v>
      </c>
      <c r="AX364" s="782" t="s">
        <v>4028</v>
      </c>
      <c r="AY364" s="1007" t="s">
        <v>288</v>
      </c>
      <c r="AZ364" s="1007">
        <v>622</v>
      </c>
      <c r="BA364" s="347" t="str">
        <f t="shared" si="114"/>
        <v>Bag</v>
      </c>
      <c r="BB364" s="1008"/>
      <c r="BC364" s="1009"/>
      <c r="BD364" s="1009"/>
    </row>
    <row r="365" spans="1:56" s="1010" customFormat="1" ht="36.75" customHeight="1">
      <c r="A365" s="661">
        <f>SUBTOTAL(3,B$6:B365)</f>
        <v>360</v>
      </c>
      <c r="B365" s="661" t="s">
        <v>1533</v>
      </c>
      <c r="C365" s="662" t="s">
        <v>1534</v>
      </c>
      <c r="D365" s="1011">
        <v>44601</v>
      </c>
      <c r="E365" s="1011" t="s">
        <v>217</v>
      </c>
      <c r="F365" s="787" t="s">
        <v>572</v>
      </c>
      <c r="G365" s="996" t="s">
        <v>1363</v>
      </c>
      <c r="H365" s="1012">
        <v>5931000</v>
      </c>
      <c r="I365" s="1012">
        <v>400000</v>
      </c>
      <c r="J365" s="1012">
        <v>0</v>
      </c>
      <c r="K365" s="1012">
        <v>0</v>
      </c>
      <c r="L365" s="1013">
        <f t="shared" si="0"/>
        <v>6331000</v>
      </c>
      <c r="M365" s="1014">
        <v>23.6</v>
      </c>
      <c r="N365" s="1013">
        <f t="shared" si="82"/>
        <v>5746600</v>
      </c>
      <c r="O365" s="1015">
        <v>2</v>
      </c>
      <c r="P365" s="1013">
        <f t="shared" si="83"/>
        <v>487000</v>
      </c>
      <c r="Q365" s="1016">
        <v>65</v>
      </c>
      <c r="R365" s="1013">
        <f t="shared" si="84"/>
        <v>593531</v>
      </c>
      <c r="S365" s="1013">
        <f t="shared" si="85"/>
        <v>6827131</v>
      </c>
      <c r="T365" s="1017">
        <v>0</v>
      </c>
      <c r="U365" s="785">
        <v>300000</v>
      </c>
      <c r="V365" s="785">
        <v>200000</v>
      </c>
      <c r="W365" s="1017">
        <v>500000</v>
      </c>
      <c r="X365" s="1017">
        <v>0</v>
      </c>
      <c r="Y365" s="1017">
        <v>400000</v>
      </c>
      <c r="Z365" s="1017">
        <v>457985</v>
      </c>
      <c r="AA365" s="1018"/>
      <c r="AB365" s="1013"/>
      <c r="AC365" s="1017">
        <v>0</v>
      </c>
      <c r="AD365" s="1017">
        <v>0</v>
      </c>
      <c r="AE365" s="1013">
        <v>0</v>
      </c>
      <c r="AF365" s="1019"/>
      <c r="AG365" s="1019">
        <f t="shared" si="112"/>
        <v>8685116</v>
      </c>
      <c r="AH365" s="1014">
        <v>20</v>
      </c>
      <c r="AI365" s="1014">
        <v>8</v>
      </c>
      <c r="AJ365" s="1014">
        <v>10</v>
      </c>
      <c r="AK365" s="1018">
        <v>0</v>
      </c>
      <c r="AL365" s="1020">
        <v>0</v>
      </c>
      <c r="AM365" s="1013">
        <f t="shared" si="111"/>
        <v>2039313</v>
      </c>
      <c r="AN365" s="1045">
        <f t="shared" si="113"/>
        <v>10724429</v>
      </c>
      <c r="AO365" s="1013">
        <v>664755</v>
      </c>
      <c r="AP365" s="1013">
        <v>44100</v>
      </c>
      <c r="AQ365" s="1013">
        <v>0</v>
      </c>
      <c r="AR365" s="1013">
        <v>0</v>
      </c>
      <c r="AS365" s="1013">
        <v>0</v>
      </c>
      <c r="AT365" s="1045">
        <f t="shared" ref="AT365:AT428" si="115">+ROUND(SUM(AN365:AN365)-SUM(AO365:AS365),0)</f>
        <v>10015574</v>
      </c>
      <c r="AU365" s="1004"/>
      <c r="AV365" s="870"/>
      <c r="AW365" s="782" t="s">
        <v>4029</v>
      </c>
      <c r="AX365" s="782" t="s">
        <v>4030</v>
      </c>
      <c r="AY365" s="1007" t="s">
        <v>287</v>
      </c>
      <c r="AZ365" s="1007">
        <v>622</v>
      </c>
      <c r="BA365" s="347" t="str">
        <f t="shared" si="114"/>
        <v>Box</v>
      </c>
      <c r="BB365" s="1008"/>
      <c r="BC365" s="1009"/>
      <c r="BD365" s="1009"/>
    </row>
    <row r="366" spans="1:56" s="1010" customFormat="1" ht="36.75" customHeight="1">
      <c r="A366" s="661">
        <f>SUBTOTAL(3,B$6:B366)</f>
        <v>361</v>
      </c>
      <c r="B366" s="661" t="s">
        <v>1535</v>
      </c>
      <c r="C366" s="662" t="s">
        <v>1536</v>
      </c>
      <c r="D366" s="1011">
        <v>44768</v>
      </c>
      <c r="E366" s="1011" t="s">
        <v>217</v>
      </c>
      <c r="F366" s="787" t="s">
        <v>572</v>
      </c>
      <c r="G366" s="996" t="s">
        <v>973</v>
      </c>
      <c r="H366" s="1012">
        <v>5815000</v>
      </c>
      <c r="I366" s="1012">
        <v>1200000</v>
      </c>
      <c r="J366" s="1012">
        <v>0</v>
      </c>
      <c r="K366" s="1012">
        <v>0</v>
      </c>
      <c r="L366" s="1013">
        <f t="shared" si="0"/>
        <v>7015000</v>
      </c>
      <c r="M366" s="1014">
        <v>23.5</v>
      </c>
      <c r="N366" s="1013">
        <f t="shared" si="82"/>
        <v>6340481</v>
      </c>
      <c r="O366" s="1015">
        <v>2</v>
      </c>
      <c r="P366" s="1013">
        <f t="shared" si="83"/>
        <v>539615</v>
      </c>
      <c r="Q366" s="1016">
        <v>6.5</v>
      </c>
      <c r="R366" s="1013">
        <f t="shared" si="84"/>
        <v>65766</v>
      </c>
      <c r="S366" s="1013">
        <f t="shared" si="85"/>
        <v>6945862</v>
      </c>
      <c r="T366" s="1017">
        <v>0</v>
      </c>
      <c r="U366" s="785">
        <v>51000</v>
      </c>
      <c r="V366" s="785">
        <v>200000</v>
      </c>
      <c r="W366" s="1017">
        <v>500000</v>
      </c>
      <c r="X366" s="1017">
        <v>0</v>
      </c>
      <c r="Y366" s="1017">
        <v>400000</v>
      </c>
      <c r="Z366" s="1017">
        <v>359606</v>
      </c>
      <c r="AA366" s="1018"/>
      <c r="AB366" s="1013"/>
      <c r="AC366" s="1017">
        <v>0</v>
      </c>
      <c r="AD366" s="1017">
        <v>0</v>
      </c>
      <c r="AE366" s="1013">
        <v>0</v>
      </c>
      <c r="AF366" s="1019"/>
      <c r="AG366" s="1019">
        <f t="shared" si="112"/>
        <v>8456468</v>
      </c>
      <c r="AH366" s="1014">
        <v>52</v>
      </c>
      <c r="AI366" s="1014">
        <v>0</v>
      </c>
      <c r="AJ366" s="1014">
        <v>0</v>
      </c>
      <c r="AK366" s="1018">
        <v>0</v>
      </c>
      <c r="AL366" s="1020">
        <v>0</v>
      </c>
      <c r="AM366" s="1013">
        <f t="shared" si="111"/>
        <v>2630625</v>
      </c>
      <c r="AN366" s="1045">
        <f t="shared" si="113"/>
        <v>11087093</v>
      </c>
      <c r="AO366" s="1013">
        <v>736575</v>
      </c>
      <c r="AP366" s="1013">
        <v>44100</v>
      </c>
      <c r="AQ366" s="1013">
        <v>0</v>
      </c>
      <c r="AR366" s="1013">
        <v>0</v>
      </c>
      <c r="AS366" s="1013">
        <v>0</v>
      </c>
      <c r="AT366" s="1045">
        <f t="shared" si="115"/>
        <v>10306418</v>
      </c>
      <c r="AU366" s="1004"/>
      <c r="AV366" s="870"/>
      <c r="AW366" s="782" t="s">
        <v>4031</v>
      </c>
      <c r="AX366" s="782" t="s">
        <v>4032</v>
      </c>
      <c r="AY366" s="1007" t="s">
        <v>287</v>
      </c>
      <c r="AZ366" s="1007">
        <v>622</v>
      </c>
      <c r="BA366" s="347" t="str">
        <f t="shared" si="114"/>
        <v>Box</v>
      </c>
      <c r="BB366" s="1008"/>
      <c r="BC366" s="1009"/>
      <c r="BD366" s="1009"/>
    </row>
    <row r="367" spans="1:56" s="1010" customFormat="1" ht="36.75" customHeight="1">
      <c r="A367" s="661">
        <f>SUBTOTAL(3,B$6:B367)</f>
        <v>362</v>
      </c>
      <c r="B367" s="661" t="s">
        <v>1537</v>
      </c>
      <c r="C367" s="662" t="s">
        <v>1538</v>
      </c>
      <c r="D367" s="1011">
        <v>45356</v>
      </c>
      <c r="E367" s="1011" t="s">
        <v>217</v>
      </c>
      <c r="F367" s="787" t="s">
        <v>572</v>
      </c>
      <c r="G367" s="996" t="s">
        <v>987</v>
      </c>
      <c r="H367" s="1012">
        <v>5538000</v>
      </c>
      <c r="I367" s="1012">
        <v>400000</v>
      </c>
      <c r="J367" s="1012">
        <v>0</v>
      </c>
      <c r="K367" s="1012">
        <v>0</v>
      </c>
      <c r="L367" s="1013">
        <f t="shared" si="0"/>
        <v>5938000</v>
      </c>
      <c r="M367" s="1014">
        <v>21.8</v>
      </c>
      <c r="N367" s="1013">
        <f t="shared" si="82"/>
        <v>4978785</v>
      </c>
      <c r="O367" s="1015">
        <v>3</v>
      </c>
      <c r="P367" s="1013">
        <f t="shared" si="83"/>
        <v>685154</v>
      </c>
      <c r="Q367" s="1016">
        <v>19.5</v>
      </c>
      <c r="R367" s="1013">
        <f t="shared" si="84"/>
        <v>167006</v>
      </c>
      <c r="S367" s="1013">
        <f t="shared" si="85"/>
        <v>5830945</v>
      </c>
      <c r="T367" s="1017">
        <v>0</v>
      </c>
      <c r="U367" s="785">
        <v>90000</v>
      </c>
      <c r="V367" s="785">
        <v>200000</v>
      </c>
      <c r="W367" s="1017">
        <v>0</v>
      </c>
      <c r="X367" s="1017">
        <v>0</v>
      </c>
      <c r="Y367" s="1017">
        <v>300000</v>
      </c>
      <c r="Z367" s="1017">
        <v>333592</v>
      </c>
      <c r="AA367" s="1018"/>
      <c r="AB367" s="1013"/>
      <c r="AC367" s="1017">
        <v>100000</v>
      </c>
      <c r="AD367" s="1017">
        <v>0</v>
      </c>
      <c r="AE367" s="1013">
        <v>0</v>
      </c>
      <c r="AF367" s="1019"/>
      <c r="AG367" s="1019">
        <f t="shared" si="112"/>
        <v>6854537</v>
      </c>
      <c r="AH367" s="1014">
        <v>44</v>
      </c>
      <c r="AI367" s="1014">
        <v>0</v>
      </c>
      <c r="AJ367" s="1014">
        <v>4</v>
      </c>
      <c r="AK367" s="1018">
        <v>0</v>
      </c>
      <c r="AL367" s="1020">
        <v>0</v>
      </c>
      <c r="AM367" s="1013">
        <f t="shared" si="111"/>
        <v>2123977</v>
      </c>
      <c r="AN367" s="1045">
        <f t="shared" si="113"/>
        <v>8978514</v>
      </c>
      <c r="AO367" s="1013">
        <v>623490</v>
      </c>
      <c r="AP367" s="1013">
        <v>44100</v>
      </c>
      <c r="AQ367" s="1013">
        <v>0</v>
      </c>
      <c r="AR367" s="1013">
        <v>0</v>
      </c>
      <c r="AS367" s="1013">
        <v>0</v>
      </c>
      <c r="AT367" s="1045">
        <f t="shared" si="115"/>
        <v>8310924</v>
      </c>
      <c r="AU367" s="1004"/>
      <c r="AV367" s="870"/>
      <c r="AW367" s="782" t="s">
        <v>4033</v>
      </c>
      <c r="AX367" s="782" t="s">
        <v>4034</v>
      </c>
      <c r="AY367" s="1007" t="s">
        <v>287</v>
      </c>
      <c r="AZ367" s="1007">
        <v>622</v>
      </c>
      <c r="BA367" s="347" t="str">
        <f t="shared" si="114"/>
        <v>Box</v>
      </c>
      <c r="BB367" s="1008"/>
      <c r="BC367" s="1009"/>
      <c r="BD367" s="1009"/>
    </row>
    <row r="368" spans="1:56" s="1010" customFormat="1" ht="36.75" customHeight="1">
      <c r="A368" s="661">
        <f>SUBTOTAL(3,B$6:B368)</f>
        <v>363</v>
      </c>
      <c r="B368" s="661" t="s">
        <v>1539</v>
      </c>
      <c r="C368" s="662" t="s">
        <v>1540</v>
      </c>
      <c r="D368" s="1011">
        <v>45367</v>
      </c>
      <c r="E368" s="1011" t="s">
        <v>217</v>
      </c>
      <c r="F368" s="787" t="s">
        <v>572</v>
      </c>
      <c r="G368" s="996" t="s">
        <v>1363</v>
      </c>
      <c r="H368" s="1012">
        <v>5538000</v>
      </c>
      <c r="I368" s="1012">
        <v>400000</v>
      </c>
      <c r="J368" s="1012">
        <v>0</v>
      </c>
      <c r="K368" s="1012">
        <v>0</v>
      </c>
      <c r="L368" s="1013">
        <f t="shared" si="0"/>
        <v>5938000</v>
      </c>
      <c r="M368" s="1014">
        <v>24</v>
      </c>
      <c r="N368" s="1013">
        <f t="shared" si="82"/>
        <v>5481231</v>
      </c>
      <c r="O368" s="1015">
        <v>2</v>
      </c>
      <c r="P368" s="1013">
        <f t="shared" si="83"/>
        <v>456769</v>
      </c>
      <c r="Q368" s="1016">
        <v>58.5</v>
      </c>
      <c r="R368" s="1013">
        <f t="shared" si="84"/>
        <v>501019</v>
      </c>
      <c r="S368" s="1013">
        <f t="shared" si="85"/>
        <v>6439019</v>
      </c>
      <c r="T368" s="1017">
        <v>0</v>
      </c>
      <c r="U368" s="785">
        <v>270000</v>
      </c>
      <c r="V368" s="785">
        <v>200000</v>
      </c>
      <c r="W368" s="1017">
        <v>500000</v>
      </c>
      <c r="X368" s="1017">
        <v>0</v>
      </c>
      <c r="Y368" s="1017">
        <v>400000</v>
      </c>
      <c r="Z368" s="1017">
        <v>283006</v>
      </c>
      <c r="AA368" s="1018"/>
      <c r="AB368" s="1013"/>
      <c r="AC368" s="1017">
        <v>100000</v>
      </c>
      <c r="AD368" s="1017">
        <v>0</v>
      </c>
      <c r="AE368" s="1013">
        <v>0</v>
      </c>
      <c r="AF368" s="1019"/>
      <c r="AG368" s="1019">
        <f t="shared" si="112"/>
        <v>8192025</v>
      </c>
      <c r="AH368" s="1014">
        <v>28</v>
      </c>
      <c r="AI368" s="1014">
        <v>0</v>
      </c>
      <c r="AJ368" s="1014">
        <v>12</v>
      </c>
      <c r="AK368" s="1018">
        <v>0</v>
      </c>
      <c r="AL368" s="1020">
        <v>0</v>
      </c>
      <c r="AM368" s="1013">
        <f t="shared" si="111"/>
        <v>1918431</v>
      </c>
      <c r="AN368" s="1045">
        <f t="shared" si="113"/>
        <v>10110456</v>
      </c>
      <c r="AO368" s="1013">
        <v>623490</v>
      </c>
      <c r="AP368" s="1013">
        <v>44100</v>
      </c>
      <c r="AQ368" s="1013">
        <v>0</v>
      </c>
      <c r="AR368" s="1013">
        <v>0</v>
      </c>
      <c r="AS368" s="1013">
        <v>0</v>
      </c>
      <c r="AT368" s="1045">
        <f t="shared" si="115"/>
        <v>9442866</v>
      </c>
      <c r="AU368" s="1004"/>
      <c r="AV368" s="870"/>
      <c r="AW368" s="782" t="s">
        <v>4035</v>
      </c>
      <c r="AX368" s="782" t="s">
        <v>4036</v>
      </c>
      <c r="AY368" s="1007" t="s">
        <v>287</v>
      </c>
      <c r="AZ368" s="1007">
        <v>622</v>
      </c>
      <c r="BA368" s="347" t="str">
        <f t="shared" si="114"/>
        <v>Box</v>
      </c>
      <c r="BB368" s="1008"/>
      <c r="BC368" s="1009"/>
      <c r="BD368" s="1009"/>
    </row>
    <row r="369" spans="1:56" s="1010" customFormat="1" ht="36.75" customHeight="1">
      <c r="A369" s="661">
        <f>SUBTOTAL(3,B$6:B369)</f>
        <v>364</v>
      </c>
      <c r="B369" s="661" t="s">
        <v>1541</v>
      </c>
      <c r="C369" s="662" t="s">
        <v>1542</v>
      </c>
      <c r="D369" s="1011">
        <v>45720</v>
      </c>
      <c r="E369" s="1011" t="s">
        <v>217</v>
      </c>
      <c r="F369" s="787" t="s">
        <v>572</v>
      </c>
      <c r="G369" s="996" t="s">
        <v>987</v>
      </c>
      <c r="H369" s="1012">
        <v>5023000</v>
      </c>
      <c r="I369" s="1012">
        <v>200000</v>
      </c>
      <c r="J369" s="1012">
        <v>0</v>
      </c>
      <c r="K369" s="1012">
        <v>0</v>
      </c>
      <c r="L369" s="1013">
        <f t="shared" si="0"/>
        <v>5223000</v>
      </c>
      <c r="M369" s="1014">
        <v>24</v>
      </c>
      <c r="N369" s="1013">
        <f t="shared" si="82"/>
        <v>4821231</v>
      </c>
      <c r="O369" s="1015">
        <v>2</v>
      </c>
      <c r="P369" s="1013">
        <f t="shared" si="83"/>
        <v>401769</v>
      </c>
      <c r="Q369" s="1016">
        <v>19.5</v>
      </c>
      <c r="R369" s="1013">
        <f t="shared" si="84"/>
        <v>146897</v>
      </c>
      <c r="S369" s="1013">
        <f t="shared" si="85"/>
        <v>5369897</v>
      </c>
      <c r="T369" s="1017">
        <v>0</v>
      </c>
      <c r="U369" s="785">
        <v>90000</v>
      </c>
      <c r="V369" s="785">
        <v>200000</v>
      </c>
      <c r="W369" s="1017">
        <v>500000</v>
      </c>
      <c r="X369" s="1017">
        <v>0</v>
      </c>
      <c r="Y369" s="1017">
        <v>400000</v>
      </c>
      <c r="Z369" s="1017">
        <v>367258</v>
      </c>
      <c r="AA369" s="1018"/>
      <c r="AB369" s="1013"/>
      <c r="AC369" s="1017">
        <v>0</v>
      </c>
      <c r="AD369" s="1017">
        <v>0</v>
      </c>
      <c r="AE369" s="1013">
        <v>0</v>
      </c>
      <c r="AF369" s="1019"/>
      <c r="AG369" s="1019">
        <f t="shared" si="112"/>
        <v>6927155</v>
      </c>
      <c r="AH369" s="1014">
        <v>50.5</v>
      </c>
      <c r="AI369" s="1014">
        <v>0</v>
      </c>
      <c r="AJ369" s="1014">
        <v>4</v>
      </c>
      <c r="AK369" s="1018">
        <v>0</v>
      </c>
      <c r="AL369" s="1020">
        <v>0</v>
      </c>
      <c r="AM369" s="1013">
        <f t="shared" si="111"/>
        <v>2113055</v>
      </c>
      <c r="AN369" s="1045">
        <f t="shared" si="113"/>
        <v>9040210</v>
      </c>
      <c r="AO369" s="1013">
        <v>548415</v>
      </c>
      <c r="AP369" s="1013">
        <v>44100</v>
      </c>
      <c r="AQ369" s="1013">
        <v>0</v>
      </c>
      <c r="AR369" s="1013">
        <v>0</v>
      </c>
      <c r="AS369" s="1013">
        <v>91558</v>
      </c>
      <c r="AT369" s="1045">
        <f t="shared" si="115"/>
        <v>8356137</v>
      </c>
      <c r="AU369" s="1004"/>
      <c r="AV369" s="870"/>
      <c r="AW369" s="782" t="s">
        <v>4037</v>
      </c>
      <c r="AX369" s="782" t="s">
        <v>4038</v>
      </c>
      <c r="AY369" s="1007" t="s">
        <v>287</v>
      </c>
      <c r="AZ369" s="1007">
        <v>622</v>
      </c>
      <c r="BA369" s="347" t="str">
        <f t="shared" si="114"/>
        <v>Box</v>
      </c>
      <c r="BB369" s="1008"/>
      <c r="BC369" s="1009"/>
      <c r="BD369" s="1009"/>
    </row>
    <row r="370" spans="1:56" s="1010" customFormat="1" ht="36.75" customHeight="1">
      <c r="A370" s="661">
        <f>SUBTOTAL(3,B$6:B370)</f>
        <v>365</v>
      </c>
      <c r="B370" s="661" t="s">
        <v>1543</v>
      </c>
      <c r="C370" s="662" t="s">
        <v>1544</v>
      </c>
      <c r="D370" s="1011">
        <v>45736</v>
      </c>
      <c r="E370" s="1011" t="s">
        <v>217</v>
      </c>
      <c r="F370" s="787" t="s">
        <v>572</v>
      </c>
      <c r="G370" s="996" t="s">
        <v>554</v>
      </c>
      <c r="H370" s="1012">
        <v>4694000</v>
      </c>
      <c r="I370" s="1012">
        <v>0</v>
      </c>
      <c r="J370" s="1012">
        <v>0</v>
      </c>
      <c r="K370" s="1012">
        <v>0</v>
      </c>
      <c r="L370" s="1013">
        <f t="shared" si="0"/>
        <v>4694000</v>
      </c>
      <c r="M370" s="1014">
        <v>22.7</v>
      </c>
      <c r="N370" s="1013">
        <f t="shared" si="82"/>
        <v>4098223</v>
      </c>
      <c r="O370" s="1015">
        <v>3</v>
      </c>
      <c r="P370" s="1013">
        <f t="shared" si="83"/>
        <v>541615</v>
      </c>
      <c r="Q370" s="1016">
        <v>0</v>
      </c>
      <c r="R370" s="1013">
        <f t="shared" si="84"/>
        <v>0</v>
      </c>
      <c r="S370" s="1013">
        <f t="shared" si="85"/>
        <v>4639838</v>
      </c>
      <c r="T370" s="1017">
        <v>0</v>
      </c>
      <c r="U370" s="785">
        <v>0</v>
      </c>
      <c r="V370" s="785">
        <v>200000</v>
      </c>
      <c r="W370" s="1017">
        <v>500000</v>
      </c>
      <c r="X370" s="1017">
        <v>0</v>
      </c>
      <c r="Y370" s="1017">
        <v>400000</v>
      </c>
      <c r="Z370" s="1017">
        <v>347364</v>
      </c>
      <c r="AA370" s="1018"/>
      <c r="AB370" s="1013"/>
      <c r="AC370" s="1017">
        <v>0</v>
      </c>
      <c r="AD370" s="1017">
        <v>222790</v>
      </c>
      <c r="AE370" s="1013">
        <v>0</v>
      </c>
      <c r="AF370" s="1019"/>
      <c r="AG370" s="1019">
        <f t="shared" si="112"/>
        <v>6309992</v>
      </c>
      <c r="AH370" s="1014">
        <v>40</v>
      </c>
      <c r="AI370" s="1014">
        <v>0</v>
      </c>
      <c r="AJ370" s="1014">
        <v>0</v>
      </c>
      <c r="AK370" s="1018">
        <v>0</v>
      </c>
      <c r="AL370" s="1020">
        <v>0</v>
      </c>
      <c r="AM370" s="1013">
        <f t="shared" si="111"/>
        <v>1354038</v>
      </c>
      <c r="AN370" s="1045">
        <f t="shared" si="113"/>
        <v>7664030</v>
      </c>
      <c r="AO370" s="1013">
        <v>0</v>
      </c>
      <c r="AP370" s="1013">
        <v>0</v>
      </c>
      <c r="AQ370" s="1013">
        <v>0</v>
      </c>
      <c r="AR370" s="1013">
        <v>0</v>
      </c>
      <c r="AS370" s="1013">
        <v>0</v>
      </c>
      <c r="AT370" s="1045">
        <f t="shared" si="115"/>
        <v>7664030</v>
      </c>
      <c r="AU370" s="1004"/>
      <c r="AV370" s="870"/>
      <c r="AW370" s="782" t="s">
        <v>4039</v>
      </c>
      <c r="AX370" s="782" t="s">
        <v>4040</v>
      </c>
      <c r="AY370" s="1007" t="s">
        <v>287</v>
      </c>
      <c r="AZ370" s="1007">
        <v>622</v>
      </c>
      <c r="BA370" s="347" t="str">
        <f t="shared" si="114"/>
        <v>Box</v>
      </c>
      <c r="BB370" s="1008"/>
      <c r="BC370" s="1009"/>
      <c r="BD370" s="1009"/>
    </row>
    <row r="371" spans="1:56" s="1010" customFormat="1" ht="36.75" customHeight="1">
      <c r="A371" s="661">
        <f>SUBTOTAL(3,B$6:B371)</f>
        <v>366</v>
      </c>
      <c r="B371" s="661" t="s">
        <v>5746</v>
      </c>
      <c r="C371" s="662" t="s">
        <v>5747</v>
      </c>
      <c r="D371" s="1011">
        <v>45750</v>
      </c>
      <c r="E371" s="1011" t="s">
        <v>217</v>
      </c>
      <c r="F371" s="787" t="s">
        <v>572</v>
      </c>
      <c r="G371" s="996" t="s">
        <v>554</v>
      </c>
      <c r="H371" s="1012">
        <v>4694000</v>
      </c>
      <c r="I371" s="1012">
        <v>0</v>
      </c>
      <c r="J371" s="1012">
        <v>0</v>
      </c>
      <c r="K371" s="1012">
        <v>0</v>
      </c>
      <c r="L371" s="1013">
        <f t="shared" si="0"/>
        <v>4694000</v>
      </c>
      <c r="M371" s="1014">
        <v>19.8</v>
      </c>
      <c r="N371" s="1013">
        <f t="shared" si="82"/>
        <v>3574662</v>
      </c>
      <c r="O371" s="1015">
        <v>2</v>
      </c>
      <c r="P371" s="1013">
        <f t="shared" si="83"/>
        <v>361077</v>
      </c>
      <c r="Q371" s="1016">
        <v>0</v>
      </c>
      <c r="R371" s="1013">
        <f t="shared" si="84"/>
        <v>0</v>
      </c>
      <c r="S371" s="1013">
        <f t="shared" si="85"/>
        <v>3935739</v>
      </c>
      <c r="T371" s="1017">
        <v>0</v>
      </c>
      <c r="U371" s="785">
        <v>0</v>
      </c>
      <c r="V371" s="785">
        <v>168000</v>
      </c>
      <c r="W371" s="1017">
        <v>419000</v>
      </c>
      <c r="X371" s="1017">
        <v>0</v>
      </c>
      <c r="Y371" s="1017">
        <v>126000</v>
      </c>
      <c r="Z371" s="1017">
        <v>302988</v>
      </c>
      <c r="AA371" s="1018"/>
      <c r="AB371" s="1013"/>
      <c r="AC371" s="1017">
        <v>0</v>
      </c>
      <c r="AD371" s="1017">
        <v>0</v>
      </c>
      <c r="AE371" s="1013">
        <v>0</v>
      </c>
      <c r="AF371" s="1019"/>
      <c r="AG371" s="1019">
        <f t="shared" si="112"/>
        <v>4951727</v>
      </c>
      <c r="AH371" s="1014">
        <v>36</v>
      </c>
      <c r="AI371" s="1014">
        <v>0</v>
      </c>
      <c r="AJ371" s="1014">
        <v>0</v>
      </c>
      <c r="AK371" s="1018">
        <v>0</v>
      </c>
      <c r="AL371" s="1020">
        <v>0</v>
      </c>
      <c r="AM371" s="1013">
        <f t="shared" si="111"/>
        <v>1218635</v>
      </c>
      <c r="AN371" s="1045">
        <f t="shared" si="113"/>
        <v>6170362</v>
      </c>
      <c r="AO371" s="1013">
        <v>0</v>
      </c>
      <c r="AP371" s="1013">
        <v>0</v>
      </c>
      <c r="AQ371" s="1013">
        <v>0</v>
      </c>
      <c r="AR371" s="1013">
        <v>0</v>
      </c>
      <c r="AS371" s="1013">
        <v>0</v>
      </c>
      <c r="AT371" s="1045">
        <f t="shared" si="115"/>
        <v>6170362</v>
      </c>
      <c r="AU371" s="1004"/>
      <c r="AV371" s="870"/>
      <c r="AW371" s="782" t="s">
        <v>5847</v>
      </c>
      <c r="AX371" s="782" t="s">
        <v>5848</v>
      </c>
      <c r="AY371" s="1007" t="s">
        <v>287</v>
      </c>
      <c r="AZ371" s="1007">
        <v>622</v>
      </c>
      <c r="BA371" s="347" t="str">
        <f t="shared" si="114"/>
        <v>Box</v>
      </c>
      <c r="BB371" s="1008"/>
      <c r="BC371" s="1009"/>
      <c r="BD371" s="1009"/>
    </row>
    <row r="372" spans="1:56" s="1010" customFormat="1" ht="36.75" customHeight="1">
      <c r="A372" s="661">
        <f>SUBTOTAL(3,B$6:B372)</f>
        <v>367</v>
      </c>
      <c r="B372" s="661" t="s">
        <v>1545</v>
      </c>
      <c r="C372" s="662" t="s">
        <v>1546</v>
      </c>
      <c r="D372" s="1011">
        <v>40141</v>
      </c>
      <c r="E372" s="1011" t="s">
        <v>217</v>
      </c>
      <c r="F372" s="787" t="s">
        <v>572</v>
      </c>
      <c r="G372" s="996" t="s">
        <v>992</v>
      </c>
      <c r="H372" s="1012">
        <v>5931000</v>
      </c>
      <c r="I372" s="1012">
        <v>900000</v>
      </c>
      <c r="J372" s="1012">
        <v>0</v>
      </c>
      <c r="K372" s="1012">
        <v>600000</v>
      </c>
      <c r="L372" s="1013">
        <f t="shared" si="0"/>
        <v>7431000</v>
      </c>
      <c r="M372" s="1014">
        <v>24</v>
      </c>
      <c r="N372" s="1013">
        <f t="shared" si="82"/>
        <v>6859385</v>
      </c>
      <c r="O372" s="1015">
        <v>2</v>
      </c>
      <c r="P372" s="1013">
        <f t="shared" si="83"/>
        <v>571615</v>
      </c>
      <c r="Q372" s="1016">
        <v>0</v>
      </c>
      <c r="R372" s="1013">
        <f t="shared" si="84"/>
        <v>0</v>
      </c>
      <c r="S372" s="1013">
        <f t="shared" si="85"/>
        <v>7431000</v>
      </c>
      <c r="T372" s="1017">
        <v>0</v>
      </c>
      <c r="U372" s="785">
        <v>0</v>
      </c>
      <c r="V372" s="785">
        <v>200000</v>
      </c>
      <c r="W372" s="1017">
        <v>500000</v>
      </c>
      <c r="X372" s="1017">
        <v>0</v>
      </c>
      <c r="Y372" s="1017">
        <v>400000</v>
      </c>
      <c r="Z372" s="1017">
        <v>367258</v>
      </c>
      <c r="AA372" s="1018"/>
      <c r="AB372" s="1013"/>
      <c r="AC372" s="1017">
        <v>0</v>
      </c>
      <c r="AD372" s="1017">
        <v>0</v>
      </c>
      <c r="AE372" s="1013">
        <v>0</v>
      </c>
      <c r="AF372" s="1019"/>
      <c r="AG372" s="1019">
        <f t="shared" si="112"/>
        <v>8898258</v>
      </c>
      <c r="AH372" s="1014">
        <v>40</v>
      </c>
      <c r="AI372" s="1014">
        <v>0</v>
      </c>
      <c r="AJ372" s="1014">
        <v>0</v>
      </c>
      <c r="AK372" s="1018">
        <v>0</v>
      </c>
      <c r="AL372" s="1020">
        <v>0</v>
      </c>
      <c r="AM372" s="1013">
        <f t="shared" si="111"/>
        <v>2143558</v>
      </c>
      <c r="AN372" s="1045">
        <f t="shared" si="113"/>
        <v>11041816</v>
      </c>
      <c r="AO372" s="1013">
        <v>780255</v>
      </c>
      <c r="AP372" s="1013">
        <v>44100</v>
      </c>
      <c r="AQ372" s="1013">
        <v>0</v>
      </c>
      <c r="AR372" s="1013">
        <v>0</v>
      </c>
      <c r="AS372" s="1013">
        <v>0</v>
      </c>
      <c r="AT372" s="1045">
        <f t="shared" si="115"/>
        <v>10217461</v>
      </c>
      <c r="AU372" s="1004"/>
      <c r="AV372" s="870"/>
      <c r="AW372" s="782" t="s">
        <v>4041</v>
      </c>
      <c r="AX372" s="782" t="s">
        <v>4042</v>
      </c>
      <c r="AY372" s="1007" t="s">
        <v>287</v>
      </c>
      <c r="AZ372" s="1007">
        <v>622</v>
      </c>
      <c r="BA372" s="347" t="str">
        <f t="shared" si="114"/>
        <v>Box</v>
      </c>
      <c r="BB372" s="1008"/>
      <c r="BC372" s="1009"/>
      <c r="BD372" s="1009"/>
    </row>
    <row r="373" spans="1:56" s="1010" customFormat="1" ht="36.75" customHeight="1">
      <c r="A373" s="661">
        <f>SUBTOTAL(3,B$6:B373)</f>
        <v>368</v>
      </c>
      <c r="B373" s="661" t="s">
        <v>1547</v>
      </c>
      <c r="C373" s="662" t="s">
        <v>1548</v>
      </c>
      <c r="D373" s="1011">
        <v>42781</v>
      </c>
      <c r="E373" s="1011" t="s">
        <v>217</v>
      </c>
      <c r="F373" s="787" t="s">
        <v>572</v>
      </c>
      <c r="G373" s="996" t="s">
        <v>992</v>
      </c>
      <c r="H373" s="1012">
        <v>5931000</v>
      </c>
      <c r="I373" s="1012">
        <v>600000</v>
      </c>
      <c r="J373" s="1012">
        <v>0</v>
      </c>
      <c r="K373" s="1012">
        <v>100000</v>
      </c>
      <c r="L373" s="1013">
        <f t="shared" si="0"/>
        <v>6631000</v>
      </c>
      <c r="M373" s="1014">
        <v>23.8</v>
      </c>
      <c r="N373" s="1013">
        <f t="shared" si="82"/>
        <v>6069915</v>
      </c>
      <c r="O373" s="1015">
        <v>2</v>
      </c>
      <c r="P373" s="1013">
        <f t="shared" si="83"/>
        <v>510077</v>
      </c>
      <c r="Q373" s="1016">
        <v>0</v>
      </c>
      <c r="R373" s="1013">
        <f t="shared" si="84"/>
        <v>0</v>
      </c>
      <c r="S373" s="1013">
        <f t="shared" si="85"/>
        <v>6579992</v>
      </c>
      <c r="T373" s="1017">
        <v>0</v>
      </c>
      <c r="U373" s="785">
        <v>0</v>
      </c>
      <c r="V373" s="785">
        <v>200000</v>
      </c>
      <c r="W373" s="1017">
        <v>500000</v>
      </c>
      <c r="X373" s="1017">
        <v>0</v>
      </c>
      <c r="Y373" s="1017">
        <v>400000</v>
      </c>
      <c r="Z373" s="1017">
        <v>364197</v>
      </c>
      <c r="AA373" s="1018"/>
      <c r="AB373" s="1013"/>
      <c r="AC373" s="1017">
        <v>0</v>
      </c>
      <c r="AD373" s="1017">
        <v>0</v>
      </c>
      <c r="AE373" s="1013">
        <v>0</v>
      </c>
      <c r="AF373" s="1019"/>
      <c r="AG373" s="1019">
        <f t="shared" si="112"/>
        <v>8044189</v>
      </c>
      <c r="AH373" s="1014">
        <v>48</v>
      </c>
      <c r="AI373" s="1014">
        <v>0</v>
      </c>
      <c r="AJ373" s="1014">
        <v>0</v>
      </c>
      <c r="AK373" s="1018">
        <v>0</v>
      </c>
      <c r="AL373" s="1020">
        <v>0</v>
      </c>
      <c r="AM373" s="1013">
        <f t="shared" si="111"/>
        <v>2295346</v>
      </c>
      <c r="AN373" s="1045">
        <f t="shared" si="113"/>
        <v>10339535</v>
      </c>
      <c r="AO373" s="1013">
        <v>696255</v>
      </c>
      <c r="AP373" s="1013">
        <v>44100</v>
      </c>
      <c r="AQ373" s="1013">
        <v>0</v>
      </c>
      <c r="AR373" s="1013">
        <v>0</v>
      </c>
      <c r="AS373" s="1013">
        <v>0</v>
      </c>
      <c r="AT373" s="1045">
        <f t="shared" si="115"/>
        <v>9599180</v>
      </c>
      <c r="AU373" s="1004"/>
      <c r="AV373" s="870"/>
      <c r="AW373" s="782" t="s">
        <v>4043</v>
      </c>
      <c r="AX373" s="782" t="s">
        <v>4044</v>
      </c>
      <c r="AY373" s="1007" t="s">
        <v>287</v>
      </c>
      <c r="AZ373" s="1007">
        <v>622</v>
      </c>
      <c r="BA373" s="347" t="str">
        <f t="shared" si="114"/>
        <v>Box</v>
      </c>
      <c r="BB373" s="1008"/>
      <c r="BC373" s="1009"/>
      <c r="BD373" s="1009"/>
    </row>
    <row r="374" spans="1:56" s="1010" customFormat="1" ht="36.75" customHeight="1">
      <c r="A374" s="661">
        <f>SUBTOTAL(3,B$6:B374)</f>
        <v>369</v>
      </c>
      <c r="B374" s="661" t="s">
        <v>1549</v>
      </c>
      <c r="C374" s="662" t="s">
        <v>1550</v>
      </c>
      <c r="D374" s="1011">
        <v>44308</v>
      </c>
      <c r="E374" s="1011" t="s">
        <v>217</v>
      </c>
      <c r="F374" s="787" t="s">
        <v>573</v>
      </c>
      <c r="G374" s="996" t="s">
        <v>1551</v>
      </c>
      <c r="H374" s="1012">
        <v>7283000</v>
      </c>
      <c r="I374" s="1012">
        <v>2000000</v>
      </c>
      <c r="J374" s="1012">
        <v>364000</v>
      </c>
      <c r="K374" s="1012">
        <v>1603000</v>
      </c>
      <c r="L374" s="1013">
        <f t="shared" si="0"/>
        <v>11250000</v>
      </c>
      <c r="M374" s="1014">
        <v>24</v>
      </c>
      <c r="N374" s="1013">
        <f t="shared" si="82"/>
        <v>10384615</v>
      </c>
      <c r="O374" s="1015">
        <v>2</v>
      </c>
      <c r="P374" s="1013">
        <f t="shared" si="83"/>
        <v>865385</v>
      </c>
      <c r="Q374" s="1016">
        <v>0</v>
      </c>
      <c r="R374" s="1013">
        <f t="shared" si="84"/>
        <v>0</v>
      </c>
      <c r="S374" s="1013">
        <f t="shared" si="85"/>
        <v>11250000</v>
      </c>
      <c r="T374" s="1017">
        <v>0</v>
      </c>
      <c r="U374" s="785">
        <v>0</v>
      </c>
      <c r="V374" s="785">
        <v>200000</v>
      </c>
      <c r="W374" s="1017">
        <v>500000</v>
      </c>
      <c r="X374" s="1017">
        <v>0</v>
      </c>
      <c r="Y374" s="1017">
        <v>400000</v>
      </c>
      <c r="Z374" s="1017">
        <v>168511</v>
      </c>
      <c r="AA374" s="1018"/>
      <c r="AB374" s="1013"/>
      <c r="AC374" s="1017">
        <v>0</v>
      </c>
      <c r="AD374" s="1017">
        <v>0</v>
      </c>
      <c r="AE374" s="1013">
        <v>0</v>
      </c>
      <c r="AF374" s="1019"/>
      <c r="AG374" s="1019">
        <f t="shared" si="112"/>
        <v>12518511</v>
      </c>
      <c r="AH374" s="1014">
        <v>4</v>
      </c>
      <c r="AI374" s="1014">
        <v>0</v>
      </c>
      <c r="AJ374" s="1014">
        <v>0</v>
      </c>
      <c r="AK374" s="1018">
        <v>0</v>
      </c>
      <c r="AL374" s="1020">
        <v>0</v>
      </c>
      <c r="AM374" s="1013">
        <f t="shared" si="111"/>
        <v>324519</v>
      </c>
      <c r="AN374" s="1045">
        <f t="shared" si="113"/>
        <v>12843030</v>
      </c>
      <c r="AO374" s="1013">
        <v>1181250</v>
      </c>
      <c r="AP374" s="1013">
        <v>44100</v>
      </c>
      <c r="AQ374" s="1013">
        <v>32680</v>
      </c>
      <c r="AR374" s="1013">
        <v>0</v>
      </c>
      <c r="AS374" s="1013">
        <v>0</v>
      </c>
      <c r="AT374" s="1045">
        <f t="shared" si="115"/>
        <v>11585000</v>
      </c>
      <c r="AU374" s="1004"/>
      <c r="AV374" s="870"/>
      <c r="AW374" s="782" t="s">
        <v>4045</v>
      </c>
      <c r="AX374" s="782" t="s">
        <v>4046</v>
      </c>
      <c r="AY374" s="1007" t="s">
        <v>288</v>
      </c>
      <c r="AZ374" s="1007">
        <v>622</v>
      </c>
      <c r="BA374" s="347" t="str">
        <f t="shared" si="114"/>
        <v>Bag</v>
      </c>
      <c r="BB374" s="1008"/>
      <c r="BC374" s="1009"/>
      <c r="BD374" s="1009"/>
    </row>
    <row r="375" spans="1:56" s="1010" customFormat="1" ht="36.75" customHeight="1">
      <c r="A375" s="661">
        <f>SUBTOTAL(3,B$6:B375)</f>
        <v>370</v>
      </c>
      <c r="B375" s="661" t="s">
        <v>1552</v>
      </c>
      <c r="C375" s="662" t="s">
        <v>1553</v>
      </c>
      <c r="D375" s="1011">
        <v>44155</v>
      </c>
      <c r="E375" s="1011" t="s">
        <v>217</v>
      </c>
      <c r="F375" s="787" t="s">
        <v>574</v>
      </c>
      <c r="G375" s="996" t="s">
        <v>1554</v>
      </c>
      <c r="H375" s="1012">
        <v>6783000</v>
      </c>
      <c r="I375" s="1012">
        <v>1300000</v>
      </c>
      <c r="J375" s="1012">
        <v>339000</v>
      </c>
      <c r="K375" s="1012">
        <v>0</v>
      </c>
      <c r="L375" s="1013">
        <f t="shared" si="0"/>
        <v>8422000</v>
      </c>
      <c r="M375" s="1014">
        <v>20</v>
      </c>
      <c r="N375" s="1013">
        <f t="shared" si="82"/>
        <v>6478462</v>
      </c>
      <c r="O375" s="1015">
        <v>2</v>
      </c>
      <c r="P375" s="1013">
        <f t="shared" si="83"/>
        <v>647846</v>
      </c>
      <c r="Q375" s="1016">
        <v>0</v>
      </c>
      <c r="R375" s="1013">
        <f t="shared" si="84"/>
        <v>0</v>
      </c>
      <c r="S375" s="1013">
        <f t="shared" si="85"/>
        <v>7126308</v>
      </c>
      <c r="T375" s="1017">
        <v>0</v>
      </c>
      <c r="U375" s="785">
        <v>0</v>
      </c>
      <c r="V375" s="785">
        <v>200000</v>
      </c>
      <c r="W375" s="1017">
        <v>0</v>
      </c>
      <c r="X375" s="1017">
        <v>0</v>
      </c>
      <c r="Y375" s="1017">
        <v>0</v>
      </c>
      <c r="Z375" s="1017">
        <v>180940</v>
      </c>
      <c r="AA375" s="1018"/>
      <c r="AB375" s="1013"/>
      <c r="AC375" s="1017">
        <v>0</v>
      </c>
      <c r="AD375" s="1017">
        <v>0</v>
      </c>
      <c r="AE375" s="1013">
        <v>0</v>
      </c>
      <c r="AF375" s="1019"/>
      <c r="AG375" s="1019">
        <f t="shared" si="112"/>
        <v>7507248</v>
      </c>
      <c r="AH375" s="1014">
        <v>4</v>
      </c>
      <c r="AI375" s="1014">
        <v>0</v>
      </c>
      <c r="AJ375" s="1014">
        <v>0</v>
      </c>
      <c r="AK375" s="1018">
        <v>0</v>
      </c>
      <c r="AL375" s="1020">
        <v>0</v>
      </c>
      <c r="AM375" s="1013">
        <f t="shared" si="111"/>
        <v>242942</v>
      </c>
      <c r="AN375" s="1045">
        <f t="shared" si="113"/>
        <v>7750190</v>
      </c>
      <c r="AO375" s="1013">
        <v>884310</v>
      </c>
      <c r="AP375" s="1013">
        <v>44100</v>
      </c>
      <c r="AQ375" s="1013">
        <v>0</v>
      </c>
      <c r="AR375" s="1013">
        <v>0</v>
      </c>
      <c r="AS375" s="1013">
        <v>0</v>
      </c>
      <c r="AT375" s="1045">
        <f t="shared" si="115"/>
        <v>6821780</v>
      </c>
      <c r="AU375" s="1004"/>
      <c r="AV375" s="870"/>
      <c r="AW375" s="782" t="s">
        <v>4047</v>
      </c>
      <c r="AX375" s="782" t="s">
        <v>4048</v>
      </c>
      <c r="AY375" s="1007" t="s">
        <v>287</v>
      </c>
      <c r="AZ375" s="1007">
        <v>622</v>
      </c>
      <c r="BA375" s="347" t="str">
        <f t="shared" si="114"/>
        <v>Box</v>
      </c>
      <c r="BB375" s="1008"/>
      <c r="BC375" s="1009"/>
      <c r="BD375" s="1009"/>
    </row>
    <row r="376" spans="1:56" s="1010" customFormat="1" ht="36.75" customHeight="1">
      <c r="A376" s="661">
        <f>SUBTOTAL(3,B$6:B376)</f>
        <v>371</v>
      </c>
      <c r="B376" s="661" t="s">
        <v>1555</v>
      </c>
      <c r="C376" s="662" t="s">
        <v>1556</v>
      </c>
      <c r="D376" s="1011">
        <v>44981</v>
      </c>
      <c r="E376" s="1011" t="s">
        <v>217</v>
      </c>
      <c r="F376" s="787" t="s">
        <v>574</v>
      </c>
      <c r="G376" s="996" t="s">
        <v>1557</v>
      </c>
      <c r="H376" s="1012">
        <v>8483000</v>
      </c>
      <c r="I376" s="1012">
        <v>2000000</v>
      </c>
      <c r="J376" s="1012">
        <v>424000</v>
      </c>
      <c r="K376" s="1012">
        <v>0</v>
      </c>
      <c r="L376" s="1013">
        <f t="shared" si="0"/>
        <v>10907000</v>
      </c>
      <c r="M376" s="1014">
        <v>24</v>
      </c>
      <c r="N376" s="1013">
        <f t="shared" si="82"/>
        <v>10068000</v>
      </c>
      <c r="O376" s="1015">
        <v>2</v>
      </c>
      <c r="P376" s="1013">
        <f t="shared" si="83"/>
        <v>839000</v>
      </c>
      <c r="Q376" s="1016">
        <v>0</v>
      </c>
      <c r="R376" s="1013">
        <f t="shared" si="84"/>
        <v>0</v>
      </c>
      <c r="S376" s="1013">
        <f t="shared" si="85"/>
        <v>10907000</v>
      </c>
      <c r="T376" s="1017">
        <v>0</v>
      </c>
      <c r="U376" s="785">
        <v>0</v>
      </c>
      <c r="V376" s="785">
        <v>200000</v>
      </c>
      <c r="W376" s="1017">
        <v>500000</v>
      </c>
      <c r="X376" s="1017">
        <v>0</v>
      </c>
      <c r="Y376" s="1017">
        <v>400000</v>
      </c>
      <c r="Z376" s="1017">
        <v>367258</v>
      </c>
      <c r="AA376" s="1018"/>
      <c r="AB376" s="1013"/>
      <c r="AC376" s="1017">
        <v>100000</v>
      </c>
      <c r="AD376" s="1017">
        <v>0</v>
      </c>
      <c r="AE376" s="1013">
        <v>0</v>
      </c>
      <c r="AF376" s="1019"/>
      <c r="AG376" s="1019">
        <f t="shared" si="112"/>
        <v>12474258</v>
      </c>
      <c r="AH376" s="1014">
        <v>28</v>
      </c>
      <c r="AI376" s="1014">
        <v>0</v>
      </c>
      <c r="AJ376" s="1014">
        <v>0</v>
      </c>
      <c r="AK376" s="1018">
        <v>0</v>
      </c>
      <c r="AL376" s="1020">
        <v>0</v>
      </c>
      <c r="AM376" s="1013">
        <f t="shared" si="111"/>
        <v>2202375</v>
      </c>
      <c r="AN376" s="1045">
        <f t="shared" si="113"/>
        <v>14676633</v>
      </c>
      <c r="AO376" s="1013">
        <v>1145235</v>
      </c>
      <c r="AP376" s="1013">
        <v>44100</v>
      </c>
      <c r="AQ376" s="1013">
        <v>94864</v>
      </c>
      <c r="AR376" s="1013">
        <v>0</v>
      </c>
      <c r="AS376" s="1013">
        <v>0</v>
      </c>
      <c r="AT376" s="1045">
        <f t="shared" si="115"/>
        <v>13392434</v>
      </c>
      <c r="AU376" s="1004"/>
      <c r="AV376" s="870"/>
      <c r="AW376" s="782" t="s">
        <v>4049</v>
      </c>
      <c r="AX376" s="782" t="s">
        <v>4050</v>
      </c>
      <c r="AY376" s="1007" t="s">
        <v>287</v>
      </c>
      <c r="AZ376" s="1007">
        <v>622</v>
      </c>
      <c r="BA376" s="347" t="str">
        <f t="shared" si="114"/>
        <v>Box</v>
      </c>
      <c r="BB376" s="1008"/>
      <c r="BC376" s="1009"/>
      <c r="BD376" s="1009"/>
    </row>
    <row r="377" spans="1:56" s="1010" customFormat="1" ht="36.75" customHeight="1">
      <c r="A377" s="661">
        <f>SUBTOTAL(3,B$6:B377)</f>
        <v>372</v>
      </c>
      <c r="B377" s="661" t="s">
        <v>1558</v>
      </c>
      <c r="C377" s="662" t="s">
        <v>1559</v>
      </c>
      <c r="D377" s="1011">
        <v>45454</v>
      </c>
      <c r="E377" s="1011" t="s">
        <v>217</v>
      </c>
      <c r="F377" s="787" t="s">
        <v>574</v>
      </c>
      <c r="G377" s="996" t="s">
        <v>1560</v>
      </c>
      <c r="H377" s="1012">
        <v>5740000</v>
      </c>
      <c r="I377" s="1012">
        <v>1000000</v>
      </c>
      <c r="J377" s="1012">
        <v>287000</v>
      </c>
      <c r="K377" s="1012">
        <v>0</v>
      </c>
      <c r="L377" s="1013">
        <f t="shared" si="0"/>
        <v>7027000</v>
      </c>
      <c r="M377" s="1014">
        <v>23.8</v>
      </c>
      <c r="N377" s="1013">
        <f t="shared" si="82"/>
        <v>6432408</v>
      </c>
      <c r="O377" s="1015">
        <v>2</v>
      </c>
      <c r="P377" s="1013">
        <f t="shared" si="83"/>
        <v>540538</v>
      </c>
      <c r="Q377" s="1016">
        <v>0</v>
      </c>
      <c r="R377" s="1013">
        <f t="shared" si="84"/>
        <v>0</v>
      </c>
      <c r="S377" s="1013">
        <f t="shared" si="85"/>
        <v>6972946</v>
      </c>
      <c r="T377" s="1017">
        <v>0</v>
      </c>
      <c r="U377" s="785">
        <v>0</v>
      </c>
      <c r="V377" s="785">
        <v>200000</v>
      </c>
      <c r="W377" s="1017">
        <v>500000</v>
      </c>
      <c r="X377" s="1017">
        <v>0</v>
      </c>
      <c r="Y377" s="1017">
        <v>400000</v>
      </c>
      <c r="Z377" s="1017">
        <v>364197</v>
      </c>
      <c r="AA377" s="1018"/>
      <c r="AB377" s="1013"/>
      <c r="AC377" s="1017">
        <v>0</v>
      </c>
      <c r="AD377" s="1017">
        <v>0</v>
      </c>
      <c r="AE377" s="1013">
        <v>0</v>
      </c>
      <c r="AF377" s="1019"/>
      <c r="AG377" s="1019">
        <f t="shared" si="112"/>
        <v>8437143</v>
      </c>
      <c r="AH377" s="1014">
        <v>24</v>
      </c>
      <c r="AI377" s="1014">
        <v>0</v>
      </c>
      <c r="AJ377" s="1014">
        <v>0</v>
      </c>
      <c r="AK377" s="1018">
        <v>0</v>
      </c>
      <c r="AL377" s="1020">
        <v>0</v>
      </c>
      <c r="AM377" s="1013">
        <f t="shared" si="111"/>
        <v>1216212</v>
      </c>
      <c r="AN377" s="1045">
        <f t="shared" si="113"/>
        <v>9653355</v>
      </c>
      <c r="AO377" s="1013">
        <v>737835</v>
      </c>
      <c r="AP377" s="1013">
        <v>44100</v>
      </c>
      <c r="AQ377" s="1013">
        <v>0</v>
      </c>
      <c r="AR377" s="1013">
        <v>0</v>
      </c>
      <c r="AS377" s="1013">
        <v>0</v>
      </c>
      <c r="AT377" s="1045">
        <f t="shared" si="115"/>
        <v>8871420</v>
      </c>
      <c r="AU377" s="1004"/>
      <c r="AV377" s="870"/>
      <c r="AW377" s="782" t="s">
        <v>4051</v>
      </c>
      <c r="AX377" s="782" t="s">
        <v>4052</v>
      </c>
      <c r="AY377" s="1007" t="s">
        <v>287</v>
      </c>
      <c r="AZ377" s="1007">
        <v>622</v>
      </c>
      <c r="BA377" s="347" t="str">
        <f t="shared" si="114"/>
        <v>Box</v>
      </c>
      <c r="BB377" s="1008"/>
      <c r="BC377" s="1009"/>
      <c r="BD377" s="1009"/>
    </row>
    <row r="378" spans="1:56" s="1010" customFormat="1" ht="36.75" customHeight="1">
      <c r="A378" s="661">
        <f>SUBTOTAL(3,B$6:B378)</f>
        <v>373</v>
      </c>
      <c r="B378" s="661" t="s">
        <v>1561</v>
      </c>
      <c r="C378" s="662" t="s">
        <v>1562</v>
      </c>
      <c r="D378" s="1011">
        <v>39776</v>
      </c>
      <c r="E378" s="1011" t="s">
        <v>217</v>
      </c>
      <c r="F378" s="787" t="s">
        <v>514</v>
      </c>
      <c r="G378" s="996" t="s">
        <v>1563</v>
      </c>
      <c r="H378" s="1012">
        <v>7119000</v>
      </c>
      <c r="I378" s="1012">
        <v>2500000</v>
      </c>
      <c r="J378" s="1012">
        <v>0</v>
      </c>
      <c r="K378" s="1012">
        <v>2000000</v>
      </c>
      <c r="L378" s="1013">
        <f t="shared" si="0"/>
        <v>11619000</v>
      </c>
      <c r="M378" s="1014">
        <v>22.6</v>
      </c>
      <c r="N378" s="1013">
        <f t="shared" si="82"/>
        <v>10099592</v>
      </c>
      <c r="O378" s="1015">
        <v>3</v>
      </c>
      <c r="P378" s="1013">
        <f t="shared" si="83"/>
        <v>1340654</v>
      </c>
      <c r="Q378" s="1016">
        <v>0</v>
      </c>
      <c r="R378" s="1013">
        <f t="shared" si="84"/>
        <v>0</v>
      </c>
      <c r="S378" s="1013">
        <f t="shared" si="85"/>
        <v>11440246</v>
      </c>
      <c r="T378" s="1017">
        <v>0</v>
      </c>
      <c r="U378" s="785">
        <v>0</v>
      </c>
      <c r="V378" s="785">
        <v>200000</v>
      </c>
      <c r="W378" s="1017">
        <v>500000</v>
      </c>
      <c r="X378" s="1017">
        <v>0</v>
      </c>
      <c r="Y378" s="1017">
        <v>400000</v>
      </c>
      <c r="Z378" s="1017">
        <v>345834</v>
      </c>
      <c r="AA378" s="1018"/>
      <c r="AB378" s="1013"/>
      <c r="AC378" s="1017">
        <v>100000</v>
      </c>
      <c r="AD378" s="1017">
        <v>0</v>
      </c>
      <c r="AE378" s="1013">
        <v>83790.862831858394</v>
      </c>
      <c r="AF378" s="1019"/>
      <c r="AG378" s="1019">
        <f t="shared" si="112"/>
        <v>13069871</v>
      </c>
      <c r="AH378" s="1014">
        <v>0</v>
      </c>
      <c r="AI378" s="1014">
        <v>0</v>
      </c>
      <c r="AJ378" s="1014">
        <v>0</v>
      </c>
      <c r="AK378" s="1018">
        <v>0</v>
      </c>
      <c r="AL378" s="1020">
        <v>0</v>
      </c>
      <c r="AM378" s="1013">
        <f t="shared" si="111"/>
        <v>0</v>
      </c>
      <c r="AN378" s="1045">
        <f t="shared" si="113"/>
        <v>13069871</v>
      </c>
      <c r="AO378" s="1013">
        <v>1219995</v>
      </c>
      <c r="AP378" s="1013">
        <v>44100</v>
      </c>
      <c r="AQ378" s="1013">
        <v>0</v>
      </c>
      <c r="AR378" s="1013">
        <v>0</v>
      </c>
      <c r="AS378" s="1013">
        <v>0</v>
      </c>
      <c r="AT378" s="1045">
        <f t="shared" si="115"/>
        <v>11805776</v>
      </c>
      <c r="AU378" s="1004"/>
      <c r="AV378" s="870"/>
      <c r="AW378" s="782" t="s">
        <v>4053</v>
      </c>
      <c r="AX378" s="782" t="s">
        <v>4054</v>
      </c>
      <c r="AY378" s="1007" t="s">
        <v>288</v>
      </c>
      <c r="AZ378" s="1007">
        <v>627</v>
      </c>
      <c r="BA378" s="347" t="str">
        <f t="shared" si="114"/>
        <v>Bag</v>
      </c>
      <c r="BB378" s="1008"/>
      <c r="BC378" s="1009"/>
      <c r="BD378" s="1009"/>
    </row>
    <row r="379" spans="1:56" s="1010" customFormat="1" ht="36.75" customHeight="1">
      <c r="A379" s="661">
        <f>SUBTOTAL(3,B$6:B379)</f>
        <v>374</v>
      </c>
      <c r="B379" s="661" t="s">
        <v>401</v>
      </c>
      <c r="C379" s="662" t="s">
        <v>1564</v>
      </c>
      <c r="D379" s="1011">
        <v>44621</v>
      </c>
      <c r="E379" s="1011" t="s">
        <v>217</v>
      </c>
      <c r="F379" s="787" t="s">
        <v>514</v>
      </c>
      <c r="G379" s="996" t="s">
        <v>1311</v>
      </c>
      <c r="H379" s="1012">
        <v>15800000</v>
      </c>
      <c r="I379" s="1012">
        <v>20500000</v>
      </c>
      <c r="J379" s="1012">
        <v>0</v>
      </c>
      <c r="K379" s="1012">
        <v>0</v>
      </c>
      <c r="L379" s="1013">
        <f t="shared" si="0"/>
        <v>36300000</v>
      </c>
      <c r="M379" s="1014">
        <v>23.5</v>
      </c>
      <c r="N379" s="1013">
        <f t="shared" si="82"/>
        <v>32809615</v>
      </c>
      <c r="O379" s="1015">
        <v>2</v>
      </c>
      <c r="P379" s="1013">
        <f t="shared" si="83"/>
        <v>2792308</v>
      </c>
      <c r="Q379" s="1016">
        <v>0</v>
      </c>
      <c r="R379" s="1013">
        <f t="shared" si="84"/>
        <v>0</v>
      </c>
      <c r="S379" s="1013">
        <f t="shared" si="85"/>
        <v>35601923</v>
      </c>
      <c r="T379" s="1017">
        <v>490385</v>
      </c>
      <c r="U379" s="785">
        <v>0</v>
      </c>
      <c r="V379" s="785">
        <v>0</v>
      </c>
      <c r="W379" s="1017">
        <v>0</v>
      </c>
      <c r="X379" s="1017">
        <v>0</v>
      </c>
      <c r="Y379" s="1017">
        <v>0</v>
      </c>
      <c r="Z379" s="1017">
        <v>0</v>
      </c>
      <c r="AA379" s="1018"/>
      <c r="AB379" s="1013"/>
      <c r="AC379" s="1017">
        <v>0</v>
      </c>
      <c r="AD379" s="1017">
        <v>0</v>
      </c>
      <c r="AE379" s="1013">
        <v>0</v>
      </c>
      <c r="AF379" s="1019"/>
      <c r="AG379" s="1019">
        <f t="shared" si="112"/>
        <v>36092308</v>
      </c>
      <c r="AH379" s="1014">
        <v>0</v>
      </c>
      <c r="AI379" s="1014">
        <v>0</v>
      </c>
      <c r="AJ379" s="1014">
        <v>0</v>
      </c>
      <c r="AK379" s="1018">
        <v>0</v>
      </c>
      <c r="AL379" s="1020">
        <v>0</v>
      </c>
      <c r="AM379" s="1013">
        <f t="shared" si="111"/>
        <v>0</v>
      </c>
      <c r="AN379" s="1045">
        <f t="shared" si="113"/>
        <v>36092308</v>
      </c>
      <c r="AO379" s="1013">
        <v>3811500</v>
      </c>
      <c r="AP379" s="1013">
        <v>0</v>
      </c>
      <c r="AQ379" s="1013">
        <v>519042</v>
      </c>
      <c r="AR379" s="1013">
        <v>0</v>
      </c>
      <c r="AS379" s="1013">
        <v>0</v>
      </c>
      <c r="AT379" s="1045">
        <f t="shared" si="115"/>
        <v>31761766</v>
      </c>
      <c r="AU379" s="1004"/>
      <c r="AV379" s="870"/>
      <c r="AW379" s="782" t="s">
        <v>4055</v>
      </c>
      <c r="AX379" s="782" t="s">
        <v>4056</v>
      </c>
      <c r="AY379" s="1007" t="s">
        <v>287</v>
      </c>
      <c r="AZ379" s="1007">
        <v>627</v>
      </c>
      <c r="BA379" s="347" t="s">
        <v>78</v>
      </c>
      <c r="BB379" s="1008"/>
      <c r="BC379" s="1009"/>
      <c r="BD379" s="1009"/>
    </row>
    <row r="380" spans="1:56" s="1010" customFormat="1" ht="36.75" customHeight="1">
      <c r="A380" s="661">
        <f>SUBTOTAL(3,B$6:B380)</f>
        <v>375</v>
      </c>
      <c r="B380" s="661" t="s">
        <v>1565</v>
      </c>
      <c r="C380" s="662" t="s">
        <v>1566</v>
      </c>
      <c r="D380" s="1011">
        <v>44649</v>
      </c>
      <c r="E380" s="1011" t="s">
        <v>217</v>
      </c>
      <c r="F380" s="787" t="s">
        <v>514</v>
      </c>
      <c r="G380" s="996" t="s">
        <v>1563</v>
      </c>
      <c r="H380" s="1012">
        <v>5773000</v>
      </c>
      <c r="I380" s="1012">
        <v>1900000</v>
      </c>
      <c r="J380" s="1012">
        <v>0</v>
      </c>
      <c r="K380" s="1012">
        <v>0</v>
      </c>
      <c r="L380" s="1013">
        <f t="shared" si="0"/>
        <v>7673000</v>
      </c>
      <c r="M380" s="1014">
        <v>23</v>
      </c>
      <c r="N380" s="1013">
        <f t="shared" si="82"/>
        <v>6787654</v>
      </c>
      <c r="O380" s="1015">
        <v>3</v>
      </c>
      <c r="P380" s="1013">
        <f t="shared" si="83"/>
        <v>885346</v>
      </c>
      <c r="Q380" s="1016">
        <v>0</v>
      </c>
      <c r="R380" s="1013">
        <f t="shared" si="84"/>
        <v>0</v>
      </c>
      <c r="S380" s="1013">
        <f t="shared" si="85"/>
        <v>7673000</v>
      </c>
      <c r="T380" s="1017">
        <v>0</v>
      </c>
      <c r="U380" s="785">
        <v>0</v>
      </c>
      <c r="V380" s="785">
        <v>200000</v>
      </c>
      <c r="W380" s="1017">
        <v>500000</v>
      </c>
      <c r="X380" s="1017">
        <v>0</v>
      </c>
      <c r="Y380" s="1017">
        <v>400000</v>
      </c>
      <c r="Z380" s="1017">
        <v>351955</v>
      </c>
      <c r="AA380" s="1018"/>
      <c r="AB380" s="1013"/>
      <c r="AC380" s="1017">
        <v>0</v>
      </c>
      <c r="AD380" s="1017">
        <v>0</v>
      </c>
      <c r="AE380" s="1013">
        <v>55334.135869565216</v>
      </c>
      <c r="AF380" s="1019"/>
      <c r="AG380" s="1019">
        <f t="shared" si="112"/>
        <v>9180289</v>
      </c>
      <c r="AH380" s="1014">
        <v>0</v>
      </c>
      <c r="AI380" s="1014">
        <v>0</v>
      </c>
      <c r="AJ380" s="1014">
        <v>0</v>
      </c>
      <c r="AK380" s="1018">
        <v>0</v>
      </c>
      <c r="AL380" s="1020">
        <v>0</v>
      </c>
      <c r="AM380" s="1013">
        <f t="shared" si="111"/>
        <v>0</v>
      </c>
      <c r="AN380" s="1045">
        <f t="shared" si="113"/>
        <v>9180289</v>
      </c>
      <c r="AO380" s="1013">
        <v>805665</v>
      </c>
      <c r="AP380" s="1013">
        <v>44100</v>
      </c>
      <c r="AQ380" s="1013">
        <v>0</v>
      </c>
      <c r="AR380" s="1013">
        <v>0</v>
      </c>
      <c r="AS380" s="1013">
        <v>0</v>
      </c>
      <c r="AT380" s="1045">
        <f t="shared" si="115"/>
        <v>8330524</v>
      </c>
      <c r="AU380" s="1004"/>
      <c r="AV380" s="870"/>
      <c r="AW380" s="782" t="s">
        <v>4057</v>
      </c>
      <c r="AX380" s="782" t="s">
        <v>4058</v>
      </c>
      <c r="AY380" s="1007" t="s">
        <v>288</v>
      </c>
      <c r="AZ380" s="1007">
        <v>627</v>
      </c>
      <c r="BA380" s="347" t="str">
        <f t="shared" ref="BA380:BA443" si="116">+IF(AY380="SK1 Box","Box",IF(AY380="Seaman","Seaman","Bag"))</f>
        <v>Bag</v>
      </c>
      <c r="BB380" s="1008"/>
      <c r="BC380" s="1009"/>
      <c r="BD380" s="1009"/>
    </row>
    <row r="381" spans="1:56" s="1010" customFormat="1" ht="36.75" customHeight="1">
      <c r="A381" s="661">
        <f>SUBTOTAL(3,B$6:B381)</f>
        <v>376</v>
      </c>
      <c r="B381" s="661" t="s">
        <v>57</v>
      </c>
      <c r="C381" s="662" t="s">
        <v>163</v>
      </c>
      <c r="D381" s="1011">
        <v>40596</v>
      </c>
      <c r="E381" s="1011" t="s">
        <v>217</v>
      </c>
      <c r="F381" s="787" t="s">
        <v>514</v>
      </c>
      <c r="G381" s="996" t="s">
        <v>1310</v>
      </c>
      <c r="H381" s="1012">
        <v>11219000</v>
      </c>
      <c r="I381" s="1012">
        <v>7300000</v>
      </c>
      <c r="J381" s="1012">
        <v>0</v>
      </c>
      <c r="K381" s="1012">
        <v>0</v>
      </c>
      <c r="L381" s="1013">
        <f t="shared" si="0"/>
        <v>18519000</v>
      </c>
      <c r="M381" s="1014">
        <v>22.8</v>
      </c>
      <c r="N381" s="1013">
        <f t="shared" si="82"/>
        <v>16239738</v>
      </c>
      <c r="O381" s="1015">
        <v>3</v>
      </c>
      <c r="P381" s="1013">
        <f t="shared" si="83"/>
        <v>2136808</v>
      </c>
      <c r="Q381" s="1016">
        <v>0</v>
      </c>
      <c r="R381" s="1013">
        <f t="shared" si="84"/>
        <v>0</v>
      </c>
      <c r="S381" s="1013">
        <f t="shared" si="85"/>
        <v>18376546</v>
      </c>
      <c r="T381" s="1017">
        <v>0</v>
      </c>
      <c r="U381" s="785">
        <v>0</v>
      </c>
      <c r="V381" s="785">
        <v>200000</v>
      </c>
      <c r="W381" s="1017">
        <v>500000</v>
      </c>
      <c r="X381" s="1017">
        <v>0</v>
      </c>
      <c r="Y381" s="1017">
        <v>400000</v>
      </c>
      <c r="Z381" s="1017">
        <v>0</v>
      </c>
      <c r="AA381" s="1018"/>
      <c r="AB381" s="1013"/>
      <c r="AC381" s="1017">
        <v>0</v>
      </c>
      <c r="AD381" s="1017">
        <v>0</v>
      </c>
      <c r="AE381" s="1013">
        <v>0</v>
      </c>
      <c r="AF381" s="1019"/>
      <c r="AG381" s="1019">
        <f t="shared" si="112"/>
        <v>19476546</v>
      </c>
      <c r="AH381" s="1014">
        <v>32</v>
      </c>
      <c r="AI381" s="1014">
        <v>0</v>
      </c>
      <c r="AJ381" s="1014">
        <v>0</v>
      </c>
      <c r="AK381" s="1018">
        <v>0</v>
      </c>
      <c r="AL381" s="1020">
        <v>0</v>
      </c>
      <c r="AM381" s="1013">
        <f t="shared" si="111"/>
        <v>4273615</v>
      </c>
      <c r="AN381" s="1045">
        <f t="shared" si="113"/>
        <v>23750161</v>
      </c>
      <c r="AO381" s="1013">
        <v>1944495</v>
      </c>
      <c r="AP381" s="1013">
        <v>44100</v>
      </c>
      <c r="AQ381" s="1013">
        <v>34056</v>
      </c>
      <c r="AR381" s="1013">
        <v>0</v>
      </c>
      <c r="AS381" s="1013">
        <v>0</v>
      </c>
      <c r="AT381" s="1045">
        <f t="shared" si="115"/>
        <v>21727510</v>
      </c>
      <c r="AU381" s="1004"/>
      <c r="AV381" s="870"/>
      <c r="AW381" s="782" t="s">
        <v>4059</v>
      </c>
      <c r="AX381" s="782" t="s">
        <v>4060</v>
      </c>
      <c r="AY381" s="1007" t="s">
        <v>287</v>
      </c>
      <c r="AZ381" s="1007">
        <v>627</v>
      </c>
      <c r="BA381" s="347" t="str">
        <f t="shared" si="116"/>
        <v>Box</v>
      </c>
      <c r="BB381" s="1008"/>
      <c r="BC381" s="1009"/>
      <c r="BD381" s="1009"/>
    </row>
    <row r="382" spans="1:56" s="1010" customFormat="1" ht="36.75" customHeight="1">
      <c r="A382" s="661">
        <f>SUBTOTAL(3,B$6:B382)</f>
        <v>377</v>
      </c>
      <c r="B382" s="661" t="s">
        <v>1567</v>
      </c>
      <c r="C382" s="662" t="s">
        <v>1568</v>
      </c>
      <c r="D382" s="1011">
        <v>40819</v>
      </c>
      <c r="E382" s="1011" t="s">
        <v>217</v>
      </c>
      <c r="F382" s="787" t="s">
        <v>514</v>
      </c>
      <c r="G382" s="996" t="s">
        <v>1310</v>
      </c>
      <c r="H382" s="1012">
        <v>8076000</v>
      </c>
      <c r="I382" s="1012">
        <v>7300000</v>
      </c>
      <c r="J382" s="1012">
        <v>0</v>
      </c>
      <c r="K382" s="1012">
        <v>0</v>
      </c>
      <c r="L382" s="1013">
        <f t="shared" si="0"/>
        <v>15376000</v>
      </c>
      <c r="M382" s="1014">
        <v>24</v>
      </c>
      <c r="N382" s="1013">
        <f t="shared" si="82"/>
        <v>14193231</v>
      </c>
      <c r="O382" s="1015">
        <v>2</v>
      </c>
      <c r="P382" s="1013">
        <f t="shared" si="83"/>
        <v>1182769</v>
      </c>
      <c r="Q382" s="1016">
        <v>0</v>
      </c>
      <c r="R382" s="1013">
        <f t="shared" si="84"/>
        <v>0</v>
      </c>
      <c r="S382" s="1013">
        <f t="shared" si="85"/>
        <v>15376000</v>
      </c>
      <c r="T382" s="1017">
        <v>0</v>
      </c>
      <c r="U382" s="785">
        <v>0</v>
      </c>
      <c r="V382" s="785">
        <v>200000</v>
      </c>
      <c r="W382" s="1017">
        <v>500000</v>
      </c>
      <c r="X382" s="1017">
        <v>0</v>
      </c>
      <c r="Y382" s="1017">
        <v>400000</v>
      </c>
      <c r="Z382" s="1017">
        <v>0</v>
      </c>
      <c r="AA382" s="1018"/>
      <c r="AB382" s="1013"/>
      <c r="AC382" s="1017">
        <v>0</v>
      </c>
      <c r="AD382" s="1017">
        <v>0</v>
      </c>
      <c r="AE382" s="1013">
        <v>110884.6171875</v>
      </c>
      <c r="AF382" s="1019"/>
      <c r="AG382" s="1019">
        <f t="shared" si="112"/>
        <v>16586885</v>
      </c>
      <c r="AH382" s="1014">
        <v>53</v>
      </c>
      <c r="AI382" s="1014">
        <v>0</v>
      </c>
      <c r="AJ382" s="1014">
        <v>0</v>
      </c>
      <c r="AK382" s="1018">
        <v>0</v>
      </c>
      <c r="AL382" s="1020">
        <v>0</v>
      </c>
      <c r="AM382" s="1013">
        <f t="shared" si="111"/>
        <v>5876885</v>
      </c>
      <c r="AN382" s="1045">
        <f t="shared" si="113"/>
        <v>22463770</v>
      </c>
      <c r="AO382" s="1013">
        <v>1614480</v>
      </c>
      <c r="AP382" s="1013">
        <v>44100</v>
      </c>
      <c r="AQ382" s="1013">
        <v>0</v>
      </c>
      <c r="AR382" s="1013">
        <v>0</v>
      </c>
      <c r="AS382" s="1013">
        <v>0</v>
      </c>
      <c r="AT382" s="1045">
        <f t="shared" si="115"/>
        <v>20805190</v>
      </c>
      <c r="AU382" s="1004"/>
      <c r="AV382" s="870"/>
      <c r="AW382" s="782" t="s">
        <v>4061</v>
      </c>
      <c r="AX382" s="782" t="s">
        <v>4062</v>
      </c>
      <c r="AY382" s="1007" t="s">
        <v>288</v>
      </c>
      <c r="AZ382" s="1007">
        <v>627</v>
      </c>
      <c r="BA382" s="347" t="str">
        <f t="shared" si="116"/>
        <v>Bag</v>
      </c>
      <c r="BB382" s="1008"/>
      <c r="BC382" s="1009"/>
      <c r="BD382" s="1009"/>
    </row>
    <row r="383" spans="1:56" s="1010" customFormat="1" ht="36.75" customHeight="1">
      <c r="A383" s="661">
        <f>SUBTOTAL(3,B$6:B383)</f>
        <v>378</v>
      </c>
      <c r="B383" s="661" t="s">
        <v>1569</v>
      </c>
      <c r="C383" s="662" t="s">
        <v>1570</v>
      </c>
      <c r="D383" s="1011">
        <v>45360</v>
      </c>
      <c r="E383" s="1011" t="s">
        <v>217</v>
      </c>
      <c r="F383" s="787" t="s">
        <v>515</v>
      </c>
      <c r="G383" s="996" t="s">
        <v>1571</v>
      </c>
      <c r="H383" s="1012">
        <v>5538000</v>
      </c>
      <c r="I383" s="1012">
        <v>1900000</v>
      </c>
      <c r="J383" s="1012">
        <v>0</v>
      </c>
      <c r="K383" s="1012">
        <v>0</v>
      </c>
      <c r="L383" s="1013">
        <f t="shared" si="0"/>
        <v>7438000</v>
      </c>
      <c r="M383" s="1014">
        <v>22</v>
      </c>
      <c r="N383" s="1013">
        <f t="shared" si="82"/>
        <v>6293692</v>
      </c>
      <c r="O383" s="1015">
        <v>2</v>
      </c>
      <c r="P383" s="1013">
        <f t="shared" si="83"/>
        <v>572154</v>
      </c>
      <c r="Q383" s="1016">
        <v>0</v>
      </c>
      <c r="R383" s="1013">
        <f t="shared" si="84"/>
        <v>0</v>
      </c>
      <c r="S383" s="1013">
        <f t="shared" si="85"/>
        <v>6865846</v>
      </c>
      <c r="T383" s="1017">
        <v>0</v>
      </c>
      <c r="U383" s="785">
        <v>0</v>
      </c>
      <c r="V383" s="785">
        <v>200000</v>
      </c>
      <c r="W383" s="1017">
        <v>0</v>
      </c>
      <c r="X383" s="1017">
        <v>0</v>
      </c>
      <c r="Y383" s="1017">
        <v>300000</v>
      </c>
      <c r="Z383" s="1017">
        <v>458300</v>
      </c>
      <c r="AA383" s="1018"/>
      <c r="AB383" s="1013"/>
      <c r="AC383" s="1017">
        <v>100000</v>
      </c>
      <c r="AD383" s="1017">
        <v>0</v>
      </c>
      <c r="AE383" s="1013">
        <v>53639.420454545456</v>
      </c>
      <c r="AF383" s="1019"/>
      <c r="AG383" s="1019">
        <f t="shared" si="112"/>
        <v>7977785</v>
      </c>
      <c r="AH383" s="1014">
        <v>40</v>
      </c>
      <c r="AI383" s="1014">
        <v>0</v>
      </c>
      <c r="AJ383" s="1014">
        <v>0</v>
      </c>
      <c r="AK383" s="1018">
        <v>0</v>
      </c>
      <c r="AL383" s="1020">
        <v>0</v>
      </c>
      <c r="AM383" s="1013">
        <f t="shared" si="111"/>
        <v>2145577</v>
      </c>
      <c r="AN383" s="1045">
        <f t="shared" si="113"/>
        <v>10123362</v>
      </c>
      <c r="AO383" s="1013">
        <v>780990</v>
      </c>
      <c r="AP383" s="1013">
        <v>44100</v>
      </c>
      <c r="AQ383" s="1013">
        <v>0</v>
      </c>
      <c r="AR383" s="1013">
        <v>0</v>
      </c>
      <c r="AS383" s="1013">
        <v>0</v>
      </c>
      <c r="AT383" s="1045">
        <f t="shared" si="115"/>
        <v>9298272</v>
      </c>
      <c r="AU383" s="1004"/>
      <c r="AV383" s="870"/>
      <c r="AW383" s="782" t="s">
        <v>4063</v>
      </c>
      <c r="AX383" s="782" t="s">
        <v>4064</v>
      </c>
      <c r="AY383" s="1007" t="s">
        <v>288</v>
      </c>
      <c r="AZ383" s="1007">
        <v>622</v>
      </c>
      <c r="BA383" s="347" t="str">
        <f t="shared" si="116"/>
        <v>Bag</v>
      </c>
      <c r="BB383" s="1008"/>
      <c r="BC383" s="1009"/>
      <c r="BD383" s="1009"/>
    </row>
    <row r="384" spans="1:56" s="1010" customFormat="1" ht="36.75" customHeight="1">
      <c r="A384" s="661">
        <f>SUBTOTAL(3,B$6:B384)</f>
        <v>379</v>
      </c>
      <c r="B384" s="661" t="s">
        <v>1572</v>
      </c>
      <c r="C384" s="662" t="s">
        <v>1573</v>
      </c>
      <c r="D384" s="1011">
        <v>45432</v>
      </c>
      <c r="E384" s="1011" t="s">
        <v>217</v>
      </c>
      <c r="F384" s="787" t="s">
        <v>515</v>
      </c>
      <c r="G384" s="996" t="s">
        <v>1322</v>
      </c>
      <c r="H384" s="1012">
        <v>5274000</v>
      </c>
      <c r="I384" s="1012">
        <v>500000</v>
      </c>
      <c r="J384" s="1012">
        <v>0</v>
      </c>
      <c r="K384" s="1012">
        <v>0</v>
      </c>
      <c r="L384" s="1013">
        <f t="shared" si="0"/>
        <v>5774000</v>
      </c>
      <c r="M384" s="1014">
        <v>24</v>
      </c>
      <c r="N384" s="1013">
        <f t="shared" si="82"/>
        <v>5329846</v>
      </c>
      <c r="O384" s="1015">
        <v>2</v>
      </c>
      <c r="P384" s="1013">
        <f t="shared" si="83"/>
        <v>444154</v>
      </c>
      <c r="Q384" s="1016">
        <v>0</v>
      </c>
      <c r="R384" s="1013">
        <f t="shared" si="84"/>
        <v>0</v>
      </c>
      <c r="S384" s="1013">
        <f t="shared" si="85"/>
        <v>5774000</v>
      </c>
      <c r="T384" s="1017">
        <v>0</v>
      </c>
      <c r="U384" s="785">
        <v>0</v>
      </c>
      <c r="V384" s="785">
        <v>200000</v>
      </c>
      <c r="W384" s="1017">
        <v>500000</v>
      </c>
      <c r="X384" s="1017">
        <v>0</v>
      </c>
      <c r="Y384" s="1017">
        <v>400000</v>
      </c>
      <c r="Z384" s="1017">
        <v>400000</v>
      </c>
      <c r="AA384" s="1018"/>
      <c r="AB384" s="1013"/>
      <c r="AC384" s="1017">
        <v>0</v>
      </c>
      <c r="AD384" s="1017">
        <v>0</v>
      </c>
      <c r="AE384" s="1013">
        <v>41639.421875</v>
      </c>
      <c r="AF384" s="1019"/>
      <c r="AG384" s="1019">
        <f t="shared" si="112"/>
        <v>7315639</v>
      </c>
      <c r="AH384" s="1014">
        <v>48</v>
      </c>
      <c r="AI384" s="1014">
        <v>0</v>
      </c>
      <c r="AJ384" s="1014">
        <v>0</v>
      </c>
      <c r="AK384" s="1018">
        <v>0</v>
      </c>
      <c r="AL384" s="1020">
        <v>0</v>
      </c>
      <c r="AM384" s="1013">
        <f t="shared" si="111"/>
        <v>1998692</v>
      </c>
      <c r="AN384" s="1045">
        <f t="shared" si="113"/>
        <v>9314331</v>
      </c>
      <c r="AO384" s="1013">
        <v>606270</v>
      </c>
      <c r="AP384" s="1013">
        <v>44100</v>
      </c>
      <c r="AQ384" s="1013">
        <v>0</v>
      </c>
      <c r="AR384" s="1013">
        <v>0</v>
      </c>
      <c r="AS384" s="1013">
        <v>0</v>
      </c>
      <c r="AT384" s="1045">
        <f t="shared" si="115"/>
        <v>8663961</v>
      </c>
      <c r="AU384" s="1004"/>
      <c r="AV384" s="870"/>
      <c r="AW384" s="782" t="s">
        <v>4065</v>
      </c>
      <c r="AX384" s="782" t="s">
        <v>4066</v>
      </c>
      <c r="AY384" s="1007" t="s">
        <v>287</v>
      </c>
      <c r="AZ384" s="1007">
        <v>622</v>
      </c>
      <c r="BA384" s="347" t="str">
        <f t="shared" si="116"/>
        <v>Box</v>
      </c>
      <c r="BB384" s="1008"/>
      <c r="BC384" s="1009"/>
      <c r="BD384" s="1009"/>
    </row>
    <row r="385" spans="1:56" s="1010" customFormat="1" ht="36.75" customHeight="1">
      <c r="A385" s="661">
        <f>SUBTOTAL(3,B$6:B385)</f>
        <v>380</v>
      </c>
      <c r="B385" s="661" t="s">
        <v>1574</v>
      </c>
      <c r="C385" s="662" t="s">
        <v>1575</v>
      </c>
      <c r="D385" s="1011">
        <v>45696</v>
      </c>
      <c r="E385" s="1011" t="s">
        <v>217</v>
      </c>
      <c r="F385" s="787" t="s">
        <v>515</v>
      </c>
      <c r="G385" s="996" t="s">
        <v>1322</v>
      </c>
      <c r="H385" s="1012">
        <v>5023000</v>
      </c>
      <c r="I385" s="1012">
        <v>500000</v>
      </c>
      <c r="J385" s="1012">
        <v>0</v>
      </c>
      <c r="K385" s="1012">
        <v>0</v>
      </c>
      <c r="L385" s="1013">
        <f t="shared" si="0"/>
        <v>5523000</v>
      </c>
      <c r="M385" s="1014">
        <v>24</v>
      </c>
      <c r="N385" s="1013">
        <f t="shared" si="82"/>
        <v>5098154</v>
      </c>
      <c r="O385" s="1015">
        <v>2</v>
      </c>
      <c r="P385" s="1013">
        <f t="shared" si="83"/>
        <v>424846</v>
      </c>
      <c r="Q385" s="1016">
        <v>0</v>
      </c>
      <c r="R385" s="1013">
        <f t="shared" si="84"/>
        <v>0</v>
      </c>
      <c r="S385" s="1013">
        <f t="shared" si="85"/>
        <v>5523000</v>
      </c>
      <c r="T385" s="1017">
        <v>0</v>
      </c>
      <c r="U385" s="785">
        <v>0</v>
      </c>
      <c r="V385" s="785">
        <v>200000</v>
      </c>
      <c r="W385" s="1017">
        <v>500000</v>
      </c>
      <c r="X385" s="1017">
        <v>0</v>
      </c>
      <c r="Y385" s="1017">
        <v>400000</v>
      </c>
      <c r="Z385" s="1017">
        <v>400000</v>
      </c>
      <c r="AA385" s="1018"/>
      <c r="AB385" s="1013"/>
      <c r="AC385" s="1017">
        <v>0</v>
      </c>
      <c r="AD385" s="1017">
        <v>0</v>
      </c>
      <c r="AE385" s="1013">
        <v>39829.328125</v>
      </c>
      <c r="AF385" s="1019"/>
      <c r="AG385" s="1019">
        <f t="shared" si="112"/>
        <v>7062829</v>
      </c>
      <c r="AH385" s="1014">
        <v>48</v>
      </c>
      <c r="AI385" s="1014">
        <v>0</v>
      </c>
      <c r="AJ385" s="1014">
        <v>0</v>
      </c>
      <c r="AK385" s="1018">
        <v>0</v>
      </c>
      <c r="AL385" s="1020">
        <v>0</v>
      </c>
      <c r="AM385" s="1013">
        <f t="shared" si="111"/>
        <v>1911808</v>
      </c>
      <c r="AN385" s="1045">
        <f t="shared" si="113"/>
        <v>8974637</v>
      </c>
      <c r="AO385" s="1013">
        <v>579915</v>
      </c>
      <c r="AP385" s="1013">
        <v>44100</v>
      </c>
      <c r="AQ385" s="1013">
        <v>0</v>
      </c>
      <c r="AR385" s="1013">
        <v>0</v>
      </c>
      <c r="AS385" s="1013">
        <v>0</v>
      </c>
      <c r="AT385" s="1045">
        <f t="shared" si="115"/>
        <v>8350622</v>
      </c>
      <c r="AU385" s="1004"/>
      <c r="AV385" s="870"/>
      <c r="AW385" s="782" t="s">
        <v>4067</v>
      </c>
      <c r="AX385" s="782" t="s">
        <v>4068</v>
      </c>
      <c r="AY385" s="1007" t="s">
        <v>287</v>
      </c>
      <c r="AZ385" s="1007">
        <v>622</v>
      </c>
      <c r="BA385" s="347" t="str">
        <f t="shared" si="116"/>
        <v>Box</v>
      </c>
      <c r="BB385" s="1008"/>
      <c r="BC385" s="1009"/>
      <c r="BD385" s="1009"/>
    </row>
    <row r="386" spans="1:56" s="1010" customFormat="1" ht="36.75" customHeight="1">
      <c r="A386" s="661">
        <f>SUBTOTAL(3,B$6:B386)</f>
        <v>381</v>
      </c>
      <c r="B386" s="661" t="s">
        <v>1576</v>
      </c>
      <c r="C386" s="662" t="s">
        <v>1577</v>
      </c>
      <c r="D386" s="1011">
        <v>45706</v>
      </c>
      <c r="E386" s="1011" t="s">
        <v>217</v>
      </c>
      <c r="F386" s="787" t="s">
        <v>515</v>
      </c>
      <c r="G386" s="996" t="s">
        <v>1322</v>
      </c>
      <c r="H386" s="1012">
        <v>5023000</v>
      </c>
      <c r="I386" s="1012">
        <v>500000</v>
      </c>
      <c r="J386" s="1012">
        <v>0</v>
      </c>
      <c r="K386" s="1012">
        <v>0</v>
      </c>
      <c r="L386" s="1013">
        <f t="shared" si="0"/>
        <v>5523000</v>
      </c>
      <c r="M386" s="1014">
        <v>22.8</v>
      </c>
      <c r="N386" s="1013">
        <f t="shared" si="82"/>
        <v>4843246</v>
      </c>
      <c r="O386" s="1015">
        <v>3</v>
      </c>
      <c r="P386" s="1013">
        <f t="shared" si="83"/>
        <v>637269</v>
      </c>
      <c r="Q386" s="1016">
        <v>0</v>
      </c>
      <c r="R386" s="1013">
        <f t="shared" si="84"/>
        <v>0</v>
      </c>
      <c r="S386" s="1013">
        <f t="shared" si="85"/>
        <v>5480515</v>
      </c>
      <c r="T386" s="1017">
        <v>0</v>
      </c>
      <c r="U386" s="785">
        <v>0</v>
      </c>
      <c r="V386" s="785">
        <v>200000</v>
      </c>
      <c r="W386" s="1017">
        <v>500000</v>
      </c>
      <c r="X386" s="1017">
        <v>0</v>
      </c>
      <c r="Y386" s="1017">
        <v>400000</v>
      </c>
      <c r="Z386" s="1017">
        <v>285000</v>
      </c>
      <c r="AA386" s="1018"/>
      <c r="AB386" s="1013"/>
      <c r="AC386" s="1017">
        <v>0</v>
      </c>
      <c r="AD386" s="1017">
        <v>0</v>
      </c>
      <c r="AE386" s="1013">
        <v>39829.325657894733</v>
      </c>
      <c r="AF386" s="1019"/>
      <c r="AG386" s="1019">
        <f t="shared" si="112"/>
        <v>6905344</v>
      </c>
      <c r="AH386" s="1014">
        <v>32</v>
      </c>
      <c r="AI386" s="1014">
        <v>0</v>
      </c>
      <c r="AJ386" s="1014">
        <v>0</v>
      </c>
      <c r="AK386" s="1018">
        <v>0</v>
      </c>
      <c r="AL386" s="1020">
        <v>0</v>
      </c>
      <c r="AM386" s="1013">
        <f t="shared" si="111"/>
        <v>1274538</v>
      </c>
      <c r="AN386" s="1045">
        <f t="shared" si="113"/>
        <v>8179882</v>
      </c>
      <c r="AO386" s="1013">
        <v>579915</v>
      </c>
      <c r="AP386" s="1013">
        <v>44100</v>
      </c>
      <c r="AQ386" s="1013">
        <v>0</v>
      </c>
      <c r="AR386" s="1013">
        <v>0</v>
      </c>
      <c r="AS386" s="1013">
        <v>0</v>
      </c>
      <c r="AT386" s="1045">
        <f t="shared" si="115"/>
        <v>7555867</v>
      </c>
      <c r="AU386" s="1004"/>
      <c r="AV386" s="870"/>
      <c r="AW386" s="782" t="s">
        <v>4069</v>
      </c>
      <c r="AX386" s="782" t="s">
        <v>5713</v>
      </c>
      <c r="AY386" s="1007" t="s">
        <v>288</v>
      </c>
      <c r="AZ386" s="1007">
        <v>622</v>
      </c>
      <c r="BA386" s="347" t="str">
        <f t="shared" si="116"/>
        <v>Bag</v>
      </c>
      <c r="BB386" s="1008"/>
      <c r="BC386" s="1009"/>
      <c r="BD386" s="1009"/>
    </row>
    <row r="387" spans="1:56" s="1010" customFormat="1" ht="36.75" customHeight="1">
      <c r="A387" s="661">
        <f>SUBTOTAL(3,B$6:B387)</f>
        <v>382</v>
      </c>
      <c r="B387" s="661" t="s">
        <v>1578</v>
      </c>
      <c r="C387" s="662" t="s">
        <v>1579</v>
      </c>
      <c r="D387" s="1011">
        <v>40091</v>
      </c>
      <c r="E387" s="1011" t="s">
        <v>217</v>
      </c>
      <c r="F387" s="787" t="s">
        <v>515</v>
      </c>
      <c r="G387" s="996" t="s">
        <v>1580</v>
      </c>
      <c r="H387" s="1012">
        <v>6641000</v>
      </c>
      <c r="I387" s="1012">
        <v>3200000</v>
      </c>
      <c r="J387" s="1012">
        <v>0</v>
      </c>
      <c r="K387" s="1012">
        <v>2000000</v>
      </c>
      <c r="L387" s="1013">
        <f t="shared" si="0"/>
        <v>11841000</v>
      </c>
      <c r="M387" s="1014">
        <v>24</v>
      </c>
      <c r="N387" s="1013">
        <f t="shared" si="82"/>
        <v>10930154</v>
      </c>
      <c r="O387" s="1015">
        <v>2</v>
      </c>
      <c r="P387" s="1013">
        <f t="shared" si="83"/>
        <v>910846</v>
      </c>
      <c r="Q387" s="1016">
        <v>0</v>
      </c>
      <c r="R387" s="1013">
        <f t="shared" si="84"/>
        <v>0</v>
      </c>
      <c r="S387" s="1013">
        <f t="shared" si="85"/>
        <v>11841000</v>
      </c>
      <c r="T387" s="1017">
        <v>0</v>
      </c>
      <c r="U387" s="785">
        <v>0</v>
      </c>
      <c r="V387" s="785">
        <v>200000</v>
      </c>
      <c r="W387" s="1017">
        <v>500000</v>
      </c>
      <c r="X387" s="1017">
        <v>0</v>
      </c>
      <c r="Y387" s="1017">
        <v>400000</v>
      </c>
      <c r="Z387" s="1017">
        <v>700000</v>
      </c>
      <c r="AA387" s="1018"/>
      <c r="AB387" s="1013"/>
      <c r="AC387" s="1017">
        <v>0</v>
      </c>
      <c r="AD387" s="1017">
        <v>0</v>
      </c>
      <c r="AE387" s="1013">
        <v>0</v>
      </c>
      <c r="AF387" s="1019"/>
      <c r="AG387" s="1019">
        <f t="shared" si="112"/>
        <v>13641000</v>
      </c>
      <c r="AH387" s="1014">
        <v>51</v>
      </c>
      <c r="AI387" s="1014">
        <v>0</v>
      </c>
      <c r="AJ387" s="1014">
        <v>0</v>
      </c>
      <c r="AK387" s="1018">
        <v>0</v>
      </c>
      <c r="AL387" s="1020">
        <v>0</v>
      </c>
      <c r="AM387" s="1013">
        <f t="shared" si="111"/>
        <v>4354983</v>
      </c>
      <c r="AN387" s="1045">
        <f t="shared" si="113"/>
        <v>17995983</v>
      </c>
      <c r="AO387" s="1013">
        <v>1243305</v>
      </c>
      <c r="AP387" s="1013">
        <v>44100</v>
      </c>
      <c r="AQ387" s="1013">
        <v>0</v>
      </c>
      <c r="AR387" s="1013">
        <v>0</v>
      </c>
      <c r="AS387" s="1013">
        <v>0</v>
      </c>
      <c r="AT387" s="1045">
        <f t="shared" si="115"/>
        <v>16708578</v>
      </c>
      <c r="AU387" s="1004"/>
      <c r="AV387" s="870"/>
      <c r="AW387" s="782" t="s">
        <v>4070</v>
      </c>
      <c r="AX387" s="782" t="s">
        <v>4071</v>
      </c>
      <c r="AY387" s="1007" t="s">
        <v>288</v>
      </c>
      <c r="AZ387" s="1007">
        <v>622</v>
      </c>
      <c r="BA387" s="347" t="str">
        <f t="shared" si="116"/>
        <v>Bag</v>
      </c>
      <c r="BB387" s="1008"/>
      <c r="BC387" s="1009"/>
      <c r="BD387" s="1009"/>
    </row>
    <row r="388" spans="1:56" s="1010" customFormat="1" ht="36.75" customHeight="1">
      <c r="A388" s="661">
        <f>SUBTOTAL(3,B$6:B388)</f>
        <v>383</v>
      </c>
      <c r="B388" s="661" t="s">
        <v>1581</v>
      </c>
      <c r="C388" s="662" t="s">
        <v>1582</v>
      </c>
      <c r="D388" s="1011">
        <v>41172</v>
      </c>
      <c r="E388" s="1011" t="s">
        <v>217</v>
      </c>
      <c r="F388" s="787" t="s">
        <v>515</v>
      </c>
      <c r="G388" s="996" t="s">
        <v>1322</v>
      </c>
      <c r="H388" s="1012">
        <v>5931000</v>
      </c>
      <c r="I388" s="1012">
        <v>1100000</v>
      </c>
      <c r="J388" s="1012">
        <v>0</v>
      </c>
      <c r="K388" s="1012">
        <v>0</v>
      </c>
      <c r="L388" s="1013">
        <f t="shared" si="0"/>
        <v>7031000</v>
      </c>
      <c r="M388" s="1014">
        <v>24</v>
      </c>
      <c r="N388" s="1013">
        <f t="shared" si="82"/>
        <v>6490154</v>
      </c>
      <c r="O388" s="1015">
        <v>2</v>
      </c>
      <c r="P388" s="1013">
        <f t="shared" si="83"/>
        <v>540846</v>
      </c>
      <c r="Q388" s="1016">
        <v>0</v>
      </c>
      <c r="R388" s="1013">
        <f t="shared" si="84"/>
        <v>0</v>
      </c>
      <c r="S388" s="1013">
        <f t="shared" si="85"/>
        <v>7031000</v>
      </c>
      <c r="T388" s="1017">
        <v>0</v>
      </c>
      <c r="U388" s="785">
        <v>0</v>
      </c>
      <c r="V388" s="785">
        <v>200000</v>
      </c>
      <c r="W388" s="1017">
        <v>500000</v>
      </c>
      <c r="X388" s="1017">
        <v>0</v>
      </c>
      <c r="Y388" s="1017">
        <v>400000</v>
      </c>
      <c r="Z388" s="1017">
        <v>400000</v>
      </c>
      <c r="AA388" s="1018"/>
      <c r="AB388" s="1013"/>
      <c r="AC388" s="1017">
        <v>0</v>
      </c>
      <c r="AD388" s="1017">
        <v>0</v>
      </c>
      <c r="AE388" s="1013">
        <v>50704.328125</v>
      </c>
      <c r="AF388" s="1019"/>
      <c r="AG388" s="1019">
        <f t="shared" si="112"/>
        <v>8581704</v>
      </c>
      <c r="AH388" s="1014">
        <v>48</v>
      </c>
      <c r="AI388" s="1014">
        <v>0</v>
      </c>
      <c r="AJ388" s="1014">
        <v>0</v>
      </c>
      <c r="AK388" s="1018">
        <v>0</v>
      </c>
      <c r="AL388" s="1020">
        <v>0</v>
      </c>
      <c r="AM388" s="1013">
        <f t="shared" si="111"/>
        <v>2433808</v>
      </c>
      <c r="AN388" s="1045">
        <f t="shared" si="113"/>
        <v>11015512</v>
      </c>
      <c r="AO388" s="1013">
        <v>738255</v>
      </c>
      <c r="AP388" s="1013">
        <v>44100</v>
      </c>
      <c r="AQ388" s="1013">
        <v>0</v>
      </c>
      <c r="AR388" s="1013">
        <v>0</v>
      </c>
      <c r="AS388" s="1013">
        <v>0</v>
      </c>
      <c r="AT388" s="1045">
        <f t="shared" si="115"/>
        <v>10233157</v>
      </c>
      <c r="AU388" s="1004"/>
      <c r="AV388" s="870"/>
      <c r="AW388" s="782" t="s">
        <v>4072</v>
      </c>
      <c r="AX388" s="782" t="s">
        <v>4073</v>
      </c>
      <c r="AY388" s="1007" t="s">
        <v>287</v>
      </c>
      <c r="AZ388" s="1007">
        <v>622</v>
      </c>
      <c r="BA388" s="347" t="str">
        <f t="shared" si="116"/>
        <v>Box</v>
      </c>
      <c r="BB388" s="1008"/>
      <c r="BC388" s="1009"/>
      <c r="BD388" s="1009"/>
    </row>
    <row r="389" spans="1:56" s="1010" customFormat="1" ht="36.75" customHeight="1">
      <c r="A389" s="661">
        <f>SUBTOTAL(3,B$6:B389)</f>
        <v>384</v>
      </c>
      <c r="B389" s="661" t="s">
        <v>1583</v>
      </c>
      <c r="C389" s="662" t="s">
        <v>1584</v>
      </c>
      <c r="D389" s="1011">
        <v>41334</v>
      </c>
      <c r="E389" s="1011" t="s">
        <v>217</v>
      </c>
      <c r="F389" s="787" t="s">
        <v>515</v>
      </c>
      <c r="G389" s="996" t="s">
        <v>1322</v>
      </c>
      <c r="H389" s="1012">
        <v>5931000</v>
      </c>
      <c r="I389" s="1012">
        <v>1100000</v>
      </c>
      <c r="J389" s="1012">
        <v>0</v>
      </c>
      <c r="K389" s="1012">
        <v>500000</v>
      </c>
      <c r="L389" s="1013">
        <f t="shared" si="0"/>
        <v>7531000</v>
      </c>
      <c r="M389" s="1014">
        <v>22.9</v>
      </c>
      <c r="N389" s="1013">
        <f t="shared" si="82"/>
        <v>6633073</v>
      </c>
      <c r="O389" s="1015">
        <v>3</v>
      </c>
      <c r="P389" s="1013">
        <f t="shared" si="83"/>
        <v>868962</v>
      </c>
      <c r="Q389" s="1016">
        <v>0</v>
      </c>
      <c r="R389" s="1013">
        <f t="shared" si="84"/>
        <v>0</v>
      </c>
      <c r="S389" s="1013">
        <f t="shared" si="85"/>
        <v>7502035</v>
      </c>
      <c r="T389" s="1017">
        <v>0</v>
      </c>
      <c r="U389" s="785">
        <v>0</v>
      </c>
      <c r="V389" s="785">
        <v>200000</v>
      </c>
      <c r="W389" s="1017">
        <v>500000</v>
      </c>
      <c r="X389" s="1017">
        <v>0</v>
      </c>
      <c r="Y389" s="1017">
        <v>400000</v>
      </c>
      <c r="Z389" s="1017">
        <v>381700</v>
      </c>
      <c r="AA389" s="1018"/>
      <c r="AB389" s="1013"/>
      <c r="AC389" s="1017">
        <v>100000</v>
      </c>
      <c r="AD389" s="1017">
        <v>0</v>
      </c>
      <c r="AE389" s="1013">
        <v>54310.095524017466</v>
      </c>
      <c r="AF389" s="1019"/>
      <c r="AG389" s="1019">
        <f t="shared" si="112"/>
        <v>9138045</v>
      </c>
      <c r="AH389" s="1014">
        <v>36</v>
      </c>
      <c r="AI389" s="1014">
        <v>0</v>
      </c>
      <c r="AJ389" s="1014">
        <v>0</v>
      </c>
      <c r="AK389" s="1018">
        <v>0</v>
      </c>
      <c r="AL389" s="1020">
        <v>0</v>
      </c>
      <c r="AM389" s="1013">
        <f t="shared" si="111"/>
        <v>1955163</v>
      </c>
      <c r="AN389" s="1045">
        <f t="shared" si="113"/>
        <v>11093208</v>
      </c>
      <c r="AO389" s="1013">
        <v>790755</v>
      </c>
      <c r="AP389" s="1013">
        <v>44100</v>
      </c>
      <c r="AQ389" s="1013">
        <v>0</v>
      </c>
      <c r="AR389" s="1013">
        <v>0</v>
      </c>
      <c r="AS389" s="1013">
        <v>0</v>
      </c>
      <c r="AT389" s="1045">
        <f t="shared" si="115"/>
        <v>10258353</v>
      </c>
      <c r="AU389" s="1004"/>
      <c r="AV389" s="870"/>
      <c r="AW389" s="782" t="s">
        <v>4074</v>
      </c>
      <c r="AX389" s="782" t="s">
        <v>4075</v>
      </c>
      <c r="AY389" s="1007" t="s">
        <v>288</v>
      </c>
      <c r="AZ389" s="1007">
        <v>622</v>
      </c>
      <c r="BA389" s="347" t="str">
        <f t="shared" si="116"/>
        <v>Bag</v>
      </c>
      <c r="BB389" s="1008"/>
      <c r="BC389" s="1009"/>
      <c r="BD389" s="1009"/>
    </row>
    <row r="390" spans="1:56" s="1010" customFormat="1" ht="36.75" customHeight="1">
      <c r="A390" s="661">
        <f>SUBTOTAL(3,B$6:B390)</f>
        <v>385</v>
      </c>
      <c r="B390" s="661" t="s">
        <v>1585</v>
      </c>
      <c r="C390" s="662" t="s">
        <v>1586</v>
      </c>
      <c r="D390" s="1011">
        <v>44306</v>
      </c>
      <c r="E390" s="1011" t="s">
        <v>217</v>
      </c>
      <c r="F390" s="787" t="s">
        <v>575</v>
      </c>
      <c r="G390" s="996" t="s">
        <v>987</v>
      </c>
      <c r="H390" s="1012">
        <v>5931000</v>
      </c>
      <c r="I390" s="1012">
        <v>400000</v>
      </c>
      <c r="J390" s="1012">
        <v>0</v>
      </c>
      <c r="K390" s="1012">
        <v>0</v>
      </c>
      <c r="L390" s="1013">
        <f t="shared" si="0"/>
        <v>6331000</v>
      </c>
      <c r="M390" s="1014">
        <v>24</v>
      </c>
      <c r="N390" s="1013">
        <f t="shared" si="82"/>
        <v>5844000</v>
      </c>
      <c r="O390" s="1015">
        <v>2</v>
      </c>
      <c r="P390" s="1013">
        <f t="shared" si="83"/>
        <v>487000</v>
      </c>
      <c r="Q390" s="1016">
        <v>0</v>
      </c>
      <c r="R390" s="1013">
        <f t="shared" si="84"/>
        <v>0</v>
      </c>
      <c r="S390" s="1013">
        <f t="shared" si="85"/>
        <v>6331000</v>
      </c>
      <c r="T390" s="1017">
        <v>0</v>
      </c>
      <c r="U390" s="785">
        <v>0</v>
      </c>
      <c r="V390" s="785">
        <v>200000</v>
      </c>
      <c r="W390" s="1017">
        <v>500000</v>
      </c>
      <c r="X390" s="1017">
        <v>0</v>
      </c>
      <c r="Y390" s="1017">
        <v>400000</v>
      </c>
      <c r="Z390" s="1017">
        <v>556478</v>
      </c>
      <c r="AA390" s="1018"/>
      <c r="AB390" s="1013"/>
      <c r="AC390" s="1017">
        <v>100000</v>
      </c>
      <c r="AD390" s="1017">
        <v>0</v>
      </c>
      <c r="AE390" s="1013">
        <v>45656.25</v>
      </c>
      <c r="AF390" s="1019"/>
      <c r="AG390" s="1019">
        <f t="shared" si="112"/>
        <v>8133134</v>
      </c>
      <c r="AH390" s="1014">
        <v>52</v>
      </c>
      <c r="AI390" s="1014">
        <v>0</v>
      </c>
      <c r="AJ390" s="1014">
        <v>0</v>
      </c>
      <c r="AK390" s="1018">
        <v>0</v>
      </c>
      <c r="AL390" s="1020">
        <v>0</v>
      </c>
      <c r="AM390" s="1013">
        <f t="shared" si="111"/>
        <v>2374125</v>
      </c>
      <c r="AN390" s="1045">
        <f t="shared" si="113"/>
        <v>10507259</v>
      </c>
      <c r="AO390" s="1013">
        <v>664755</v>
      </c>
      <c r="AP390" s="1013">
        <v>44100</v>
      </c>
      <c r="AQ390" s="1013">
        <v>0</v>
      </c>
      <c r="AR390" s="1013">
        <v>0</v>
      </c>
      <c r="AS390" s="1013">
        <v>0</v>
      </c>
      <c r="AT390" s="1045">
        <f t="shared" si="115"/>
        <v>9798404</v>
      </c>
      <c r="AU390" s="1004"/>
      <c r="AV390" s="870"/>
      <c r="AW390" s="782" t="s">
        <v>4076</v>
      </c>
      <c r="AX390" s="782" t="s">
        <v>4077</v>
      </c>
      <c r="AY390" s="1007" t="s">
        <v>288</v>
      </c>
      <c r="AZ390" s="1007">
        <v>622</v>
      </c>
      <c r="BA390" s="347" t="str">
        <f t="shared" si="116"/>
        <v>Bag</v>
      </c>
      <c r="BB390" s="1008"/>
      <c r="BC390" s="1009"/>
      <c r="BD390" s="1009"/>
    </row>
    <row r="391" spans="1:56" s="1010" customFormat="1" ht="36.75" customHeight="1">
      <c r="A391" s="661">
        <f>SUBTOTAL(3,B$6:B391)</f>
        <v>386</v>
      </c>
      <c r="B391" s="661" t="s">
        <v>1587</v>
      </c>
      <c r="C391" s="662" t="s">
        <v>1588</v>
      </c>
      <c r="D391" s="1011">
        <v>39811</v>
      </c>
      <c r="E391" s="1011" t="s">
        <v>217</v>
      </c>
      <c r="F391" s="787" t="s">
        <v>575</v>
      </c>
      <c r="G391" s="996" t="s">
        <v>1589</v>
      </c>
      <c r="H391" s="1012">
        <v>5931000</v>
      </c>
      <c r="I391" s="1012">
        <v>900000</v>
      </c>
      <c r="J391" s="1012">
        <v>0</v>
      </c>
      <c r="K391" s="1012">
        <v>0</v>
      </c>
      <c r="L391" s="1013">
        <f t="shared" si="0"/>
        <v>6831000</v>
      </c>
      <c r="M391" s="1014">
        <v>23</v>
      </c>
      <c r="N391" s="1013">
        <f t="shared" si="82"/>
        <v>6042808</v>
      </c>
      <c r="O391" s="1015">
        <v>3</v>
      </c>
      <c r="P391" s="1013">
        <f t="shared" si="83"/>
        <v>788192</v>
      </c>
      <c r="Q391" s="1016">
        <v>0</v>
      </c>
      <c r="R391" s="1013">
        <f t="shared" si="84"/>
        <v>0</v>
      </c>
      <c r="S391" s="1013">
        <f t="shared" si="85"/>
        <v>6831000</v>
      </c>
      <c r="T391" s="1017">
        <v>0</v>
      </c>
      <c r="U391" s="785">
        <v>0</v>
      </c>
      <c r="V391" s="785">
        <v>200000</v>
      </c>
      <c r="W391" s="1017">
        <v>500000</v>
      </c>
      <c r="X391" s="1017">
        <v>0</v>
      </c>
      <c r="Y391" s="1017">
        <v>400000</v>
      </c>
      <c r="Z391" s="1017">
        <v>334718</v>
      </c>
      <c r="AA391" s="1018"/>
      <c r="AB391" s="1013"/>
      <c r="AC391" s="1017">
        <v>0</v>
      </c>
      <c r="AD391" s="1017">
        <v>0</v>
      </c>
      <c r="AE391" s="1013">
        <v>49262.02173913044</v>
      </c>
      <c r="AF391" s="1019"/>
      <c r="AG391" s="1019">
        <f t="shared" si="112"/>
        <v>8314980</v>
      </c>
      <c r="AH391" s="1014">
        <v>48</v>
      </c>
      <c r="AI391" s="1014">
        <v>0</v>
      </c>
      <c r="AJ391" s="1014">
        <v>0</v>
      </c>
      <c r="AK391" s="1018">
        <v>0</v>
      </c>
      <c r="AL391" s="1020">
        <v>0</v>
      </c>
      <c r="AM391" s="1013">
        <f t="shared" ref="AM391:AM454" si="117">ROUND((N391/IF(M391&gt;26,26,M391)/8*(AH391*$AH$5+AI391*$AI$5+AJ391*$AJ$5+AK391*$AK$5+AL391*$AL$5)),0)</f>
        <v>2364577</v>
      </c>
      <c r="AN391" s="1045">
        <f t="shared" si="113"/>
        <v>10679557</v>
      </c>
      <c r="AO391" s="1013">
        <v>717255</v>
      </c>
      <c r="AP391" s="1013">
        <v>44100</v>
      </c>
      <c r="AQ391" s="1013">
        <v>0</v>
      </c>
      <c r="AR391" s="1013">
        <v>0</v>
      </c>
      <c r="AS391" s="1013">
        <v>0</v>
      </c>
      <c r="AT391" s="1045">
        <f t="shared" si="115"/>
        <v>9918202</v>
      </c>
      <c r="AU391" s="1004"/>
      <c r="AV391" s="870"/>
      <c r="AW391" s="782" t="s">
        <v>4078</v>
      </c>
      <c r="AX391" s="782" t="s">
        <v>4079</v>
      </c>
      <c r="AY391" s="1007" t="s">
        <v>288</v>
      </c>
      <c r="AZ391" s="1007">
        <v>622</v>
      </c>
      <c r="BA391" s="347" t="str">
        <f t="shared" si="116"/>
        <v>Bag</v>
      </c>
      <c r="BB391" s="1008"/>
      <c r="BC391" s="1009"/>
      <c r="BD391" s="1009"/>
    </row>
    <row r="392" spans="1:56" s="1010" customFormat="1" ht="36.75" customHeight="1">
      <c r="A392" s="661">
        <f>SUBTOTAL(3,B$6:B392)</f>
        <v>387</v>
      </c>
      <c r="B392" s="661" t="s">
        <v>1590</v>
      </c>
      <c r="C392" s="662" t="s">
        <v>1591</v>
      </c>
      <c r="D392" s="1011">
        <v>44770</v>
      </c>
      <c r="E392" s="1011" t="s">
        <v>217</v>
      </c>
      <c r="F392" s="787" t="s">
        <v>575</v>
      </c>
      <c r="G392" s="996" t="s">
        <v>987</v>
      </c>
      <c r="H392" s="1012">
        <v>5815000</v>
      </c>
      <c r="I392" s="1012">
        <v>400000</v>
      </c>
      <c r="J392" s="1012">
        <v>0</v>
      </c>
      <c r="K392" s="1012">
        <v>0</v>
      </c>
      <c r="L392" s="1013">
        <f t="shared" si="0"/>
        <v>6215000</v>
      </c>
      <c r="M392" s="1014">
        <v>24</v>
      </c>
      <c r="N392" s="1013">
        <f t="shared" si="82"/>
        <v>5736923</v>
      </c>
      <c r="O392" s="1015">
        <v>2</v>
      </c>
      <c r="P392" s="1013">
        <f t="shared" si="83"/>
        <v>478077</v>
      </c>
      <c r="Q392" s="1016">
        <v>0</v>
      </c>
      <c r="R392" s="1013">
        <f t="shared" si="84"/>
        <v>0</v>
      </c>
      <c r="S392" s="1013">
        <f t="shared" si="85"/>
        <v>6215000</v>
      </c>
      <c r="T392" s="1017">
        <v>0</v>
      </c>
      <c r="U392" s="785">
        <v>0</v>
      </c>
      <c r="V392" s="785">
        <v>200000</v>
      </c>
      <c r="W392" s="1017">
        <v>500000</v>
      </c>
      <c r="X392" s="1017">
        <v>0</v>
      </c>
      <c r="Y392" s="1017">
        <v>400000</v>
      </c>
      <c r="Z392" s="1017">
        <v>426480</v>
      </c>
      <c r="AA392" s="1018"/>
      <c r="AB392" s="1013"/>
      <c r="AC392" s="1017">
        <v>0</v>
      </c>
      <c r="AD392" s="1017">
        <v>0</v>
      </c>
      <c r="AE392" s="1013">
        <v>44819.7109375</v>
      </c>
      <c r="AF392" s="1019"/>
      <c r="AG392" s="1019">
        <f t="shared" si="112"/>
        <v>7786300</v>
      </c>
      <c r="AH392" s="1014">
        <v>52</v>
      </c>
      <c r="AI392" s="1014">
        <v>0</v>
      </c>
      <c r="AJ392" s="1014">
        <v>0</v>
      </c>
      <c r="AK392" s="1018">
        <v>0</v>
      </c>
      <c r="AL392" s="1020">
        <v>0</v>
      </c>
      <c r="AM392" s="1013">
        <f t="shared" si="117"/>
        <v>2330625</v>
      </c>
      <c r="AN392" s="1045">
        <f t="shared" si="113"/>
        <v>10116925</v>
      </c>
      <c r="AO392" s="1013">
        <v>652575</v>
      </c>
      <c r="AP392" s="1013">
        <v>44100</v>
      </c>
      <c r="AQ392" s="1013">
        <v>0</v>
      </c>
      <c r="AR392" s="1013">
        <v>0</v>
      </c>
      <c r="AS392" s="1013">
        <v>0</v>
      </c>
      <c r="AT392" s="1045">
        <f t="shared" si="115"/>
        <v>9420250</v>
      </c>
      <c r="AU392" s="1004"/>
      <c r="AV392" s="870"/>
      <c r="AW392" s="782" t="s">
        <v>4080</v>
      </c>
      <c r="AX392" s="782" t="s">
        <v>4081</v>
      </c>
      <c r="AY392" s="1007" t="s">
        <v>288</v>
      </c>
      <c r="AZ392" s="1007">
        <v>622</v>
      </c>
      <c r="BA392" s="347" t="str">
        <f t="shared" si="116"/>
        <v>Bag</v>
      </c>
      <c r="BB392" s="1008"/>
      <c r="BC392" s="1009"/>
      <c r="BD392" s="1009"/>
    </row>
    <row r="393" spans="1:56" s="1010" customFormat="1" ht="36.75" customHeight="1">
      <c r="A393" s="661">
        <f>SUBTOTAL(3,B$6:B393)</f>
        <v>388</v>
      </c>
      <c r="B393" s="661" t="s">
        <v>1592</v>
      </c>
      <c r="C393" s="662" t="s">
        <v>1593</v>
      </c>
      <c r="D393" s="1011">
        <v>45349</v>
      </c>
      <c r="E393" s="1011" t="s">
        <v>217</v>
      </c>
      <c r="F393" s="787" t="s">
        <v>575</v>
      </c>
      <c r="G393" s="996" t="s">
        <v>987</v>
      </c>
      <c r="H393" s="1012">
        <v>5538000</v>
      </c>
      <c r="I393" s="1012">
        <v>400000</v>
      </c>
      <c r="J393" s="1012">
        <v>0</v>
      </c>
      <c r="K393" s="1012">
        <v>0</v>
      </c>
      <c r="L393" s="1013">
        <f t="shared" si="0"/>
        <v>5938000</v>
      </c>
      <c r="M393" s="1014">
        <v>24</v>
      </c>
      <c r="N393" s="1013">
        <f t="shared" si="82"/>
        <v>5481231</v>
      </c>
      <c r="O393" s="1015">
        <v>2</v>
      </c>
      <c r="P393" s="1013">
        <f t="shared" si="83"/>
        <v>456769</v>
      </c>
      <c r="Q393" s="1016">
        <v>0</v>
      </c>
      <c r="R393" s="1013">
        <f t="shared" si="84"/>
        <v>0</v>
      </c>
      <c r="S393" s="1013">
        <f t="shared" si="85"/>
        <v>5938000</v>
      </c>
      <c r="T393" s="1017">
        <v>0</v>
      </c>
      <c r="U393" s="785">
        <v>0</v>
      </c>
      <c r="V393" s="785">
        <v>200000</v>
      </c>
      <c r="W393" s="1017">
        <v>500000</v>
      </c>
      <c r="X393" s="1017">
        <v>0</v>
      </c>
      <c r="Y393" s="1017">
        <v>400000</v>
      </c>
      <c r="Z393" s="1017">
        <v>432043</v>
      </c>
      <c r="AA393" s="1018"/>
      <c r="AB393" s="1013"/>
      <c r="AC393" s="1017">
        <v>0</v>
      </c>
      <c r="AD393" s="1017">
        <v>0</v>
      </c>
      <c r="AE393" s="1013">
        <v>42822.1171875</v>
      </c>
      <c r="AF393" s="1019"/>
      <c r="AG393" s="1019">
        <f t="shared" si="112"/>
        <v>7512865</v>
      </c>
      <c r="AH393" s="1014">
        <v>52</v>
      </c>
      <c r="AI393" s="1014">
        <v>0</v>
      </c>
      <c r="AJ393" s="1014">
        <v>0</v>
      </c>
      <c r="AK393" s="1018">
        <v>0</v>
      </c>
      <c r="AL393" s="1020">
        <v>0</v>
      </c>
      <c r="AM393" s="1013">
        <f t="shared" si="117"/>
        <v>2226750</v>
      </c>
      <c r="AN393" s="1045">
        <f t="shared" si="113"/>
        <v>9739615</v>
      </c>
      <c r="AO393" s="1013">
        <v>623490</v>
      </c>
      <c r="AP393" s="1013">
        <v>44100</v>
      </c>
      <c r="AQ393" s="1013">
        <v>0</v>
      </c>
      <c r="AR393" s="1013">
        <v>0</v>
      </c>
      <c r="AS393" s="1013">
        <v>0</v>
      </c>
      <c r="AT393" s="1045">
        <f t="shared" si="115"/>
        <v>9072025</v>
      </c>
      <c r="AU393" s="1004"/>
      <c r="AV393" s="870"/>
      <c r="AW393" s="782" t="s">
        <v>4082</v>
      </c>
      <c r="AX393" s="782" t="s">
        <v>4083</v>
      </c>
      <c r="AY393" s="1007" t="s">
        <v>288</v>
      </c>
      <c r="AZ393" s="1007">
        <v>622</v>
      </c>
      <c r="BA393" s="347" t="str">
        <f t="shared" si="116"/>
        <v>Bag</v>
      </c>
      <c r="BB393" s="1008"/>
      <c r="BC393" s="1009"/>
      <c r="BD393" s="1009"/>
    </row>
    <row r="394" spans="1:56" s="1010" customFormat="1" ht="36.75" customHeight="1">
      <c r="A394" s="661">
        <f>SUBTOTAL(3,B$6:B394)</f>
        <v>389</v>
      </c>
      <c r="B394" s="661" t="s">
        <v>1594</v>
      </c>
      <c r="C394" s="662" t="s">
        <v>1595</v>
      </c>
      <c r="D394" s="1011">
        <v>45362</v>
      </c>
      <c r="E394" s="1011" t="s">
        <v>217</v>
      </c>
      <c r="F394" s="787" t="s">
        <v>575</v>
      </c>
      <c r="G394" s="996" t="s">
        <v>987</v>
      </c>
      <c r="H394" s="1012">
        <v>5538000</v>
      </c>
      <c r="I394" s="1012">
        <v>200000</v>
      </c>
      <c r="J394" s="1012">
        <v>0</v>
      </c>
      <c r="K394" s="1012">
        <v>0</v>
      </c>
      <c r="L394" s="1013">
        <f t="shared" si="0"/>
        <v>5738000</v>
      </c>
      <c r="M394" s="1014">
        <v>23.9</v>
      </c>
      <c r="N394" s="1013">
        <f t="shared" si="82"/>
        <v>5274546</v>
      </c>
      <c r="O394" s="1015">
        <v>2</v>
      </c>
      <c r="P394" s="1013">
        <f t="shared" si="83"/>
        <v>441385</v>
      </c>
      <c r="Q394" s="1016">
        <v>0</v>
      </c>
      <c r="R394" s="1013">
        <f t="shared" si="84"/>
        <v>0</v>
      </c>
      <c r="S394" s="1013">
        <f t="shared" si="85"/>
        <v>5715931</v>
      </c>
      <c r="T394" s="1017">
        <v>0</v>
      </c>
      <c r="U394" s="785">
        <v>0</v>
      </c>
      <c r="V394" s="785">
        <v>200000</v>
      </c>
      <c r="W394" s="1017">
        <v>500000</v>
      </c>
      <c r="X394" s="1017">
        <v>0</v>
      </c>
      <c r="Y394" s="1017">
        <v>400000</v>
      </c>
      <c r="Z394" s="1017">
        <v>405383</v>
      </c>
      <c r="AA394" s="1018"/>
      <c r="AB394" s="1013"/>
      <c r="AC394" s="1017">
        <v>0</v>
      </c>
      <c r="AD394" s="1017">
        <v>0</v>
      </c>
      <c r="AE394" s="1013">
        <v>41379.806485355657</v>
      </c>
      <c r="AF394" s="1019"/>
      <c r="AG394" s="1019">
        <f t="shared" si="112"/>
        <v>7262694</v>
      </c>
      <c r="AH394" s="1014">
        <v>40</v>
      </c>
      <c r="AI394" s="1014">
        <v>0</v>
      </c>
      <c r="AJ394" s="1014">
        <v>0</v>
      </c>
      <c r="AK394" s="1018">
        <v>0</v>
      </c>
      <c r="AL394" s="1020">
        <v>0</v>
      </c>
      <c r="AM394" s="1013">
        <f t="shared" si="117"/>
        <v>1655192</v>
      </c>
      <c r="AN394" s="1045">
        <f t="shared" si="113"/>
        <v>8917886</v>
      </c>
      <c r="AO394" s="1013">
        <v>602490</v>
      </c>
      <c r="AP394" s="1013">
        <v>44100</v>
      </c>
      <c r="AQ394" s="1013">
        <v>0</v>
      </c>
      <c r="AR394" s="1013">
        <v>0</v>
      </c>
      <c r="AS394" s="1013">
        <v>0</v>
      </c>
      <c r="AT394" s="1045">
        <f t="shared" si="115"/>
        <v>8271296</v>
      </c>
      <c r="AU394" s="1004"/>
      <c r="AV394" s="870"/>
      <c r="AW394" s="782" t="s">
        <v>4084</v>
      </c>
      <c r="AX394" s="782" t="s">
        <v>4085</v>
      </c>
      <c r="AY394" s="1007" t="s">
        <v>288</v>
      </c>
      <c r="AZ394" s="1007">
        <v>622</v>
      </c>
      <c r="BA394" s="347" t="str">
        <f t="shared" si="116"/>
        <v>Bag</v>
      </c>
      <c r="BB394" s="1008"/>
      <c r="BC394" s="1009"/>
      <c r="BD394" s="1009"/>
    </row>
    <row r="395" spans="1:56" s="1010" customFormat="1" ht="36.75" customHeight="1">
      <c r="A395" s="661">
        <f>SUBTOTAL(3,B$6:B395)</f>
        <v>390</v>
      </c>
      <c r="B395" s="661" t="s">
        <v>1596</v>
      </c>
      <c r="C395" s="662" t="s">
        <v>1597</v>
      </c>
      <c r="D395" s="1011">
        <v>45393</v>
      </c>
      <c r="E395" s="1011" t="s">
        <v>217</v>
      </c>
      <c r="F395" s="787" t="s">
        <v>575</v>
      </c>
      <c r="G395" s="996" t="s">
        <v>992</v>
      </c>
      <c r="H395" s="1012">
        <v>5538000</v>
      </c>
      <c r="I395" s="1012">
        <v>400000</v>
      </c>
      <c r="J395" s="1012">
        <v>0</v>
      </c>
      <c r="K395" s="1012">
        <v>0</v>
      </c>
      <c r="L395" s="1013">
        <f t="shared" si="0"/>
        <v>5938000</v>
      </c>
      <c r="M395" s="1014">
        <v>20.100000000000001</v>
      </c>
      <c r="N395" s="1013">
        <f t="shared" si="82"/>
        <v>4590531</v>
      </c>
      <c r="O395" s="1015">
        <v>3</v>
      </c>
      <c r="P395" s="1013">
        <f t="shared" si="83"/>
        <v>685154</v>
      </c>
      <c r="Q395" s="1016">
        <v>0</v>
      </c>
      <c r="R395" s="1013">
        <f t="shared" si="84"/>
        <v>0</v>
      </c>
      <c r="S395" s="1013">
        <f t="shared" si="85"/>
        <v>5275685</v>
      </c>
      <c r="T395" s="1017">
        <v>0</v>
      </c>
      <c r="U395" s="785">
        <v>0</v>
      </c>
      <c r="V395" s="785">
        <v>200000</v>
      </c>
      <c r="W395" s="1017">
        <v>0</v>
      </c>
      <c r="X395" s="1017">
        <v>0</v>
      </c>
      <c r="Y395" s="1017">
        <v>0</v>
      </c>
      <c r="Z395" s="1017">
        <v>276673</v>
      </c>
      <c r="AA395" s="1018"/>
      <c r="AB395" s="1013"/>
      <c r="AC395" s="1017">
        <v>0</v>
      </c>
      <c r="AD395" s="1017">
        <v>0</v>
      </c>
      <c r="AE395" s="1013">
        <v>42822.117537313432</v>
      </c>
      <c r="AF395" s="1019"/>
      <c r="AG395" s="1019">
        <f t="shared" si="112"/>
        <v>5795180</v>
      </c>
      <c r="AH395" s="1014">
        <v>36</v>
      </c>
      <c r="AI395" s="1014">
        <v>0</v>
      </c>
      <c r="AJ395" s="1014">
        <v>0</v>
      </c>
      <c r="AK395" s="1018">
        <v>0</v>
      </c>
      <c r="AL395" s="1020">
        <v>0</v>
      </c>
      <c r="AM395" s="1013">
        <f t="shared" si="117"/>
        <v>1541596</v>
      </c>
      <c r="AN395" s="1045">
        <f t="shared" si="113"/>
        <v>7336776</v>
      </c>
      <c r="AO395" s="1013">
        <v>623490</v>
      </c>
      <c r="AP395" s="1013">
        <v>44100</v>
      </c>
      <c r="AQ395" s="1013">
        <v>0</v>
      </c>
      <c r="AR395" s="1013">
        <v>0</v>
      </c>
      <c r="AS395" s="1013">
        <v>0</v>
      </c>
      <c r="AT395" s="1045">
        <f t="shared" si="115"/>
        <v>6669186</v>
      </c>
      <c r="AU395" s="1004"/>
      <c r="AV395" s="870"/>
      <c r="AW395" s="782" t="s">
        <v>4086</v>
      </c>
      <c r="AX395" s="782" t="s">
        <v>4087</v>
      </c>
      <c r="AY395" s="1007" t="s">
        <v>288</v>
      </c>
      <c r="AZ395" s="1007">
        <v>622</v>
      </c>
      <c r="BA395" s="347" t="str">
        <f t="shared" si="116"/>
        <v>Bag</v>
      </c>
      <c r="BB395" s="1008"/>
      <c r="BC395" s="1009"/>
      <c r="BD395" s="1009"/>
    </row>
    <row r="396" spans="1:56" s="1010" customFormat="1" ht="36.75" customHeight="1">
      <c r="A396" s="661">
        <f>SUBTOTAL(3,B$6:B396)</f>
        <v>391</v>
      </c>
      <c r="B396" s="661" t="s">
        <v>1598</v>
      </c>
      <c r="C396" s="662" t="s">
        <v>1599</v>
      </c>
      <c r="D396" s="1011">
        <v>45395</v>
      </c>
      <c r="E396" s="1011" t="s">
        <v>217</v>
      </c>
      <c r="F396" s="787" t="s">
        <v>575</v>
      </c>
      <c r="G396" s="996" t="s">
        <v>987</v>
      </c>
      <c r="H396" s="1012">
        <v>5538000</v>
      </c>
      <c r="I396" s="1012">
        <v>200000</v>
      </c>
      <c r="J396" s="1012">
        <v>0</v>
      </c>
      <c r="K396" s="1012">
        <v>0</v>
      </c>
      <c r="L396" s="1013">
        <f t="shared" si="0"/>
        <v>5738000</v>
      </c>
      <c r="M396" s="1014">
        <v>23.6</v>
      </c>
      <c r="N396" s="1013">
        <f t="shared" si="82"/>
        <v>5208338</v>
      </c>
      <c r="O396" s="1015">
        <v>2</v>
      </c>
      <c r="P396" s="1013">
        <f t="shared" si="83"/>
        <v>441385</v>
      </c>
      <c r="Q396" s="1016">
        <v>0</v>
      </c>
      <c r="R396" s="1013">
        <f t="shared" si="84"/>
        <v>0</v>
      </c>
      <c r="S396" s="1013">
        <f t="shared" si="85"/>
        <v>5649723</v>
      </c>
      <c r="T396" s="1017">
        <v>0</v>
      </c>
      <c r="U396" s="785">
        <v>0</v>
      </c>
      <c r="V396" s="785">
        <v>200000</v>
      </c>
      <c r="W396" s="1017">
        <v>500000</v>
      </c>
      <c r="X396" s="1017">
        <v>0</v>
      </c>
      <c r="Y396" s="1017">
        <v>400000</v>
      </c>
      <c r="Z396" s="1017">
        <v>499895</v>
      </c>
      <c r="AA396" s="1018"/>
      <c r="AB396" s="1013"/>
      <c r="AC396" s="1017">
        <v>0</v>
      </c>
      <c r="AD396" s="1017">
        <v>0</v>
      </c>
      <c r="AE396" s="1013">
        <v>41379.804025423728</v>
      </c>
      <c r="AF396" s="1019"/>
      <c r="AG396" s="1019">
        <f t="shared" si="112"/>
        <v>7290998</v>
      </c>
      <c r="AH396" s="1014">
        <v>44</v>
      </c>
      <c r="AI396" s="1014">
        <v>0</v>
      </c>
      <c r="AJ396" s="1014">
        <v>0</v>
      </c>
      <c r="AK396" s="1018">
        <v>0</v>
      </c>
      <c r="AL396" s="1020">
        <v>0</v>
      </c>
      <c r="AM396" s="1013">
        <f t="shared" si="117"/>
        <v>1820711</v>
      </c>
      <c r="AN396" s="1045">
        <f t="shared" si="113"/>
        <v>9111709</v>
      </c>
      <c r="AO396" s="1013">
        <v>602490</v>
      </c>
      <c r="AP396" s="1013">
        <v>44100</v>
      </c>
      <c r="AQ396" s="1013">
        <v>0</v>
      </c>
      <c r="AR396" s="1013">
        <v>0</v>
      </c>
      <c r="AS396" s="1013">
        <v>0</v>
      </c>
      <c r="AT396" s="1045">
        <f t="shared" si="115"/>
        <v>8465119</v>
      </c>
      <c r="AU396" s="1004"/>
      <c r="AV396" s="870"/>
      <c r="AW396" s="782" t="s">
        <v>4088</v>
      </c>
      <c r="AX396" s="782" t="s">
        <v>4089</v>
      </c>
      <c r="AY396" s="1007" t="s">
        <v>288</v>
      </c>
      <c r="AZ396" s="1007">
        <v>622</v>
      </c>
      <c r="BA396" s="347" t="str">
        <f t="shared" si="116"/>
        <v>Bag</v>
      </c>
      <c r="BB396" s="1008"/>
      <c r="BC396" s="1009"/>
      <c r="BD396" s="1009"/>
    </row>
    <row r="397" spans="1:56" s="1010" customFormat="1" ht="36.75" customHeight="1">
      <c r="A397" s="661">
        <f>SUBTOTAL(3,B$6:B397)</f>
        <v>392</v>
      </c>
      <c r="B397" s="661" t="s">
        <v>1600</v>
      </c>
      <c r="C397" s="662" t="s">
        <v>1601</v>
      </c>
      <c r="D397" s="1011">
        <v>45395</v>
      </c>
      <c r="E397" s="1011" t="s">
        <v>217</v>
      </c>
      <c r="F397" s="787" t="s">
        <v>575</v>
      </c>
      <c r="G397" s="996" t="s">
        <v>987</v>
      </c>
      <c r="H397" s="1012">
        <v>5538000</v>
      </c>
      <c r="I397" s="1012">
        <v>200000</v>
      </c>
      <c r="J397" s="1012">
        <v>0</v>
      </c>
      <c r="K397" s="1012">
        <v>0</v>
      </c>
      <c r="L397" s="1013">
        <f t="shared" si="0"/>
        <v>5738000</v>
      </c>
      <c r="M397" s="1014">
        <v>23</v>
      </c>
      <c r="N397" s="1013">
        <f t="shared" si="82"/>
        <v>5075923</v>
      </c>
      <c r="O397" s="1015">
        <v>3</v>
      </c>
      <c r="P397" s="1013">
        <f t="shared" si="83"/>
        <v>662077</v>
      </c>
      <c r="Q397" s="1016">
        <v>0</v>
      </c>
      <c r="R397" s="1013">
        <f t="shared" si="84"/>
        <v>0</v>
      </c>
      <c r="S397" s="1013">
        <f t="shared" si="85"/>
        <v>5738000</v>
      </c>
      <c r="T397" s="1017">
        <v>0</v>
      </c>
      <c r="U397" s="785">
        <v>0</v>
      </c>
      <c r="V397" s="785">
        <v>200000</v>
      </c>
      <c r="W397" s="1017">
        <v>500000</v>
      </c>
      <c r="X397" s="1017">
        <v>0</v>
      </c>
      <c r="Y397" s="1017">
        <v>400000</v>
      </c>
      <c r="Z397" s="1017">
        <v>427090</v>
      </c>
      <c r="AA397" s="1018"/>
      <c r="AB397" s="1013"/>
      <c r="AC397" s="1017">
        <v>0</v>
      </c>
      <c r="AD397" s="1017">
        <v>0</v>
      </c>
      <c r="AE397" s="1013">
        <v>0</v>
      </c>
      <c r="AF397" s="1019"/>
      <c r="AG397" s="1019">
        <f t="shared" si="112"/>
        <v>7265090</v>
      </c>
      <c r="AH397" s="1014">
        <v>44</v>
      </c>
      <c r="AI397" s="1014">
        <v>0</v>
      </c>
      <c r="AJ397" s="1014">
        <v>0</v>
      </c>
      <c r="AK397" s="1018">
        <v>0</v>
      </c>
      <c r="AL397" s="1020">
        <v>0</v>
      </c>
      <c r="AM397" s="1013">
        <f t="shared" si="117"/>
        <v>1820712</v>
      </c>
      <c r="AN397" s="1045">
        <f t="shared" si="113"/>
        <v>9085802</v>
      </c>
      <c r="AO397" s="1013">
        <v>602490</v>
      </c>
      <c r="AP397" s="1013">
        <v>44100</v>
      </c>
      <c r="AQ397" s="1013">
        <v>0</v>
      </c>
      <c r="AR397" s="1013">
        <v>0</v>
      </c>
      <c r="AS397" s="1013">
        <v>0</v>
      </c>
      <c r="AT397" s="1045">
        <f t="shared" si="115"/>
        <v>8439212</v>
      </c>
      <c r="AU397" s="1004"/>
      <c r="AV397" s="870"/>
      <c r="AW397" s="782" t="s">
        <v>4090</v>
      </c>
      <c r="AX397" s="782" t="s">
        <v>4091</v>
      </c>
      <c r="AY397" s="1007" t="s">
        <v>288</v>
      </c>
      <c r="AZ397" s="1007">
        <v>622</v>
      </c>
      <c r="BA397" s="347" t="str">
        <f t="shared" si="116"/>
        <v>Bag</v>
      </c>
      <c r="BB397" s="1008"/>
      <c r="BC397" s="1009"/>
      <c r="BD397" s="1009"/>
    </row>
    <row r="398" spans="1:56" s="1010" customFormat="1" ht="36.75" customHeight="1">
      <c r="A398" s="661">
        <f>SUBTOTAL(3,B$6:B398)</f>
        <v>393</v>
      </c>
      <c r="B398" s="661" t="s">
        <v>1602</v>
      </c>
      <c r="C398" s="662" t="s">
        <v>1154</v>
      </c>
      <c r="D398" s="1011">
        <v>45444</v>
      </c>
      <c r="E398" s="1011" t="s">
        <v>217</v>
      </c>
      <c r="F398" s="787" t="s">
        <v>575</v>
      </c>
      <c r="G398" s="996" t="s">
        <v>987</v>
      </c>
      <c r="H398" s="1012">
        <v>5274000</v>
      </c>
      <c r="I398" s="1012">
        <v>200000</v>
      </c>
      <c r="J398" s="1012">
        <v>0</v>
      </c>
      <c r="K398" s="1012">
        <v>0</v>
      </c>
      <c r="L398" s="1013">
        <f t="shared" si="0"/>
        <v>5474000</v>
      </c>
      <c r="M398" s="1014">
        <v>19.100000000000001</v>
      </c>
      <c r="N398" s="1013">
        <f t="shared" si="82"/>
        <v>4021285</v>
      </c>
      <c r="O398" s="1015">
        <v>3</v>
      </c>
      <c r="P398" s="1013">
        <f t="shared" si="83"/>
        <v>631615</v>
      </c>
      <c r="Q398" s="1016">
        <v>0</v>
      </c>
      <c r="R398" s="1013">
        <f t="shared" si="84"/>
        <v>0</v>
      </c>
      <c r="S398" s="1013">
        <f t="shared" si="85"/>
        <v>4652900</v>
      </c>
      <c r="T398" s="1017">
        <v>0</v>
      </c>
      <c r="U398" s="785">
        <v>0</v>
      </c>
      <c r="V398" s="785">
        <v>200000</v>
      </c>
      <c r="W398" s="1017">
        <v>0</v>
      </c>
      <c r="X398" s="1017">
        <v>0</v>
      </c>
      <c r="Y398" s="1017">
        <v>0</v>
      </c>
      <c r="Z398" s="1017">
        <v>462850</v>
      </c>
      <c r="AA398" s="1018"/>
      <c r="AB398" s="1013"/>
      <c r="AC398" s="1017">
        <v>0</v>
      </c>
      <c r="AD398" s="1017">
        <v>0</v>
      </c>
      <c r="AE398" s="1013">
        <v>39475.96531413612</v>
      </c>
      <c r="AF398" s="1019"/>
      <c r="AG398" s="1019">
        <f t="shared" si="112"/>
        <v>5355226</v>
      </c>
      <c r="AH398" s="1014">
        <v>33</v>
      </c>
      <c r="AI398" s="1014">
        <v>0</v>
      </c>
      <c r="AJ398" s="1014">
        <v>0</v>
      </c>
      <c r="AK398" s="1018">
        <v>0</v>
      </c>
      <c r="AL398" s="1020">
        <v>0</v>
      </c>
      <c r="AM398" s="1013">
        <f t="shared" si="117"/>
        <v>1302707</v>
      </c>
      <c r="AN398" s="1045">
        <f t="shared" si="113"/>
        <v>6657933</v>
      </c>
      <c r="AO398" s="1013">
        <v>574770</v>
      </c>
      <c r="AP398" s="1013">
        <v>44100</v>
      </c>
      <c r="AQ398" s="1013">
        <v>0</v>
      </c>
      <c r="AR398" s="1013">
        <v>0</v>
      </c>
      <c r="AS398" s="1013">
        <v>0</v>
      </c>
      <c r="AT398" s="1045">
        <f t="shared" si="115"/>
        <v>6039063</v>
      </c>
      <c r="AU398" s="1004"/>
      <c r="AV398" s="870"/>
      <c r="AW398" s="782" t="s">
        <v>3649</v>
      </c>
      <c r="AX398" s="782" t="s">
        <v>4092</v>
      </c>
      <c r="AY398" s="1007" t="s">
        <v>288</v>
      </c>
      <c r="AZ398" s="1007">
        <v>622</v>
      </c>
      <c r="BA398" s="347" t="str">
        <f t="shared" si="116"/>
        <v>Bag</v>
      </c>
      <c r="BB398" s="1008"/>
      <c r="BC398" s="1009"/>
      <c r="BD398" s="1009"/>
    </row>
    <row r="399" spans="1:56" s="1010" customFormat="1" ht="36.75" customHeight="1">
      <c r="A399" s="661">
        <f>SUBTOTAL(3,B$6:B399)</f>
        <v>394</v>
      </c>
      <c r="B399" s="661" t="s">
        <v>1603</v>
      </c>
      <c r="C399" s="662" t="s">
        <v>1604</v>
      </c>
      <c r="D399" s="1011">
        <v>45503</v>
      </c>
      <c r="E399" s="1011" t="s">
        <v>217</v>
      </c>
      <c r="F399" s="787" t="s">
        <v>575</v>
      </c>
      <c r="G399" s="996" t="s">
        <v>987</v>
      </c>
      <c r="H399" s="1012">
        <v>5274000</v>
      </c>
      <c r="I399" s="1012">
        <v>200000</v>
      </c>
      <c r="J399" s="1012">
        <v>0</v>
      </c>
      <c r="K399" s="1012">
        <v>0</v>
      </c>
      <c r="L399" s="1013">
        <f t="shared" si="0"/>
        <v>5474000</v>
      </c>
      <c r="M399" s="1014">
        <v>17.899999999999999</v>
      </c>
      <c r="N399" s="1013">
        <f t="shared" si="82"/>
        <v>3768638</v>
      </c>
      <c r="O399" s="1015">
        <v>2</v>
      </c>
      <c r="P399" s="1013">
        <f t="shared" si="83"/>
        <v>421077</v>
      </c>
      <c r="Q399" s="1016">
        <v>0</v>
      </c>
      <c r="R399" s="1013">
        <f t="shared" si="84"/>
        <v>0</v>
      </c>
      <c r="S399" s="1013">
        <f t="shared" si="85"/>
        <v>4189715</v>
      </c>
      <c r="T399" s="1017">
        <v>0</v>
      </c>
      <c r="U399" s="785">
        <v>0</v>
      </c>
      <c r="V399" s="785">
        <v>200000</v>
      </c>
      <c r="W399" s="1017">
        <v>0</v>
      </c>
      <c r="X399" s="1017">
        <v>0</v>
      </c>
      <c r="Y399" s="1017">
        <v>0</v>
      </c>
      <c r="Z399" s="1017">
        <v>332387</v>
      </c>
      <c r="AA399" s="1018"/>
      <c r="AB399" s="1013"/>
      <c r="AC399" s="1017">
        <v>0</v>
      </c>
      <c r="AD399" s="1017">
        <v>0</v>
      </c>
      <c r="AE399" s="1013">
        <v>0</v>
      </c>
      <c r="AF399" s="1019"/>
      <c r="AG399" s="1019">
        <f t="shared" si="112"/>
        <v>4722102</v>
      </c>
      <c r="AH399" s="1014">
        <v>24</v>
      </c>
      <c r="AI399" s="1014">
        <v>0</v>
      </c>
      <c r="AJ399" s="1014">
        <v>0</v>
      </c>
      <c r="AK399" s="1018">
        <v>0</v>
      </c>
      <c r="AL399" s="1020">
        <v>0</v>
      </c>
      <c r="AM399" s="1013">
        <f t="shared" si="117"/>
        <v>947423</v>
      </c>
      <c r="AN399" s="1045">
        <f t="shared" si="113"/>
        <v>5669525</v>
      </c>
      <c r="AO399" s="1013">
        <v>574770</v>
      </c>
      <c r="AP399" s="1013">
        <v>44100</v>
      </c>
      <c r="AQ399" s="1013">
        <v>0</v>
      </c>
      <c r="AR399" s="1013">
        <v>0</v>
      </c>
      <c r="AS399" s="1013">
        <v>0</v>
      </c>
      <c r="AT399" s="1045">
        <f t="shared" si="115"/>
        <v>5050655</v>
      </c>
      <c r="AU399" s="1004"/>
      <c r="AV399" s="870"/>
      <c r="AW399" s="782" t="s">
        <v>4093</v>
      </c>
      <c r="AX399" s="782" t="s">
        <v>4094</v>
      </c>
      <c r="AY399" s="1007" t="s">
        <v>288</v>
      </c>
      <c r="AZ399" s="1007">
        <v>622</v>
      </c>
      <c r="BA399" s="347" t="str">
        <f t="shared" si="116"/>
        <v>Bag</v>
      </c>
      <c r="BB399" s="1008"/>
      <c r="BC399" s="1009"/>
      <c r="BD399" s="1009"/>
    </row>
    <row r="400" spans="1:56" s="1010" customFormat="1" ht="36.75" customHeight="1">
      <c r="A400" s="661">
        <f>SUBTOTAL(3,B$6:B400)</f>
        <v>395</v>
      </c>
      <c r="B400" s="661" t="s">
        <v>1605</v>
      </c>
      <c r="C400" s="662" t="s">
        <v>1299</v>
      </c>
      <c r="D400" s="1011">
        <v>45558</v>
      </c>
      <c r="E400" s="1011" t="s">
        <v>217</v>
      </c>
      <c r="F400" s="787" t="s">
        <v>575</v>
      </c>
      <c r="G400" s="996" t="s">
        <v>992</v>
      </c>
      <c r="H400" s="1012">
        <v>5274000</v>
      </c>
      <c r="I400" s="1012">
        <v>400000</v>
      </c>
      <c r="J400" s="1012">
        <v>0</v>
      </c>
      <c r="K400" s="1012">
        <v>0</v>
      </c>
      <c r="L400" s="1013">
        <f t="shared" si="0"/>
        <v>5674000</v>
      </c>
      <c r="M400" s="1014">
        <v>23.9</v>
      </c>
      <c r="N400" s="1013">
        <f t="shared" si="82"/>
        <v>5215715</v>
      </c>
      <c r="O400" s="1015">
        <v>2</v>
      </c>
      <c r="P400" s="1013">
        <f t="shared" si="83"/>
        <v>436462</v>
      </c>
      <c r="Q400" s="1016">
        <v>0</v>
      </c>
      <c r="R400" s="1013">
        <f t="shared" si="84"/>
        <v>0</v>
      </c>
      <c r="S400" s="1013">
        <f t="shared" si="85"/>
        <v>5652177</v>
      </c>
      <c r="T400" s="1017">
        <v>0</v>
      </c>
      <c r="U400" s="785">
        <v>0</v>
      </c>
      <c r="V400" s="785">
        <v>200000</v>
      </c>
      <c r="W400" s="1017">
        <v>500000</v>
      </c>
      <c r="X400" s="1017">
        <v>0</v>
      </c>
      <c r="Y400" s="1017">
        <v>400000</v>
      </c>
      <c r="Z400" s="1017">
        <v>871133</v>
      </c>
      <c r="AA400" s="1018"/>
      <c r="AB400" s="1013"/>
      <c r="AC400" s="1017">
        <v>100000</v>
      </c>
      <c r="AD400" s="1017">
        <v>0</v>
      </c>
      <c r="AE400" s="1013">
        <v>40918.266213389121</v>
      </c>
      <c r="AF400" s="1019"/>
      <c r="AG400" s="1019">
        <f t="shared" si="112"/>
        <v>7764228</v>
      </c>
      <c r="AH400" s="1014">
        <v>48</v>
      </c>
      <c r="AI400" s="1014">
        <v>0</v>
      </c>
      <c r="AJ400" s="1014">
        <v>0</v>
      </c>
      <c r="AK400" s="1018">
        <v>0</v>
      </c>
      <c r="AL400" s="1020">
        <v>0</v>
      </c>
      <c r="AM400" s="1013">
        <f t="shared" si="117"/>
        <v>1964077</v>
      </c>
      <c r="AN400" s="1045">
        <f t="shared" ref="AN400:AN801" si="118">ROUND(AG400+AM400,0)</f>
        <v>9728305</v>
      </c>
      <c r="AO400" s="1013">
        <v>595770</v>
      </c>
      <c r="AP400" s="1013">
        <v>44100</v>
      </c>
      <c r="AQ400" s="1013">
        <v>0</v>
      </c>
      <c r="AR400" s="1013">
        <v>0</v>
      </c>
      <c r="AS400" s="1013">
        <v>0</v>
      </c>
      <c r="AT400" s="1045">
        <f t="shared" si="115"/>
        <v>9088435</v>
      </c>
      <c r="AU400" s="1004"/>
      <c r="AV400" s="870"/>
      <c r="AW400" s="782" t="s">
        <v>3811</v>
      </c>
      <c r="AX400" s="782" t="s">
        <v>4095</v>
      </c>
      <c r="AY400" s="1007" t="s">
        <v>288</v>
      </c>
      <c r="AZ400" s="1007">
        <v>622</v>
      </c>
      <c r="BA400" s="347" t="str">
        <f t="shared" si="116"/>
        <v>Bag</v>
      </c>
      <c r="BB400" s="1008"/>
      <c r="BC400" s="1009"/>
      <c r="BD400" s="1009"/>
    </row>
    <row r="401" spans="1:56" s="1010" customFormat="1" ht="36.75" customHeight="1">
      <c r="A401" s="661">
        <f>SUBTOTAL(3,B$6:B401)</f>
        <v>396</v>
      </c>
      <c r="B401" s="661" t="s">
        <v>1606</v>
      </c>
      <c r="C401" s="662" t="s">
        <v>1607</v>
      </c>
      <c r="D401" s="1011">
        <v>45710</v>
      </c>
      <c r="E401" s="1011" t="s">
        <v>217</v>
      </c>
      <c r="F401" s="787" t="s">
        <v>575</v>
      </c>
      <c r="G401" s="996" t="s">
        <v>987</v>
      </c>
      <c r="H401" s="1012">
        <v>5023000</v>
      </c>
      <c r="I401" s="1012">
        <v>200000</v>
      </c>
      <c r="J401" s="1012">
        <v>0</v>
      </c>
      <c r="K401" s="1012">
        <v>0</v>
      </c>
      <c r="L401" s="1013">
        <f t="shared" si="0"/>
        <v>5223000</v>
      </c>
      <c r="M401" s="1014">
        <v>21.3</v>
      </c>
      <c r="N401" s="1013">
        <f t="shared" si="82"/>
        <v>4278842</v>
      </c>
      <c r="O401" s="1015">
        <v>3</v>
      </c>
      <c r="P401" s="1013">
        <f t="shared" si="83"/>
        <v>602654</v>
      </c>
      <c r="Q401" s="1016">
        <v>0</v>
      </c>
      <c r="R401" s="1013">
        <f t="shared" si="84"/>
        <v>0</v>
      </c>
      <c r="S401" s="1013">
        <f t="shared" si="85"/>
        <v>4881496</v>
      </c>
      <c r="T401" s="1017">
        <v>0</v>
      </c>
      <c r="U401" s="785">
        <v>0</v>
      </c>
      <c r="V401" s="785">
        <v>200000</v>
      </c>
      <c r="W401" s="1017">
        <v>0</v>
      </c>
      <c r="X401" s="1017">
        <v>0</v>
      </c>
      <c r="Y401" s="1017">
        <v>300000</v>
      </c>
      <c r="Z401" s="1017">
        <v>273013</v>
      </c>
      <c r="AA401" s="1018"/>
      <c r="AB401" s="1013"/>
      <c r="AC401" s="1017">
        <v>200000</v>
      </c>
      <c r="AD401" s="1017">
        <v>0</v>
      </c>
      <c r="AE401" s="1013">
        <v>37665.862676056335</v>
      </c>
      <c r="AF401" s="1019"/>
      <c r="AG401" s="1019">
        <f t="shared" ref="AG401:AG464" si="119">ROUND(SUM(S401:AF401)-AA401,0)</f>
        <v>5892175</v>
      </c>
      <c r="AH401" s="1014">
        <v>28</v>
      </c>
      <c r="AI401" s="1014">
        <v>0</v>
      </c>
      <c r="AJ401" s="1014">
        <v>0</v>
      </c>
      <c r="AK401" s="1018">
        <v>0</v>
      </c>
      <c r="AL401" s="1020">
        <v>0</v>
      </c>
      <c r="AM401" s="1013">
        <f t="shared" si="117"/>
        <v>1054644</v>
      </c>
      <c r="AN401" s="1045">
        <f t="shared" si="118"/>
        <v>6946819</v>
      </c>
      <c r="AO401" s="1013">
        <v>548415</v>
      </c>
      <c r="AP401" s="1013">
        <v>0</v>
      </c>
      <c r="AQ401" s="1013">
        <v>0</v>
      </c>
      <c r="AR401" s="1013">
        <v>0</v>
      </c>
      <c r="AS401" s="1013">
        <v>0</v>
      </c>
      <c r="AT401" s="1045">
        <f t="shared" si="115"/>
        <v>6398404</v>
      </c>
      <c r="AU401" s="1004"/>
      <c r="AV401" s="870"/>
      <c r="AW401" s="782" t="s">
        <v>4096</v>
      </c>
      <c r="AX401" s="782" t="s">
        <v>4097</v>
      </c>
      <c r="AY401" s="1007" t="s">
        <v>288</v>
      </c>
      <c r="AZ401" s="1007">
        <v>622</v>
      </c>
      <c r="BA401" s="347" t="str">
        <f t="shared" si="116"/>
        <v>Bag</v>
      </c>
      <c r="BB401" s="1008"/>
      <c r="BC401" s="1009"/>
      <c r="BD401" s="1009"/>
    </row>
    <row r="402" spans="1:56" s="1010" customFormat="1" ht="36.75" customHeight="1">
      <c r="A402" s="661">
        <f>SUBTOTAL(3,B$6:B402)</f>
        <v>397</v>
      </c>
      <c r="B402" s="661" t="s">
        <v>1608</v>
      </c>
      <c r="C402" s="662" t="s">
        <v>1609</v>
      </c>
      <c r="D402" s="1011">
        <v>41327</v>
      </c>
      <c r="E402" s="1011" t="s">
        <v>217</v>
      </c>
      <c r="F402" s="787" t="s">
        <v>575</v>
      </c>
      <c r="G402" s="996" t="s">
        <v>1589</v>
      </c>
      <c r="H402" s="1012">
        <v>5931000</v>
      </c>
      <c r="I402" s="1012">
        <v>900000</v>
      </c>
      <c r="J402" s="1012">
        <v>0</v>
      </c>
      <c r="K402" s="1012">
        <v>0</v>
      </c>
      <c r="L402" s="1013">
        <f t="shared" si="0"/>
        <v>6831000</v>
      </c>
      <c r="M402" s="1014">
        <v>24</v>
      </c>
      <c r="N402" s="1013">
        <f t="shared" si="82"/>
        <v>6305538</v>
      </c>
      <c r="O402" s="1015">
        <v>2</v>
      </c>
      <c r="P402" s="1013">
        <f t="shared" si="83"/>
        <v>525462</v>
      </c>
      <c r="Q402" s="1016">
        <v>0</v>
      </c>
      <c r="R402" s="1013">
        <f t="shared" si="84"/>
        <v>0</v>
      </c>
      <c r="S402" s="1013">
        <f t="shared" si="85"/>
        <v>6831000</v>
      </c>
      <c r="T402" s="1017">
        <v>0</v>
      </c>
      <c r="U402" s="785">
        <v>0</v>
      </c>
      <c r="V402" s="785">
        <v>200000</v>
      </c>
      <c r="W402" s="1017">
        <v>500000</v>
      </c>
      <c r="X402" s="1017">
        <v>0</v>
      </c>
      <c r="Y402" s="1017">
        <v>400000</v>
      </c>
      <c r="Z402" s="1017">
        <v>146375</v>
      </c>
      <c r="AA402" s="1018"/>
      <c r="AB402" s="1013"/>
      <c r="AC402" s="1017">
        <v>0</v>
      </c>
      <c r="AD402" s="1017">
        <v>0</v>
      </c>
      <c r="AE402" s="1013">
        <v>49262.015625</v>
      </c>
      <c r="AF402" s="1019"/>
      <c r="AG402" s="1019">
        <f t="shared" si="119"/>
        <v>8126637</v>
      </c>
      <c r="AH402" s="1014">
        <v>52</v>
      </c>
      <c r="AI402" s="1014">
        <v>0</v>
      </c>
      <c r="AJ402" s="1014">
        <v>0</v>
      </c>
      <c r="AK402" s="1018">
        <v>0</v>
      </c>
      <c r="AL402" s="1020">
        <v>0</v>
      </c>
      <c r="AM402" s="1013">
        <f t="shared" si="117"/>
        <v>2561625</v>
      </c>
      <c r="AN402" s="1045">
        <f t="shared" si="118"/>
        <v>10688262</v>
      </c>
      <c r="AO402" s="1013">
        <v>717255</v>
      </c>
      <c r="AP402" s="1013">
        <v>44100</v>
      </c>
      <c r="AQ402" s="1013">
        <v>0</v>
      </c>
      <c r="AR402" s="1013">
        <v>0</v>
      </c>
      <c r="AS402" s="1013">
        <v>0</v>
      </c>
      <c r="AT402" s="1045">
        <f t="shared" si="115"/>
        <v>9926907</v>
      </c>
      <c r="AU402" s="1004"/>
      <c r="AV402" s="870"/>
      <c r="AW402" s="782" t="s">
        <v>4098</v>
      </c>
      <c r="AX402" s="782" t="s">
        <v>4099</v>
      </c>
      <c r="AY402" s="1007" t="s">
        <v>288</v>
      </c>
      <c r="AZ402" s="1007">
        <v>622</v>
      </c>
      <c r="BA402" s="347" t="str">
        <f t="shared" si="116"/>
        <v>Bag</v>
      </c>
      <c r="BB402" s="1008"/>
      <c r="BC402" s="1009"/>
      <c r="BD402" s="1009"/>
    </row>
    <row r="403" spans="1:56" s="1010" customFormat="1" ht="36.75" customHeight="1">
      <c r="A403" s="661">
        <f>SUBTOTAL(3,B$6:B403)</f>
        <v>398</v>
      </c>
      <c r="B403" s="661" t="s">
        <v>1610</v>
      </c>
      <c r="C403" s="662" t="s">
        <v>1611</v>
      </c>
      <c r="D403" s="1011">
        <v>41327</v>
      </c>
      <c r="E403" s="1011" t="s">
        <v>217</v>
      </c>
      <c r="F403" s="787" t="s">
        <v>575</v>
      </c>
      <c r="G403" s="996" t="s">
        <v>1589</v>
      </c>
      <c r="H403" s="1012">
        <v>5931000</v>
      </c>
      <c r="I403" s="1012">
        <v>900000</v>
      </c>
      <c r="J403" s="1012">
        <v>0</v>
      </c>
      <c r="K403" s="1012">
        <v>0</v>
      </c>
      <c r="L403" s="1013">
        <f t="shared" si="0"/>
        <v>6831000</v>
      </c>
      <c r="M403" s="1014">
        <v>24</v>
      </c>
      <c r="N403" s="1013">
        <f t="shared" si="82"/>
        <v>6305538</v>
      </c>
      <c r="O403" s="1015">
        <v>2</v>
      </c>
      <c r="P403" s="1013">
        <f t="shared" si="83"/>
        <v>525462</v>
      </c>
      <c r="Q403" s="1016">
        <v>0</v>
      </c>
      <c r="R403" s="1013">
        <f t="shared" si="84"/>
        <v>0</v>
      </c>
      <c r="S403" s="1013">
        <f t="shared" si="85"/>
        <v>6831000</v>
      </c>
      <c r="T403" s="1017">
        <v>0</v>
      </c>
      <c r="U403" s="785">
        <v>0</v>
      </c>
      <c r="V403" s="785">
        <v>200000</v>
      </c>
      <c r="W403" s="1017">
        <v>500000</v>
      </c>
      <c r="X403" s="1017">
        <v>0</v>
      </c>
      <c r="Y403" s="1017">
        <v>400000</v>
      </c>
      <c r="Z403" s="1017">
        <v>1028356</v>
      </c>
      <c r="AA403" s="1018"/>
      <c r="AB403" s="1013"/>
      <c r="AC403" s="1017">
        <v>0</v>
      </c>
      <c r="AD403" s="1017">
        <v>0</v>
      </c>
      <c r="AE403" s="1013">
        <v>49262.015625</v>
      </c>
      <c r="AF403" s="1019"/>
      <c r="AG403" s="1019">
        <f t="shared" si="119"/>
        <v>9008618</v>
      </c>
      <c r="AH403" s="1014">
        <v>52</v>
      </c>
      <c r="AI403" s="1014">
        <v>0</v>
      </c>
      <c r="AJ403" s="1014">
        <v>0</v>
      </c>
      <c r="AK403" s="1018">
        <v>0</v>
      </c>
      <c r="AL403" s="1020">
        <v>0</v>
      </c>
      <c r="AM403" s="1013">
        <f t="shared" si="117"/>
        <v>2561625</v>
      </c>
      <c r="AN403" s="1045">
        <f t="shared" si="118"/>
        <v>11570243</v>
      </c>
      <c r="AO403" s="1013">
        <v>717255</v>
      </c>
      <c r="AP403" s="1013">
        <v>44100</v>
      </c>
      <c r="AQ403" s="1013">
        <v>0</v>
      </c>
      <c r="AR403" s="1013">
        <v>0</v>
      </c>
      <c r="AS403" s="1013">
        <v>0</v>
      </c>
      <c r="AT403" s="1045">
        <f t="shared" si="115"/>
        <v>10808888</v>
      </c>
      <c r="AU403" s="1004"/>
      <c r="AV403" s="870"/>
      <c r="AW403" s="782" t="s">
        <v>4100</v>
      </c>
      <c r="AX403" s="782" t="s">
        <v>4101</v>
      </c>
      <c r="AY403" s="1007" t="s">
        <v>288</v>
      </c>
      <c r="AZ403" s="1007">
        <v>622</v>
      </c>
      <c r="BA403" s="347" t="str">
        <f t="shared" si="116"/>
        <v>Bag</v>
      </c>
      <c r="BB403" s="1008"/>
      <c r="BC403" s="1009"/>
      <c r="BD403" s="1009"/>
    </row>
    <row r="404" spans="1:56" s="1010" customFormat="1" ht="36.75" customHeight="1">
      <c r="A404" s="661">
        <f>SUBTOTAL(3,B$6:B404)</f>
        <v>399</v>
      </c>
      <c r="B404" s="661" t="s">
        <v>1612</v>
      </c>
      <c r="C404" s="662" t="s">
        <v>1613</v>
      </c>
      <c r="D404" s="1011">
        <v>43517</v>
      </c>
      <c r="E404" s="1011" t="s">
        <v>217</v>
      </c>
      <c r="F404" s="787" t="s">
        <v>575</v>
      </c>
      <c r="G404" s="996" t="s">
        <v>992</v>
      </c>
      <c r="H404" s="1012">
        <v>5931000</v>
      </c>
      <c r="I404" s="1012">
        <v>400000</v>
      </c>
      <c r="J404" s="1012">
        <v>0</v>
      </c>
      <c r="K404" s="1012">
        <v>0</v>
      </c>
      <c r="L404" s="1013">
        <f t="shared" si="0"/>
        <v>6331000</v>
      </c>
      <c r="M404" s="1014">
        <v>17.600000000000001</v>
      </c>
      <c r="N404" s="1013">
        <f t="shared" si="82"/>
        <v>4285600</v>
      </c>
      <c r="O404" s="1015">
        <v>3</v>
      </c>
      <c r="P404" s="1013">
        <f t="shared" si="83"/>
        <v>730500</v>
      </c>
      <c r="Q404" s="1016">
        <v>0</v>
      </c>
      <c r="R404" s="1013">
        <f t="shared" si="84"/>
        <v>0</v>
      </c>
      <c r="S404" s="1013">
        <f t="shared" si="85"/>
        <v>5016100</v>
      </c>
      <c r="T404" s="1017">
        <v>0</v>
      </c>
      <c r="U404" s="785">
        <v>0</v>
      </c>
      <c r="V404" s="785">
        <v>200000</v>
      </c>
      <c r="W404" s="1017">
        <v>0</v>
      </c>
      <c r="X404" s="1017">
        <v>0</v>
      </c>
      <c r="Y404" s="1017">
        <v>0</v>
      </c>
      <c r="Z404" s="1017">
        <v>296011</v>
      </c>
      <c r="AA404" s="1018"/>
      <c r="AB404" s="1013"/>
      <c r="AC404" s="1017">
        <v>100000</v>
      </c>
      <c r="AD404" s="1017">
        <v>0</v>
      </c>
      <c r="AE404" s="1013">
        <v>45656.249999999993</v>
      </c>
      <c r="AF404" s="1019"/>
      <c r="AG404" s="1019">
        <f t="shared" si="119"/>
        <v>5657767</v>
      </c>
      <c r="AH404" s="1014">
        <v>36</v>
      </c>
      <c r="AI404" s="1014">
        <v>0</v>
      </c>
      <c r="AJ404" s="1014">
        <v>0</v>
      </c>
      <c r="AK404" s="1018">
        <v>0</v>
      </c>
      <c r="AL404" s="1020">
        <v>0</v>
      </c>
      <c r="AM404" s="1013">
        <f t="shared" si="117"/>
        <v>1643625</v>
      </c>
      <c r="AN404" s="1045">
        <f t="shared" si="118"/>
        <v>7301392</v>
      </c>
      <c r="AO404" s="1013">
        <v>664755</v>
      </c>
      <c r="AP404" s="1013">
        <v>44100</v>
      </c>
      <c r="AQ404" s="1013">
        <v>0</v>
      </c>
      <c r="AR404" s="1013">
        <v>0</v>
      </c>
      <c r="AS404" s="1013">
        <v>0</v>
      </c>
      <c r="AT404" s="1045">
        <f t="shared" si="115"/>
        <v>6592537</v>
      </c>
      <c r="AU404" s="1004"/>
      <c r="AV404" s="870"/>
      <c r="AW404" s="782" t="s">
        <v>4102</v>
      </c>
      <c r="AX404" s="782" t="s">
        <v>4103</v>
      </c>
      <c r="AY404" s="1007" t="s">
        <v>288</v>
      </c>
      <c r="AZ404" s="1007">
        <v>622</v>
      </c>
      <c r="BA404" s="347" t="str">
        <f t="shared" si="116"/>
        <v>Bag</v>
      </c>
      <c r="BB404" s="1008"/>
      <c r="BC404" s="1009"/>
      <c r="BD404" s="1009"/>
    </row>
    <row r="405" spans="1:56" s="1010" customFormat="1" ht="36.75" customHeight="1">
      <c r="A405" s="661">
        <f>SUBTOTAL(3,B$6:B405)</f>
        <v>400</v>
      </c>
      <c r="B405" s="661" t="s">
        <v>1614</v>
      </c>
      <c r="C405" s="662" t="s">
        <v>1615</v>
      </c>
      <c r="D405" s="1011">
        <v>42826</v>
      </c>
      <c r="E405" s="1011" t="s">
        <v>217</v>
      </c>
      <c r="F405" s="787" t="s">
        <v>575</v>
      </c>
      <c r="G405" s="996" t="s">
        <v>1589</v>
      </c>
      <c r="H405" s="1012">
        <v>5931000</v>
      </c>
      <c r="I405" s="1012">
        <v>400000</v>
      </c>
      <c r="J405" s="1012">
        <v>0</v>
      </c>
      <c r="K405" s="1012">
        <v>0</v>
      </c>
      <c r="L405" s="1013">
        <f t="shared" si="0"/>
        <v>6331000</v>
      </c>
      <c r="M405" s="1014">
        <v>23.6</v>
      </c>
      <c r="N405" s="1013">
        <f t="shared" si="82"/>
        <v>5746600</v>
      </c>
      <c r="O405" s="1015">
        <v>2</v>
      </c>
      <c r="P405" s="1013">
        <f t="shared" si="83"/>
        <v>487000</v>
      </c>
      <c r="Q405" s="1016">
        <v>0</v>
      </c>
      <c r="R405" s="1013">
        <f t="shared" si="84"/>
        <v>0</v>
      </c>
      <c r="S405" s="1013">
        <f t="shared" si="85"/>
        <v>6233600</v>
      </c>
      <c r="T405" s="1017">
        <v>0</v>
      </c>
      <c r="U405" s="785">
        <v>0</v>
      </c>
      <c r="V405" s="785">
        <v>200000</v>
      </c>
      <c r="W405" s="1017">
        <v>500000</v>
      </c>
      <c r="X405" s="1017">
        <v>0</v>
      </c>
      <c r="Y405" s="1017">
        <v>300000</v>
      </c>
      <c r="Z405" s="1017">
        <v>319644</v>
      </c>
      <c r="AA405" s="1018"/>
      <c r="AB405" s="1013"/>
      <c r="AC405" s="1017">
        <v>200000</v>
      </c>
      <c r="AD405" s="1017">
        <v>0</v>
      </c>
      <c r="AE405" s="1013">
        <v>45656.249999999993</v>
      </c>
      <c r="AF405" s="1019"/>
      <c r="AG405" s="1019">
        <f t="shared" si="119"/>
        <v>7798900</v>
      </c>
      <c r="AH405" s="1014">
        <v>52</v>
      </c>
      <c r="AI405" s="1014">
        <v>0</v>
      </c>
      <c r="AJ405" s="1014">
        <v>0</v>
      </c>
      <c r="AK405" s="1018">
        <v>0</v>
      </c>
      <c r="AL405" s="1020">
        <v>0</v>
      </c>
      <c r="AM405" s="1013">
        <f t="shared" si="117"/>
        <v>2374125</v>
      </c>
      <c r="AN405" s="1045">
        <f t="shared" si="118"/>
        <v>10173025</v>
      </c>
      <c r="AO405" s="1013">
        <v>664755</v>
      </c>
      <c r="AP405" s="1013">
        <v>44100</v>
      </c>
      <c r="AQ405" s="1013">
        <v>0</v>
      </c>
      <c r="AR405" s="1013">
        <v>0</v>
      </c>
      <c r="AS405" s="1013">
        <v>0</v>
      </c>
      <c r="AT405" s="1045">
        <f t="shared" si="115"/>
        <v>9464170</v>
      </c>
      <c r="AU405" s="1004"/>
      <c r="AV405" s="870"/>
      <c r="AW405" s="782" t="s">
        <v>4104</v>
      </c>
      <c r="AX405" s="782" t="s">
        <v>4105</v>
      </c>
      <c r="AY405" s="1007" t="s">
        <v>288</v>
      </c>
      <c r="AZ405" s="1007">
        <v>622</v>
      </c>
      <c r="BA405" s="347" t="str">
        <f t="shared" si="116"/>
        <v>Bag</v>
      </c>
      <c r="BB405" s="1008"/>
      <c r="BC405" s="1009"/>
      <c r="BD405" s="1009"/>
    </row>
    <row r="406" spans="1:56" s="1010" customFormat="1" ht="36.75" customHeight="1">
      <c r="A406" s="661">
        <f>SUBTOTAL(3,B$6:B406)</f>
        <v>401</v>
      </c>
      <c r="B406" s="661" t="s">
        <v>1616</v>
      </c>
      <c r="C406" s="662" t="s">
        <v>1617</v>
      </c>
      <c r="D406" s="1011">
        <v>43874</v>
      </c>
      <c r="E406" s="1011" t="s">
        <v>217</v>
      </c>
      <c r="F406" s="787" t="s">
        <v>576</v>
      </c>
      <c r="G406" s="996" t="s">
        <v>987</v>
      </c>
      <c r="H406" s="1012">
        <v>5931000</v>
      </c>
      <c r="I406" s="1012">
        <v>400000</v>
      </c>
      <c r="J406" s="1012">
        <v>0</v>
      </c>
      <c r="K406" s="1012">
        <v>0</v>
      </c>
      <c r="L406" s="1013">
        <f t="shared" si="0"/>
        <v>6331000</v>
      </c>
      <c r="M406" s="1014">
        <v>22.8</v>
      </c>
      <c r="N406" s="1013">
        <f t="shared" si="82"/>
        <v>5551800</v>
      </c>
      <c r="O406" s="1015">
        <v>3</v>
      </c>
      <c r="P406" s="1013">
        <f t="shared" si="83"/>
        <v>730500</v>
      </c>
      <c r="Q406" s="1016">
        <v>0</v>
      </c>
      <c r="R406" s="1013">
        <f t="shared" si="84"/>
        <v>0</v>
      </c>
      <c r="S406" s="1013">
        <f t="shared" si="85"/>
        <v>6282300</v>
      </c>
      <c r="T406" s="1017">
        <v>0</v>
      </c>
      <c r="U406" s="785">
        <v>0</v>
      </c>
      <c r="V406" s="785">
        <v>200000</v>
      </c>
      <c r="W406" s="1017">
        <v>500000</v>
      </c>
      <c r="X406" s="1017">
        <v>0</v>
      </c>
      <c r="Y406" s="1017">
        <v>400000</v>
      </c>
      <c r="Z406" s="1017">
        <v>431770</v>
      </c>
      <c r="AA406" s="1018"/>
      <c r="AB406" s="1013"/>
      <c r="AC406" s="1017">
        <v>0</v>
      </c>
      <c r="AD406" s="1017">
        <v>0</v>
      </c>
      <c r="AE406" s="1013">
        <v>45656.25</v>
      </c>
      <c r="AF406" s="1019"/>
      <c r="AG406" s="1019">
        <f t="shared" si="119"/>
        <v>7859726</v>
      </c>
      <c r="AH406" s="1014">
        <v>40</v>
      </c>
      <c r="AI406" s="1014">
        <v>0</v>
      </c>
      <c r="AJ406" s="1014">
        <v>0</v>
      </c>
      <c r="AK406" s="1018">
        <v>0</v>
      </c>
      <c r="AL406" s="1020">
        <v>0</v>
      </c>
      <c r="AM406" s="1013">
        <f t="shared" si="117"/>
        <v>1826250</v>
      </c>
      <c r="AN406" s="1045">
        <f t="shared" si="118"/>
        <v>9685976</v>
      </c>
      <c r="AO406" s="1013">
        <v>664755</v>
      </c>
      <c r="AP406" s="1013">
        <v>44100</v>
      </c>
      <c r="AQ406" s="1013">
        <v>0</v>
      </c>
      <c r="AR406" s="1013">
        <v>0</v>
      </c>
      <c r="AS406" s="1013">
        <v>0</v>
      </c>
      <c r="AT406" s="1045">
        <f t="shared" si="115"/>
        <v>8977121</v>
      </c>
      <c r="AU406" s="1004"/>
      <c r="AV406" s="870"/>
      <c r="AW406" s="782" t="s">
        <v>4106</v>
      </c>
      <c r="AX406" s="782" t="s">
        <v>4107</v>
      </c>
      <c r="AY406" s="1007" t="s">
        <v>287</v>
      </c>
      <c r="AZ406" s="1007">
        <v>622</v>
      </c>
      <c r="BA406" s="347" t="str">
        <f t="shared" si="116"/>
        <v>Box</v>
      </c>
      <c r="BB406" s="1008"/>
      <c r="BC406" s="1009"/>
      <c r="BD406" s="1009"/>
    </row>
    <row r="407" spans="1:56" s="1010" customFormat="1" ht="36.75" customHeight="1">
      <c r="A407" s="661">
        <f>SUBTOTAL(3,B$6:B407)</f>
        <v>402</v>
      </c>
      <c r="B407" s="661" t="s">
        <v>1618</v>
      </c>
      <c r="C407" s="662" t="s">
        <v>1619</v>
      </c>
      <c r="D407" s="1011">
        <v>44252</v>
      </c>
      <c r="E407" s="1011" t="s">
        <v>217</v>
      </c>
      <c r="F407" s="787" t="s">
        <v>576</v>
      </c>
      <c r="G407" s="996" t="s">
        <v>992</v>
      </c>
      <c r="H407" s="1012">
        <v>5931000</v>
      </c>
      <c r="I407" s="1012">
        <v>400000</v>
      </c>
      <c r="J407" s="1012">
        <v>0</v>
      </c>
      <c r="K407" s="1012">
        <v>0</v>
      </c>
      <c r="L407" s="1013">
        <f t="shared" si="0"/>
        <v>6331000</v>
      </c>
      <c r="M407" s="1014">
        <v>22.4</v>
      </c>
      <c r="N407" s="1013">
        <f t="shared" si="82"/>
        <v>5454400</v>
      </c>
      <c r="O407" s="1015">
        <v>3</v>
      </c>
      <c r="P407" s="1013">
        <f t="shared" si="83"/>
        <v>730500</v>
      </c>
      <c r="Q407" s="1016">
        <v>0</v>
      </c>
      <c r="R407" s="1013">
        <f t="shared" si="84"/>
        <v>0</v>
      </c>
      <c r="S407" s="1013">
        <f t="shared" si="85"/>
        <v>6184900</v>
      </c>
      <c r="T407" s="1017">
        <v>0</v>
      </c>
      <c r="U407" s="785">
        <v>0</v>
      </c>
      <c r="V407" s="785">
        <v>200000</v>
      </c>
      <c r="W407" s="1017">
        <v>0</v>
      </c>
      <c r="X407" s="1017">
        <v>0</v>
      </c>
      <c r="Y407" s="1017">
        <v>400000</v>
      </c>
      <c r="Z407" s="1017">
        <v>552171</v>
      </c>
      <c r="AA407" s="1018"/>
      <c r="AB407" s="1013"/>
      <c r="AC407" s="1017">
        <v>100000</v>
      </c>
      <c r="AD407" s="1017">
        <v>0</v>
      </c>
      <c r="AE407" s="1013">
        <v>45656.250000000007</v>
      </c>
      <c r="AF407" s="1019"/>
      <c r="AG407" s="1019">
        <f t="shared" si="119"/>
        <v>7482727</v>
      </c>
      <c r="AH407" s="1014">
        <v>48</v>
      </c>
      <c r="AI407" s="1014">
        <v>0</v>
      </c>
      <c r="AJ407" s="1014">
        <v>0</v>
      </c>
      <c r="AK407" s="1018">
        <v>0</v>
      </c>
      <c r="AL407" s="1020">
        <v>0</v>
      </c>
      <c r="AM407" s="1013">
        <f t="shared" si="117"/>
        <v>2191500</v>
      </c>
      <c r="AN407" s="1045">
        <f t="shared" si="118"/>
        <v>9674227</v>
      </c>
      <c r="AO407" s="1013">
        <v>664755</v>
      </c>
      <c r="AP407" s="1013">
        <v>44100</v>
      </c>
      <c r="AQ407" s="1013">
        <v>0</v>
      </c>
      <c r="AR407" s="1013">
        <v>0</v>
      </c>
      <c r="AS407" s="1013">
        <v>0</v>
      </c>
      <c r="AT407" s="1045">
        <f t="shared" si="115"/>
        <v>8965372</v>
      </c>
      <c r="AU407" s="1004"/>
      <c r="AV407" s="870"/>
      <c r="AW407" s="782" t="s">
        <v>4108</v>
      </c>
      <c r="AX407" s="782" t="s">
        <v>4109</v>
      </c>
      <c r="AY407" s="1007" t="s">
        <v>287</v>
      </c>
      <c r="AZ407" s="1007">
        <v>622</v>
      </c>
      <c r="BA407" s="347" t="str">
        <f t="shared" si="116"/>
        <v>Box</v>
      </c>
      <c r="BB407" s="1008"/>
      <c r="BC407" s="1009"/>
      <c r="BD407" s="1009"/>
    </row>
    <row r="408" spans="1:56" s="1010" customFormat="1" ht="36.75" customHeight="1">
      <c r="A408" s="661">
        <f>SUBTOTAL(3,B$6:B408)</f>
        <v>403</v>
      </c>
      <c r="B408" s="661" t="s">
        <v>1620</v>
      </c>
      <c r="C408" s="662" t="s">
        <v>1621</v>
      </c>
      <c r="D408" s="1011">
        <v>44252</v>
      </c>
      <c r="E408" s="1011" t="s">
        <v>217</v>
      </c>
      <c r="F408" s="787" t="s">
        <v>576</v>
      </c>
      <c r="G408" s="996" t="s">
        <v>1589</v>
      </c>
      <c r="H408" s="1012">
        <v>5931000</v>
      </c>
      <c r="I408" s="1012">
        <v>900000</v>
      </c>
      <c r="J408" s="1012">
        <v>0</v>
      </c>
      <c r="K408" s="1012">
        <v>0</v>
      </c>
      <c r="L408" s="1013">
        <f t="shared" si="0"/>
        <v>6831000</v>
      </c>
      <c r="M408" s="1014">
        <v>23.9</v>
      </c>
      <c r="N408" s="1013">
        <f t="shared" si="82"/>
        <v>6279265</v>
      </c>
      <c r="O408" s="1015">
        <v>2</v>
      </c>
      <c r="P408" s="1013">
        <f t="shared" si="83"/>
        <v>525462</v>
      </c>
      <c r="Q408" s="1016">
        <v>0</v>
      </c>
      <c r="R408" s="1013">
        <f t="shared" si="84"/>
        <v>0</v>
      </c>
      <c r="S408" s="1013">
        <f t="shared" si="85"/>
        <v>6804727</v>
      </c>
      <c r="T408" s="1017">
        <v>0</v>
      </c>
      <c r="U408" s="785">
        <v>0</v>
      </c>
      <c r="V408" s="785">
        <v>200000</v>
      </c>
      <c r="W408" s="1017">
        <v>500000</v>
      </c>
      <c r="X408" s="1017">
        <v>0</v>
      </c>
      <c r="Y408" s="1017">
        <v>400000</v>
      </c>
      <c r="Z408" s="1017">
        <v>593554</v>
      </c>
      <c r="AA408" s="1018"/>
      <c r="AB408" s="1013"/>
      <c r="AC408" s="1017">
        <v>100000</v>
      </c>
      <c r="AD408" s="1017">
        <v>0</v>
      </c>
      <c r="AE408" s="1013">
        <v>49262.016213389128</v>
      </c>
      <c r="AF408" s="1019"/>
      <c r="AG408" s="1019">
        <f t="shared" si="119"/>
        <v>8647543</v>
      </c>
      <c r="AH408" s="1014">
        <v>40</v>
      </c>
      <c r="AI408" s="1014">
        <v>0</v>
      </c>
      <c r="AJ408" s="1014">
        <v>0</v>
      </c>
      <c r="AK408" s="1018">
        <v>0</v>
      </c>
      <c r="AL408" s="1020">
        <v>0</v>
      </c>
      <c r="AM408" s="1013">
        <f t="shared" si="117"/>
        <v>1970481</v>
      </c>
      <c r="AN408" s="1045">
        <f t="shared" si="118"/>
        <v>10618024</v>
      </c>
      <c r="AO408" s="1013">
        <v>717255</v>
      </c>
      <c r="AP408" s="1013">
        <v>44100</v>
      </c>
      <c r="AQ408" s="1013">
        <v>0</v>
      </c>
      <c r="AR408" s="1013">
        <v>0</v>
      </c>
      <c r="AS408" s="1013">
        <v>0</v>
      </c>
      <c r="AT408" s="1045">
        <f t="shared" si="115"/>
        <v>9856669</v>
      </c>
      <c r="AU408" s="1004"/>
      <c r="AV408" s="870"/>
      <c r="AW408" s="782" t="s">
        <v>4110</v>
      </c>
      <c r="AX408" s="782" t="s">
        <v>4111</v>
      </c>
      <c r="AY408" s="1007" t="s">
        <v>287</v>
      </c>
      <c r="AZ408" s="1007">
        <v>622</v>
      </c>
      <c r="BA408" s="347" t="str">
        <f t="shared" si="116"/>
        <v>Box</v>
      </c>
      <c r="BB408" s="1008"/>
      <c r="BC408" s="1009"/>
      <c r="BD408" s="1009"/>
    </row>
    <row r="409" spans="1:56" s="1010" customFormat="1" ht="36.75" customHeight="1">
      <c r="A409" s="661">
        <f>SUBTOTAL(3,B$6:B409)</f>
        <v>404</v>
      </c>
      <c r="B409" s="661" t="s">
        <v>1622</v>
      </c>
      <c r="C409" s="662" t="s">
        <v>1623</v>
      </c>
      <c r="D409" s="1011">
        <v>44257</v>
      </c>
      <c r="E409" s="1011" t="s">
        <v>217</v>
      </c>
      <c r="F409" s="787" t="s">
        <v>576</v>
      </c>
      <c r="G409" s="996" t="s">
        <v>987</v>
      </c>
      <c r="H409" s="1012">
        <v>5931000</v>
      </c>
      <c r="I409" s="1012">
        <v>400000</v>
      </c>
      <c r="J409" s="1012">
        <v>0</v>
      </c>
      <c r="K409" s="1012">
        <v>0</v>
      </c>
      <c r="L409" s="1013">
        <f t="shared" si="0"/>
        <v>6331000</v>
      </c>
      <c r="M409" s="1014">
        <v>23.8</v>
      </c>
      <c r="N409" s="1013">
        <f t="shared" si="82"/>
        <v>5795300</v>
      </c>
      <c r="O409" s="1015">
        <v>2</v>
      </c>
      <c r="P409" s="1013">
        <f t="shared" si="83"/>
        <v>487000</v>
      </c>
      <c r="Q409" s="1016">
        <v>0</v>
      </c>
      <c r="R409" s="1013">
        <f t="shared" si="84"/>
        <v>0</v>
      </c>
      <c r="S409" s="1013">
        <f t="shared" si="85"/>
        <v>6282300</v>
      </c>
      <c r="T409" s="1017">
        <v>0</v>
      </c>
      <c r="U409" s="785">
        <v>0</v>
      </c>
      <c r="V409" s="785">
        <v>200000</v>
      </c>
      <c r="W409" s="1017">
        <v>500000</v>
      </c>
      <c r="X409" s="1017">
        <v>0</v>
      </c>
      <c r="Y409" s="1017">
        <v>400000</v>
      </c>
      <c r="Z409" s="1017">
        <v>512551</v>
      </c>
      <c r="AA409" s="1018"/>
      <c r="AB409" s="1013"/>
      <c r="AC409" s="1017">
        <v>100000</v>
      </c>
      <c r="AD409" s="1017">
        <v>0</v>
      </c>
      <c r="AE409" s="1013">
        <v>45656.25</v>
      </c>
      <c r="AF409" s="1019"/>
      <c r="AG409" s="1019">
        <f t="shared" si="119"/>
        <v>8040507</v>
      </c>
      <c r="AH409" s="1014">
        <v>44</v>
      </c>
      <c r="AI409" s="1014">
        <v>0</v>
      </c>
      <c r="AJ409" s="1014">
        <v>0</v>
      </c>
      <c r="AK409" s="1018">
        <v>0</v>
      </c>
      <c r="AL409" s="1020">
        <v>0</v>
      </c>
      <c r="AM409" s="1013">
        <f t="shared" si="117"/>
        <v>2008875</v>
      </c>
      <c r="AN409" s="1045">
        <f t="shared" si="118"/>
        <v>10049382</v>
      </c>
      <c r="AO409" s="1013">
        <v>664755</v>
      </c>
      <c r="AP409" s="1013">
        <v>44100</v>
      </c>
      <c r="AQ409" s="1013">
        <v>0</v>
      </c>
      <c r="AR409" s="1013">
        <v>0</v>
      </c>
      <c r="AS409" s="1013">
        <v>0</v>
      </c>
      <c r="AT409" s="1045">
        <f t="shared" si="115"/>
        <v>9340527</v>
      </c>
      <c r="AU409" s="1004"/>
      <c r="AV409" s="870"/>
      <c r="AW409" s="782" t="s">
        <v>4112</v>
      </c>
      <c r="AX409" s="782" t="s">
        <v>4113</v>
      </c>
      <c r="AY409" s="1007" t="s">
        <v>287</v>
      </c>
      <c r="AZ409" s="1007">
        <v>622</v>
      </c>
      <c r="BA409" s="347" t="str">
        <f t="shared" si="116"/>
        <v>Box</v>
      </c>
      <c r="BB409" s="1008"/>
      <c r="BC409" s="1009"/>
      <c r="BD409" s="1009"/>
    </row>
    <row r="410" spans="1:56" s="1010" customFormat="1" ht="36.75" customHeight="1">
      <c r="A410" s="661">
        <f>SUBTOTAL(3,B$6:B410)</f>
        <v>405</v>
      </c>
      <c r="B410" s="661" t="s">
        <v>1624</v>
      </c>
      <c r="C410" s="662" t="s">
        <v>1625</v>
      </c>
      <c r="D410" s="1011">
        <v>44300</v>
      </c>
      <c r="E410" s="1011" t="s">
        <v>217</v>
      </c>
      <c r="F410" s="787" t="s">
        <v>576</v>
      </c>
      <c r="G410" s="996" t="s">
        <v>987</v>
      </c>
      <c r="H410" s="1012">
        <v>5931000</v>
      </c>
      <c r="I410" s="1012">
        <v>400000</v>
      </c>
      <c r="J410" s="1012">
        <v>0</v>
      </c>
      <c r="K410" s="1012">
        <v>0</v>
      </c>
      <c r="L410" s="1013">
        <f t="shared" ref="L410:L473" si="120">SUM(H410:K410)</f>
        <v>6331000</v>
      </c>
      <c r="M410" s="1014">
        <v>24</v>
      </c>
      <c r="N410" s="1013">
        <f t="shared" si="82"/>
        <v>5844000</v>
      </c>
      <c r="O410" s="1015">
        <v>2</v>
      </c>
      <c r="P410" s="1013">
        <f t="shared" si="83"/>
        <v>487000</v>
      </c>
      <c r="Q410" s="1016">
        <v>0</v>
      </c>
      <c r="R410" s="1013">
        <f t="shared" si="84"/>
        <v>0</v>
      </c>
      <c r="S410" s="1013">
        <f t="shared" si="85"/>
        <v>6331000</v>
      </c>
      <c r="T410" s="1017">
        <v>0</v>
      </c>
      <c r="U410" s="785">
        <v>0</v>
      </c>
      <c r="V410" s="785">
        <v>200000</v>
      </c>
      <c r="W410" s="1017">
        <v>500000</v>
      </c>
      <c r="X410" s="1017">
        <v>0</v>
      </c>
      <c r="Y410" s="1017">
        <v>400000</v>
      </c>
      <c r="Z410" s="1017">
        <v>405898</v>
      </c>
      <c r="AA410" s="1018"/>
      <c r="AB410" s="1013"/>
      <c r="AC410" s="1017">
        <v>0</v>
      </c>
      <c r="AD410" s="1017">
        <v>0</v>
      </c>
      <c r="AE410" s="1013">
        <v>45656.25</v>
      </c>
      <c r="AF410" s="1019"/>
      <c r="AG410" s="1019">
        <f t="shared" si="119"/>
        <v>7882554</v>
      </c>
      <c r="AH410" s="1014">
        <v>52</v>
      </c>
      <c r="AI410" s="1014">
        <v>0</v>
      </c>
      <c r="AJ410" s="1014">
        <v>0</v>
      </c>
      <c r="AK410" s="1018">
        <v>0</v>
      </c>
      <c r="AL410" s="1020">
        <v>0</v>
      </c>
      <c r="AM410" s="1013">
        <f t="shared" si="117"/>
        <v>2374125</v>
      </c>
      <c r="AN410" s="1045">
        <f t="shared" si="118"/>
        <v>10256679</v>
      </c>
      <c r="AO410" s="1013">
        <v>664755</v>
      </c>
      <c r="AP410" s="1013">
        <v>44100</v>
      </c>
      <c r="AQ410" s="1013">
        <v>0</v>
      </c>
      <c r="AR410" s="1013">
        <v>0</v>
      </c>
      <c r="AS410" s="1013">
        <v>0</v>
      </c>
      <c r="AT410" s="1045">
        <f t="shared" si="115"/>
        <v>9547824</v>
      </c>
      <c r="AU410" s="1004"/>
      <c r="AV410" s="870"/>
      <c r="AW410" s="782" t="s">
        <v>4114</v>
      </c>
      <c r="AX410" s="782" t="s">
        <v>4115</v>
      </c>
      <c r="AY410" s="1007" t="s">
        <v>287</v>
      </c>
      <c r="AZ410" s="1007">
        <v>622</v>
      </c>
      <c r="BA410" s="347" t="str">
        <f t="shared" si="116"/>
        <v>Box</v>
      </c>
      <c r="BB410" s="1008"/>
      <c r="BC410" s="1009"/>
      <c r="BD410" s="1009"/>
    </row>
    <row r="411" spans="1:56" s="1010" customFormat="1" ht="36.75" customHeight="1">
      <c r="A411" s="661">
        <f>SUBTOTAL(3,B$6:B411)</f>
        <v>406</v>
      </c>
      <c r="B411" s="661" t="s">
        <v>1626</v>
      </c>
      <c r="C411" s="662" t="s">
        <v>1627</v>
      </c>
      <c r="D411" s="1011">
        <v>45391</v>
      </c>
      <c r="E411" s="1011" t="s">
        <v>217</v>
      </c>
      <c r="F411" s="787" t="s">
        <v>576</v>
      </c>
      <c r="G411" s="996" t="s">
        <v>987</v>
      </c>
      <c r="H411" s="1012">
        <v>5538000</v>
      </c>
      <c r="I411" s="1012">
        <v>200000</v>
      </c>
      <c r="J411" s="1012">
        <v>0</v>
      </c>
      <c r="K411" s="1012">
        <v>0</v>
      </c>
      <c r="L411" s="1013">
        <f t="shared" si="120"/>
        <v>5738000</v>
      </c>
      <c r="M411" s="1014">
        <v>22.6</v>
      </c>
      <c r="N411" s="1013">
        <f t="shared" si="82"/>
        <v>4987646</v>
      </c>
      <c r="O411" s="1015">
        <v>3</v>
      </c>
      <c r="P411" s="1013">
        <f t="shared" si="83"/>
        <v>662077</v>
      </c>
      <c r="Q411" s="1016">
        <v>0</v>
      </c>
      <c r="R411" s="1013">
        <f t="shared" si="84"/>
        <v>0</v>
      </c>
      <c r="S411" s="1013">
        <f t="shared" si="85"/>
        <v>5649723</v>
      </c>
      <c r="T411" s="1017">
        <v>0</v>
      </c>
      <c r="U411" s="785">
        <v>0</v>
      </c>
      <c r="V411" s="785">
        <v>200000</v>
      </c>
      <c r="W411" s="1017">
        <v>500000</v>
      </c>
      <c r="X411" s="1017">
        <v>0</v>
      </c>
      <c r="Y411" s="1017">
        <v>400000</v>
      </c>
      <c r="Z411" s="1017">
        <v>543571</v>
      </c>
      <c r="AA411" s="1018"/>
      <c r="AB411" s="1013"/>
      <c r="AC411" s="1017">
        <v>100000</v>
      </c>
      <c r="AD411" s="1017">
        <v>0</v>
      </c>
      <c r="AE411" s="1013">
        <v>41379.806415929197</v>
      </c>
      <c r="AF411" s="1019"/>
      <c r="AG411" s="1019">
        <f t="shared" si="119"/>
        <v>7434674</v>
      </c>
      <c r="AH411" s="1014">
        <v>32</v>
      </c>
      <c r="AI411" s="1014">
        <v>0</v>
      </c>
      <c r="AJ411" s="1014">
        <v>0</v>
      </c>
      <c r="AK411" s="1018">
        <v>0</v>
      </c>
      <c r="AL411" s="1020">
        <v>0</v>
      </c>
      <c r="AM411" s="1013">
        <f t="shared" si="117"/>
        <v>1324154</v>
      </c>
      <c r="AN411" s="1045">
        <f t="shared" si="118"/>
        <v>8758828</v>
      </c>
      <c r="AO411" s="1013">
        <v>602490</v>
      </c>
      <c r="AP411" s="1013">
        <v>44100</v>
      </c>
      <c r="AQ411" s="1013">
        <v>0</v>
      </c>
      <c r="AR411" s="1013">
        <v>0</v>
      </c>
      <c r="AS411" s="1013">
        <v>0</v>
      </c>
      <c r="AT411" s="1045">
        <f t="shared" si="115"/>
        <v>8112238</v>
      </c>
      <c r="AU411" s="1004"/>
      <c r="AV411" s="870"/>
      <c r="AW411" s="782" t="s">
        <v>4116</v>
      </c>
      <c r="AX411" s="782" t="s">
        <v>4117</v>
      </c>
      <c r="AY411" s="1007" t="s">
        <v>287</v>
      </c>
      <c r="AZ411" s="1007">
        <v>622</v>
      </c>
      <c r="BA411" s="347" t="str">
        <f t="shared" si="116"/>
        <v>Box</v>
      </c>
      <c r="BB411" s="1008"/>
      <c r="BC411" s="1009"/>
      <c r="BD411" s="1009"/>
    </row>
    <row r="412" spans="1:56" s="1010" customFormat="1" ht="36.75" customHeight="1">
      <c r="A412" s="661">
        <f>SUBTOTAL(3,B$6:B412)</f>
        <v>407</v>
      </c>
      <c r="B412" s="661" t="s">
        <v>1628</v>
      </c>
      <c r="C412" s="662" t="s">
        <v>1629</v>
      </c>
      <c r="D412" s="1011">
        <v>45391</v>
      </c>
      <c r="E412" s="1011" t="s">
        <v>217</v>
      </c>
      <c r="F412" s="787" t="s">
        <v>576</v>
      </c>
      <c r="G412" s="996" t="s">
        <v>987</v>
      </c>
      <c r="H412" s="1012">
        <v>5538000</v>
      </c>
      <c r="I412" s="1012">
        <v>200000</v>
      </c>
      <c r="J412" s="1012">
        <v>0</v>
      </c>
      <c r="K412" s="1012">
        <v>0</v>
      </c>
      <c r="L412" s="1013">
        <f t="shared" si="120"/>
        <v>5738000</v>
      </c>
      <c r="M412" s="1014">
        <v>24</v>
      </c>
      <c r="N412" s="1013">
        <f t="shared" si="82"/>
        <v>5296615</v>
      </c>
      <c r="O412" s="1015">
        <v>2</v>
      </c>
      <c r="P412" s="1013">
        <f t="shared" si="83"/>
        <v>441385</v>
      </c>
      <c r="Q412" s="1016">
        <v>0</v>
      </c>
      <c r="R412" s="1013">
        <f t="shared" si="84"/>
        <v>0</v>
      </c>
      <c r="S412" s="1013">
        <f t="shared" si="85"/>
        <v>5738000</v>
      </c>
      <c r="T412" s="1017">
        <v>0</v>
      </c>
      <c r="U412" s="785">
        <v>0</v>
      </c>
      <c r="V412" s="785">
        <v>200000</v>
      </c>
      <c r="W412" s="1017">
        <v>500000</v>
      </c>
      <c r="X412" s="1017">
        <v>0</v>
      </c>
      <c r="Y412" s="1017">
        <v>300000</v>
      </c>
      <c r="Z412" s="1017">
        <v>397152</v>
      </c>
      <c r="AA412" s="1018"/>
      <c r="AB412" s="1013"/>
      <c r="AC412" s="1017">
        <v>0</v>
      </c>
      <c r="AD412" s="1017">
        <v>0</v>
      </c>
      <c r="AE412" s="1013">
        <v>41379.8046875</v>
      </c>
      <c r="AF412" s="1019"/>
      <c r="AG412" s="1019">
        <f t="shared" si="119"/>
        <v>7176532</v>
      </c>
      <c r="AH412" s="1014">
        <v>44</v>
      </c>
      <c r="AI412" s="1014">
        <v>0</v>
      </c>
      <c r="AJ412" s="1014">
        <v>0</v>
      </c>
      <c r="AK412" s="1018">
        <v>0</v>
      </c>
      <c r="AL412" s="1020">
        <v>0</v>
      </c>
      <c r="AM412" s="1013">
        <f t="shared" si="117"/>
        <v>1820711</v>
      </c>
      <c r="AN412" s="1045">
        <f t="shared" si="118"/>
        <v>8997243</v>
      </c>
      <c r="AO412" s="1013">
        <v>602490</v>
      </c>
      <c r="AP412" s="1013">
        <v>44100</v>
      </c>
      <c r="AQ412" s="1013">
        <v>0</v>
      </c>
      <c r="AR412" s="1013">
        <v>0</v>
      </c>
      <c r="AS412" s="1013">
        <v>0</v>
      </c>
      <c r="AT412" s="1045">
        <f t="shared" si="115"/>
        <v>8350653</v>
      </c>
      <c r="AU412" s="1004"/>
      <c r="AV412" s="870"/>
      <c r="AW412" s="782" t="s">
        <v>4118</v>
      </c>
      <c r="AX412" s="782" t="s">
        <v>4119</v>
      </c>
      <c r="AY412" s="1007" t="s">
        <v>287</v>
      </c>
      <c r="AZ412" s="1007">
        <v>622</v>
      </c>
      <c r="BA412" s="347" t="str">
        <f t="shared" si="116"/>
        <v>Box</v>
      </c>
      <c r="BB412" s="1008"/>
      <c r="BC412" s="1009"/>
      <c r="BD412" s="1009"/>
    </row>
    <row r="413" spans="1:56" s="1010" customFormat="1" ht="36.75" customHeight="1">
      <c r="A413" s="661">
        <f>SUBTOTAL(3,B$6:B413)</f>
        <v>408</v>
      </c>
      <c r="B413" s="661" t="s">
        <v>1630</v>
      </c>
      <c r="C413" s="662" t="s">
        <v>1631</v>
      </c>
      <c r="D413" s="1011">
        <v>45458</v>
      </c>
      <c r="E413" s="1011" t="s">
        <v>217</v>
      </c>
      <c r="F413" s="787" t="s">
        <v>576</v>
      </c>
      <c r="G413" s="996" t="s">
        <v>992</v>
      </c>
      <c r="H413" s="1012">
        <v>5274000</v>
      </c>
      <c r="I413" s="1012">
        <v>400000</v>
      </c>
      <c r="J413" s="1012">
        <v>0</v>
      </c>
      <c r="K413" s="1012">
        <v>0</v>
      </c>
      <c r="L413" s="1013">
        <f t="shared" si="120"/>
        <v>5674000</v>
      </c>
      <c r="M413" s="1014">
        <v>22.5</v>
      </c>
      <c r="N413" s="1013">
        <f t="shared" si="82"/>
        <v>4910192</v>
      </c>
      <c r="O413" s="1015">
        <v>3</v>
      </c>
      <c r="P413" s="1013">
        <f t="shared" si="83"/>
        <v>654692</v>
      </c>
      <c r="Q413" s="1016">
        <v>0</v>
      </c>
      <c r="R413" s="1013">
        <f t="shared" si="84"/>
        <v>0</v>
      </c>
      <c r="S413" s="1013">
        <f t="shared" si="85"/>
        <v>5564884</v>
      </c>
      <c r="T413" s="1017">
        <v>0</v>
      </c>
      <c r="U413" s="785">
        <v>0</v>
      </c>
      <c r="V413" s="785">
        <v>200000</v>
      </c>
      <c r="W413" s="1017">
        <v>500000</v>
      </c>
      <c r="X413" s="1017">
        <v>0</v>
      </c>
      <c r="Y413" s="1017">
        <v>400000</v>
      </c>
      <c r="Z413" s="1017">
        <v>475523</v>
      </c>
      <c r="AA413" s="1018"/>
      <c r="AB413" s="1013"/>
      <c r="AC413" s="1017">
        <v>0</v>
      </c>
      <c r="AD413" s="1017">
        <v>0</v>
      </c>
      <c r="AE413" s="1013">
        <v>40918.266666666663</v>
      </c>
      <c r="AF413" s="1019"/>
      <c r="AG413" s="1019">
        <f t="shared" si="119"/>
        <v>7181325</v>
      </c>
      <c r="AH413" s="1014">
        <v>36</v>
      </c>
      <c r="AI413" s="1014">
        <v>0</v>
      </c>
      <c r="AJ413" s="1014">
        <v>0</v>
      </c>
      <c r="AK413" s="1018">
        <v>0</v>
      </c>
      <c r="AL413" s="1020">
        <v>0</v>
      </c>
      <c r="AM413" s="1013">
        <f t="shared" si="117"/>
        <v>1473058</v>
      </c>
      <c r="AN413" s="1045">
        <f t="shared" si="118"/>
        <v>8654383</v>
      </c>
      <c r="AO413" s="1013">
        <v>595770</v>
      </c>
      <c r="AP413" s="1013">
        <v>44100</v>
      </c>
      <c r="AQ413" s="1013">
        <v>0</v>
      </c>
      <c r="AR413" s="1013">
        <v>0</v>
      </c>
      <c r="AS413" s="1013">
        <v>0</v>
      </c>
      <c r="AT413" s="1045">
        <f t="shared" si="115"/>
        <v>8014513</v>
      </c>
      <c r="AU413" s="1004"/>
      <c r="AV413" s="870"/>
      <c r="AW413" s="782" t="s">
        <v>4120</v>
      </c>
      <c r="AX413" s="782" t="s">
        <v>4121</v>
      </c>
      <c r="AY413" s="1007" t="s">
        <v>287</v>
      </c>
      <c r="AZ413" s="1007">
        <v>622</v>
      </c>
      <c r="BA413" s="347" t="str">
        <f t="shared" si="116"/>
        <v>Box</v>
      </c>
      <c r="BB413" s="1008"/>
      <c r="BC413" s="1009"/>
      <c r="BD413" s="1009"/>
    </row>
    <row r="414" spans="1:56" s="1010" customFormat="1" ht="36.75" customHeight="1">
      <c r="A414" s="661">
        <f>SUBTOTAL(3,B$6:B414)</f>
        <v>409</v>
      </c>
      <c r="B414" s="661" t="s">
        <v>1632</v>
      </c>
      <c r="C414" s="662" t="s">
        <v>1633</v>
      </c>
      <c r="D414" s="1011">
        <v>45482</v>
      </c>
      <c r="E414" s="1011" t="s">
        <v>217</v>
      </c>
      <c r="F414" s="787" t="s">
        <v>576</v>
      </c>
      <c r="G414" s="996" t="s">
        <v>987</v>
      </c>
      <c r="H414" s="1012">
        <v>5274000</v>
      </c>
      <c r="I414" s="1012">
        <v>200000</v>
      </c>
      <c r="J414" s="1012">
        <v>0</v>
      </c>
      <c r="K414" s="1012">
        <v>0</v>
      </c>
      <c r="L414" s="1013">
        <f t="shared" si="120"/>
        <v>5474000</v>
      </c>
      <c r="M414" s="1014">
        <v>23.9</v>
      </c>
      <c r="N414" s="1013">
        <f t="shared" si="82"/>
        <v>5031869</v>
      </c>
      <c r="O414" s="1015">
        <v>2</v>
      </c>
      <c r="P414" s="1013">
        <f t="shared" si="83"/>
        <v>421077</v>
      </c>
      <c r="Q414" s="1016">
        <v>0</v>
      </c>
      <c r="R414" s="1013">
        <f t="shared" si="84"/>
        <v>0</v>
      </c>
      <c r="S414" s="1013">
        <f t="shared" si="85"/>
        <v>5452946</v>
      </c>
      <c r="T414" s="1017">
        <v>0</v>
      </c>
      <c r="U414" s="785">
        <v>0</v>
      </c>
      <c r="V414" s="785">
        <v>200000</v>
      </c>
      <c r="W414" s="1017">
        <v>500000</v>
      </c>
      <c r="X414" s="1017">
        <v>0</v>
      </c>
      <c r="Y414" s="1017">
        <v>400000</v>
      </c>
      <c r="Z414" s="1017">
        <v>526717</v>
      </c>
      <c r="AA414" s="1018"/>
      <c r="AB414" s="1013"/>
      <c r="AC414" s="1017">
        <v>0</v>
      </c>
      <c r="AD414" s="1017">
        <v>0</v>
      </c>
      <c r="AE414" s="1013">
        <v>39475.959728033471</v>
      </c>
      <c r="AF414" s="1019"/>
      <c r="AG414" s="1019">
        <f t="shared" si="119"/>
        <v>7119139</v>
      </c>
      <c r="AH414" s="1014">
        <v>44</v>
      </c>
      <c r="AI414" s="1014">
        <v>0</v>
      </c>
      <c r="AJ414" s="1014">
        <v>0</v>
      </c>
      <c r="AK414" s="1018">
        <v>0</v>
      </c>
      <c r="AL414" s="1020">
        <v>0</v>
      </c>
      <c r="AM414" s="1013">
        <f t="shared" si="117"/>
        <v>1736942</v>
      </c>
      <c r="AN414" s="1045">
        <f t="shared" si="118"/>
        <v>8856081</v>
      </c>
      <c r="AO414" s="1013">
        <v>574770</v>
      </c>
      <c r="AP414" s="1013">
        <v>44100</v>
      </c>
      <c r="AQ414" s="1013">
        <v>0</v>
      </c>
      <c r="AR414" s="1013">
        <v>0</v>
      </c>
      <c r="AS414" s="1013">
        <v>0</v>
      </c>
      <c r="AT414" s="1045">
        <f t="shared" si="115"/>
        <v>8237211</v>
      </c>
      <c r="AU414" s="1004"/>
      <c r="AV414" s="870"/>
      <c r="AW414" s="782" t="s">
        <v>4122</v>
      </c>
      <c r="AX414" s="782" t="s">
        <v>4123</v>
      </c>
      <c r="AY414" s="1007" t="s">
        <v>287</v>
      </c>
      <c r="AZ414" s="1007">
        <v>622</v>
      </c>
      <c r="BA414" s="347" t="str">
        <f t="shared" si="116"/>
        <v>Box</v>
      </c>
      <c r="BB414" s="1008"/>
      <c r="BC414" s="1009"/>
      <c r="BD414" s="1009"/>
    </row>
    <row r="415" spans="1:56" s="1010" customFormat="1" ht="36.75" customHeight="1">
      <c r="A415" s="661">
        <f>SUBTOTAL(3,B$6:B415)</f>
        <v>410</v>
      </c>
      <c r="B415" s="661" t="s">
        <v>1634</v>
      </c>
      <c r="C415" s="662" t="s">
        <v>1635</v>
      </c>
      <c r="D415" s="1011">
        <v>45516</v>
      </c>
      <c r="E415" s="1011" t="s">
        <v>217</v>
      </c>
      <c r="F415" s="787" t="s">
        <v>576</v>
      </c>
      <c r="G415" s="996" t="s">
        <v>987</v>
      </c>
      <c r="H415" s="1012">
        <v>5274000</v>
      </c>
      <c r="I415" s="1012">
        <v>200000</v>
      </c>
      <c r="J415" s="1012">
        <v>0</v>
      </c>
      <c r="K415" s="1012">
        <v>0</v>
      </c>
      <c r="L415" s="1013">
        <f t="shared" si="120"/>
        <v>5474000</v>
      </c>
      <c r="M415" s="1014">
        <v>23.9</v>
      </c>
      <c r="N415" s="1013">
        <f t="shared" si="82"/>
        <v>5031869</v>
      </c>
      <c r="O415" s="1015">
        <v>2</v>
      </c>
      <c r="P415" s="1013">
        <f t="shared" si="83"/>
        <v>421077</v>
      </c>
      <c r="Q415" s="1016">
        <v>0</v>
      </c>
      <c r="R415" s="1013">
        <f t="shared" si="84"/>
        <v>0</v>
      </c>
      <c r="S415" s="1013">
        <f t="shared" si="85"/>
        <v>5452946</v>
      </c>
      <c r="T415" s="1017">
        <v>0</v>
      </c>
      <c r="U415" s="785">
        <v>0</v>
      </c>
      <c r="V415" s="785">
        <v>200000</v>
      </c>
      <c r="W415" s="1017">
        <v>500000</v>
      </c>
      <c r="X415" s="1017">
        <v>0</v>
      </c>
      <c r="Y415" s="1017">
        <v>400000</v>
      </c>
      <c r="Z415" s="1017">
        <v>525376</v>
      </c>
      <c r="AA415" s="1018"/>
      <c r="AB415" s="1013"/>
      <c r="AC415" s="1017">
        <v>0</v>
      </c>
      <c r="AD415" s="1017">
        <v>0</v>
      </c>
      <c r="AE415" s="1013">
        <v>39475.959728033471</v>
      </c>
      <c r="AF415" s="1019"/>
      <c r="AG415" s="1019">
        <f t="shared" si="119"/>
        <v>7117798</v>
      </c>
      <c r="AH415" s="1014">
        <v>52</v>
      </c>
      <c r="AI415" s="1014">
        <v>0</v>
      </c>
      <c r="AJ415" s="1014">
        <v>0</v>
      </c>
      <c r="AK415" s="1018">
        <v>0</v>
      </c>
      <c r="AL415" s="1020">
        <v>0</v>
      </c>
      <c r="AM415" s="1013">
        <f t="shared" si="117"/>
        <v>2052750</v>
      </c>
      <c r="AN415" s="1045">
        <f t="shared" si="118"/>
        <v>9170548</v>
      </c>
      <c r="AO415" s="1013">
        <v>574770</v>
      </c>
      <c r="AP415" s="1013">
        <v>44100</v>
      </c>
      <c r="AQ415" s="1013">
        <v>0</v>
      </c>
      <c r="AR415" s="1013">
        <v>0</v>
      </c>
      <c r="AS415" s="1013">
        <v>0</v>
      </c>
      <c r="AT415" s="1045">
        <f t="shared" si="115"/>
        <v>8551678</v>
      </c>
      <c r="AU415" s="1004"/>
      <c r="AV415" s="870"/>
      <c r="AW415" s="782" t="s">
        <v>4124</v>
      </c>
      <c r="AX415" s="782" t="s">
        <v>4125</v>
      </c>
      <c r="AY415" s="1007" t="s">
        <v>287</v>
      </c>
      <c r="AZ415" s="1007">
        <v>622</v>
      </c>
      <c r="BA415" s="347" t="str">
        <f t="shared" si="116"/>
        <v>Box</v>
      </c>
      <c r="BB415" s="1008"/>
      <c r="BC415" s="1009"/>
      <c r="BD415" s="1009"/>
    </row>
    <row r="416" spans="1:56" s="1010" customFormat="1" ht="36.75" customHeight="1">
      <c r="A416" s="661">
        <f>SUBTOTAL(3,B$6:B416)</f>
        <v>411</v>
      </c>
      <c r="B416" s="661" t="s">
        <v>1636</v>
      </c>
      <c r="C416" s="662" t="s">
        <v>1637</v>
      </c>
      <c r="D416" s="1011">
        <v>45570</v>
      </c>
      <c r="E416" s="1011" t="s">
        <v>217</v>
      </c>
      <c r="F416" s="787" t="s">
        <v>576</v>
      </c>
      <c r="G416" s="996" t="s">
        <v>987</v>
      </c>
      <c r="H416" s="1012">
        <v>5274000</v>
      </c>
      <c r="I416" s="1012">
        <v>200000</v>
      </c>
      <c r="J416" s="1012">
        <v>0</v>
      </c>
      <c r="K416" s="1012">
        <v>0</v>
      </c>
      <c r="L416" s="1013">
        <f t="shared" si="120"/>
        <v>5474000</v>
      </c>
      <c r="M416" s="1014">
        <v>20</v>
      </c>
      <c r="N416" s="1013">
        <f t="shared" si="82"/>
        <v>4210769</v>
      </c>
      <c r="O416" s="1015">
        <v>2</v>
      </c>
      <c r="P416" s="1013">
        <f t="shared" si="83"/>
        <v>421077</v>
      </c>
      <c r="Q416" s="1016">
        <v>0</v>
      </c>
      <c r="R416" s="1013">
        <f t="shared" si="84"/>
        <v>0</v>
      </c>
      <c r="S416" s="1013">
        <f t="shared" si="85"/>
        <v>4631846</v>
      </c>
      <c r="T416" s="1017">
        <v>0</v>
      </c>
      <c r="U416" s="785">
        <v>0</v>
      </c>
      <c r="V416" s="785">
        <v>200000</v>
      </c>
      <c r="W416" s="1017">
        <v>0</v>
      </c>
      <c r="X416" s="1017">
        <v>0</v>
      </c>
      <c r="Y416" s="1017">
        <v>0</v>
      </c>
      <c r="Z416" s="1017">
        <v>431352</v>
      </c>
      <c r="AA416" s="1018"/>
      <c r="AB416" s="1013"/>
      <c r="AC416" s="1017">
        <v>0</v>
      </c>
      <c r="AD416" s="1017">
        <v>0</v>
      </c>
      <c r="AE416" s="1013">
        <v>39475.959375000006</v>
      </c>
      <c r="AF416" s="1019"/>
      <c r="AG416" s="1019">
        <f t="shared" si="119"/>
        <v>5302674</v>
      </c>
      <c r="AH416" s="1014">
        <v>28</v>
      </c>
      <c r="AI416" s="1014">
        <v>0</v>
      </c>
      <c r="AJ416" s="1014">
        <v>0</v>
      </c>
      <c r="AK416" s="1018">
        <v>0</v>
      </c>
      <c r="AL416" s="1020">
        <v>0</v>
      </c>
      <c r="AM416" s="1013">
        <f t="shared" si="117"/>
        <v>1105327</v>
      </c>
      <c r="AN416" s="1045">
        <f t="shared" si="118"/>
        <v>6408001</v>
      </c>
      <c r="AO416" s="1013">
        <v>574770</v>
      </c>
      <c r="AP416" s="1013">
        <v>44100</v>
      </c>
      <c r="AQ416" s="1013">
        <v>0</v>
      </c>
      <c r="AR416" s="1013">
        <v>0</v>
      </c>
      <c r="AS416" s="1013">
        <v>0</v>
      </c>
      <c r="AT416" s="1045">
        <f t="shared" si="115"/>
        <v>5789131</v>
      </c>
      <c r="AU416" s="1004"/>
      <c r="AV416" s="870"/>
      <c r="AW416" s="782" t="s">
        <v>4126</v>
      </c>
      <c r="AX416" s="782" t="s">
        <v>4127</v>
      </c>
      <c r="AY416" s="1007" t="s">
        <v>287</v>
      </c>
      <c r="AZ416" s="1007">
        <v>622</v>
      </c>
      <c r="BA416" s="347" t="str">
        <f t="shared" si="116"/>
        <v>Box</v>
      </c>
      <c r="BB416" s="1008"/>
      <c r="BC416" s="1009"/>
      <c r="BD416" s="1009"/>
    </row>
    <row r="417" spans="1:56" s="1010" customFormat="1" ht="36.75" customHeight="1">
      <c r="A417" s="661">
        <f>SUBTOTAL(3,B$6:B417)</f>
        <v>412</v>
      </c>
      <c r="B417" s="661" t="s">
        <v>1638</v>
      </c>
      <c r="C417" s="662" t="s">
        <v>1639</v>
      </c>
      <c r="D417" s="1011">
        <v>40331</v>
      </c>
      <c r="E417" s="1011" t="s">
        <v>217</v>
      </c>
      <c r="F417" s="787" t="s">
        <v>576</v>
      </c>
      <c r="G417" s="996" t="s">
        <v>1589</v>
      </c>
      <c r="H417" s="1012">
        <v>5931000</v>
      </c>
      <c r="I417" s="1012">
        <v>900000</v>
      </c>
      <c r="J417" s="1012">
        <v>0</v>
      </c>
      <c r="K417" s="1012">
        <v>0</v>
      </c>
      <c r="L417" s="1013">
        <f t="shared" si="120"/>
        <v>6831000</v>
      </c>
      <c r="M417" s="1014">
        <v>18.899999999999999</v>
      </c>
      <c r="N417" s="1013">
        <f t="shared" si="82"/>
        <v>4965612</v>
      </c>
      <c r="O417" s="1015">
        <v>2</v>
      </c>
      <c r="P417" s="1013">
        <f t="shared" si="83"/>
        <v>525462</v>
      </c>
      <c r="Q417" s="1016">
        <v>0</v>
      </c>
      <c r="R417" s="1013">
        <f t="shared" si="84"/>
        <v>0</v>
      </c>
      <c r="S417" s="1013">
        <f t="shared" si="85"/>
        <v>5491074</v>
      </c>
      <c r="T417" s="1017">
        <v>0</v>
      </c>
      <c r="U417" s="785">
        <v>0</v>
      </c>
      <c r="V417" s="785">
        <v>200000</v>
      </c>
      <c r="W417" s="1017">
        <v>0</v>
      </c>
      <c r="X417" s="1017">
        <v>0</v>
      </c>
      <c r="Y417" s="1017">
        <v>0</v>
      </c>
      <c r="Z417" s="1017">
        <v>458939</v>
      </c>
      <c r="AA417" s="1018"/>
      <c r="AB417" s="1013"/>
      <c r="AC417" s="1017">
        <v>100000</v>
      </c>
      <c r="AD417" s="1017">
        <v>0</v>
      </c>
      <c r="AE417" s="1013">
        <v>49262.023809523816</v>
      </c>
      <c r="AF417" s="1019"/>
      <c r="AG417" s="1019">
        <f t="shared" si="119"/>
        <v>6299275</v>
      </c>
      <c r="AH417" s="1014">
        <v>20</v>
      </c>
      <c r="AI417" s="1014">
        <v>0</v>
      </c>
      <c r="AJ417" s="1014">
        <v>0</v>
      </c>
      <c r="AK417" s="1018">
        <v>0</v>
      </c>
      <c r="AL417" s="1020">
        <v>0</v>
      </c>
      <c r="AM417" s="1013">
        <f t="shared" si="117"/>
        <v>985240</v>
      </c>
      <c r="AN417" s="1045">
        <f t="shared" si="118"/>
        <v>7284515</v>
      </c>
      <c r="AO417" s="1013">
        <v>717255</v>
      </c>
      <c r="AP417" s="1013">
        <v>44100</v>
      </c>
      <c r="AQ417" s="1013">
        <v>0</v>
      </c>
      <c r="AR417" s="1013">
        <v>0</v>
      </c>
      <c r="AS417" s="1013">
        <v>0</v>
      </c>
      <c r="AT417" s="1045">
        <f t="shared" si="115"/>
        <v>6523160</v>
      </c>
      <c r="AU417" s="1004"/>
      <c r="AV417" s="870"/>
      <c r="AW417" s="782" t="s">
        <v>4128</v>
      </c>
      <c r="AX417" s="782" t="s">
        <v>4129</v>
      </c>
      <c r="AY417" s="1007" t="s">
        <v>287</v>
      </c>
      <c r="AZ417" s="1007">
        <v>622</v>
      </c>
      <c r="BA417" s="347" t="str">
        <f t="shared" si="116"/>
        <v>Box</v>
      </c>
      <c r="BB417" s="1008"/>
      <c r="BC417" s="1009"/>
      <c r="BD417" s="1009"/>
    </row>
    <row r="418" spans="1:56" s="1010" customFormat="1" ht="36.75" customHeight="1">
      <c r="A418" s="661">
        <f>SUBTOTAL(3,B$6:B418)</f>
        <v>413</v>
      </c>
      <c r="B418" s="661" t="s">
        <v>1640</v>
      </c>
      <c r="C418" s="662" t="s">
        <v>1641</v>
      </c>
      <c r="D418" s="1011">
        <v>40737</v>
      </c>
      <c r="E418" s="1011" t="s">
        <v>217</v>
      </c>
      <c r="F418" s="787" t="s">
        <v>576</v>
      </c>
      <c r="G418" s="996" t="s">
        <v>992</v>
      </c>
      <c r="H418" s="1012">
        <v>5931000</v>
      </c>
      <c r="I418" s="1012">
        <v>900000</v>
      </c>
      <c r="J418" s="1012">
        <v>0</v>
      </c>
      <c r="K418" s="1012">
        <v>0</v>
      </c>
      <c r="L418" s="1013">
        <f t="shared" si="120"/>
        <v>6831000</v>
      </c>
      <c r="M418" s="1014">
        <v>24</v>
      </c>
      <c r="N418" s="1013">
        <f t="shared" si="82"/>
        <v>6305538</v>
      </c>
      <c r="O418" s="1015">
        <v>2</v>
      </c>
      <c r="P418" s="1013">
        <f t="shared" si="83"/>
        <v>525462</v>
      </c>
      <c r="Q418" s="1016">
        <v>0</v>
      </c>
      <c r="R418" s="1013">
        <f t="shared" si="84"/>
        <v>0</v>
      </c>
      <c r="S418" s="1013">
        <f t="shared" si="85"/>
        <v>6831000</v>
      </c>
      <c r="T418" s="1017">
        <v>0</v>
      </c>
      <c r="U418" s="785">
        <v>0</v>
      </c>
      <c r="V418" s="785">
        <v>200000</v>
      </c>
      <c r="W418" s="1017">
        <v>500000</v>
      </c>
      <c r="X418" s="1017">
        <v>0</v>
      </c>
      <c r="Y418" s="1017">
        <v>400000</v>
      </c>
      <c r="Z418" s="1017">
        <v>394795</v>
      </c>
      <c r="AA418" s="1018"/>
      <c r="AB418" s="1013"/>
      <c r="AC418" s="1017">
        <v>100000</v>
      </c>
      <c r="AD418" s="1017">
        <v>0</v>
      </c>
      <c r="AE418" s="1013">
        <v>49262.015625</v>
      </c>
      <c r="AF418" s="1019"/>
      <c r="AG418" s="1019">
        <f t="shared" si="119"/>
        <v>8475057</v>
      </c>
      <c r="AH418" s="1014">
        <v>44</v>
      </c>
      <c r="AI418" s="1014">
        <v>0</v>
      </c>
      <c r="AJ418" s="1014">
        <v>0</v>
      </c>
      <c r="AK418" s="1018">
        <v>0</v>
      </c>
      <c r="AL418" s="1020">
        <v>0</v>
      </c>
      <c r="AM418" s="1013">
        <f t="shared" si="117"/>
        <v>2167529</v>
      </c>
      <c r="AN418" s="1045">
        <f t="shared" si="118"/>
        <v>10642586</v>
      </c>
      <c r="AO418" s="1013">
        <v>717255</v>
      </c>
      <c r="AP418" s="1013">
        <v>44100</v>
      </c>
      <c r="AQ418" s="1013">
        <v>0</v>
      </c>
      <c r="AR418" s="1013">
        <v>0</v>
      </c>
      <c r="AS418" s="1013">
        <v>0</v>
      </c>
      <c r="AT418" s="1045">
        <f t="shared" si="115"/>
        <v>9881231</v>
      </c>
      <c r="AU418" s="1004"/>
      <c r="AV418" s="870"/>
      <c r="AW418" s="782" t="s">
        <v>4130</v>
      </c>
      <c r="AX418" s="782" t="s">
        <v>4131</v>
      </c>
      <c r="AY418" s="1007" t="s">
        <v>287</v>
      </c>
      <c r="AZ418" s="1007">
        <v>622</v>
      </c>
      <c r="BA418" s="347" t="str">
        <f t="shared" si="116"/>
        <v>Box</v>
      </c>
      <c r="BB418" s="1008"/>
      <c r="BC418" s="1009"/>
      <c r="BD418" s="1009"/>
    </row>
    <row r="419" spans="1:56" s="1010" customFormat="1" ht="36.75" customHeight="1">
      <c r="A419" s="661">
        <f>SUBTOTAL(3,B$6:B419)</f>
        <v>414</v>
      </c>
      <c r="B419" s="661" t="s">
        <v>1642</v>
      </c>
      <c r="C419" s="662" t="s">
        <v>1643</v>
      </c>
      <c r="D419" s="1011">
        <v>41171</v>
      </c>
      <c r="E419" s="1011" t="s">
        <v>217</v>
      </c>
      <c r="F419" s="787" t="s">
        <v>576</v>
      </c>
      <c r="G419" s="996" t="s">
        <v>1589</v>
      </c>
      <c r="H419" s="1012">
        <v>5931000</v>
      </c>
      <c r="I419" s="1012">
        <v>900000</v>
      </c>
      <c r="J419" s="1012">
        <v>0</v>
      </c>
      <c r="K419" s="1012">
        <v>0</v>
      </c>
      <c r="L419" s="1013">
        <f t="shared" si="120"/>
        <v>6831000</v>
      </c>
      <c r="M419" s="1014">
        <v>22.7</v>
      </c>
      <c r="N419" s="1013">
        <f t="shared" si="82"/>
        <v>5963988</v>
      </c>
      <c r="O419" s="1015">
        <v>3</v>
      </c>
      <c r="P419" s="1013">
        <f t="shared" si="83"/>
        <v>788192</v>
      </c>
      <c r="Q419" s="1016">
        <v>0</v>
      </c>
      <c r="R419" s="1013">
        <f t="shared" si="84"/>
        <v>0</v>
      </c>
      <c r="S419" s="1013">
        <f t="shared" si="85"/>
        <v>6752180</v>
      </c>
      <c r="T419" s="1017">
        <v>0</v>
      </c>
      <c r="U419" s="785">
        <v>0</v>
      </c>
      <c r="V419" s="785">
        <v>200000</v>
      </c>
      <c r="W419" s="1017">
        <v>500000</v>
      </c>
      <c r="X419" s="1017">
        <v>0</v>
      </c>
      <c r="Y419" s="1017">
        <v>300000</v>
      </c>
      <c r="Z419" s="1017">
        <v>357227</v>
      </c>
      <c r="AA419" s="1018"/>
      <c r="AB419" s="1013"/>
      <c r="AC419" s="1017">
        <v>100000</v>
      </c>
      <c r="AD419" s="1017">
        <v>0</v>
      </c>
      <c r="AE419" s="1013">
        <v>49262.015418502197</v>
      </c>
      <c r="AF419" s="1019"/>
      <c r="AG419" s="1019">
        <f t="shared" si="119"/>
        <v>8258669</v>
      </c>
      <c r="AH419" s="1014">
        <v>40</v>
      </c>
      <c r="AI419" s="1014">
        <v>0</v>
      </c>
      <c r="AJ419" s="1014">
        <v>0</v>
      </c>
      <c r="AK419" s="1018">
        <v>0</v>
      </c>
      <c r="AL419" s="1020">
        <v>0</v>
      </c>
      <c r="AM419" s="1013">
        <f t="shared" si="117"/>
        <v>1970481</v>
      </c>
      <c r="AN419" s="1045">
        <f t="shared" si="118"/>
        <v>10229150</v>
      </c>
      <c r="AO419" s="1013">
        <v>717255</v>
      </c>
      <c r="AP419" s="1013">
        <v>44100</v>
      </c>
      <c r="AQ419" s="1013">
        <v>0</v>
      </c>
      <c r="AR419" s="1013">
        <v>0</v>
      </c>
      <c r="AS419" s="1013">
        <v>0</v>
      </c>
      <c r="AT419" s="1045">
        <f t="shared" si="115"/>
        <v>9467795</v>
      </c>
      <c r="AU419" s="1004"/>
      <c r="AV419" s="870"/>
      <c r="AW419" s="782" t="s">
        <v>4132</v>
      </c>
      <c r="AX419" s="782" t="s">
        <v>4133</v>
      </c>
      <c r="AY419" s="1007" t="s">
        <v>287</v>
      </c>
      <c r="AZ419" s="1007">
        <v>622</v>
      </c>
      <c r="BA419" s="347" t="str">
        <f t="shared" si="116"/>
        <v>Box</v>
      </c>
      <c r="BB419" s="1008"/>
      <c r="BC419" s="1009"/>
      <c r="BD419" s="1009"/>
    </row>
    <row r="420" spans="1:56" s="1010" customFormat="1" ht="36.75" customHeight="1">
      <c r="A420" s="661">
        <f>SUBTOTAL(3,B$6:B420)</f>
        <v>415</v>
      </c>
      <c r="B420" s="661" t="s">
        <v>1644</v>
      </c>
      <c r="C420" s="662" t="s">
        <v>1645</v>
      </c>
      <c r="D420" s="1011">
        <v>42583</v>
      </c>
      <c r="E420" s="1011" t="s">
        <v>217</v>
      </c>
      <c r="F420" s="787" t="s">
        <v>576</v>
      </c>
      <c r="G420" s="996" t="s">
        <v>1589</v>
      </c>
      <c r="H420" s="1012">
        <v>5931000</v>
      </c>
      <c r="I420" s="1012">
        <v>900000</v>
      </c>
      <c r="J420" s="1012">
        <v>0</v>
      </c>
      <c r="K420" s="1012">
        <v>0</v>
      </c>
      <c r="L420" s="1013">
        <f t="shared" si="120"/>
        <v>6831000</v>
      </c>
      <c r="M420" s="1014">
        <v>23</v>
      </c>
      <c r="N420" s="1013">
        <f t="shared" si="82"/>
        <v>6042808</v>
      </c>
      <c r="O420" s="1015">
        <v>3</v>
      </c>
      <c r="P420" s="1013">
        <f t="shared" si="83"/>
        <v>788192</v>
      </c>
      <c r="Q420" s="1016">
        <v>0</v>
      </c>
      <c r="R420" s="1013">
        <f t="shared" si="84"/>
        <v>0</v>
      </c>
      <c r="S420" s="1013">
        <f t="shared" si="85"/>
        <v>6831000</v>
      </c>
      <c r="T420" s="1017">
        <v>0</v>
      </c>
      <c r="U420" s="785">
        <v>0</v>
      </c>
      <c r="V420" s="785">
        <v>200000</v>
      </c>
      <c r="W420" s="1017">
        <v>500000</v>
      </c>
      <c r="X420" s="1017">
        <v>0</v>
      </c>
      <c r="Y420" s="1017">
        <v>400000</v>
      </c>
      <c r="Z420" s="1017">
        <v>228377</v>
      </c>
      <c r="AA420" s="1018"/>
      <c r="AB420" s="1013"/>
      <c r="AC420" s="1017">
        <v>0</v>
      </c>
      <c r="AD420" s="1017">
        <v>0</v>
      </c>
      <c r="AE420" s="1013">
        <v>49262.02173913044</v>
      </c>
      <c r="AF420" s="1019"/>
      <c r="AG420" s="1019">
        <f t="shared" si="119"/>
        <v>8208639</v>
      </c>
      <c r="AH420" s="1014">
        <v>0</v>
      </c>
      <c r="AI420" s="1014">
        <v>0</v>
      </c>
      <c r="AJ420" s="1014">
        <v>0</v>
      </c>
      <c r="AK420" s="1018">
        <v>0</v>
      </c>
      <c r="AL420" s="1020">
        <v>0</v>
      </c>
      <c r="AM420" s="1013">
        <f t="shared" si="117"/>
        <v>0</v>
      </c>
      <c r="AN420" s="1045">
        <f t="shared" si="118"/>
        <v>8208639</v>
      </c>
      <c r="AO420" s="1013">
        <v>717255</v>
      </c>
      <c r="AP420" s="1013">
        <v>44100</v>
      </c>
      <c r="AQ420" s="1013">
        <v>0</v>
      </c>
      <c r="AR420" s="1013">
        <v>0</v>
      </c>
      <c r="AS420" s="1013">
        <v>0</v>
      </c>
      <c r="AT420" s="1045">
        <f t="shared" si="115"/>
        <v>7447284</v>
      </c>
      <c r="AU420" s="1004"/>
      <c r="AV420" s="870"/>
      <c r="AW420" s="782" t="s">
        <v>4134</v>
      </c>
      <c r="AX420" s="782" t="s">
        <v>4135</v>
      </c>
      <c r="AY420" s="1007" t="s">
        <v>287</v>
      </c>
      <c r="AZ420" s="1007">
        <v>622</v>
      </c>
      <c r="BA420" s="347" t="str">
        <f t="shared" si="116"/>
        <v>Box</v>
      </c>
      <c r="BB420" s="1008"/>
      <c r="BC420" s="1009"/>
      <c r="BD420" s="1009"/>
    </row>
    <row r="421" spans="1:56" s="1010" customFormat="1" ht="36.75" customHeight="1">
      <c r="A421" s="661">
        <f>SUBTOTAL(3,B$6:B421)</f>
        <v>416</v>
      </c>
      <c r="B421" s="661" t="s">
        <v>1646</v>
      </c>
      <c r="C421" s="662" t="s">
        <v>1647</v>
      </c>
      <c r="D421" s="1011">
        <v>42866</v>
      </c>
      <c r="E421" s="1011" t="s">
        <v>217</v>
      </c>
      <c r="F421" s="787" t="s">
        <v>576</v>
      </c>
      <c r="G421" s="996" t="s">
        <v>1589</v>
      </c>
      <c r="H421" s="1012">
        <v>5931000</v>
      </c>
      <c r="I421" s="1012">
        <v>900000</v>
      </c>
      <c r="J421" s="1012">
        <v>0</v>
      </c>
      <c r="K421" s="1012">
        <v>0</v>
      </c>
      <c r="L421" s="1013">
        <f t="shared" si="120"/>
        <v>6831000</v>
      </c>
      <c r="M421" s="1014">
        <v>22.8</v>
      </c>
      <c r="N421" s="1013">
        <f t="shared" si="82"/>
        <v>5990262</v>
      </c>
      <c r="O421" s="1015">
        <v>3</v>
      </c>
      <c r="P421" s="1013">
        <f t="shared" si="83"/>
        <v>788192</v>
      </c>
      <c r="Q421" s="1016">
        <v>0</v>
      </c>
      <c r="R421" s="1013">
        <f t="shared" si="84"/>
        <v>0</v>
      </c>
      <c r="S421" s="1013">
        <f t="shared" si="85"/>
        <v>6778454</v>
      </c>
      <c r="T421" s="1017">
        <v>0</v>
      </c>
      <c r="U421" s="785">
        <v>0</v>
      </c>
      <c r="V421" s="785">
        <v>200000</v>
      </c>
      <c r="W421" s="1017">
        <v>500000</v>
      </c>
      <c r="X421" s="1017">
        <v>0</v>
      </c>
      <c r="Y421" s="1017">
        <v>400000</v>
      </c>
      <c r="Z421" s="1017">
        <v>394241</v>
      </c>
      <c r="AA421" s="1018"/>
      <c r="AB421" s="1013"/>
      <c r="AC421" s="1017">
        <v>100000</v>
      </c>
      <c r="AD421" s="1017">
        <v>0</v>
      </c>
      <c r="AE421" s="1013">
        <v>49262.023026315786</v>
      </c>
      <c r="AF421" s="1019"/>
      <c r="AG421" s="1019">
        <f t="shared" si="119"/>
        <v>8421957</v>
      </c>
      <c r="AH421" s="1014">
        <v>24</v>
      </c>
      <c r="AI421" s="1014">
        <v>0</v>
      </c>
      <c r="AJ421" s="1014">
        <v>0</v>
      </c>
      <c r="AK421" s="1018">
        <v>0</v>
      </c>
      <c r="AL421" s="1020">
        <v>0</v>
      </c>
      <c r="AM421" s="1013">
        <f t="shared" si="117"/>
        <v>1182289</v>
      </c>
      <c r="AN421" s="1045">
        <f t="shared" si="118"/>
        <v>9604246</v>
      </c>
      <c r="AO421" s="1013">
        <v>717255</v>
      </c>
      <c r="AP421" s="1013">
        <v>44100</v>
      </c>
      <c r="AQ421" s="1013">
        <v>0</v>
      </c>
      <c r="AR421" s="1013">
        <v>0</v>
      </c>
      <c r="AS421" s="1013">
        <v>0</v>
      </c>
      <c r="AT421" s="1045">
        <f t="shared" si="115"/>
        <v>8842891</v>
      </c>
      <c r="AU421" s="1004"/>
      <c r="AV421" s="870"/>
      <c r="AW421" s="782" t="s">
        <v>4136</v>
      </c>
      <c r="AX421" s="782" t="s">
        <v>4137</v>
      </c>
      <c r="AY421" s="1007" t="s">
        <v>287</v>
      </c>
      <c r="AZ421" s="1007">
        <v>622</v>
      </c>
      <c r="BA421" s="347" t="str">
        <f t="shared" si="116"/>
        <v>Box</v>
      </c>
      <c r="BB421" s="1008"/>
      <c r="BC421" s="1009"/>
      <c r="BD421" s="1009"/>
    </row>
    <row r="422" spans="1:56" s="1010" customFormat="1" ht="36.75" customHeight="1">
      <c r="A422" s="661">
        <f>SUBTOTAL(3,B$6:B422)</f>
        <v>417</v>
      </c>
      <c r="B422" s="661" t="s">
        <v>1648</v>
      </c>
      <c r="C422" s="662" t="s">
        <v>1649</v>
      </c>
      <c r="D422" s="1011">
        <v>43567</v>
      </c>
      <c r="E422" s="1011" t="s">
        <v>217</v>
      </c>
      <c r="F422" s="787" t="s">
        <v>657</v>
      </c>
      <c r="G422" s="996" t="s">
        <v>1589</v>
      </c>
      <c r="H422" s="1012">
        <v>5931000</v>
      </c>
      <c r="I422" s="1012">
        <v>400000</v>
      </c>
      <c r="J422" s="1012">
        <v>0</v>
      </c>
      <c r="K422" s="1012">
        <v>0</v>
      </c>
      <c r="L422" s="1013">
        <f t="shared" si="120"/>
        <v>6331000</v>
      </c>
      <c r="M422" s="1014">
        <v>23.8</v>
      </c>
      <c r="N422" s="1013">
        <f t="shared" si="82"/>
        <v>5795300</v>
      </c>
      <c r="O422" s="1015">
        <v>2</v>
      </c>
      <c r="P422" s="1013">
        <f t="shared" si="83"/>
        <v>487000</v>
      </c>
      <c r="Q422" s="1016">
        <v>0</v>
      </c>
      <c r="R422" s="1013">
        <f t="shared" si="84"/>
        <v>0</v>
      </c>
      <c r="S422" s="1013">
        <f t="shared" si="85"/>
        <v>6282300</v>
      </c>
      <c r="T422" s="1017">
        <v>0</v>
      </c>
      <c r="U422" s="785">
        <v>0</v>
      </c>
      <c r="V422" s="785">
        <v>200000</v>
      </c>
      <c r="W422" s="1017">
        <v>500000</v>
      </c>
      <c r="X422" s="1017">
        <v>0</v>
      </c>
      <c r="Y422" s="1017">
        <v>400000</v>
      </c>
      <c r="Z422" s="1017">
        <v>483317</v>
      </c>
      <c r="AA422" s="1018"/>
      <c r="AB422" s="1013"/>
      <c r="AC422" s="1017">
        <v>100000</v>
      </c>
      <c r="AD422" s="1017">
        <v>0</v>
      </c>
      <c r="AE422" s="1013">
        <v>45656.25</v>
      </c>
      <c r="AF422" s="1019"/>
      <c r="AG422" s="1019">
        <f t="shared" si="119"/>
        <v>8011273</v>
      </c>
      <c r="AH422" s="1014">
        <v>45</v>
      </c>
      <c r="AI422" s="1014">
        <v>0</v>
      </c>
      <c r="AJ422" s="1014">
        <v>0</v>
      </c>
      <c r="AK422" s="1018">
        <v>0</v>
      </c>
      <c r="AL422" s="1020">
        <v>0</v>
      </c>
      <c r="AM422" s="1013">
        <f t="shared" si="117"/>
        <v>2054531</v>
      </c>
      <c r="AN422" s="1045">
        <f t="shared" si="118"/>
        <v>10065804</v>
      </c>
      <c r="AO422" s="1013">
        <v>664755</v>
      </c>
      <c r="AP422" s="1013">
        <v>44100</v>
      </c>
      <c r="AQ422" s="1013">
        <v>0</v>
      </c>
      <c r="AR422" s="1013">
        <v>0</v>
      </c>
      <c r="AS422" s="1013">
        <v>0</v>
      </c>
      <c r="AT422" s="1045">
        <f t="shared" si="115"/>
        <v>9356949</v>
      </c>
      <c r="AU422" s="1004"/>
      <c r="AV422" s="870"/>
      <c r="AW422" s="782" t="s">
        <v>4138</v>
      </c>
      <c r="AX422" s="782" t="s">
        <v>4139</v>
      </c>
      <c r="AY422" s="1007" t="s">
        <v>287</v>
      </c>
      <c r="AZ422" s="1007">
        <v>622</v>
      </c>
      <c r="BA422" s="347" t="str">
        <f t="shared" si="116"/>
        <v>Box</v>
      </c>
      <c r="BB422" s="1008"/>
      <c r="BC422" s="1009"/>
      <c r="BD422" s="1009"/>
    </row>
    <row r="423" spans="1:56" s="1010" customFormat="1" ht="36.75" customHeight="1">
      <c r="A423" s="661">
        <f>SUBTOTAL(3,B$6:B423)</f>
        <v>418</v>
      </c>
      <c r="B423" s="661" t="s">
        <v>1650</v>
      </c>
      <c r="C423" s="662" t="s">
        <v>1651</v>
      </c>
      <c r="D423" s="1011">
        <v>44601</v>
      </c>
      <c r="E423" s="1011" t="s">
        <v>217</v>
      </c>
      <c r="F423" s="787" t="s">
        <v>657</v>
      </c>
      <c r="G423" s="996" t="s">
        <v>987</v>
      </c>
      <c r="H423" s="1012">
        <v>5931000</v>
      </c>
      <c r="I423" s="1012">
        <v>400000</v>
      </c>
      <c r="J423" s="1012">
        <v>0</v>
      </c>
      <c r="K423" s="1012">
        <v>0</v>
      </c>
      <c r="L423" s="1013">
        <f t="shared" si="120"/>
        <v>6331000</v>
      </c>
      <c r="M423" s="1014">
        <v>23.8</v>
      </c>
      <c r="N423" s="1013">
        <f t="shared" si="82"/>
        <v>5795300</v>
      </c>
      <c r="O423" s="1015">
        <v>2</v>
      </c>
      <c r="P423" s="1013">
        <f t="shared" si="83"/>
        <v>487000</v>
      </c>
      <c r="Q423" s="1016">
        <v>0</v>
      </c>
      <c r="R423" s="1013">
        <f t="shared" si="84"/>
        <v>0</v>
      </c>
      <c r="S423" s="1013">
        <f t="shared" si="85"/>
        <v>6282300</v>
      </c>
      <c r="T423" s="1017">
        <v>0</v>
      </c>
      <c r="U423" s="785">
        <v>0</v>
      </c>
      <c r="V423" s="785">
        <v>200000</v>
      </c>
      <c r="W423" s="1017">
        <v>500000</v>
      </c>
      <c r="X423" s="1017">
        <v>0</v>
      </c>
      <c r="Y423" s="1017">
        <v>400000</v>
      </c>
      <c r="Z423" s="1017">
        <v>526142</v>
      </c>
      <c r="AA423" s="1018"/>
      <c r="AB423" s="1013"/>
      <c r="AC423" s="1017">
        <v>0</v>
      </c>
      <c r="AD423" s="1017">
        <v>0</v>
      </c>
      <c r="AE423" s="1013">
        <v>45656.25</v>
      </c>
      <c r="AF423" s="1019"/>
      <c r="AG423" s="1019">
        <f t="shared" si="119"/>
        <v>7954098</v>
      </c>
      <c r="AH423" s="1014">
        <v>36</v>
      </c>
      <c r="AI423" s="1014">
        <v>0</v>
      </c>
      <c r="AJ423" s="1014">
        <v>0</v>
      </c>
      <c r="AK423" s="1018">
        <v>0</v>
      </c>
      <c r="AL423" s="1020">
        <v>0</v>
      </c>
      <c r="AM423" s="1013">
        <f t="shared" si="117"/>
        <v>1643625</v>
      </c>
      <c r="AN423" s="1045">
        <f t="shared" si="118"/>
        <v>9597723</v>
      </c>
      <c r="AO423" s="1013">
        <v>664755</v>
      </c>
      <c r="AP423" s="1013">
        <v>44100</v>
      </c>
      <c r="AQ423" s="1013">
        <v>0</v>
      </c>
      <c r="AR423" s="1013">
        <v>0</v>
      </c>
      <c r="AS423" s="1013">
        <v>0</v>
      </c>
      <c r="AT423" s="1045">
        <f t="shared" si="115"/>
        <v>8888868</v>
      </c>
      <c r="AU423" s="1004"/>
      <c r="AV423" s="870"/>
      <c r="AW423" s="782" t="s">
        <v>4140</v>
      </c>
      <c r="AX423" s="782" t="s">
        <v>4141</v>
      </c>
      <c r="AY423" s="1007" t="s">
        <v>287</v>
      </c>
      <c r="AZ423" s="1007">
        <v>622</v>
      </c>
      <c r="BA423" s="347" t="str">
        <f t="shared" si="116"/>
        <v>Box</v>
      </c>
      <c r="BB423" s="1008"/>
      <c r="BC423" s="1009"/>
      <c r="BD423" s="1009"/>
    </row>
    <row r="424" spans="1:56" s="1010" customFormat="1" ht="36.75" customHeight="1">
      <c r="A424" s="661">
        <f>SUBTOTAL(3,B$6:B424)</f>
        <v>419</v>
      </c>
      <c r="B424" s="661" t="s">
        <v>1652</v>
      </c>
      <c r="C424" s="662" t="s">
        <v>1653</v>
      </c>
      <c r="D424" s="1011">
        <v>44987</v>
      </c>
      <c r="E424" s="1011" t="s">
        <v>217</v>
      </c>
      <c r="F424" s="787" t="s">
        <v>657</v>
      </c>
      <c r="G424" s="996" t="s">
        <v>987</v>
      </c>
      <c r="H424" s="1012">
        <v>5815000</v>
      </c>
      <c r="I424" s="1012">
        <v>400000</v>
      </c>
      <c r="J424" s="1012">
        <v>0</v>
      </c>
      <c r="K424" s="1012">
        <v>0</v>
      </c>
      <c r="L424" s="1013">
        <f t="shared" si="120"/>
        <v>6215000</v>
      </c>
      <c r="M424" s="1014">
        <v>24</v>
      </c>
      <c r="N424" s="1013">
        <f t="shared" si="82"/>
        <v>5736923</v>
      </c>
      <c r="O424" s="1015">
        <v>2</v>
      </c>
      <c r="P424" s="1013">
        <f t="shared" si="83"/>
        <v>478077</v>
      </c>
      <c r="Q424" s="1016">
        <v>0</v>
      </c>
      <c r="R424" s="1013">
        <f t="shared" si="84"/>
        <v>0</v>
      </c>
      <c r="S424" s="1013">
        <f t="shared" si="85"/>
        <v>6215000</v>
      </c>
      <c r="T424" s="1017">
        <v>0</v>
      </c>
      <c r="U424" s="785">
        <v>0</v>
      </c>
      <c r="V424" s="785">
        <v>200000</v>
      </c>
      <c r="W424" s="1017">
        <v>500000</v>
      </c>
      <c r="X424" s="1017">
        <v>0</v>
      </c>
      <c r="Y424" s="1017">
        <v>400000</v>
      </c>
      <c r="Z424" s="1017">
        <v>483317</v>
      </c>
      <c r="AA424" s="1018"/>
      <c r="AB424" s="1013"/>
      <c r="AC424" s="1017">
        <v>0</v>
      </c>
      <c r="AD424" s="1017">
        <v>0</v>
      </c>
      <c r="AE424" s="1013">
        <v>44819.7109375</v>
      </c>
      <c r="AF424" s="1019"/>
      <c r="AG424" s="1019">
        <f t="shared" si="119"/>
        <v>7843137</v>
      </c>
      <c r="AH424" s="1014">
        <v>44</v>
      </c>
      <c r="AI424" s="1014">
        <v>0</v>
      </c>
      <c r="AJ424" s="1014">
        <v>0</v>
      </c>
      <c r="AK424" s="1018">
        <v>0</v>
      </c>
      <c r="AL424" s="1020">
        <v>0</v>
      </c>
      <c r="AM424" s="1013">
        <f t="shared" si="117"/>
        <v>1972067</v>
      </c>
      <c r="AN424" s="1045">
        <f t="shared" si="118"/>
        <v>9815204</v>
      </c>
      <c r="AO424" s="1013">
        <v>652575</v>
      </c>
      <c r="AP424" s="1013">
        <v>44100</v>
      </c>
      <c r="AQ424" s="1013">
        <v>0</v>
      </c>
      <c r="AR424" s="1013">
        <v>0</v>
      </c>
      <c r="AS424" s="1013">
        <v>0</v>
      </c>
      <c r="AT424" s="1045">
        <f t="shared" si="115"/>
        <v>9118529</v>
      </c>
      <c r="AU424" s="1004"/>
      <c r="AV424" s="870"/>
      <c r="AW424" s="782" t="s">
        <v>4142</v>
      </c>
      <c r="AX424" s="782" t="s">
        <v>4143</v>
      </c>
      <c r="AY424" s="1007" t="s">
        <v>287</v>
      </c>
      <c r="AZ424" s="1007">
        <v>622</v>
      </c>
      <c r="BA424" s="347" t="str">
        <f t="shared" si="116"/>
        <v>Box</v>
      </c>
      <c r="BB424" s="1008"/>
      <c r="BC424" s="1009"/>
      <c r="BD424" s="1009"/>
    </row>
    <row r="425" spans="1:56" s="1010" customFormat="1" ht="36.75" customHeight="1">
      <c r="A425" s="661">
        <f>SUBTOTAL(3,B$6:B425)</f>
        <v>420</v>
      </c>
      <c r="B425" s="661" t="s">
        <v>1654</v>
      </c>
      <c r="C425" s="662" t="s">
        <v>1655</v>
      </c>
      <c r="D425" s="1011">
        <v>44987</v>
      </c>
      <c r="E425" s="1011" t="s">
        <v>217</v>
      </c>
      <c r="F425" s="787" t="s">
        <v>657</v>
      </c>
      <c r="G425" s="996" t="s">
        <v>987</v>
      </c>
      <c r="H425" s="1012">
        <v>5815000</v>
      </c>
      <c r="I425" s="1012">
        <v>400000</v>
      </c>
      <c r="J425" s="1012">
        <v>0</v>
      </c>
      <c r="K425" s="1012">
        <v>0</v>
      </c>
      <c r="L425" s="1013">
        <f t="shared" si="120"/>
        <v>6215000</v>
      </c>
      <c r="M425" s="1014">
        <v>24</v>
      </c>
      <c r="N425" s="1013">
        <f t="shared" si="82"/>
        <v>5736923</v>
      </c>
      <c r="O425" s="1015">
        <v>2</v>
      </c>
      <c r="P425" s="1013">
        <f t="shared" si="83"/>
        <v>478077</v>
      </c>
      <c r="Q425" s="1016">
        <v>0</v>
      </c>
      <c r="R425" s="1013">
        <f t="shared" si="84"/>
        <v>0</v>
      </c>
      <c r="S425" s="1013">
        <f t="shared" si="85"/>
        <v>6215000</v>
      </c>
      <c r="T425" s="1017">
        <v>0</v>
      </c>
      <c r="U425" s="785">
        <v>0</v>
      </c>
      <c r="V425" s="785">
        <v>200000</v>
      </c>
      <c r="W425" s="1017">
        <v>500000</v>
      </c>
      <c r="X425" s="1017">
        <v>0</v>
      </c>
      <c r="Y425" s="1017">
        <v>400000</v>
      </c>
      <c r="Z425" s="1017">
        <v>626142</v>
      </c>
      <c r="AA425" s="1018"/>
      <c r="AB425" s="1013"/>
      <c r="AC425" s="1017">
        <v>0</v>
      </c>
      <c r="AD425" s="1017">
        <v>0</v>
      </c>
      <c r="AE425" s="1013">
        <v>0</v>
      </c>
      <c r="AF425" s="1019"/>
      <c r="AG425" s="1019">
        <f t="shared" si="119"/>
        <v>7941142</v>
      </c>
      <c r="AH425" s="1014">
        <v>48</v>
      </c>
      <c r="AI425" s="1014">
        <v>0</v>
      </c>
      <c r="AJ425" s="1014">
        <v>0</v>
      </c>
      <c r="AK425" s="1018">
        <v>0</v>
      </c>
      <c r="AL425" s="1020">
        <v>0</v>
      </c>
      <c r="AM425" s="1013">
        <f t="shared" si="117"/>
        <v>2151346</v>
      </c>
      <c r="AN425" s="1045">
        <f t="shared" si="118"/>
        <v>10092488</v>
      </c>
      <c r="AO425" s="1013">
        <v>652575</v>
      </c>
      <c r="AP425" s="1013">
        <v>44100</v>
      </c>
      <c r="AQ425" s="1013">
        <v>0</v>
      </c>
      <c r="AR425" s="1013">
        <v>0</v>
      </c>
      <c r="AS425" s="1013">
        <v>0</v>
      </c>
      <c r="AT425" s="1045">
        <f t="shared" si="115"/>
        <v>9395813</v>
      </c>
      <c r="AU425" s="1004"/>
      <c r="AV425" s="870"/>
      <c r="AW425" s="782" t="s">
        <v>4144</v>
      </c>
      <c r="AX425" s="782" t="s">
        <v>4145</v>
      </c>
      <c r="AY425" s="1007" t="s">
        <v>287</v>
      </c>
      <c r="AZ425" s="1007">
        <v>622</v>
      </c>
      <c r="BA425" s="347" t="str">
        <f t="shared" si="116"/>
        <v>Box</v>
      </c>
      <c r="BB425" s="1008"/>
      <c r="BC425" s="1009"/>
      <c r="BD425" s="1009"/>
    </row>
    <row r="426" spans="1:56" s="1010" customFormat="1" ht="36.75" customHeight="1">
      <c r="A426" s="661">
        <f>SUBTOTAL(3,B$6:B426)</f>
        <v>421</v>
      </c>
      <c r="B426" s="661" t="s">
        <v>1656</v>
      </c>
      <c r="C426" s="662" t="s">
        <v>1657</v>
      </c>
      <c r="D426" s="1011">
        <v>45423</v>
      </c>
      <c r="E426" s="1011" t="s">
        <v>217</v>
      </c>
      <c r="F426" s="787" t="s">
        <v>657</v>
      </c>
      <c r="G426" s="996" t="s">
        <v>987</v>
      </c>
      <c r="H426" s="1012">
        <v>5274000</v>
      </c>
      <c r="I426" s="1012">
        <v>200000</v>
      </c>
      <c r="J426" s="1012">
        <v>0</v>
      </c>
      <c r="K426" s="1012">
        <v>0</v>
      </c>
      <c r="L426" s="1013">
        <f t="shared" si="120"/>
        <v>5474000</v>
      </c>
      <c r="M426" s="1014">
        <v>24</v>
      </c>
      <c r="N426" s="1013">
        <f t="shared" si="82"/>
        <v>5052923</v>
      </c>
      <c r="O426" s="1015">
        <v>2</v>
      </c>
      <c r="P426" s="1013">
        <f t="shared" si="83"/>
        <v>421077</v>
      </c>
      <c r="Q426" s="1016">
        <v>0</v>
      </c>
      <c r="R426" s="1013">
        <f t="shared" si="84"/>
        <v>0</v>
      </c>
      <c r="S426" s="1013">
        <f t="shared" si="85"/>
        <v>5474000</v>
      </c>
      <c r="T426" s="1017">
        <v>0</v>
      </c>
      <c r="U426" s="785">
        <v>0</v>
      </c>
      <c r="V426" s="785">
        <v>200000</v>
      </c>
      <c r="W426" s="1017">
        <v>500000</v>
      </c>
      <c r="X426" s="1017">
        <v>0</v>
      </c>
      <c r="Y426" s="1017">
        <v>400000</v>
      </c>
      <c r="Z426" s="1017">
        <v>526142</v>
      </c>
      <c r="AA426" s="1018"/>
      <c r="AB426" s="1013"/>
      <c r="AC426" s="1017">
        <v>0</v>
      </c>
      <c r="AD426" s="1017">
        <v>0</v>
      </c>
      <c r="AE426" s="1013">
        <v>39475.9609375</v>
      </c>
      <c r="AF426" s="1019"/>
      <c r="AG426" s="1019">
        <f t="shared" si="119"/>
        <v>7139618</v>
      </c>
      <c r="AH426" s="1014">
        <v>36</v>
      </c>
      <c r="AI426" s="1014">
        <v>0</v>
      </c>
      <c r="AJ426" s="1014">
        <v>0</v>
      </c>
      <c r="AK426" s="1018">
        <v>0</v>
      </c>
      <c r="AL426" s="1020">
        <v>0</v>
      </c>
      <c r="AM426" s="1013">
        <f t="shared" si="117"/>
        <v>1421135</v>
      </c>
      <c r="AN426" s="1045">
        <f t="shared" si="118"/>
        <v>8560753</v>
      </c>
      <c r="AO426" s="1013">
        <v>574770</v>
      </c>
      <c r="AP426" s="1013">
        <v>44100</v>
      </c>
      <c r="AQ426" s="1013">
        <v>0</v>
      </c>
      <c r="AR426" s="1013">
        <v>0</v>
      </c>
      <c r="AS426" s="1013">
        <v>0</v>
      </c>
      <c r="AT426" s="1045">
        <f t="shared" si="115"/>
        <v>7941883</v>
      </c>
      <c r="AU426" s="1004"/>
      <c r="AV426" s="870"/>
      <c r="AW426" s="782" t="s">
        <v>4146</v>
      </c>
      <c r="AX426" s="782" t="s">
        <v>4147</v>
      </c>
      <c r="AY426" s="1007" t="s">
        <v>287</v>
      </c>
      <c r="AZ426" s="1007">
        <v>622</v>
      </c>
      <c r="BA426" s="347" t="str">
        <f t="shared" si="116"/>
        <v>Box</v>
      </c>
      <c r="BB426" s="1008"/>
      <c r="BC426" s="1009"/>
      <c r="BD426" s="1009"/>
    </row>
    <row r="427" spans="1:56" s="1010" customFormat="1" ht="36.75" customHeight="1">
      <c r="A427" s="661">
        <f>SUBTOTAL(3,B$6:B427)</f>
        <v>422</v>
      </c>
      <c r="B427" s="661" t="s">
        <v>1658</v>
      </c>
      <c r="C427" s="662" t="s">
        <v>1659</v>
      </c>
      <c r="D427" s="1011">
        <v>45465</v>
      </c>
      <c r="E427" s="1011" t="s">
        <v>217</v>
      </c>
      <c r="F427" s="787" t="s">
        <v>657</v>
      </c>
      <c r="G427" s="996" t="s">
        <v>992</v>
      </c>
      <c r="H427" s="1012">
        <v>5274000</v>
      </c>
      <c r="I427" s="1012">
        <v>400000</v>
      </c>
      <c r="J427" s="1012">
        <v>0</v>
      </c>
      <c r="K427" s="1012">
        <v>0</v>
      </c>
      <c r="L427" s="1013">
        <f t="shared" si="120"/>
        <v>5674000</v>
      </c>
      <c r="M427" s="1014">
        <v>23.9</v>
      </c>
      <c r="N427" s="1013">
        <f t="shared" si="82"/>
        <v>5215715</v>
      </c>
      <c r="O427" s="1015">
        <v>2</v>
      </c>
      <c r="P427" s="1013">
        <f t="shared" si="83"/>
        <v>436462</v>
      </c>
      <c r="Q427" s="1016">
        <v>0</v>
      </c>
      <c r="R427" s="1013">
        <f t="shared" si="84"/>
        <v>0</v>
      </c>
      <c r="S427" s="1013">
        <f t="shared" si="85"/>
        <v>5652177</v>
      </c>
      <c r="T427" s="1017">
        <v>0</v>
      </c>
      <c r="U427" s="785">
        <v>0</v>
      </c>
      <c r="V427" s="785">
        <v>200000</v>
      </c>
      <c r="W427" s="1017">
        <v>500000</v>
      </c>
      <c r="X427" s="1017">
        <v>0</v>
      </c>
      <c r="Y427" s="1017">
        <v>400000</v>
      </c>
      <c r="Z427" s="1017">
        <v>526142</v>
      </c>
      <c r="AA427" s="1018"/>
      <c r="AB427" s="1013"/>
      <c r="AC427" s="1017">
        <v>100000</v>
      </c>
      <c r="AD427" s="1017">
        <v>0</v>
      </c>
      <c r="AE427" s="1013">
        <v>40918.266213389121</v>
      </c>
      <c r="AF427" s="1019"/>
      <c r="AG427" s="1019">
        <f t="shared" si="119"/>
        <v>7419237</v>
      </c>
      <c r="AH427" s="1014">
        <v>37</v>
      </c>
      <c r="AI427" s="1014">
        <v>0</v>
      </c>
      <c r="AJ427" s="1014">
        <v>0</v>
      </c>
      <c r="AK427" s="1018">
        <v>0</v>
      </c>
      <c r="AL427" s="1020">
        <v>0</v>
      </c>
      <c r="AM427" s="1013">
        <f t="shared" si="117"/>
        <v>1513976</v>
      </c>
      <c r="AN427" s="1045">
        <f t="shared" si="118"/>
        <v>8933213</v>
      </c>
      <c r="AO427" s="1013">
        <v>595770</v>
      </c>
      <c r="AP427" s="1013">
        <v>44100</v>
      </c>
      <c r="AQ427" s="1013">
        <v>0</v>
      </c>
      <c r="AR427" s="1013">
        <v>0</v>
      </c>
      <c r="AS427" s="1013">
        <v>0</v>
      </c>
      <c r="AT427" s="1045">
        <f t="shared" si="115"/>
        <v>8293343</v>
      </c>
      <c r="AU427" s="1004"/>
      <c r="AV427" s="870"/>
      <c r="AW427" s="782" t="s">
        <v>4148</v>
      </c>
      <c r="AX427" s="782" t="s">
        <v>4149</v>
      </c>
      <c r="AY427" s="1007" t="s">
        <v>287</v>
      </c>
      <c r="AZ427" s="1007">
        <v>622</v>
      </c>
      <c r="BA427" s="347" t="str">
        <f t="shared" si="116"/>
        <v>Box</v>
      </c>
      <c r="BB427" s="1008"/>
      <c r="BC427" s="1009"/>
      <c r="BD427" s="1009"/>
    </row>
    <row r="428" spans="1:56" s="1010" customFormat="1" ht="36.75" customHeight="1">
      <c r="A428" s="661">
        <f>SUBTOTAL(3,B$6:B428)</f>
        <v>423</v>
      </c>
      <c r="B428" s="661" t="s">
        <v>1660</v>
      </c>
      <c r="C428" s="662" t="s">
        <v>1661</v>
      </c>
      <c r="D428" s="1011">
        <v>45696</v>
      </c>
      <c r="E428" s="1011" t="s">
        <v>217</v>
      </c>
      <c r="F428" s="787" t="s">
        <v>657</v>
      </c>
      <c r="G428" s="996" t="s">
        <v>987</v>
      </c>
      <c r="H428" s="1012">
        <v>5023000</v>
      </c>
      <c r="I428" s="1012">
        <v>200000</v>
      </c>
      <c r="J428" s="1012">
        <v>0</v>
      </c>
      <c r="K428" s="1012">
        <v>0</v>
      </c>
      <c r="L428" s="1013">
        <f t="shared" si="120"/>
        <v>5223000</v>
      </c>
      <c r="M428" s="1014">
        <v>24</v>
      </c>
      <c r="N428" s="1013">
        <f t="shared" si="82"/>
        <v>4821231</v>
      </c>
      <c r="O428" s="1015">
        <v>2</v>
      </c>
      <c r="P428" s="1013">
        <f t="shared" si="83"/>
        <v>401769</v>
      </c>
      <c r="Q428" s="1016">
        <v>0</v>
      </c>
      <c r="R428" s="1013">
        <f t="shared" si="84"/>
        <v>0</v>
      </c>
      <c r="S428" s="1013">
        <f t="shared" si="85"/>
        <v>5223000</v>
      </c>
      <c r="T428" s="1017">
        <v>0</v>
      </c>
      <c r="U428" s="785">
        <v>0</v>
      </c>
      <c r="V428" s="785">
        <v>200000</v>
      </c>
      <c r="W428" s="1017">
        <v>500000</v>
      </c>
      <c r="X428" s="1017">
        <v>0</v>
      </c>
      <c r="Y428" s="1017">
        <v>400000</v>
      </c>
      <c r="Z428" s="1017">
        <v>526142</v>
      </c>
      <c r="AA428" s="1018"/>
      <c r="AB428" s="1013"/>
      <c r="AC428" s="1017">
        <v>0</v>
      </c>
      <c r="AD428" s="1017">
        <v>0</v>
      </c>
      <c r="AE428" s="1013">
        <v>37665.8671875</v>
      </c>
      <c r="AF428" s="1019"/>
      <c r="AG428" s="1019">
        <f t="shared" si="119"/>
        <v>6886808</v>
      </c>
      <c r="AH428" s="1014">
        <v>40</v>
      </c>
      <c r="AI428" s="1014">
        <v>0</v>
      </c>
      <c r="AJ428" s="1014">
        <v>0</v>
      </c>
      <c r="AK428" s="1018">
        <v>0</v>
      </c>
      <c r="AL428" s="1020">
        <v>0</v>
      </c>
      <c r="AM428" s="1013">
        <f t="shared" si="117"/>
        <v>1506635</v>
      </c>
      <c r="AN428" s="1045">
        <f t="shared" si="118"/>
        <v>8393443</v>
      </c>
      <c r="AO428" s="1013">
        <v>548415</v>
      </c>
      <c r="AP428" s="1013">
        <v>44100</v>
      </c>
      <c r="AQ428" s="1013">
        <v>0</v>
      </c>
      <c r="AR428" s="1013">
        <v>0</v>
      </c>
      <c r="AS428" s="1013">
        <v>0</v>
      </c>
      <c r="AT428" s="1045">
        <f t="shared" si="115"/>
        <v>7800928</v>
      </c>
      <c r="AU428" s="1004"/>
      <c r="AV428" s="870"/>
      <c r="AW428" s="782" t="s">
        <v>4150</v>
      </c>
      <c r="AX428" s="782" t="s">
        <v>4151</v>
      </c>
      <c r="AY428" s="1007" t="s">
        <v>287</v>
      </c>
      <c r="AZ428" s="1007">
        <v>622</v>
      </c>
      <c r="BA428" s="347" t="str">
        <f t="shared" si="116"/>
        <v>Box</v>
      </c>
      <c r="BB428" s="1008"/>
      <c r="BC428" s="1009"/>
      <c r="BD428" s="1009"/>
    </row>
    <row r="429" spans="1:56" s="1010" customFormat="1" ht="36.75" customHeight="1">
      <c r="A429" s="661">
        <f>SUBTOTAL(3,B$6:B429)</f>
        <v>424</v>
      </c>
      <c r="B429" s="661" t="s">
        <v>1662</v>
      </c>
      <c r="C429" s="662" t="s">
        <v>1663</v>
      </c>
      <c r="D429" s="1011">
        <v>45701</v>
      </c>
      <c r="E429" s="1011" t="s">
        <v>217</v>
      </c>
      <c r="F429" s="787" t="s">
        <v>657</v>
      </c>
      <c r="G429" s="996" t="s">
        <v>987</v>
      </c>
      <c r="H429" s="1012">
        <v>5023000</v>
      </c>
      <c r="I429" s="1012">
        <v>200000</v>
      </c>
      <c r="J429" s="1012">
        <v>0</v>
      </c>
      <c r="K429" s="1012">
        <v>0</v>
      </c>
      <c r="L429" s="1013">
        <f t="shared" si="120"/>
        <v>5223000</v>
      </c>
      <c r="M429" s="1014">
        <v>24</v>
      </c>
      <c r="N429" s="1013">
        <f t="shared" si="82"/>
        <v>4821231</v>
      </c>
      <c r="O429" s="1015">
        <v>2</v>
      </c>
      <c r="P429" s="1013">
        <f t="shared" si="83"/>
        <v>401769</v>
      </c>
      <c r="Q429" s="1016">
        <v>0</v>
      </c>
      <c r="R429" s="1013">
        <f t="shared" si="84"/>
        <v>0</v>
      </c>
      <c r="S429" s="1013">
        <f t="shared" si="85"/>
        <v>5223000</v>
      </c>
      <c r="T429" s="1017">
        <v>0</v>
      </c>
      <c r="U429" s="785">
        <v>0</v>
      </c>
      <c r="V429" s="785">
        <v>200000</v>
      </c>
      <c r="W429" s="1017">
        <v>500000</v>
      </c>
      <c r="X429" s="1017">
        <v>0</v>
      </c>
      <c r="Y429" s="1017">
        <v>400000</v>
      </c>
      <c r="Z429" s="1017">
        <v>526142</v>
      </c>
      <c r="AA429" s="1018"/>
      <c r="AB429" s="1013"/>
      <c r="AC429" s="1017">
        <v>0</v>
      </c>
      <c r="AD429" s="1017">
        <v>0</v>
      </c>
      <c r="AE429" s="1013">
        <v>37665.8671875</v>
      </c>
      <c r="AF429" s="1019"/>
      <c r="AG429" s="1019">
        <f t="shared" si="119"/>
        <v>6886808</v>
      </c>
      <c r="AH429" s="1014">
        <v>40</v>
      </c>
      <c r="AI429" s="1014">
        <v>0</v>
      </c>
      <c r="AJ429" s="1014">
        <v>0</v>
      </c>
      <c r="AK429" s="1018">
        <v>0</v>
      </c>
      <c r="AL429" s="1020">
        <v>0</v>
      </c>
      <c r="AM429" s="1013">
        <f t="shared" si="117"/>
        <v>1506635</v>
      </c>
      <c r="AN429" s="1045">
        <f t="shared" si="118"/>
        <v>8393443</v>
      </c>
      <c r="AO429" s="1013">
        <v>548415</v>
      </c>
      <c r="AP429" s="1013">
        <v>44100</v>
      </c>
      <c r="AQ429" s="1013">
        <v>0</v>
      </c>
      <c r="AR429" s="1013">
        <v>0</v>
      </c>
      <c r="AS429" s="1013">
        <v>0</v>
      </c>
      <c r="AT429" s="1045">
        <f t="shared" ref="AT429:AT492" si="121">+ROUND(SUM(AN429:AN429)-SUM(AO429:AS429),0)</f>
        <v>7800928</v>
      </c>
      <c r="AU429" s="1004"/>
      <c r="AV429" s="870"/>
      <c r="AW429" s="782" t="s">
        <v>4152</v>
      </c>
      <c r="AX429" s="782" t="s">
        <v>4153</v>
      </c>
      <c r="AY429" s="1007" t="s">
        <v>287</v>
      </c>
      <c r="AZ429" s="1007">
        <v>622</v>
      </c>
      <c r="BA429" s="347" t="str">
        <f t="shared" si="116"/>
        <v>Box</v>
      </c>
      <c r="BB429" s="1008"/>
      <c r="BC429" s="1009"/>
      <c r="BD429" s="1009"/>
    </row>
    <row r="430" spans="1:56" s="1010" customFormat="1" ht="36.75" customHeight="1">
      <c r="A430" s="661">
        <f>SUBTOTAL(3,B$6:B430)</f>
        <v>425</v>
      </c>
      <c r="B430" s="661" t="s">
        <v>1664</v>
      </c>
      <c r="C430" s="662" t="s">
        <v>1665</v>
      </c>
      <c r="D430" s="1011">
        <v>44298</v>
      </c>
      <c r="E430" s="1011" t="s">
        <v>217</v>
      </c>
      <c r="F430" s="787" t="s">
        <v>577</v>
      </c>
      <c r="G430" s="996" t="s">
        <v>992</v>
      </c>
      <c r="H430" s="1012">
        <v>5931000</v>
      </c>
      <c r="I430" s="1012">
        <v>800000</v>
      </c>
      <c r="J430" s="1012">
        <v>0</v>
      </c>
      <c r="K430" s="1012">
        <v>0</v>
      </c>
      <c r="L430" s="1013">
        <f t="shared" si="120"/>
        <v>6731000</v>
      </c>
      <c r="M430" s="1014">
        <v>23</v>
      </c>
      <c r="N430" s="1013">
        <f t="shared" si="82"/>
        <v>5954346</v>
      </c>
      <c r="O430" s="1015">
        <v>3</v>
      </c>
      <c r="P430" s="1013">
        <f t="shared" si="83"/>
        <v>776654</v>
      </c>
      <c r="Q430" s="1016">
        <v>0</v>
      </c>
      <c r="R430" s="1013">
        <f t="shared" si="84"/>
        <v>0</v>
      </c>
      <c r="S430" s="1013">
        <f t="shared" si="85"/>
        <v>6731000</v>
      </c>
      <c r="T430" s="1017">
        <v>0</v>
      </c>
      <c r="U430" s="785">
        <v>0</v>
      </c>
      <c r="V430" s="785">
        <v>200000</v>
      </c>
      <c r="W430" s="1017">
        <v>500000</v>
      </c>
      <c r="X430" s="1017">
        <v>0</v>
      </c>
      <c r="Y430" s="1017">
        <v>400000</v>
      </c>
      <c r="Z430" s="1017">
        <v>287227</v>
      </c>
      <c r="AA430" s="1018"/>
      <c r="AB430" s="1013"/>
      <c r="AC430" s="1017">
        <v>0</v>
      </c>
      <c r="AD430" s="1017">
        <v>0</v>
      </c>
      <c r="AE430" s="1013">
        <v>48540.864130434784</v>
      </c>
      <c r="AF430" s="1019"/>
      <c r="AG430" s="1019">
        <f t="shared" si="119"/>
        <v>8166768</v>
      </c>
      <c r="AH430" s="1014">
        <v>0</v>
      </c>
      <c r="AI430" s="1014">
        <v>0</v>
      </c>
      <c r="AJ430" s="1014">
        <v>0</v>
      </c>
      <c r="AK430" s="1018">
        <v>0</v>
      </c>
      <c r="AL430" s="1020">
        <v>0</v>
      </c>
      <c r="AM430" s="1013">
        <f t="shared" si="117"/>
        <v>0</v>
      </c>
      <c r="AN430" s="1045">
        <f t="shared" si="118"/>
        <v>8166768</v>
      </c>
      <c r="AO430" s="1013">
        <v>706755</v>
      </c>
      <c r="AP430" s="1013">
        <v>44100</v>
      </c>
      <c r="AQ430" s="1013">
        <v>0</v>
      </c>
      <c r="AR430" s="1013">
        <v>0</v>
      </c>
      <c r="AS430" s="1013">
        <v>0</v>
      </c>
      <c r="AT430" s="1045">
        <f t="shared" si="121"/>
        <v>7415913</v>
      </c>
      <c r="AU430" s="1004"/>
      <c r="AV430" s="870"/>
      <c r="AW430" s="782" t="s">
        <v>4154</v>
      </c>
      <c r="AX430" s="782" t="s">
        <v>4155</v>
      </c>
      <c r="AY430" s="1007" t="s">
        <v>288</v>
      </c>
      <c r="AZ430" s="1007">
        <v>622</v>
      </c>
      <c r="BA430" s="347" t="str">
        <f t="shared" si="116"/>
        <v>Bag</v>
      </c>
      <c r="BB430" s="1008"/>
      <c r="BC430" s="1009"/>
      <c r="BD430" s="1009"/>
    </row>
    <row r="431" spans="1:56" s="1010" customFormat="1" ht="36.75" customHeight="1">
      <c r="A431" s="661">
        <f>SUBTOTAL(3,B$6:B431)</f>
        <v>426</v>
      </c>
      <c r="B431" s="661" t="s">
        <v>1666</v>
      </c>
      <c r="C431" s="662" t="s">
        <v>1667</v>
      </c>
      <c r="D431" s="1011">
        <v>44323</v>
      </c>
      <c r="E431" s="1011" t="s">
        <v>217</v>
      </c>
      <c r="F431" s="787" t="s">
        <v>577</v>
      </c>
      <c r="G431" s="996" t="s">
        <v>992</v>
      </c>
      <c r="H431" s="1012">
        <v>5931000</v>
      </c>
      <c r="I431" s="1012">
        <v>900000</v>
      </c>
      <c r="J431" s="1012">
        <v>0</v>
      </c>
      <c r="K431" s="1012">
        <v>0</v>
      </c>
      <c r="L431" s="1013">
        <f t="shared" si="120"/>
        <v>6831000</v>
      </c>
      <c r="M431" s="1014">
        <v>24</v>
      </c>
      <c r="N431" s="1013">
        <f t="shared" si="82"/>
        <v>6305538</v>
      </c>
      <c r="O431" s="1015">
        <v>2</v>
      </c>
      <c r="P431" s="1013">
        <f t="shared" si="83"/>
        <v>525462</v>
      </c>
      <c r="Q431" s="1016">
        <v>0</v>
      </c>
      <c r="R431" s="1013">
        <f t="shared" si="84"/>
        <v>0</v>
      </c>
      <c r="S431" s="1013">
        <f t="shared" si="85"/>
        <v>6831000</v>
      </c>
      <c r="T431" s="1017">
        <v>0</v>
      </c>
      <c r="U431" s="785">
        <v>0</v>
      </c>
      <c r="V431" s="785">
        <v>200000</v>
      </c>
      <c r="W431" s="1017">
        <v>500000</v>
      </c>
      <c r="X431" s="1017">
        <v>0</v>
      </c>
      <c r="Y431" s="1017">
        <v>400000</v>
      </c>
      <c r="Z431" s="1017">
        <v>446711</v>
      </c>
      <c r="AA431" s="1018"/>
      <c r="AB431" s="1013"/>
      <c r="AC431" s="1017">
        <v>0</v>
      </c>
      <c r="AD431" s="1017">
        <v>0</v>
      </c>
      <c r="AE431" s="1013">
        <v>0</v>
      </c>
      <c r="AF431" s="1019"/>
      <c r="AG431" s="1019">
        <f t="shared" si="119"/>
        <v>8377711</v>
      </c>
      <c r="AH431" s="1014">
        <v>40</v>
      </c>
      <c r="AI431" s="1014">
        <v>0</v>
      </c>
      <c r="AJ431" s="1014">
        <v>0</v>
      </c>
      <c r="AK431" s="1018">
        <v>0</v>
      </c>
      <c r="AL431" s="1020">
        <v>0</v>
      </c>
      <c r="AM431" s="1013">
        <f t="shared" si="117"/>
        <v>1970481</v>
      </c>
      <c r="AN431" s="1045">
        <f t="shared" si="118"/>
        <v>10348192</v>
      </c>
      <c r="AO431" s="1013">
        <v>717255</v>
      </c>
      <c r="AP431" s="1013">
        <v>44100</v>
      </c>
      <c r="AQ431" s="1013">
        <v>0</v>
      </c>
      <c r="AR431" s="1013">
        <v>0</v>
      </c>
      <c r="AS431" s="1013">
        <v>0</v>
      </c>
      <c r="AT431" s="1045">
        <f t="shared" si="121"/>
        <v>9586837</v>
      </c>
      <c r="AU431" s="1004"/>
      <c r="AV431" s="870"/>
      <c r="AW431" s="782" t="s">
        <v>4156</v>
      </c>
      <c r="AX431" s="782" t="s">
        <v>4157</v>
      </c>
      <c r="AY431" s="1007" t="s">
        <v>288</v>
      </c>
      <c r="AZ431" s="1007">
        <v>622</v>
      </c>
      <c r="BA431" s="347" t="str">
        <f t="shared" si="116"/>
        <v>Bag</v>
      </c>
      <c r="BB431" s="1008"/>
      <c r="BC431" s="1009"/>
      <c r="BD431" s="1009"/>
    </row>
    <row r="432" spans="1:56" s="1010" customFormat="1" ht="36.75" customHeight="1">
      <c r="A432" s="661">
        <f>SUBTOTAL(3,B$6:B432)</f>
        <v>427</v>
      </c>
      <c r="B432" s="661" t="s">
        <v>1668</v>
      </c>
      <c r="C432" s="662" t="s">
        <v>1669</v>
      </c>
      <c r="D432" s="1011">
        <v>44966</v>
      </c>
      <c r="E432" s="1011" t="s">
        <v>217</v>
      </c>
      <c r="F432" s="787" t="s">
        <v>577</v>
      </c>
      <c r="G432" s="996" t="s">
        <v>992</v>
      </c>
      <c r="H432" s="1012">
        <v>5815000</v>
      </c>
      <c r="I432" s="1012">
        <v>600000</v>
      </c>
      <c r="J432" s="1012">
        <v>0</v>
      </c>
      <c r="K432" s="1012">
        <v>0</v>
      </c>
      <c r="L432" s="1013">
        <f t="shared" si="120"/>
        <v>6415000</v>
      </c>
      <c r="M432" s="1014">
        <v>22.6</v>
      </c>
      <c r="N432" s="1013">
        <f t="shared" si="82"/>
        <v>5576115</v>
      </c>
      <c r="O432" s="1015">
        <v>3</v>
      </c>
      <c r="P432" s="1013">
        <f t="shared" si="83"/>
        <v>740192</v>
      </c>
      <c r="Q432" s="1016">
        <v>0</v>
      </c>
      <c r="R432" s="1013">
        <f t="shared" si="84"/>
        <v>0</v>
      </c>
      <c r="S432" s="1013">
        <f t="shared" si="85"/>
        <v>6316307</v>
      </c>
      <c r="T432" s="1017">
        <v>0</v>
      </c>
      <c r="U432" s="785">
        <v>0</v>
      </c>
      <c r="V432" s="785">
        <v>200000</v>
      </c>
      <c r="W432" s="1017">
        <v>500000</v>
      </c>
      <c r="X432" s="1017">
        <v>0</v>
      </c>
      <c r="Y432" s="1017">
        <v>400000</v>
      </c>
      <c r="Z432" s="1017">
        <v>272404</v>
      </c>
      <c r="AA432" s="1018"/>
      <c r="AB432" s="1013"/>
      <c r="AC432" s="1017">
        <v>0</v>
      </c>
      <c r="AD432" s="1017">
        <v>0</v>
      </c>
      <c r="AE432" s="1013">
        <v>0</v>
      </c>
      <c r="AF432" s="1019"/>
      <c r="AG432" s="1019">
        <f t="shared" si="119"/>
        <v>7688711</v>
      </c>
      <c r="AH432" s="1014">
        <v>32</v>
      </c>
      <c r="AI432" s="1014">
        <v>0</v>
      </c>
      <c r="AJ432" s="1014">
        <v>0</v>
      </c>
      <c r="AK432" s="1018">
        <v>0</v>
      </c>
      <c r="AL432" s="1020">
        <v>0</v>
      </c>
      <c r="AM432" s="1013">
        <f t="shared" si="117"/>
        <v>1480385</v>
      </c>
      <c r="AN432" s="1045">
        <f t="shared" si="118"/>
        <v>9169096</v>
      </c>
      <c r="AO432" s="1013">
        <v>673575</v>
      </c>
      <c r="AP432" s="1013">
        <v>44100</v>
      </c>
      <c r="AQ432" s="1013">
        <v>0</v>
      </c>
      <c r="AR432" s="1013">
        <v>0</v>
      </c>
      <c r="AS432" s="1013">
        <v>0</v>
      </c>
      <c r="AT432" s="1045">
        <f t="shared" si="121"/>
        <v>8451421</v>
      </c>
      <c r="AU432" s="1004"/>
      <c r="AV432" s="870"/>
      <c r="AW432" s="782" t="s">
        <v>4158</v>
      </c>
      <c r="AX432" s="782" t="s">
        <v>4159</v>
      </c>
      <c r="AY432" s="1007" t="s">
        <v>288</v>
      </c>
      <c r="AZ432" s="1007">
        <v>622</v>
      </c>
      <c r="BA432" s="347" t="str">
        <f t="shared" si="116"/>
        <v>Bag</v>
      </c>
      <c r="BB432" s="1008"/>
      <c r="BC432" s="1009"/>
      <c r="BD432" s="1009"/>
    </row>
    <row r="433" spans="1:56" s="1010" customFormat="1" ht="36.75" customHeight="1">
      <c r="A433" s="661">
        <f>SUBTOTAL(3,B$6:B433)</f>
        <v>428</v>
      </c>
      <c r="B433" s="661" t="s">
        <v>1670</v>
      </c>
      <c r="C433" s="662" t="s">
        <v>1671</v>
      </c>
      <c r="D433" s="1011">
        <v>45423</v>
      </c>
      <c r="E433" s="1011" t="s">
        <v>217</v>
      </c>
      <c r="F433" s="787" t="s">
        <v>577</v>
      </c>
      <c r="G433" s="996" t="s">
        <v>987</v>
      </c>
      <c r="H433" s="1012">
        <v>5274000</v>
      </c>
      <c r="I433" s="1012">
        <v>200000</v>
      </c>
      <c r="J433" s="1012">
        <v>0</v>
      </c>
      <c r="K433" s="1012">
        <v>0</v>
      </c>
      <c r="L433" s="1013">
        <f t="shared" si="120"/>
        <v>5474000</v>
      </c>
      <c r="M433" s="1014">
        <v>21</v>
      </c>
      <c r="N433" s="1013">
        <f t="shared" si="82"/>
        <v>4421308</v>
      </c>
      <c r="O433" s="1015">
        <v>2</v>
      </c>
      <c r="P433" s="1013">
        <f t="shared" si="83"/>
        <v>421077</v>
      </c>
      <c r="Q433" s="1016">
        <v>0</v>
      </c>
      <c r="R433" s="1013">
        <f t="shared" si="84"/>
        <v>0</v>
      </c>
      <c r="S433" s="1013">
        <f t="shared" si="85"/>
        <v>4842385</v>
      </c>
      <c r="T433" s="1017">
        <v>0</v>
      </c>
      <c r="U433" s="785">
        <v>0</v>
      </c>
      <c r="V433" s="785">
        <v>200000</v>
      </c>
      <c r="W433" s="1017">
        <v>0</v>
      </c>
      <c r="X433" s="1017">
        <v>0</v>
      </c>
      <c r="Y433" s="1017">
        <v>0</v>
      </c>
      <c r="Z433" s="1017">
        <v>402343</v>
      </c>
      <c r="AA433" s="1018"/>
      <c r="AB433" s="1013"/>
      <c r="AC433" s="1017">
        <v>0</v>
      </c>
      <c r="AD433" s="1017">
        <v>0</v>
      </c>
      <c r="AE433" s="1013">
        <v>0</v>
      </c>
      <c r="AF433" s="1019"/>
      <c r="AG433" s="1019">
        <f t="shared" si="119"/>
        <v>5444728</v>
      </c>
      <c r="AH433" s="1014">
        <v>32</v>
      </c>
      <c r="AI433" s="1014">
        <v>0</v>
      </c>
      <c r="AJ433" s="1014">
        <v>0</v>
      </c>
      <c r="AK433" s="1018">
        <v>0</v>
      </c>
      <c r="AL433" s="1020">
        <v>0</v>
      </c>
      <c r="AM433" s="1013">
        <f t="shared" si="117"/>
        <v>1263231</v>
      </c>
      <c r="AN433" s="1045">
        <f t="shared" si="118"/>
        <v>6707959</v>
      </c>
      <c r="AO433" s="1013">
        <v>574770</v>
      </c>
      <c r="AP433" s="1013">
        <v>44100</v>
      </c>
      <c r="AQ433" s="1013">
        <v>0</v>
      </c>
      <c r="AR433" s="1013">
        <v>0</v>
      </c>
      <c r="AS433" s="1013">
        <v>0</v>
      </c>
      <c r="AT433" s="1045">
        <f t="shared" si="121"/>
        <v>6089089</v>
      </c>
      <c r="AU433" s="1004"/>
      <c r="AV433" s="870"/>
      <c r="AW433" s="782" t="s">
        <v>4160</v>
      </c>
      <c r="AX433" s="782" t="s">
        <v>4161</v>
      </c>
      <c r="AY433" s="1007" t="s">
        <v>288</v>
      </c>
      <c r="AZ433" s="1007">
        <v>622</v>
      </c>
      <c r="BA433" s="347" t="str">
        <f t="shared" si="116"/>
        <v>Bag</v>
      </c>
      <c r="BB433" s="1008"/>
      <c r="BC433" s="1009"/>
      <c r="BD433" s="1009"/>
    </row>
    <row r="434" spans="1:56" s="1010" customFormat="1" ht="36.75" customHeight="1">
      <c r="A434" s="661">
        <f>SUBTOTAL(3,B$6:B434)</f>
        <v>429</v>
      </c>
      <c r="B434" s="661" t="s">
        <v>1672</v>
      </c>
      <c r="C434" s="662" t="s">
        <v>1673</v>
      </c>
      <c r="D434" s="1011">
        <v>45432</v>
      </c>
      <c r="E434" s="1011" t="s">
        <v>217</v>
      </c>
      <c r="F434" s="787" t="s">
        <v>577</v>
      </c>
      <c r="G434" s="996" t="s">
        <v>992</v>
      </c>
      <c r="H434" s="1012">
        <v>5274000</v>
      </c>
      <c r="I434" s="1012">
        <v>400000</v>
      </c>
      <c r="J434" s="1012">
        <v>0</v>
      </c>
      <c r="K434" s="1012">
        <v>0</v>
      </c>
      <c r="L434" s="1013">
        <f t="shared" si="120"/>
        <v>5674000</v>
      </c>
      <c r="M434" s="1014">
        <v>21.7</v>
      </c>
      <c r="N434" s="1013">
        <f t="shared" si="82"/>
        <v>4735608</v>
      </c>
      <c r="O434" s="1015">
        <v>2</v>
      </c>
      <c r="P434" s="1013">
        <f t="shared" si="83"/>
        <v>436462</v>
      </c>
      <c r="Q434" s="1016">
        <v>0</v>
      </c>
      <c r="R434" s="1013">
        <f t="shared" si="84"/>
        <v>0</v>
      </c>
      <c r="S434" s="1013">
        <f t="shared" si="85"/>
        <v>5172070</v>
      </c>
      <c r="T434" s="1017">
        <v>0</v>
      </c>
      <c r="U434" s="785">
        <v>0</v>
      </c>
      <c r="V434" s="785">
        <v>200000</v>
      </c>
      <c r="W434" s="1017">
        <v>0</v>
      </c>
      <c r="X434" s="1017">
        <v>0</v>
      </c>
      <c r="Y434" s="1017">
        <v>150000</v>
      </c>
      <c r="Z434" s="1017">
        <v>243627</v>
      </c>
      <c r="AA434" s="1018"/>
      <c r="AB434" s="1013"/>
      <c r="AC434" s="1017">
        <v>0</v>
      </c>
      <c r="AD434" s="1017">
        <v>0</v>
      </c>
      <c r="AE434" s="1013">
        <v>0</v>
      </c>
      <c r="AF434" s="1019"/>
      <c r="AG434" s="1019">
        <f t="shared" si="119"/>
        <v>5765697</v>
      </c>
      <c r="AH434" s="1014">
        <v>28</v>
      </c>
      <c r="AI434" s="1014">
        <v>0</v>
      </c>
      <c r="AJ434" s="1014">
        <v>0</v>
      </c>
      <c r="AK434" s="1018">
        <v>0</v>
      </c>
      <c r="AL434" s="1020">
        <v>0</v>
      </c>
      <c r="AM434" s="1013">
        <f t="shared" si="117"/>
        <v>1145712</v>
      </c>
      <c r="AN434" s="1045">
        <f t="shared" si="118"/>
        <v>6911409</v>
      </c>
      <c r="AO434" s="1013">
        <v>595770</v>
      </c>
      <c r="AP434" s="1013">
        <v>44100</v>
      </c>
      <c r="AQ434" s="1013">
        <v>0</v>
      </c>
      <c r="AR434" s="1013">
        <v>0</v>
      </c>
      <c r="AS434" s="1013">
        <v>0</v>
      </c>
      <c r="AT434" s="1045">
        <f t="shared" si="121"/>
        <v>6271539</v>
      </c>
      <c r="AU434" s="1004"/>
      <c r="AV434" s="870"/>
      <c r="AW434" s="782" t="s">
        <v>4162</v>
      </c>
      <c r="AX434" s="782" t="s">
        <v>4163</v>
      </c>
      <c r="AY434" s="1007" t="s">
        <v>288</v>
      </c>
      <c r="AZ434" s="1007">
        <v>622</v>
      </c>
      <c r="BA434" s="347" t="str">
        <f t="shared" si="116"/>
        <v>Bag</v>
      </c>
      <c r="BB434" s="1008"/>
      <c r="BC434" s="1009"/>
      <c r="BD434" s="1009"/>
    </row>
    <row r="435" spans="1:56" s="1010" customFormat="1" ht="36.75" customHeight="1">
      <c r="A435" s="661">
        <f>SUBTOTAL(3,B$6:B435)</f>
        <v>430</v>
      </c>
      <c r="B435" s="661" t="s">
        <v>1674</v>
      </c>
      <c r="C435" s="662" t="s">
        <v>1675</v>
      </c>
      <c r="D435" s="1011">
        <v>45454</v>
      </c>
      <c r="E435" s="1011" t="s">
        <v>217</v>
      </c>
      <c r="F435" s="787" t="s">
        <v>577</v>
      </c>
      <c r="G435" s="996" t="s">
        <v>987</v>
      </c>
      <c r="H435" s="1012">
        <v>5274000</v>
      </c>
      <c r="I435" s="1012">
        <v>200000</v>
      </c>
      <c r="J435" s="1012">
        <v>0</v>
      </c>
      <c r="K435" s="1012">
        <v>0</v>
      </c>
      <c r="L435" s="1013">
        <f t="shared" si="120"/>
        <v>5474000</v>
      </c>
      <c r="M435" s="1014">
        <v>16</v>
      </c>
      <c r="N435" s="1013">
        <f t="shared" si="82"/>
        <v>3368615</v>
      </c>
      <c r="O435" s="1015">
        <v>6</v>
      </c>
      <c r="P435" s="1013">
        <f t="shared" si="83"/>
        <v>1263231</v>
      </c>
      <c r="Q435" s="1016">
        <v>0</v>
      </c>
      <c r="R435" s="1013">
        <f t="shared" si="84"/>
        <v>0</v>
      </c>
      <c r="S435" s="1013">
        <f t="shared" si="85"/>
        <v>4631846</v>
      </c>
      <c r="T435" s="1017">
        <v>0</v>
      </c>
      <c r="U435" s="785">
        <v>0</v>
      </c>
      <c r="V435" s="785">
        <v>200000</v>
      </c>
      <c r="W435" s="1017">
        <v>0</v>
      </c>
      <c r="X435" s="1017">
        <v>0</v>
      </c>
      <c r="Y435" s="1017">
        <v>0</v>
      </c>
      <c r="Z435" s="1017">
        <v>199810</v>
      </c>
      <c r="AA435" s="1018"/>
      <c r="AB435" s="1013"/>
      <c r="AC435" s="1017">
        <v>100000</v>
      </c>
      <c r="AD435" s="1017">
        <v>0</v>
      </c>
      <c r="AE435" s="1013">
        <v>39475.95703125</v>
      </c>
      <c r="AF435" s="1019"/>
      <c r="AG435" s="1019">
        <f t="shared" si="119"/>
        <v>5171132</v>
      </c>
      <c r="AH435" s="1014">
        <v>0</v>
      </c>
      <c r="AI435" s="1014">
        <v>0</v>
      </c>
      <c r="AJ435" s="1014">
        <v>0</v>
      </c>
      <c r="AK435" s="1018">
        <v>0</v>
      </c>
      <c r="AL435" s="1020">
        <v>0</v>
      </c>
      <c r="AM435" s="1013">
        <f t="shared" si="117"/>
        <v>0</v>
      </c>
      <c r="AN435" s="1045">
        <f t="shared" si="118"/>
        <v>5171132</v>
      </c>
      <c r="AO435" s="1013">
        <v>574770</v>
      </c>
      <c r="AP435" s="1013">
        <v>44100</v>
      </c>
      <c r="AQ435" s="1013">
        <v>0</v>
      </c>
      <c r="AR435" s="1013">
        <v>0</v>
      </c>
      <c r="AS435" s="1013">
        <v>0</v>
      </c>
      <c r="AT435" s="1045">
        <f t="shared" si="121"/>
        <v>4552262</v>
      </c>
      <c r="AU435" s="1004"/>
      <c r="AV435" s="870"/>
      <c r="AW435" s="782" t="s">
        <v>4164</v>
      </c>
      <c r="AX435" s="782" t="s">
        <v>4165</v>
      </c>
      <c r="AY435" s="1007" t="s">
        <v>288</v>
      </c>
      <c r="AZ435" s="1007">
        <v>622</v>
      </c>
      <c r="BA435" s="347" t="str">
        <f t="shared" si="116"/>
        <v>Bag</v>
      </c>
      <c r="BB435" s="1008"/>
      <c r="BC435" s="1009"/>
      <c r="BD435" s="1009"/>
    </row>
    <row r="436" spans="1:56" s="1010" customFormat="1" ht="36.75" customHeight="1">
      <c r="A436" s="661">
        <f>SUBTOTAL(3,B$6:B436)</f>
        <v>431</v>
      </c>
      <c r="B436" s="661" t="s">
        <v>1676</v>
      </c>
      <c r="C436" s="662" t="s">
        <v>1677</v>
      </c>
      <c r="D436" s="1011">
        <v>45482</v>
      </c>
      <c r="E436" s="1011" t="s">
        <v>217</v>
      </c>
      <c r="F436" s="787" t="s">
        <v>577</v>
      </c>
      <c r="G436" s="996" t="s">
        <v>992</v>
      </c>
      <c r="H436" s="1012">
        <v>5274000</v>
      </c>
      <c r="I436" s="1012">
        <v>400000</v>
      </c>
      <c r="J436" s="1012">
        <v>0</v>
      </c>
      <c r="K436" s="1012">
        <v>0</v>
      </c>
      <c r="L436" s="1013">
        <f t="shared" si="120"/>
        <v>5674000</v>
      </c>
      <c r="M436" s="1014">
        <v>13.8</v>
      </c>
      <c r="N436" s="1013">
        <f t="shared" si="82"/>
        <v>3011585</v>
      </c>
      <c r="O436" s="1015">
        <v>2</v>
      </c>
      <c r="P436" s="1013">
        <f t="shared" si="83"/>
        <v>436462</v>
      </c>
      <c r="Q436" s="1016">
        <v>0</v>
      </c>
      <c r="R436" s="1013">
        <f t="shared" si="84"/>
        <v>0</v>
      </c>
      <c r="S436" s="1013">
        <f t="shared" si="85"/>
        <v>3448047</v>
      </c>
      <c r="T436" s="1017">
        <v>0</v>
      </c>
      <c r="U436" s="785">
        <v>0</v>
      </c>
      <c r="V436" s="785">
        <v>200000</v>
      </c>
      <c r="W436" s="1017">
        <v>0</v>
      </c>
      <c r="X436" s="1017">
        <v>0</v>
      </c>
      <c r="Y436" s="1017">
        <v>0</v>
      </c>
      <c r="Z436" s="1017">
        <v>274865</v>
      </c>
      <c r="AA436" s="1018"/>
      <c r="AB436" s="1013"/>
      <c r="AC436" s="1017">
        <v>100000</v>
      </c>
      <c r="AD436" s="1017">
        <v>0</v>
      </c>
      <c r="AE436" s="1013">
        <v>0</v>
      </c>
      <c r="AF436" s="1019"/>
      <c r="AG436" s="1019">
        <f t="shared" si="119"/>
        <v>4022912</v>
      </c>
      <c r="AH436" s="1014">
        <v>28</v>
      </c>
      <c r="AI436" s="1014">
        <v>0</v>
      </c>
      <c r="AJ436" s="1014">
        <v>0</v>
      </c>
      <c r="AK436" s="1018">
        <v>0</v>
      </c>
      <c r="AL436" s="1020">
        <v>0</v>
      </c>
      <c r="AM436" s="1013">
        <f t="shared" si="117"/>
        <v>1145712</v>
      </c>
      <c r="AN436" s="1045">
        <f t="shared" si="118"/>
        <v>5168624</v>
      </c>
      <c r="AO436" s="1013">
        <v>595770</v>
      </c>
      <c r="AP436" s="1013">
        <v>44100</v>
      </c>
      <c r="AQ436" s="1013">
        <v>0</v>
      </c>
      <c r="AR436" s="1013">
        <v>0</v>
      </c>
      <c r="AS436" s="1013">
        <v>0</v>
      </c>
      <c r="AT436" s="1045">
        <f t="shared" si="121"/>
        <v>4528754</v>
      </c>
      <c r="AU436" s="1004"/>
      <c r="AV436" s="870"/>
      <c r="AW436" s="782" t="s">
        <v>4166</v>
      </c>
      <c r="AX436" s="782" t="s">
        <v>4167</v>
      </c>
      <c r="AY436" s="1007" t="s">
        <v>288</v>
      </c>
      <c r="AZ436" s="1007">
        <v>622</v>
      </c>
      <c r="BA436" s="347" t="str">
        <f t="shared" si="116"/>
        <v>Bag</v>
      </c>
      <c r="BB436" s="1008"/>
      <c r="BC436" s="1009"/>
      <c r="BD436" s="1009"/>
    </row>
    <row r="437" spans="1:56" s="1010" customFormat="1" ht="36.75" customHeight="1">
      <c r="A437" s="661">
        <f>SUBTOTAL(3,B$6:B437)</f>
        <v>432</v>
      </c>
      <c r="B437" s="661" t="s">
        <v>1678</v>
      </c>
      <c r="C437" s="662" t="s">
        <v>1641</v>
      </c>
      <c r="D437" s="1011">
        <v>45558</v>
      </c>
      <c r="E437" s="1011" t="s">
        <v>217</v>
      </c>
      <c r="F437" s="787" t="s">
        <v>577</v>
      </c>
      <c r="G437" s="996" t="s">
        <v>987</v>
      </c>
      <c r="H437" s="1012">
        <v>5274000</v>
      </c>
      <c r="I437" s="1012">
        <v>200000</v>
      </c>
      <c r="J437" s="1012">
        <v>0</v>
      </c>
      <c r="K437" s="1012">
        <v>0</v>
      </c>
      <c r="L437" s="1013">
        <f t="shared" si="120"/>
        <v>5474000</v>
      </c>
      <c r="M437" s="1014">
        <v>23.8</v>
      </c>
      <c r="N437" s="1013">
        <f t="shared" si="82"/>
        <v>5010815</v>
      </c>
      <c r="O437" s="1015">
        <v>2</v>
      </c>
      <c r="P437" s="1013">
        <f t="shared" si="83"/>
        <v>421077</v>
      </c>
      <c r="Q437" s="1016">
        <v>0</v>
      </c>
      <c r="R437" s="1013">
        <f t="shared" si="84"/>
        <v>0</v>
      </c>
      <c r="S437" s="1013">
        <f t="shared" si="85"/>
        <v>5431892</v>
      </c>
      <c r="T437" s="1017">
        <v>0</v>
      </c>
      <c r="U437" s="785">
        <v>0</v>
      </c>
      <c r="V437" s="785">
        <v>200000</v>
      </c>
      <c r="W437" s="1017">
        <v>500000</v>
      </c>
      <c r="X437" s="1017">
        <v>0</v>
      </c>
      <c r="Y437" s="1017">
        <v>400000</v>
      </c>
      <c r="Z437" s="1017">
        <v>295369</v>
      </c>
      <c r="AA437" s="1018"/>
      <c r="AB437" s="1013"/>
      <c r="AC437" s="1017">
        <v>0</v>
      </c>
      <c r="AD437" s="1017">
        <v>0</v>
      </c>
      <c r="AE437" s="1013">
        <v>39475.958508403361</v>
      </c>
      <c r="AF437" s="1019"/>
      <c r="AG437" s="1019">
        <f t="shared" si="119"/>
        <v>6866737</v>
      </c>
      <c r="AH437" s="1014">
        <v>36</v>
      </c>
      <c r="AI437" s="1014">
        <v>0</v>
      </c>
      <c r="AJ437" s="1014">
        <v>0</v>
      </c>
      <c r="AK437" s="1018">
        <v>0</v>
      </c>
      <c r="AL437" s="1020">
        <v>0</v>
      </c>
      <c r="AM437" s="1013">
        <f t="shared" si="117"/>
        <v>1421135</v>
      </c>
      <c r="AN437" s="1045">
        <f t="shared" si="118"/>
        <v>8287872</v>
      </c>
      <c r="AO437" s="1013">
        <v>574770</v>
      </c>
      <c r="AP437" s="1013">
        <v>44100</v>
      </c>
      <c r="AQ437" s="1013">
        <v>0</v>
      </c>
      <c r="AR437" s="1013">
        <v>0</v>
      </c>
      <c r="AS437" s="1013">
        <v>0</v>
      </c>
      <c r="AT437" s="1045">
        <f t="shared" si="121"/>
        <v>7669002</v>
      </c>
      <c r="AU437" s="1004"/>
      <c r="AV437" s="870"/>
      <c r="AW437" s="782" t="s">
        <v>4130</v>
      </c>
      <c r="AX437" s="782" t="s">
        <v>4168</v>
      </c>
      <c r="AY437" s="1007" t="s">
        <v>288</v>
      </c>
      <c r="AZ437" s="1007">
        <v>622</v>
      </c>
      <c r="BA437" s="347" t="str">
        <f t="shared" si="116"/>
        <v>Bag</v>
      </c>
      <c r="BB437" s="1008"/>
      <c r="BC437" s="1009"/>
      <c r="BD437" s="1009"/>
    </row>
    <row r="438" spans="1:56" s="1010" customFormat="1" ht="36.75" customHeight="1">
      <c r="A438" s="661">
        <f>SUBTOTAL(3,B$6:B438)</f>
        <v>433</v>
      </c>
      <c r="B438" s="661" t="s">
        <v>1679</v>
      </c>
      <c r="C438" s="662" t="s">
        <v>1680</v>
      </c>
      <c r="D438" s="1011">
        <v>45701</v>
      </c>
      <c r="E438" s="1011" t="s">
        <v>217</v>
      </c>
      <c r="F438" s="787" t="s">
        <v>577</v>
      </c>
      <c r="G438" s="996" t="s">
        <v>987</v>
      </c>
      <c r="H438" s="1012">
        <v>5023000</v>
      </c>
      <c r="I438" s="1012">
        <v>200000</v>
      </c>
      <c r="J438" s="1012">
        <v>0</v>
      </c>
      <c r="K438" s="1012">
        <v>0</v>
      </c>
      <c r="L438" s="1013">
        <f t="shared" si="120"/>
        <v>5223000</v>
      </c>
      <c r="M438" s="1014">
        <v>22.8</v>
      </c>
      <c r="N438" s="1013">
        <f t="shared" si="82"/>
        <v>4580169</v>
      </c>
      <c r="O438" s="1015">
        <v>3</v>
      </c>
      <c r="P438" s="1013">
        <f t="shared" si="83"/>
        <v>602654</v>
      </c>
      <c r="Q438" s="1016">
        <v>0</v>
      </c>
      <c r="R438" s="1013">
        <f t="shared" si="84"/>
        <v>0</v>
      </c>
      <c r="S438" s="1013">
        <f t="shared" si="85"/>
        <v>5182823</v>
      </c>
      <c r="T438" s="1017">
        <v>0</v>
      </c>
      <c r="U438" s="785">
        <v>0</v>
      </c>
      <c r="V438" s="785">
        <v>200000</v>
      </c>
      <c r="W438" s="1017">
        <v>500000</v>
      </c>
      <c r="X438" s="1017">
        <v>0</v>
      </c>
      <c r="Y438" s="1017">
        <v>400000</v>
      </c>
      <c r="Z438" s="1017">
        <v>236562</v>
      </c>
      <c r="AA438" s="1018"/>
      <c r="AB438" s="1013"/>
      <c r="AC438" s="1017">
        <v>0</v>
      </c>
      <c r="AD438" s="1017">
        <v>0</v>
      </c>
      <c r="AE438" s="1013">
        <v>0</v>
      </c>
      <c r="AF438" s="1019"/>
      <c r="AG438" s="1019">
        <f t="shared" si="119"/>
        <v>6519385</v>
      </c>
      <c r="AH438" s="1014">
        <v>32</v>
      </c>
      <c r="AI438" s="1014">
        <v>0</v>
      </c>
      <c r="AJ438" s="1014">
        <v>0</v>
      </c>
      <c r="AK438" s="1018">
        <v>0</v>
      </c>
      <c r="AL438" s="1020">
        <v>0</v>
      </c>
      <c r="AM438" s="1013">
        <f t="shared" si="117"/>
        <v>1205308</v>
      </c>
      <c r="AN438" s="1045">
        <f t="shared" si="118"/>
        <v>7724693</v>
      </c>
      <c r="AO438" s="1013">
        <v>548415</v>
      </c>
      <c r="AP438" s="1013">
        <v>44100</v>
      </c>
      <c r="AQ438" s="1013">
        <v>0</v>
      </c>
      <c r="AR438" s="1013">
        <v>0</v>
      </c>
      <c r="AS438" s="1013">
        <v>0</v>
      </c>
      <c r="AT438" s="1045">
        <f t="shared" si="121"/>
        <v>7132178</v>
      </c>
      <c r="AU438" s="1004"/>
      <c r="AV438" s="870"/>
      <c r="AW438" s="782" t="s">
        <v>4169</v>
      </c>
      <c r="AX438" s="782" t="s">
        <v>4170</v>
      </c>
      <c r="AY438" s="1007" t="s">
        <v>288</v>
      </c>
      <c r="AZ438" s="1007">
        <v>622</v>
      </c>
      <c r="BA438" s="347" t="str">
        <f t="shared" si="116"/>
        <v>Bag</v>
      </c>
      <c r="BB438" s="1008"/>
      <c r="BC438" s="1009"/>
      <c r="BD438" s="1009"/>
    </row>
    <row r="439" spans="1:56" s="1010" customFormat="1" ht="36.75" customHeight="1">
      <c r="A439" s="661">
        <f>SUBTOTAL(3,B$6:B439)</f>
        <v>434</v>
      </c>
      <c r="B439" s="661" t="s">
        <v>1681</v>
      </c>
      <c r="C439" s="662" t="s">
        <v>1397</v>
      </c>
      <c r="D439" s="1011">
        <v>45701</v>
      </c>
      <c r="E439" s="1011" t="s">
        <v>217</v>
      </c>
      <c r="F439" s="787" t="s">
        <v>577</v>
      </c>
      <c r="G439" s="996" t="s">
        <v>987</v>
      </c>
      <c r="H439" s="1012">
        <v>5023000</v>
      </c>
      <c r="I439" s="1012">
        <v>200000</v>
      </c>
      <c r="J439" s="1012">
        <v>0</v>
      </c>
      <c r="K439" s="1012">
        <v>0</v>
      </c>
      <c r="L439" s="1013">
        <f t="shared" si="120"/>
        <v>5223000</v>
      </c>
      <c r="M439" s="1014">
        <v>21.8</v>
      </c>
      <c r="N439" s="1013">
        <f t="shared" si="82"/>
        <v>4379285</v>
      </c>
      <c r="O439" s="1015">
        <v>4</v>
      </c>
      <c r="P439" s="1013">
        <f t="shared" si="83"/>
        <v>803538</v>
      </c>
      <c r="Q439" s="1016">
        <v>0</v>
      </c>
      <c r="R439" s="1013">
        <f t="shared" si="84"/>
        <v>0</v>
      </c>
      <c r="S439" s="1013">
        <f t="shared" si="85"/>
        <v>5182823</v>
      </c>
      <c r="T439" s="1017">
        <v>0</v>
      </c>
      <c r="U439" s="785">
        <v>0</v>
      </c>
      <c r="V439" s="785">
        <v>200000</v>
      </c>
      <c r="W439" s="1017">
        <v>500000</v>
      </c>
      <c r="X439" s="1017">
        <v>0</v>
      </c>
      <c r="Y439" s="1017">
        <v>400000</v>
      </c>
      <c r="Z439" s="1017">
        <v>272848</v>
      </c>
      <c r="AA439" s="1018"/>
      <c r="AB439" s="1013"/>
      <c r="AC439" s="1017">
        <v>0</v>
      </c>
      <c r="AD439" s="1017">
        <v>0</v>
      </c>
      <c r="AE439" s="1013">
        <v>0</v>
      </c>
      <c r="AF439" s="1019"/>
      <c r="AG439" s="1019">
        <f t="shared" si="119"/>
        <v>6555671</v>
      </c>
      <c r="AH439" s="1014">
        <v>36</v>
      </c>
      <c r="AI439" s="1014">
        <v>0</v>
      </c>
      <c r="AJ439" s="1014">
        <v>0</v>
      </c>
      <c r="AK439" s="1018">
        <v>0</v>
      </c>
      <c r="AL439" s="1020">
        <v>0</v>
      </c>
      <c r="AM439" s="1013">
        <f t="shared" si="117"/>
        <v>1355971</v>
      </c>
      <c r="AN439" s="1045">
        <f t="shared" si="118"/>
        <v>7911642</v>
      </c>
      <c r="AO439" s="1013">
        <v>548415</v>
      </c>
      <c r="AP439" s="1013">
        <v>44100</v>
      </c>
      <c r="AQ439" s="1013">
        <v>0</v>
      </c>
      <c r="AR439" s="1013">
        <v>0</v>
      </c>
      <c r="AS439" s="1013">
        <v>0</v>
      </c>
      <c r="AT439" s="1045">
        <f t="shared" si="121"/>
        <v>7319127</v>
      </c>
      <c r="AU439" s="1004"/>
      <c r="AV439" s="870"/>
      <c r="AW439" s="782" t="s">
        <v>3897</v>
      </c>
      <c r="AX439" s="782" t="s">
        <v>4171</v>
      </c>
      <c r="AY439" s="1007" t="s">
        <v>288</v>
      </c>
      <c r="AZ439" s="1007">
        <v>622</v>
      </c>
      <c r="BA439" s="347" t="str">
        <f t="shared" si="116"/>
        <v>Bag</v>
      </c>
      <c r="BB439" s="1008"/>
      <c r="BC439" s="1009"/>
      <c r="BD439" s="1009"/>
    </row>
    <row r="440" spans="1:56" s="1010" customFormat="1" ht="36.75" customHeight="1">
      <c r="A440" s="661">
        <f>SUBTOTAL(3,B$6:B440)</f>
        <v>435</v>
      </c>
      <c r="B440" s="661" t="s">
        <v>1682</v>
      </c>
      <c r="C440" s="662" t="s">
        <v>1683</v>
      </c>
      <c r="D440" s="1011">
        <v>43522</v>
      </c>
      <c r="E440" s="1011" t="s">
        <v>217</v>
      </c>
      <c r="F440" s="787" t="s">
        <v>577</v>
      </c>
      <c r="G440" s="996" t="s">
        <v>1589</v>
      </c>
      <c r="H440" s="1012">
        <v>5931000</v>
      </c>
      <c r="I440" s="1012">
        <v>600000</v>
      </c>
      <c r="J440" s="1012">
        <v>0</v>
      </c>
      <c r="K440" s="1012">
        <v>300000</v>
      </c>
      <c r="L440" s="1013">
        <f t="shared" si="120"/>
        <v>6831000</v>
      </c>
      <c r="M440" s="1014">
        <v>18.3</v>
      </c>
      <c r="N440" s="1013">
        <f t="shared" si="82"/>
        <v>4807973</v>
      </c>
      <c r="O440" s="1015">
        <v>2</v>
      </c>
      <c r="P440" s="1013">
        <f t="shared" si="83"/>
        <v>525462</v>
      </c>
      <c r="Q440" s="1016">
        <v>0</v>
      </c>
      <c r="R440" s="1013">
        <f t="shared" si="84"/>
        <v>0</v>
      </c>
      <c r="S440" s="1013">
        <f t="shared" si="85"/>
        <v>5333435</v>
      </c>
      <c r="T440" s="1017">
        <v>0</v>
      </c>
      <c r="U440" s="785">
        <v>0</v>
      </c>
      <c r="V440" s="785">
        <v>200000</v>
      </c>
      <c r="W440" s="1017">
        <v>0</v>
      </c>
      <c r="X440" s="1017">
        <v>0</v>
      </c>
      <c r="Y440" s="1017">
        <v>0</v>
      </c>
      <c r="Z440" s="1017">
        <v>309750</v>
      </c>
      <c r="AA440" s="1018"/>
      <c r="AB440" s="1013"/>
      <c r="AC440" s="1017">
        <v>0</v>
      </c>
      <c r="AD440" s="1017">
        <v>0</v>
      </c>
      <c r="AE440" s="1013">
        <v>0</v>
      </c>
      <c r="AF440" s="1019"/>
      <c r="AG440" s="1019">
        <f t="shared" si="119"/>
        <v>5843185</v>
      </c>
      <c r="AH440" s="1014">
        <v>16</v>
      </c>
      <c r="AI440" s="1014">
        <v>0</v>
      </c>
      <c r="AJ440" s="1014">
        <v>0</v>
      </c>
      <c r="AK440" s="1018">
        <v>0</v>
      </c>
      <c r="AL440" s="1020">
        <v>0</v>
      </c>
      <c r="AM440" s="1013">
        <f t="shared" si="117"/>
        <v>788192</v>
      </c>
      <c r="AN440" s="1045">
        <f t="shared" si="118"/>
        <v>6631377</v>
      </c>
      <c r="AO440" s="1013">
        <v>717255</v>
      </c>
      <c r="AP440" s="1013">
        <v>44100</v>
      </c>
      <c r="AQ440" s="1013">
        <v>0</v>
      </c>
      <c r="AR440" s="1013">
        <v>0</v>
      </c>
      <c r="AS440" s="1013">
        <v>0</v>
      </c>
      <c r="AT440" s="1045">
        <f t="shared" si="121"/>
        <v>5870022</v>
      </c>
      <c r="AU440" s="1004"/>
      <c r="AV440" s="870"/>
      <c r="AW440" s="782" t="s">
        <v>4172</v>
      </c>
      <c r="AX440" s="782" t="s">
        <v>4173</v>
      </c>
      <c r="AY440" s="1007" t="s">
        <v>288</v>
      </c>
      <c r="AZ440" s="1007">
        <v>622</v>
      </c>
      <c r="BA440" s="347" t="str">
        <f t="shared" si="116"/>
        <v>Bag</v>
      </c>
      <c r="BB440" s="1008"/>
      <c r="BC440" s="1009"/>
      <c r="BD440" s="1009"/>
    </row>
    <row r="441" spans="1:56" s="1010" customFormat="1" ht="36.75" customHeight="1">
      <c r="A441" s="661">
        <f>SUBTOTAL(3,B$6:B441)</f>
        <v>436</v>
      </c>
      <c r="B441" s="661" t="s">
        <v>1684</v>
      </c>
      <c r="C441" s="662" t="s">
        <v>1685</v>
      </c>
      <c r="D441" s="1011">
        <v>43522</v>
      </c>
      <c r="E441" s="1011" t="s">
        <v>217</v>
      </c>
      <c r="F441" s="787" t="s">
        <v>577</v>
      </c>
      <c r="G441" s="996" t="s">
        <v>1686</v>
      </c>
      <c r="H441" s="1012">
        <v>5931000</v>
      </c>
      <c r="I441" s="1012">
        <v>2200000</v>
      </c>
      <c r="J441" s="1012">
        <v>0</v>
      </c>
      <c r="K441" s="1012">
        <v>200000</v>
      </c>
      <c r="L441" s="1013">
        <f t="shared" si="120"/>
        <v>8331000</v>
      </c>
      <c r="M441" s="1014">
        <v>22.5</v>
      </c>
      <c r="N441" s="1013">
        <f t="shared" si="82"/>
        <v>7209519</v>
      </c>
      <c r="O441" s="1015">
        <v>3</v>
      </c>
      <c r="P441" s="1013">
        <f t="shared" si="83"/>
        <v>961269</v>
      </c>
      <c r="Q441" s="1016">
        <v>0</v>
      </c>
      <c r="R441" s="1013">
        <f t="shared" si="84"/>
        <v>0</v>
      </c>
      <c r="S441" s="1013">
        <f t="shared" si="85"/>
        <v>8170788</v>
      </c>
      <c r="T441" s="1017">
        <v>0</v>
      </c>
      <c r="U441" s="785">
        <v>0</v>
      </c>
      <c r="V441" s="785">
        <v>200000</v>
      </c>
      <c r="W441" s="1017">
        <v>500000</v>
      </c>
      <c r="X441" s="1017">
        <v>0</v>
      </c>
      <c r="Y441" s="1017">
        <v>400000</v>
      </c>
      <c r="Z441" s="1017">
        <v>280983</v>
      </c>
      <c r="AA441" s="1018"/>
      <c r="AB441" s="1013"/>
      <c r="AC441" s="1017">
        <v>0</v>
      </c>
      <c r="AD441" s="1017">
        <v>0</v>
      </c>
      <c r="AE441" s="1013">
        <v>60079.324999999997</v>
      </c>
      <c r="AF441" s="1019"/>
      <c r="AG441" s="1019">
        <f t="shared" si="119"/>
        <v>9611850</v>
      </c>
      <c r="AH441" s="1014">
        <v>26</v>
      </c>
      <c r="AI441" s="1014">
        <v>0</v>
      </c>
      <c r="AJ441" s="1014">
        <v>0</v>
      </c>
      <c r="AK441" s="1018">
        <v>0</v>
      </c>
      <c r="AL441" s="1020">
        <v>0</v>
      </c>
      <c r="AM441" s="1013">
        <f t="shared" si="117"/>
        <v>1562062</v>
      </c>
      <c r="AN441" s="1045">
        <f t="shared" si="118"/>
        <v>11173912</v>
      </c>
      <c r="AO441" s="1013">
        <v>874755</v>
      </c>
      <c r="AP441" s="1013">
        <v>44100</v>
      </c>
      <c r="AQ441" s="1013">
        <v>0</v>
      </c>
      <c r="AR441" s="1013">
        <v>0</v>
      </c>
      <c r="AS441" s="1013">
        <v>0</v>
      </c>
      <c r="AT441" s="1045">
        <f t="shared" si="121"/>
        <v>10255057</v>
      </c>
      <c r="AU441" s="1004"/>
      <c r="AV441" s="870"/>
      <c r="AW441" s="782" t="s">
        <v>4174</v>
      </c>
      <c r="AX441" s="782" t="s">
        <v>4175</v>
      </c>
      <c r="AY441" s="1007" t="s">
        <v>288</v>
      </c>
      <c r="AZ441" s="1007">
        <v>622</v>
      </c>
      <c r="BA441" s="347" t="str">
        <f t="shared" si="116"/>
        <v>Bag</v>
      </c>
      <c r="BB441" s="1008"/>
      <c r="BC441" s="1009"/>
      <c r="BD441" s="1009"/>
    </row>
    <row r="442" spans="1:56" s="1010" customFormat="1" ht="36.75" customHeight="1">
      <c r="A442" s="661">
        <f>SUBTOTAL(3,B$6:B442)</f>
        <v>437</v>
      </c>
      <c r="B442" s="661" t="s">
        <v>1687</v>
      </c>
      <c r="C442" s="662" t="s">
        <v>1688</v>
      </c>
      <c r="D442" s="1011">
        <v>44281</v>
      </c>
      <c r="E442" s="1011" t="s">
        <v>217</v>
      </c>
      <c r="F442" s="787" t="s">
        <v>578</v>
      </c>
      <c r="G442" s="996" t="s">
        <v>992</v>
      </c>
      <c r="H442" s="1012">
        <v>5931000</v>
      </c>
      <c r="I442" s="1012">
        <v>400000</v>
      </c>
      <c r="J442" s="1012">
        <v>0</v>
      </c>
      <c r="K442" s="1012">
        <v>0</v>
      </c>
      <c r="L442" s="1013">
        <f t="shared" si="120"/>
        <v>6331000</v>
      </c>
      <c r="M442" s="1014">
        <v>18.2</v>
      </c>
      <c r="N442" s="1013">
        <f t="shared" si="82"/>
        <v>4431700</v>
      </c>
      <c r="O442" s="1015">
        <v>2</v>
      </c>
      <c r="P442" s="1013">
        <f t="shared" si="83"/>
        <v>487000</v>
      </c>
      <c r="Q442" s="1016">
        <v>0</v>
      </c>
      <c r="R442" s="1013">
        <f t="shared" si="84"/>
        <v>0</v>
      </c>
      <c r="S442" s="1013">
        <f t="shared" si="85"/>
        <v>4918700</v>
      </c>
      <c r="T442" s="1017">
        <v>0</v>
      </c>
      <c r="U442" s="785">
        <v>0</v>
      </c>
      <c r="V442" s="785">
        <v>200000</v>
      </c>
      <c r="W442" s="1017">
        <v>0</v>
      </c>
      <c r="X442" s="1017">
        <v>0</v>
      </c>
      <c r="Y442" s="1017">
        <v>0</v>
      </c>
      <c r="Z442" s="1017">
        <v>248409</v>
      </c>
      <c r="AA442" s="1018"/>
      <c r="AB442" s="1013"/>
      <c r="AC442" s="1017">
        <v>0</v>
      </c>
      <c r="AD442" s="1017">
        <v>0</v>
      </c>
      <c r="AE442" s="1013">
        <v>0</v>
      </c>
      <c r="AF442" s="1019"/>
      <c r="AG442" s="1019">
        <f t="shared" si="119"/>
        <v>5367109</v>
      </c>
      <c r="AH442" s="1014">
        <v>28</v>
      </c>
      <c r="AI442" s="1014">
        <v>0</v>
      </c>
      <c r="AJ442" s="1014">
        <v>0</v>
      </c>
      <c r="AK442" s="1018">
        <v>0</v>
      </c>
      <c r="AL442" s="1020">
        <v>0</v>
      </c>
      <c r="AM442" s="1013">
        <f t="shared" si="117"/>
        <v>1278375</v>
      </c>
      <c r="AN442" s="1045">
        <f t="shared" si="118"/>
        <v>6645484</v>
      </c>
      <c r="AO442" s="1013">
        <v>664755</v>
      </c>
      <c r="AP442" s="1013">
        <v>44100</v>
      </c>
      <c r="AQ442" s="1013">
        <v>0</v>
      </c>
      <c r="AR442" s="1013">
        <v>0</v>
      </c>
      <c r="AS442" s="1013">
        <v>0</v>
      </c>
      <c r="AT442" s="1045">
        <f t="shared" si="121"/>
        <v>5936629</v>
      </c>
      <c r="AU442" s="1004"/>
      <c r="AV442" s="870"/>
      <c r="AW442" s="782" t="s">
        <v>4176</v>
      </c>
      <c r="AX442" s="782" t="s">
        <v>4177</v>
      </c>
      <c r="AY442" s="1007" t="s">
        <v>287</v>
      </c>
      <c r="AZ442" s="1007">
        <v>622</v>
      </c>
      <c r="BA442" s="347" t="str">
        <f t="shared" si="116"/>
        <v>Box</v>
      </c>
      <c r="BB442" s="1008"/>
      <c r="BC442" s="1009"/>
      <c r="BD442" s="1009"/>
    </row>
    <row r="443" spans="1:56" s="1010" customFormat="1" ht="36.75" customHeight="1">
      <c r="A443" s="661">
        <f>SUBTOTAL(3,B$6:B443)</f>
        <v>438</v>
      </c>
      <c r="B443" s="661" t="s">
        <v>1689</v>
      </c>
      <c r="C443" s="662" t="s">
        <v>1690</v>
      </c>
      <c r="D443" s="1011">
        <v>45265</v>
      </c>
      <c r="E443" s="1011" t="s">
        <v>217</v>
      </c>
      <c r="F443" s="787" t="s">
        <v>578</v>
      </c>
      <c r="G443" s="996" t="s">
        <v>987</v>
      </c>
      <c r="H443" s="1012">
        <v>5538000</v>
      </c>
      <c r="I443" s="1012">
        <v>200000</v>
      </c>
      <c r="J443" s="1012">
        <v>0</v>
      </c>
      <c r="K443" s="1012">
        <v>0</v>
      </c>
      <c r="L443" s="1013">
        <f t="shared" si="120"/>
        <v>5738000</v>
      </c>
      <c r="M443" s="1014">
        <v>17</v>
      </c>
      <c r="N443" s="1013">
        <f t="shared" si="82"/>
        <v>3751769</v>
      </c>
      <c r="O443" s="1015">
        <v>3</v>
      </c>
      <c r="P443" s="1013">
        <f t="shared" si="83"/>
        <v>662077</v>
      </c>
      <c r="Q443" s="1016">
        <v>0</v>
      </c>
      <c r="R443" s="1013">
        <f t="shared" si="84"/>
        <v>0</v>
      </c>
      <c r="S443" s="1013">
        <f t="shared" si="85"/>
        <v>4413846</v>
      </c>
      <c r="T443" s="1017">
        <v>0</v>
      </c>
      <c r="U443" s="785">
        <v>0</v>
      </c>
      <c r="V443" s="785">
        <v>200000</v>
      </c>
      <c r="W443" s="1017">
        <v>0</v>
      </c>
      <c r="X443" s="1017">
        <v>0</v>
      </c>
      <c r="Y443" s="1017">
        <v>0</v>
      </c>
      <c r="Z443" s="1017">
        <v>224357</v>
      </c>
      <c r="AA443" s="1018"/>
      <c r="AB443" s="1013"/>
      <c r="AC443" s="1017">
        <v>0</v>
      </c>
      <c r="AD443" s="1017">
        <v>0</v>
      </c>
      <c r="AE443" s="1013">
        <v>0</v>
      </c>
      <c r="AF443" s="1019"/>
      <c r="AG443" s="1019">
        <f t="shared" si="119"/>
        <v>4838203</v>
      </c>
      <c r="AH443" s="1014">
        <v>15</v>
      </c>
      <c r="AI443" s="1014">
        <v>0</v>
      </c>
      <c r="AJ443" s="1014">
        <v>0</v>
      </c>
      <c r="AK443" s="1018">
        <v>0</v>
      </c>
      <c r="AL443" s="1020">
        <v>0</v>
      </c>
      <c r="AM443" s="1013">
        <f t="shared" si="117"/>
        <v>620697</v>
      </c>
      <c r="AN443" s="1045">
        <f t="shared" si="118"/>
        <v>5458900</v>
      </c>
      <c r="AO443" s="1013">
        <v>602490</v>
      </c>
      <c r="AP443" s="1013">
        <v>44100</v>
      </c>
      <c r="AQ443" s="1013">
        <v>0</v>
      </c>
      <c r="AR443" s="1013">
        <v>0</v>
      </c>
      <c r="AS443" s="1013">
        <v>0</v>
      </c>
      <c r="AT443" s="1045">
        <f t="shared" si="121"/>
        <v>4812310</v>
      </c>
      <c r="AU443" s="1004"/>
      <c r="AV443" s="870"/>
      <c r="AW443" s="782" t="s">
        <v>4178</v>
      </c>
      <c r="AX443" s="782" t="s">
        <v>4179</v>
      </c>
      <c r="AY443" s="1007" t="s">
        <v>287</v>
      </c>
      <c r="AZ443" s="1007">
        <v>622</v>
      </c>
      <c r="BA443" s="347" t="str">
        <f t="shared" si="116"/>
        <v>Box</v>
      </c>
      <c r="BB443" s="1008"/>
      <c r="BC443" s="1009"/>
      <c r="BD443" s="1009"/>
    </row>
    <row r="444" spans="1:56" s="1010" customFormat="1" ht="36.75" customHeight="1">
      <c r="A444" s="661">
        <f>SUBTOTAL(3,B$6:B444)</f>
        <v>439</v>
      </c>
      <c r="B444" s="661" t="s">
        <v>1691</v>
      </c>
      <c r="C444" s="662" t="s">
        <v>1692</v>
      </c>
      <c r="D444" s="1011">
        <v>45344</v>
      </c>
      <c r="E444" s="1011" t="s">
        <v>217</v>
      </c>
      <c r="F444" s="787" t="s">
        <v>578</v>
      </c>
      <c r="G444" s="996" t="s">
        <v>992</v>
      </c>
      <c r="H444" s="1012">
        <v>5538000</v>
      </c>
      <c r="I444" s="1012">
        <v>400000</v>
      </c>
      <c r="J444" s="1012">
        <v>0</v>
      </c>
      <c r="K444" s="1012">
        <v>0</v>
      </c>
      <c r="L444" s="1013">
        <f t="shared" si="120"/>
        <v>5938000</v>
      </c>
      <c r="M444" s="1014">
        <v>23.9</v>
      </c>
      <c r="N444" s="1013">
        <f t="shared" si="82"/>
        <v>5458392</v>
      </c>
      <c r="O444" s="1015">
        <v>2</v>
      </c>
      <c r="P444" s="1013">
        <f t="shared" si="83"/>
        <v>456769</v>
      </c>
      <c r="Q444" s="1016">
        <v>0</v>
      </c>
      <c r="R444" s="1013">
        <f t="shared" si="84"/>
        <v>0</v>
      </c>
      <c r="S444" s="1013">
        <f t="shared" si="85"/>
        <v>5915161</v>
      </c>
      <c r="T444" s="1017">
        <v>0</v>
      </c>
      <c r="U444" s="785">
        <v>0</v>
      </c>
      <c r="V444" s="785">
        <v>200000</v>
      </c>
      <c r="W444" s="1017">
        <v>500000</v>
      </c>
      <c r="X444" s="1017">
        <v>0</v>
      </c>
      <c r="Y444" s="1017">
        <v>400000</v>
      </c>
      <c r="Z444" s="1017">
        <v>455957</v>
      </c>
      <c r="AA444" s="1018"/>
      <c r="AB444" s="1013"/>
      <c r="AC444" s="1017">
        <v>100000</v>
      </c>
      <c r="AD444" s="1017">
        <v>0</v>
      </c>
      <c r="AE444" s="1013">
        <v>42822.1129707113</v>
      </c>
      <c r="AF444" s="1019"/>
      <c r="AG444" s="1019">
        <f t="shared" si="119"/>
        <v>7613940</v>
      </c>
      <c r="AH444" s="1014">
        <v>32</v>
      </c>
      <c r="AI444" s="1014">
        <v>0</v>
      </c>
      <c r="AJ444" s="1014">
        <v>0</v>
      </c>
      <c r="AK444" s="1018">
        <v>0</v>
      </c>
      <c r="AL444" s="1020">
        <v>0</v>
      </c>
      <c r="AM444" s="1013">
        <f t="shared" si="117"/>
        <v>1370308</v>
      </c>
      <c r="AN444" s="1045">
        <f t="shared" si="118"/>
        <v>8984248</v>
      </c>
      <c r="AO444" s="1013">
        <v>623490</v>
      </c>
      <c r="AP444" s="1013">
        <v>44100</v>
      </c>
      <c r="AQ444" s="1013">
        <v>0</v>
      </c>
      <c r="AR444" s="1013">
        <v>0</v>
      </c>
      <c r="AS444" s="1013">
        <v>0</v>
      </c>
      <c r="AT444" s="1045">
        <f t="shared" si="121"/>
        <v>8316658</v>
      </c>
      <c r="AU444" s="1004"/>
      <c r="AV444" s="870"/>
      <c r="AW444" s="782" t="s">
        <v>4180</v>
      </c>
      <c r="AX444" s="782" t="s">
        <v>4181</v>
      </c>
      <c r="AY444" s="1007" t="s">
        <v>287</v>
      </c>
      <c r="AZ444" s="1007">
        <v>622</v>
      </c>
      <c r="BA444" s="347" t="str">
        <f t="shared" ref="BA444:BA507" si="122">+IF(AY444="SK1 Box","Box",IF(AY444="Seaman","Seaman","Bag"))</f>
        <v>Box</v>
      </c>
      <c r="BB444" s="1008"/>
      <c r="BC444" s="1009"/>
      <c r="BD444" s="1009"/>
    </row>
    <row r="445" spans="1:56" s="1010" customFormat="1" ht="36.75" customHeight="1">
      <c r="A445" s="661">
        <f>SUBTOTAL(3,B$6:B445)</f>
        <v>440</v>
      </c>
      <c r="B445" s="661" t="s">
        <v>1693</v>
      </c>
      <c r="C445" s="662" t="s">
        <v>1694</v>
      </c>
      <c r="D445" s="1011">
        <v>45349</v>
      </c>
      <c r="E445" s="1011" t="s">
        <v>217</v>
      </c>
      <c r="F445" s="787" t="s">
        <v>578</v>
      </c>
      <c r="G445" s="996" t="s">
        <v>992</v>
      </c>
      <c r="H445" s="1012">
        <v>5538000</v>
      </c>
      <c r="I445" s="1012">
        <v>400000</v>
      </c>
      <c r="J445" s="1012">
        <v>0</v>
      </c>
      <c r="K445" s="1012">
        <v>0</v>
      </c>
      <c r="L445" s="1013">
        <f t="shared" si="120"/>
        <v>5938000</v>
      </c>
      <c r="M445" s="1014">
        <v>13.8</v>
      </c>
      <c r="N445" s="1013">
        <f t="shared" si="82"/>
        <v>3151708</v>
      </c>
      <c r="O445" s="1015">
        <v>2</v>
      </c>
      <c r="P445" s="1013">
        <f t="shared" si="83"/>
        <v>456769</v>
      </c>
      <c r="Q445" s="1016">
        <v>0</v>
      </c>
      <c r="R445" s="1013">
        <f t="shared" si="84"/>
        <v>0</v>
      </c>
      <c r="S445" s="1013">
        <f t="shared" si="85"/>
        <v>3608477</v>
      </c>
      <c r="T445" s="1017">
        <v>0</v>
      </c>
      <c r="U445" s="785">
        <v>0</v>
      </c>
      <c r="V445" s="785">
        <v>200000</v>
      </c>
      <c r="W445" s="1017">
        <v>0</v>
      </c>
      <c r="X445" s="1017">
        <v>0</v>
      </c>
      <c r="Y445" s="1017">
        <v>0</v>
      </c>
      <c r="Z445" s="1017">
        <v>214662</v>
      </c>
      <c r="AA445" s="1018"/>
      <c r="AB445" s="1013"/>
      <c r="AC445" s="1017">
        <v>0</v>
      </c>
      <c r="AD445" s="1017">
        <v>0</v>
      </c>
      <c r="AE445" s="1013">
        <v>0</v>
      </c>
      <c r="AF445" s="1019"/>
      <c r="AG445" s="1019">
        <f t="shared" si="119"/>
        <v>4023139</v>
      </c>
      <c r="AH445" s="1014">
        <v>19</v>
      </c>
      <c r="AI445" s="1014">
        <v>0</v>
      </c>
      <c r="AJ445" s="1014">
        <v>0</v>
      </c>
      <c r="AK445" s="1018">
        <v>0</v>
      </c>
      <c r="AL445" s="1020">
        <v>0</v>
      </c>
      <c r="AM445" s="1013">
        <f t="shared" si="117"/>
        <v>813620</v>
      </c>
      <c r="AN445" s="1045">
        <f t="shared" si="118"/>
        <v>4836759</v>
      </c>
      <c r="AO445" s="1013">
        <v>623490</v>
      </c>
      <c r="AP445" s="1013">
        <v>44100</v>
      </c>
      <c r="AQ445" s="1013">
        <v>0</v>
      </c>
      <c r="AR445" s="1013">
        <v>0</v>
      </c>
      <c r="AS445" s="1013">
        <v>0</v>
      </c>
      <c r="AT445" s="1045">
        <f t="shared" si="121"/>
        <v>4169169</v>
      </c>
      <c r="AU445" s="1004"/>
      <c r="AV445" s="870"/>
      <c r="AW445" s="782" t="s">
        <v>4182</v>
      </c>
      <c r="AX445" s="782" t="s">
        <v>4183</v>
      </c>
      <c r="AY445" s="1007" t="s">
        <v>287</v>
      </c>
      <c r="AZ445" s="1007">
        <v>622</v>
      </c>
      <c r="BA445" s="347" t="str">
        <f t="shared" si="122"/>
        <v>Box</v>
      </c>
      <c r="BB445" s="1008"/>
      <c r="BC445" s="1009"/>
      <c r="BD445" s="1009"/>
    </row>
    <row r="446" spans="1:56" s="1010" customFormat="1" ht="36.75" customHeight="1">
      <c r="A446" s="661">
        <f>SUBTOTAL(3,B$6:B446)</f>
        <v>441</v>
      </c>
      <c r="B446" s="661" t="s">
        <v>1695</v>
      </c>
      <c r="C446" s="662" t="s">
        <v>1696</v>
      </c>
      <c r="D446" s="1011">
        <v>45356</v>
      </c>
      <c r="E446" s="1011" t="s">
        <v>217</v>
      </c>
      <c r="F446" s="787" t="s">
        <v>578</v>
      </c>
      <c r="G446" s="996" t="s">
        <v>987</v>
      </c>
      <c r="H446" s="1012">
        <v>5538000</v>
      </c>
      <c r="I446" s="1012">
        <v>400000</v>
      </c>
      <c r="J446" s="1012">
        <v>0</v>
      </c>
      <c r="K446" s="1012">
        <v>0</v>
      </c>
      <c r="L446" s="1013">
        <f t="shared" si="120"/>
        <v>5938000</v>
      </c>
      <c r="M446" s="1014">
        <v>22.9</v>
      </c>
      <c r="N446" s="1013">
        <f t="shared" si="82"/>
        <v>5230008</v>
      </c>
      <c r="O446" s="1015">
        <v>3</v>
      </c>
      <c r="P446" s="1013">
        <f t="shared" si="83"/>
        <v>685154</v>
      </c>
      <c r="Q446" s="1016">
        <v>0</v>
      </c>
      <c r="R446" s="1013">
        <f t="shared" si="84"/>
        <v>0</v>
      </c>
      <c r="S446" s="1013">
        <f t="shared" si="85"/>
        <v>5915162</v>
      </c>
      <c r="T446" s="1017">
        <v>0</v>
      </c>
      <c r="U446" s="785">
        <v>0</v>
      </c>
      <c r="V446" s="785">
        <v>200000</v>
      </c>
      <c r="W446" s="1017">
        <v>500000</v>
      </c>
      <c r="X446" s="1017">
        <v>0</v>
      </c>
      <c r="Y446" s="1017">
        <v>400000</v>
      </c>
      <c r="Z446" s="1017">
        <v>271733</v>
      </c>
      <c r="AA446" s="1018"/>
      <c r="AB446" s="1013"/>
      <c r="AC446" s="1017">
        <v>0</v>
      </c>
      <c r="AD446" s="1017">
        <v>0</v>
      </c>
      <c r="AE446" s="1013">
        <v>42822.117903930135</v>
      </c>
      <c r="AF446" s="1019"/>
      <c r="AG446" s="1019">
        <f t="shared" si="119"/>
        <v>7329717</v>
      </c>
      <c r="AH446" s="1014">
        <v>32</v>
      </c>
      <c r="AI446" s="1014">
        <v>0</v>
      </c>
      <c r="AJ446" s="1014">
        <v>0</v>
      </c>
      <c r="AK446" s="1018">
        <v>0</v>
      </c>
      <c r="AL446" s="1020">
        <v>0</v>
      </c>
      <c r="AM446" s="1013">
        <f t="shared" si="117"/>
        <v>1370308</v>
      </c>
      <c r="AN446" s="1045">
        <f t="shared" si="118"/>
        <v>8700025</v>
      </c>
      <c r="AO446" s="1013">
        <v>623490</v>
      </c>
      <c r="AP446" s="1013">
        <v>44100</v>
      </c>
      <c r="AQ446" s="1013">
        <v>0</v>
      </c>
      <c r="AR446" s="1013">
        <v>0</v>
      </c>
      <c r="AS446" s="1013">
        <v>0</v>
      </c>
      <c r="AT446" s="1045">
        <f t="shared" si="121"/>
        <v>8032435</v>
      </c>
      <c r="AU446" s="1004"/>
      <c r="AV446" s="870"/>
      <c r="AW446" s="782" t="s">
        <v>4184</v>
      </c>
      <c r="AX446" s="782" t="s">
        <v>4185</v>
      </c>
      <c r="AY446" s="1007" t="s">
        <v>287</v>
      </c>
      <c r="AZ446" s="1007">
        <v>622</v>
      </c>
      <c r="BA446" s="347" t="str">
        <f t="shared" si="122"/>
        <v>Box</v>
      </c>
      <c r="BB446" s="1008"/>
      <c r="BC446" s="1009"/>
      <c r="BD446" s="1009"/>
    </row>
    <row r="447" spans="1:56" s="1010" customFormat="1" ht="36.75" customHeight="1">
      <c r="A447" s="661">
        <f>SUBTOTAL(3,B$6:B447)</f>
        <v>442</v>
      </c>
      <c r="B447" s="661" t="s">
        <v>1697</v>
      </c>
      <c r="C447" s="662" t="s">
        <v>1698</v>
      </c>
      <c r="D447" s="1011">
        <v>45372</v>
      </c>
      <c r="E447" s="1011" t="s">
        <v>217</v>
      </c>
      <c r="F447" s="787" t="s">
        <v>578</v>
      </c>
      <c r="G447" s="996" t="s">
        <v>987</v>
      </c>
      <c r="H447" s="1012">
        <v>5538000</v>
      </c>
      <c r="I447" s="1012">
        <v>200000</v>
      </c>
      <c r="J447" s="1012">
        <v>0</v>
      </c>
      <c r="K447" s="1012">
        <v>0</v>
      </c>
      <c r="L447" s="1013">
        <f t="shared" si="120"/>
        <v>5738000</v>
      </c>
      <c r="M447" s="1014">
        <v>24</v>
      </c>
      <c r="N447" s="1013">
        <f t="shared" si="82"/>
        <v>5296615</v>
      </c>
      <c r="O447" s="1015">
        <v>2</v>
      </c>
      <c r="P447" s="1013">
        <f t="shared" si="83"/>
        <v>441385</v>
      </c>
      <c r="Q447" s="1016">
        <v>0</v>
      </c>
      <c r="R447" s="1013">
        <f t="shared" si="84"/>
        <v>0</v>
      </c>
      <c r="S447" s="1013">
        <f t="shared" si="85"/>
        <v>5738000</v>
      </c>
      <c r="T447" s="1017">
        <v>0</v>
      </c>
      <c r="U447" s="785">
        <v>0</v>
      </c>
      <c r="V447" s="785">
        <v>200000</v>
      </c>
      <c r="W447" s="1017">
        <v>500000</v>
      </c>
      <c r="X447" s="1017">
        <v>0</v>
      </c>
      <c r="Y447" s="1017">
        <v>400000</v>
      </c>
      <c r="Z447" s="1017">
        <v>282408</v>
      </c>
      <c r="AA447" s="1018"/>
      <c r="AB447" s="1013"/>
      <c r="AC447" s="1017">
        <v>0</v>
      </c>
      <c r="AD447" s="1017">
        <v>0</v>
      </c>
      <c r="AE447" s="1013">
        <v>0</v>
      </c>
      <c r="AF447" s="1019"/>
      <c r="AG447" s="1019">
        <f t="shared" si="119"/>
        <v>7120408</v>
      </c>
      <c r="AH447" s="1014">
        <v>40</v>
      </c>
      <c r="AI447" s="1014">
        <v>0</v>
      </c>
      <c r="AJ447" s="1014">
        <v>0</v>
      </c>
      <c r="AK447" s="1018">
        <v>0</v>
      </c>
      <c r="AL447" s="1020">
        <v>0</v>
      </c>
      <c r="AM447" s="1013">
        <f t="shared" si="117"/>
        <v>1655192</v>
      </c>
      <c r="AN447" s="1045">
        <f t="shared" si="118"/>
        <v>8775600</v>
      </c>
      <c r="AO447" s="1013">
        <v>602490</v>
      </c>
      <c r="AP447" s="1013">
        <v>44100</v>
      </c>
      <c r="AQ447" s="1013">
        <v>0</v>
      </c>
      <c r="AR447" s="1013">
        <v>0</v>
      </c>
      <c r="AS447" s="1013">
        <v>0</v>
      </c>
      <c r="AT447" s="1045">
        <f t="shared" si="121"/>
        <v>8129010</v>
      </c>
      <c r="AU447" s="1004"/>
      <c r="AV447" s="870"/>
      <c r="AW447" s="782" t="s">
        <v>4186</v>
      </c>
      <c r="AX447" s="782" t="s">
        <v>4187</v>
      </c>
      <c r="AY447" s="1007" t="s">
        <v>287</v>
      </c>
      <c r="AZ447" s="1007">
        <v>622</v>
      </c>
      <c r="BA447" s="347" t="str">
        <f t="shared" si="122"/>
        <v>Box</v>
      </c>
      <c r="BB447" s="1008"/>
      <c r="BC447" s="1009"/>
      <c r="BD447" s="1009"/>
    </row>
    <row r="448" spans="1:56" s="1010" customFormat="1" ht="36.75" customHeight="1">
      <c r="A448" s="661">
        <f>SUBTOTAL(3,B$6:B448)</f>
        <v>443</v>
      </c>
      <c r="B448" s="661" t="s">
        <v>1699</v>
      </c>
      <c r="C448" s="662" t="s">
        <v>1700</v>
      </c>
      <c r="D448" s="1011">
        <v>45542</v>
      </c>
      <c r="E448" s="1011" t="s">
        <v>217</v>
      </c>
      <c r="F448" s="787" t="s">
        <v>578</v>
      </c>
      <c r="G448" s="996" t="s">
        <v>987</v>
      </c>
      <c r="H448" s="1012">
        <v>5274000</v>
      </c>
      <c r="I448" s="1012">
        <v>200000</v>
      </c>
      <c r="J448" s="1012">
        <v>0</v>
      </c>
      <c r="K448" s="1012">
        <v>0</v>
      </c>
      <c r="L448" s="1013">
        <f t="shared" si="120"/>
        <v>5474000</v>
      </c>
      <c r="M448" s="1014">
        <v>22.9</v>
      </c>
      <c r="N448" s="1013">
        <f t="shared" si="82"/>
        <v>4821331</v>
      </c>
      <c r="O448" s="1015">
        <v>3</v>
      </c>
      <c r="P448" s="1013">
        <f t="shared" si="83"/>
        <v>631615</v>
      </c>
      <c r="Q448" s="1016">
        <v>0</v>
      </c>
      <c r="R448" s="1013">
        <f t="shared" si="84"/>
        <v>0</v>
      </c>
      <c r="S448" s="1013">
        <f t="shared" si="85"/>
        <v>5452946</v>
      </c>
      <c r="T448" s="1017">
        <v>0</v>
      </c>
      <c r="U448" s="785">
        <v>0</v>
      </c>
      <c r="V448" s="785">
        <v>200000</v>
      </c>
      <c r="W448" s="1017">
        <v>500000</v>
      </c>
      <c r="X448" s="1017">
        <v>0</v>
      </c>
      <c r="Y448" s="1017">
        <v>400000</v>
      </c>
      <c r="Z448" s="1017">
        <v>162126</v>
      </c>
      <c r="AA448" s="1018"/>
      <c r="AB448" s="1013"/>
      <c r="AC448" s="1017">
        <v>0</v>
      </c>
      <c r="AD448" s="1017">
        <v>0</v>
      </c>
      <c r="AE448" s="1013">
        <v>39475.963427947601</v>
      </c>
      <c r="AF448" s="1019"/>
      <c r="AG448" s="1019">
        <f t="shared" si="119"/>
        <v>6754548</v>
      </c>
      <c r="AH448" s="1014">
        <v>32</v>
      </c>
      <c r="AI448" s="1014">
        <v>0</v>
      </c>
      <c r="AJ448" s="1014">
        <v>0</v>
      </c>
      <c r="AK448" s="1018">
        <v>0</v>
      </c>
      <c r="AL448" s="1020">
        <v>0</v>
      </c>
      <c r="AM448" s="1013">
        <f t="shared" si="117"/>
        <v>1263231</v>
      </c>
      <c r="AN448" s="1045">
        <f t="shared" si="118"/>
        <v>8017779</v>
      </c>
      <c r="AO448" s="1013">
        <v>574770</v>
      </c>
      <c r="AP448" s="1013">
        <v>44100</v>
      </c>
      <c r="AQ448" s="1013">
        <v>0</v>
      </c>
      <c r="AR448" s="1013">
        <v>0</v>
      </c>
      <c r="AS448" s="1013">
        <v>0</v>
      </c>
      <c r="AT448" s="1045">
        <f t="shared" si="121"/>
        <v>7398909</v>
      </c>
      <c r="AU448" s="1004"/>
      <c r="AV448" s="870"/>
      <c r="AW448" s="782" t="s">
        <v>4188</v>
      </c>
      <c r="AX448" s="782" t="s">
        <v>4189</v>
      </c>
      <c r="AY448" s="1007" t="s">
        <v>287</v>
      </c>
      <c r="AZ448" s="1007">
        <v>622</v>
      </c>
      <c r="BA448" s="347" t="str">
        <f t="shared" si="122"/>
        <v>Box</v>
      </c>
      <c r="BB448" s="1008"/>
      <c r="BC448" s="1009"/>
      <c r="BD448" s="1009"/>
    </row>
    <row r="449" spans="1:56" s="1010" customFormat="1" ht="36.75" customHeight="1">
      <c r="A449" s="661">
        <f>SUBTOTAL(3,B$6:B449)</f>
        <v>444</v>
      </c>
      <c r="B449" s="661" t="s">
        <v>1701</v>
      </c>
      <c r="C449" s="662" t="s">
        <v>1702</v>
      </c>
      <c r="D449" s="1011">
        <v>45563</v>
      </c>
      <c r="E449" s="1011" t="s">
        <v>217</v>
      </c>
      <c r="F449" s="787" t="s">
        <v>578</v>
      </c>
      <c r="G449" s="996" t="s">
        <v>987</v>
      </c>
      <c r="H449" s="1012">
        <v>5274000</v>
      </c>
      <c r="I449" s="1012">
        <v>200000</v>
      </c>
      <c r="J449" s="1012">
        <v>0</v>
      </c>
      <c r="K449" s="1012">
        <v>0</v>
      </c>
      <c r="L449" s="1013">
        <f t="shared" si="120"/>
        <v>5474000</v>
      </c>
      <c r="M449" s="1014">
        <v>23.6</v>
      </c>
      <c r="N449" s="1013">
        <f t="shared" si="82"/>
        <v>4968708</v>
      </c>
      <c r="O449" s="1015">
        <v>2</v>
      </c>
      <c r="P449" s="1013">
        <f t="shared" si="83"/>
        <v>421077</v>
      </c>
      <c r="Q449" s="1016">
        <v>0</v>
      </c>
      <c r="R449" s="1013">
        <f t="shared" si="84"/>
        <v>0</v>
      </c>
      <c r="S449" s="1013">
        <f t="shared" si="85"/>
        <v>5389785</v>
      </c>
      <c r="T449" s="1017">
        <v>0</v>
      </c>
      <c r="U449" s="785">
        <v>0</v>
      </c>
      <c r="V449" s="785">
        <v>200000</v>
      </c>
      <c r="W449" s="1017">
        <v>500000</v>
      </c>
      <c r="X449" s="1017">
        <v>0</v>
      </c>
      <c r="Y449" s="1017">
        <v>400000</v>
      </c>
      <c r="Z449" s="1017">
        <v>287359</v>
      </c>
      <c r="AA449" s="1018"/>
      <c r="AB449" s="1013"/>
      <c r="AC449" s="1017">
        <v>0</v>
      </c>
      <c r="AD449" s="1017">
        <v>0</v>
      </c>
      <c r="AE449" s="1013">
        <v>39475.963983050846</v>
      </c>
      <c r="AF449" s="1019"/>
      <c r="AG449" s="1019">
        <f t="shared" si="119"/>
        <v>6816620</v>
      </c>
      <c r="AH449" s="1014">
        <v>36</v>
      </c>
      <c r="AI449" s="1014">
        <v>0</v>
      </c>
      <c r="AJ449" s="1014">
        <v>0</v>
      </c>
      <c r="AK449" s="1018">
        <v>0</v>
      </c>
      <c r="AL449" s="1020">
        <v>0</v>
      </c>
      <c r="AM449" s="1013">
        <f t="shared" si="117"/>
        <v>1421135</v>
      </c>
      <c r="AN449" s="1045">
        <f t="shared" si="118"/>
        <v>8237755</v>
      </c>
      <c r="AO449" s="1013">
        <v>574770</v>
      </c>
      <c r="AP449" s="1013">
        <v>44100</v>
      </c>
      <c r="AQ449" s="1013">
        <v>0</v>
      </c>
      <c r="AR449" s="1013">
        <v>0</v>
      </c>
      <c r="AS449" s="1013">
        <v>0</v>
      </c>
      <c r="AT449" s="1045">
        <f t="shared" si="121"/>
        <v>7618885</v>
      </c>
      <c r="AU449" s="1004"/>
      <c r="AV449" s="870"/>
      <c r="AW449" s="782" t="s">
        <v>4190</v>
      </c>
      <c r="AX449" s="782" t="s">
        <v>4191</v>
      </c>
      <c r="AY449" s="1007" t="s">
        <v>287</v>
      </c>
      <c r="AZ449" s="1007">
        <v>622</v>
      </c>
      <c r="BA449" s="347" t="str">
        <f t="shared" si="122"/>
        <v>Box</v>
      </c>
      <c r="BB449" s="1008"/>
      <c r="BC449" s="1009"/>
      <c r="BD449" s="1009"/>
    </row>
    <row r="450" spans="1:56" s="1010" customFormat="1" ht="36.75" customHeight="1">
      <c r="A450" s="661">
        <f>SUBTOTAL(3,B$6:B450)</f>
        <v>445</v>
      </c>
      <c r="B450" s="661" t="s">
        <v>1703</v>
      </c>
      <c r="C450" s="662" t="s">
        <v>1704</v>
      </c>
      <c r="D450" s="1011">
        <v>45706</v>
      </c>
      <c r="E450" s="1011" t="s">
        <v>217</v>
      </c>
      <c r="F450" s="787" t="s">
        <v>578</v>
      </c>
      <c r="G450" s="996" t="s">
        <v>987</v>
      </c>
      <c r="H450" s="1012">
        <v>5023000</v>
      </c>
      <c r="I450" s="1012">
        <v>200000</v>
      </c>
      <c r="J450" s="1012">
        <v>0</v>
      </c>
      <c r="K450" s="1012">
        <v>0</v>
      </c>
      <c r="L450" s="1013">
        <f t="shared" si="120"/>
        <v>5223000</v>
      </c>
      <c r="M450" s="1014">
        <v>22.9</v>
      </c>
      <c r="N450" s="1013">
        <f t="shared" si="82"/>
        <v>4600258</v>
      </c>
      <c r="O450" s="1015">
        <v>3</v>
      </c>
      <c r="P450" s="1013">
        <f t="shared" si="83"/>
        <v>602654</v>
      </c>
      <c r="Q450" s="1016">
        <v>0</v>
      </c>
      <c r="R450" s="1013">
        <f t="shared" si="84"/>
        <v>0</v>
      </c>
      <c r="S450" s="1013">
        <f t="shared" si="85"/>
        <v>5202912</v>
      </c>
      <c r="T450" s="1017">
        <v>0</v>
      </c>
      <c r="U450" s="785">
        <v>0</v>
      </c>
      <c r="V450" s="785">
        <v>200000</v>
      </c>
      <c r="W450" s="1017">
        <v>500000</v>
      </c>
      <c r="X450" s="1017">
        <v>0</v>
      </c>
      <c r="Y450" s="1017">
        <v>400000</v>
      </c>
      <c r="Z450" s="1017">
        <v>142212</v>
      </c>
      <c r="AA450" s="1018"/>
      <c r="AB450" s="1013"/>
      <c r="AC450" s="1017">
        <v>0</v>
      </c>
      <c r="AD450" s="1017">
        <v>0</v>
      </c>
      <c r="AE450" s="1013">
        <v>37665.867903930135</v>
      </c>
      <c r="AF450" s="1019"/>
      <c r="AG450" s="1019">
        <f t="shared" si="119"/>
        <v>6482790</v>
      </c>
      <c r="AH450" s="1014">
        <v>40</v>
      </c>
      <c r="AI450" s="1014">
        <v>0</v>
      </c>
      <c r="AJ450" s="1014">
        <v>0</v>
      </c>
      <c r="AK450" s="1018">
        <v>0</v>
      </c>
      <c r="AL450" s="1020">
        <v>0</v>
      </c>
      <c r="AM450" s="1013">
        <f t="shared" si="117"/>
        <v>1506635</v>
      </c>
      <c r="AN450" s="1045">
        <f t="shared" si="118"/>
        <v>7989425</v>
      </c>
      <c r="AO450" s="1013">
        <v>548415</v>
      </c>
      <c r="AP450" s="1013">
        <v>44100</v>
      </c>
      <c r="AQ450" s="1013">
        <v>0</v>
      </c>
      <c r="AR450" s="1013">
        <v>0</v>
      </c>
      <c r="AS450" s="1013">
        <v>0</v>
      </c>
      <c r="AT450" s="1045">
        <f t="shared" si="121"/>
        <v>7396910</v>
      </c>
      <c r="AU450" s="1004"/>
      <c r="AV450" s="870"/>
      <c r="AW450" s="782" t="s">
        <v>4192</v>
      </c>
      <c r="AX450" s="782" t="s">
        <v>4193</v>
      </c>
      <c r="AY450" s="1007" t="s">
        <v>287</v>
      </c>
      <c r="AZ450" s="1007">
        <v>622</v>
      </c>
      <c r="BA450" s="347" t="str">
        <f t="shared" si="122"/>
        <v>Box</v>
      </c>
      <c r="BB450" s="1008"/>
      <c r="BC450" s="1009"/>
      <c r="BD450" s="1009"/>
    </row>
    <row r="451" spans="1:56" s="1010" customFormat="1" ht="36.75" customHeight="1">
      <c r="A451" s="661">
        <f>SUBTOTAL(3,B$6:B451)</f>
        <v>446</v>
      </c>
      <c r="B451" s="661" t="s">
        <v>1705</v>
      </c>
      <c r="C451" s="662" t="s">
        <v>1706</v>
      </c>
      <c r="D451" s="1011">
        <v>45706</v>
      </c>
      <c r="E451" s="1011" t="s">
        <v>217</v>
      </c>
      <c r="F451" s="787" t="s">
        <v>578</v>
      </c>
      <c r="G451" s="996" t="s">
        <v>987</v>
      </c>
      <c r="H451" s="1012">
        <v>5023000</v>
      </c>
      <c r="I451" s="1012">
        <v>200000</v>
      </c>
      <c r="J451" s="1012">
        <v>0</v>
      </c>
      <c r="K451" s="1012">
        <v>0</v>
      </c>
      <c r="L451" s="1013">
        <f t="shared" si="120"/>
        <v>5223000</v>
      </c>
      <c r="M451" s="1014">
        <v>17</v>
      </c>
      <c r="N451" s="1013">
        <f t="shared" si="82"/>
        <v>3415038</v>
      </c>
      <c r="O451" s="1015">
        <v>2</v>
      </c>
      <c r="P451" s="1013">
        <f t="shared" si="83"/>
        <v>401769</v>
      </c>
      <c r="Q451" s="1016">
        <v>0</v>
      </c>
      <c r="R451" s="1013">
        <f t="shared" si="84"/>
        <v>0</v>
      </c>
      <c r="S451" s="1013">
        <f t="shared" si="85"/>
        <v>3816807</v>
      </c>
      <c r="T451" s="1017">
        <v>0</v>
      </c>
      <c r="U451" s="785">
        <v>0</v>
      </c>
      <c r="V451" s="785">
        <v>200000</v>
      </c>
      <c r="W451" s="1017">
        <v>0</v>
      </c>
      <c r="X451" s="1017">
        <v>0</v>
      </c>
      <c r="Y451" s="1017">
        <v>0</v>
      </c>
      <c r="Z451" s="1017">
        <v>212298</v>
      </c>
      <c r="AA451" s="1018"/>
      <c r="AB451" s="1013"/>
      <c r="AC451" s="1017">
        <v>0</v>
      </c>
      <c r="AD451" s="1017">
        <v>0</v>
      </c>
      <c r="AE451" s="1013">
        <v>37665.86029411765</v>
      </c>
      <c r="AF451" s="1019"/>
      <c r="AG451" s="1019">
        <f t="shared" si="119"/>
        <v>4266771</v>
      </c>
      <c r="AH451" s="1014">
        <v>24</v>
      </c>
      <c r="AI451" s="1014">
        <v>0</v>
      </c>
      <c r="AJ451" s="1014">
        <v>0</v>
      </c>
      <c r="AK451" s="1018">
        <v>0</v>
      </c>
      <c r="AL451" s="1020">
        <v>0</v>
      </c>
      <c r="AM451" s="1013">
        <f t="shared" si="117"/>
        <v>903981</v>
      </c>
      <c r="AN451" s="1045">
        <f t="shared" si="118"/>
        <v>5170752</v>
      </c>
      <c r="AO451" s="1013">
        <v>548415</v>
      </c>
      <c r="AP451" s="1013">
        <v>44100</v>
      </c>
      <c r="AQ451" s="1013">
        <v>0</v>
      </c>
      <c r="AR451" s="1013">
        <v>0</v>
      </c>
      <c r="AS451" s="1013">
        <v>0</v>
      </c>
      <c r="AT451" s="1045">
        <f t="shared" si="121"/>
        <v>4578237</v>
      </c>
      <c r="AU451" s="1004"/>
      <c r="AV451" s="870"/>
      <c r="AW451" s="782" t="s">
        <v>4194</v>
      </c>
      <c r="AX451" s="782" t="s">
        <v>4195</v>
      </c>
      <c r="AY451" s="1007" t="s">
        <v>287</v>
      </c>
      <c r="AZ451" s="1007">
        <v>622</v>
      </c>
      <c r="BA451" s="347" t="str">
        <f t="shared" si="122"/>
        <v>Box</v>
      </c>
      <c r="BB451" s="1008"/>
      <c r="BC451" s="1009"/>
      <c r="BD451" s="1009"/>
    </row>
    <row r="452" spans="1:56" s="1010" customFormat="1" ht="36.75" customHeight="1">
      <c r="A452" s="661">
        <f>SUBTOTAL(3,B$6:B452)</f>
        <v>447</v>
      </c>
      <c r="B452" s="661" t="s">
        <v>1707</v>
      </c>
      <c r="C452" s="662" t="s">
        <v>1708</v>
      </c>
      <c r="D452" s="1011">
        <v>40793</v>
      </c>
      <c r="E452" s="1011" t="s">
        <v>217</v>
      </c>
      <c r="F452" s="787" t="s">
        <v>578</v>
      </c>
      <c r="G452" s="996" t="s">
        <v>992</v>
      </c>
      <c r="H452" s="1012">
        <v>5931000</v>
      </c>
      <c r="I452" s="1012">
        <v>900000</v>
      </c>
      <c r="J452" s="1012">
        <v>0</v>
      </c>
      <c r="K452" s="1012">
        <v>100000</v>
      </c>
      <c r="L452" s="1013">
        <f t="shared" si="120"/>
        <v>6931000</v>
      </c>
      <c r="M452" s="1014">
        <v>23</v>
      </c>
      <c r="N452" s="1013">
        <f t="shared" si="82"/>
        <v>6131269</v>
      </c>
      <c r="O452" s="1015">
        <v>3</v>
      </c>
      <c r="P452" s="1013">
        <f t="shared" si="83"/>
        <v>799731</v>
      </c>
      <c r="Q452" s="1016">
        <v>0</v>
      </c>
      <c r="R452" s="1013">
        <f t="shared" si="84"/>
        <v>0</v>
      </c>
      <c r="S452" s="1013">
        <f t="shared" si="85"/>
        <v>6931000</v>
      </c>
      <c r="T452" s="1017">
        <v>0</v>
      </c>
      <c r="U452" s="785">
        <v>0</v>
      </c>
      <c r="V452" s="785">
        <v>200000</v>
      </c>
      <c r="W452" s="1017">
        <v>500000</v>
      </c>
      <c r="X452" s="1017">
        <v>0</v>
      </c>
      <c r="Y452" s="1017">
        <v>400000</v>
      </c>
      <c r="Z452" s="1017">
        <v>253509</v>
      </c>
      <c r="AA452" s="1018"/>
      <c r="AB452" s="1013"/>
      <c r="AC452" s="1017">
        <v>0</v>
      </c>
      <c r="AD452" s="1017">
        <v>0</v>
      </c>
      <c r="AE452" s="1013">
        <v>0</v>
      </c>
      <c r="AF452" s="1019"/>
      <c r="AG452" s="1019">
        <f t="shared" si="119"/>
        <v>8284509</v>
      </c>
      <c r="AH452" s="1014">
        <v>36</v>
      </c>
      <c r="AI452" s="1014">
        <v>0</v>
      </c>
      <c r="AJ452" s="1014">
        <v>0</v>
      </c>
      <c r="AK452" s="1018">
        <v>0</v>
      </c>
      <c r="AL452" s="1020">
        <v>0</v>
      </c>
      <c r="AM452" s="1013">
        <f t="shared" si="117"/>
        <v>1799394</v>
      </c>
      <c r="AN452" s="1045">
        <f t="shared" si="118"/>
        <v>10083903</v>
      </c>
      <c r="AO452" s="1013">
        <v>727755</v>
      </c>
      <c r="AP452" s="1013">
        <v>44100</v>
      </c>
      <c r="AQ452" s="1013">
        <v>0</v>
      </c>
      <c r="AR452" s="1013">
        <v>0</v>
      </c>
      <c r="AS452" s="1013">
        <v>0</v>
      </c>
      <c r="AT452" s="1045">
        <f t="shared" si="121"/>
        <v>9312048</v>
      </c>
      <c r="AU452" s="1004"/>
      <c r="AV452" s="870"/>
      <c r="AW452" s="782" t="s">
        <v>4196</v>
      </c>
      <c r="AX452" s="782" t="s">
        <v>4197</v>
      </c>
      <c r="AY452" s="1007" t="s">
        <v>287</v>
      </c>
      <c r="AZ452" s="1007">
        <v>622</v>
      </c>
      <c r="BA452" s="347" t="str">
        <f t="shared" si="122"/>
        <v>Box</v>
      </c>
      <c r="BB452" s="1008"/>
      <c r="BC452" s="1009"/>
      <c r="BD452" s="1009"/>
    </row>
    <row r="453" spans="1:56" s="1010" customFormat="1" ht="36.75" customHeight="1">
      <c r="A453" s="661">
        <f>SUBTOTAL(3,B$6:B453)</f>
        <v>448</v>
      </c>
      <c r="B453" s="661" t="s">
        <v>1709</v>
      </c>
      <c r="C453" s="662" t="s">
        <v>1710</v>
      </c>
      <c r="D453" s="1011">
        <v>43789</v>
      </c>
      <c r="E453" s="1011" t="s">
        <v>217</v>
      </c>
      <c r="F453" s="787" t="s">
        <v>579</v>
      </c>
      <c r="G453" s="996" t="s">
        <v>987</v>
      </c>
      <c r="H453" s="1012">
        <v>5931000</v>
      </c>
      <c r="I453" s="1012">
        <v>200000</v>
      </c>
      <c r="J453" s="1012">
        <v>0</v>
      </c>
      <c r="K453" s="1012">
        <v>0</v>
      </c>
      <c r="L453" s="1013">
        <f t="shared" si="120"/>
        <v>6131000</v>
      </c>
      <c r="M453" s="1014">
        <v>24</v>
      </c>
      <c r="N453" s="1013">
        <f t="shared" si="82"/>
        <v>5659385</v>
      </c>
      <c r="O453" s="1015">
        <v>2</v>
      </c>
      <c r="P453" s="1013">
        <f t="shared" si="83"/>
        <v>471615</v>
      </c>
      <c r="Q453" s="1016">
        <v>0</v>
      </c>
      <c r="R453" s="1013">
        <f t="shared" si="84"/>
        <v>0</v>
      </c>
      <c r="S453" s="1013">
        <f t="shared" si="85"/>
        <v>6131000</v>
      </c>
      <c r="T453" s="1017">
        <v>0</v>
      </c>
      <c r="U453" s="785">
        <v>0</v>
      </c>
      <c r="V453" s="785">
        <v>200000</v>
      </c>
      <c r="W453" s="1017">
        <v>500000</v>
      </c>
      <c r="X453" s="1017">
        <v>0</v>
      </c>
      <c r="Y453" s="1017">
        <v>400000</v>
      </c>
      <c r="Z453" s="1017">
        <v>494046</v>
      </c>
      <c r="AA453" s="1018"/>
      <c r="AB453" s="1013"/>
      <c r="AC453" s="1017">
        <v>0</v>
      </c>
      <c r="AD453" s="1017">
        <v>0</v>
      </c>
      <c r="AE453" s="1013">
        <v>44213.9453125</v>
      </c>
      <c r="AF453" s="1019"/>
      <c r="AG453" s="1019">
        <f t="shared" si="119"/>
        <v>7769260</v>
      </c>
      <c r="AH453" s="1014">
        <v>44</v>
      </c>
      <c r="AI453" s="1014">
        <v>0</v>
      </c>
      <c r="AJ453" s="1014">
        <v>0</v>
      </c>
      <c r="AK453" s="1018">
        <v>0</v>
      </c>
      <c r="AL453" s="1020">
        <v>0</v>
      </c>
      <c r="AM453" s="1013">
        <f t="shared" si="117"/>
        <v>1945414</v>
      </c>
      <c r="AN453" s="1045">
        <f t="shared" si="118"/>
        <v>9714674</v>
      </c>
      <c r="AO453" s="1013">
        <v>643755</v>
      </c>
      <c r="AP453" s="1013">
        <v>44100</v>
      </c>
      <c r="AQ453" s="1013">
        <v>0</v>
      </c>
      <c r="AR453" s="1013">
        <v>0</v>
      </c>
      <c r="AS453" s="1013">
        <v>0</v>
      </c>
      <c r="AT453" s="1045">
        <f t="shared" si="121"/>
        <v>9026819</v>
      </c>
      <c r="AU453" s="1004"/>
      <c r="AV453" s="870"/>
      <c r="AW453" s="782" t="s">
        <v>4198</v>
      </c>
      <c r="AX453" s="782" t="s">
        <v>4199</v>
      </c>
      <c r="AY453" s="1007" t="s">
        <v>288</v>
      </c>
      <c r="AZ453" s="1007">
        <v>622</v>
      </c>
      <c r="BA453" s="347" t="str">
        <f t="shared" si="122"/>
        <v>Bag</v>
      </c>
      <c r="BB453" s="1008"/>
      <c r="BC453" s="1009"/>
      <c r="BD453" s="1009"/>
    </row>
    <row r="454" spans="1:56" s="1010" customFormat="1" ht="36.75" customHeight="1">
      <c r="A454" s="661">
        <f>SUBTOTAL(3,B$6:B454)</f>
        <v>449</v>
      </c>
      <c r="B454" s="661" t="s">
        <v>1711</v>
      </c>
      <c r="C454" s="662" t="s">
        <v>1712</v>
      </c>
      <c r="D454" s="1011">
        <v>39874</v>
      </c>
      <c r="E454" s="1011" t="s">
        <v>217</v>
      </c>
      <c r="F454" s="787" t="s">
        <v>579</v>
      </c>
      <c r="G454" s="996" t="s">
        <v>987</v>
      </c>
      <c r="H454" s="1012">
        <v>5931000</v>
      </c>
      <c r="I454" s="1012">
        <v>200000</v>
      </c>
      <c r="J454" s="1012">
        <v>0</v>
      </c>
      <c r="K454" s="1012">
        <v>0</v>
      </c>
      <c r="L454" s="1013">
        <f t="shared" si="120"/>
        <v>6131000</v>
      </c>
      <c r="M454" s="1014">
        <v>24</v>
      </c>
      <c r="N454" s="1013">
        <f t="shared" si="82"/>
        <v>5659385</v>
      </c>
      <c r="O454" s="1015">
        <v>2</v>
      </c>
      <c r="P454" s="1013">
        <f t="shared" si="83"/>
        <v>471615</v>
      </c>
      <c r="Q454" s="1016">
        <v>0</v>
      </c>
      <c r="R454" s="1013">
        <f t="shared" si="84"/>
        <v>0</v>
      </c>
      <c r="S454" s="1013">
        <f t="shared" si="85"/>
        <v>6131000</v>
      </c>
      <c r="T454" s="1017">
        <v>0</v>
      </c>
      <c r="U454" s="785">
        <v>0</v>
      </c>
      <c r="V454" s="785">
        <v>200000</v>
      </c>
      <c r="W454" s="1017">
        <v>500000</v>
      </c>
      <c r="X454" s="1017">
        <v>0</v>
      </c>
      <c r="Y454" s="1017">
        <v>400000</v>
      </c>
      <c r="Z454" s="1017">
        <v>502123</v>
      </c>
      <c r="AA454" s="1018"/>
      <c r="AB454" s="1013"/>
      <c r="AC454" s="1017">
        <v>100000</v>
      </c>
      <c r="AD454" s="1017">
        <v>0</v>
      </c>
      <c r="AE454" s="1013">
        <v>44213.9453125</v>
      </c>
      <c r="AF454" s="1019"/>
      <c r="AG454" s="1019">
        <f t="shared" si="119"/>
        <v>7877337</v>
      </c>
      <c r="AH454" s="1014">
        <v>48</v>
      </c>
      <c r="AI454" s="1014">
        <v>0</v>
      </c>
      <c r="AJ454" s="1014">
        <v>0</v>
      </c>
      <c r="AK454" s="1018">
        <v>0</v>
      </c>
      <c r="AL454" s="1020">
        <v>0</v>
      </c>
      <c r="AM454" s="1013">
        <f t="shared" si="117"/>
        <v>2122269</v>
      </c>
      <c r="AN454" s="1045">
        <f t="shared" si="118"/>
        <v>9999606</v>
      </c>
      <c r="AO454" s="1013">
        <v>643755</v>
      </c>
      <c r="AP454" s="1013">
        <v>44100</v>
      </c>
      <c r="AQ454" s="1013">
        <v>0</v>
      </c>
      <c r="AR454" s="1013">
        <v>0</v>
      </c>
      <c r="AS454" s="1013">
        <v>0</v>
      </c>
      <c r="AT454" s="1045">
        <f t="shared" si="121"/>
        <v>9311751</v>
      </c>
      <c r="AU454" s="1004"/>
      <c r="AV454" s="870"/>
      <c r="AW454" s="782" t="s">
        <v>4200</v>
      </c>
      <c r="AX454" s="782" t="s">
        <v>4201</v>
      </c>
      <c r="AY454" s="1007" t="s">
        <v>288</v>
      </c>
      <c r="AZ454" s="1007">
        <v>622</v>
      </c>
      <c r="BA454" s="347" t="str">
        <f t="shared" si="122"/>
        <v>Bag</v>
      </c>
      <c r="BB454" s="1008"/>
      <c r="BC454" s="1009"/>
      <c r="BD454" s="1009"/>
    </row>
    <row r="455" spans="1:56" s="1010" customFormat="1" ht="36.75" customHeight="1">
      <c r="A455" s="661">
        <f>SUBTOTAL(3,B$6:B455)</f>
        <v>450</v>
      </c>
      <c r="B455" s="661" t="s">
        <v>1713</v>
      </c>
      <c r="C455" s="662" t="s">
        <v>1714</v>
      </c>
      <c r="D455" s="1011">
        <v>40364</v>
      </c>
      <c r="E455" s="1011" t="s">
        <v>217</v>
      </c>
      <c r="F455" s="787" t="s">
        <v>579</v>
      </c>
      <c r="G455" s="996" t="s">
        <v>987</v>
      </c>
      <c r="H455" s="1012">
        <v>5931000</v>
      </c>
      <c r="I455" s="1012">
        <v>200000</v>
      </c>
      <c r="J455" s="1012">
        <v>0</v>
      </c>
      <c r="K455" s="1012">
        <v>0</v>
      </c>
      <c r="L455" s="1013">
        <f t="shared" si="120"/>
        <v>6131000</v>
      </c>
      <c r="M455" s="1014">
        <v>24</v>
      </c>
      <c r="N455" s="1013">
        <f t="shared" si="82"/>
        <v>5659385</v>
      </c>
      <c r="O455" s="1015">
        <v>2</v>
      </c>
      <c r="P455" s="1013">
        <f t="shared" si="83"/>
        <v>471615</v>
      </c>
      <c r="Q455" s="1016">
        <v>0</v>
      </c>
      <c r="R455" s="1013">
        <f t="shared" si="84"/>
        <v>0</v>
      </c>
      <c r="S455" s="1013">
        <f t="shared" si="85"/>
        <v>6131000</v>
      </c>
      <c r="T455" s="1017">
        <v>0</v>
      </c>
      <c r="U455" s="785">
        <v>0</v>
      </c>
      <c r="V455" s="785">
        <v>200000</v>
      </c>
      <c r="W455" s="1017">
        <v>500000</v>
      </c>
      <c r="X455" s="1017">
        <v>0</v>
      </c>
      <c r="Y455" s="1017">
        <v>400000</v>
      </c>
      <c r="Z455" s="1017">
        <v>502123</v>
      </c>
      <c r="AA455" s="1018"/>
      <c r="AB455" s="1013"/>
      <c r="AC455" s="1017">
        <v>0</v>
      </c>
      <c r="AD455" s="1017">
        <v>0</v>
      </c>
      <c r="AE455" s="1013">
        <v>44213.9453125</v>
      </c>
      <c r="AF455" s="1019"/>
      <c r="AG455" s="1019">
        <f t="shared" si="119"/>
        <v>7777337</v>
      </c>
      <c r="AH455" s="1014">
        <v>48</v>
      </c>
      <c r="AI455" s="1014">
        <v>0</v>
      </c>
      <c r="AJ455" s="1014">
        <v>0</v>
      </c>
      <c r="AK455" s="1018">
        <v>0</v>
      </c>
      <c r="AL455" s="1020">
        <v>0</v>
      </c>
      <c r="AM455" s="1013">
        <f t="shared" ref="AM455:AM518" si="123">ROUND((N455/IF(M455&gt;26,26,M455)/8*(AH455*$AH$5+AI455*$AI$5+AJ455*$AJ$5+AK455*$AK$5+AL455*$AL$5)),0)</f>
        <v>2122269</v>
      </c>
      <c r="AN455" s="1045">
        <f t="shared" si="118"/>
        <v>9899606</v>
      </c>
      <c r="AO455" s="1013">
        <v>643755</v>
      </c>
      <c r="AP455" s="1013">
        <v>44100</v>
      </c>
      <c r="AQ455" s="1013">
        <v>0</v>
      </c>
      <c r="AR455" s="1013">
        <v>0</v>
      </c>
      <c r="AS455" s="1013">
        <v>0</v>
      </c>
      <c r="AT455" s="1045">
        <f t="shared" si="121"/>
        <v>9211751</v>
      </c>
      <c r="AU455" s="1004"/>
      <c r="AV455" s="870"/>
      <c r="AW455" s="782" t="s">
        <v>4202</v>
      </c>
      <c r="AX455" s="782" t="s">
        <v>4203</v>
      </c>
      <c r="AY455" s="1007" t="s">
        <v>288</v>
      </c>
      <c r="AZ455" s="1007">
        <v>622</v>
      </c>
      <c r="BA455" s="347" t="str">
        <f t="shared" si="122"/>
        <v>Bag</v>
      </c>
      <c r="BB455" s="1008"/>
      <c r="BC455" s="1009"/>
      <c r="BD455" s="1009"/>
    </row>
    <row r="456" spans="1:56" s="1010" customFormat="1" ht="36.75" customHeight="1">
      <c r="A456" s="661">
        <f>SUBTOTAL(3,B$6:B456)</f>
        <v>451</v>
      </c>
      <c r="B456" s="661" t="s">
        <v>1715</v>
      </c>
      <c r="C456" s="662" t="s">
        <v>1716</v>
      </c>
      <c r="D456" s="1011">
        <v>40602</v>
      </c>
      <c r="E456" s="1011" t="s">
        <v>217</v>
      </c>
      <c r="F456" s="787" t="s">
        <v>579</v>
      </c>
      <c r="G456" s="996" t="s">
        <v>1717</v>
      </c>
      <c r="H456" s="1012">
        <v>5931000</v>
      </c>
      <c r="I456" s="1012">
        <v>1000000</v>
      </c>
      <c r="J456" s="1012">
        <v>0</v>
      </c>
      <c r="K456" s="1012">
        <v>200000</v>
      </c>
      <c r="L456" s="1013">
        <f t="shared" si="120"/>
        <v>7131000</v>
      </c>
      <c r="M456" s="1014">
        <v>24</v>
      </c>
      <c r="N456" s="1013">
        <f t="shared" si="82"/>
        <v>6582462</v>
      </c>
      <c r="O456" s="1015">
        <v>2</v>
      </c>
      <c r="P456" s="1013">
        <f t="shared" si="83"/>
        <v>548538</v>
      </c>
      <c r="Q456" s="1016">
        <v>0</v>
      </c>
      <c r="R456" s="1013">
        <f t="shared" si="84"/>
        <v>0</v>
      </c>
      <c r="S456" s="1013">
        <f t="shared" si="85"/>
        <v>7131000</v>
      </c>
      <c r="T456" s="1017">
        <v>0</v>
      </c>
      <c r="U456" s="785">
        <v>0</v>
      </c>
      <c r="V456" s="785">
        <v>200000</v>
      </c>
      <c r="W456" s="1017">
        <v>500000</v>
      </c>
      <c r="X456" s="1017">
        <v>0</v>
      </c>
      <c r="Y456" s="1017">
        <v>400000</v>
      </c>
      <c r="Z456" s="1017">
        <v>518593</v>
      </c>
      <c r="AA456" s="1018"/>
      <c r="AB456" s="1013"/>
      <c r="AC456" s="1017">
        <v>0</v>
      </c>
      <c r="AD456" s="1017">
        <v>0</v>
      </c>
      <c r="AE456" s="1013">
        <v>51425.484375</v>
      </c>
      <c r="AF456" s="1019"/>
      <c r="AG456" s="1019">
        <f t="shared" si="119"/>
        <v>8801018</v>
      </c>
      <c r="AH456" s="1014">
        <v>48</v>
      </c>
      <c r="AI456" s="1014">
        <v>0</v>
      </c>
      <c r="AJ456" s="1014">
        <v>0</v>
      </c>
      <c r="AK456" s="1018">
        <v>0</v>
      </c>
      <c r="AL456" s="1020">
        <v>0</v>
      </c>
      <c r="AM456" s="1013">
        <f t="shared" si="123"/>
        <v>2468423</v>
      </c>
      <c r="AN456" s="1045">
        <f t="shared" si="118"/>
        <v>11269441</v>
      </c>
      <c r="AO456" s="1013">
        <v>748755</v>
      </c>
      <c r="AP456" s="1013">
        <v>44100</v>
      </c>
      <c r="AQ456" s="1013">
        <v>0</v>
      </c>
      <c r="AR456" s="1013">
        <v>0</v>
      </c>
      <c r="AS456" s="1013">
        <v>0</v>
      </c>
      <c r="AT456" s="1045">
        <f t="shared" si="121"/>
        <v>10476586</v>
      </c>
      <c r="AU456" s="1004"/>
      <c r="AV456" s="870"/>
      <c r="AW456" s="782" t="s">
        <v>4204</v>
      </c>
      <c r="AX456" s="782" t="s">
        <v>4205</v>
      </c>
      <c r="AY456" s="1007" t="s">
        <v>288</v>
      </c>
      <c r="AZ456" s="1007">
        <v>622</v>
      </c>
      <c r="BA456" s="347" t="str">
        <f t="shared" si="122"/>
        <v>Bag</v>
      </c>
      <c r="BB456" s="1008"/>
      <c r="BC456" s="1009"/>
      <c r="BD456" s="1009"/>
    </row>
    <row r="457" spans="1:56" s="1010" customFormat="1" ht="36.75" customHeight="1">
      <c r="A457" s="661">
        <f>SUBTOTAL(3,B$6:B457)</f>
        <v>452</v>
      </c>
      <c r="B457" s="661" t="s">
        <v>1718</v>
      </c>
      <c r="C457" s="662" t="s">
        <v>1719</v>
      </c>
      <c r="D457" s="1011">
        <v>40854</v>
      </c>
      <c r="E457" s="1011" t="s">
        <v>217</v>
      </c>
      <c r="F457" s="787" t="s">
        <v>579</v>
      </c>
      <c r="G457" s="996" t="s">
        <v>987</v>
      </c>
      <c r="H457" s="1012">
        <v>5931000</v>
      </c>
      <c r="I457" s="1012">
        <v>200000</v>
      </c>
      <c r="J457" s="1012">
        <v>0</v>
      </c>
      <c r="K457" s="1012">
        <v>0</v>
      </c>
      <c r="L457" s="1013">
        <f t="shared" si="120"/>
        <v>6131000</v>
      </c>
      <c r="M457" s="1014">
        <v>17.8</v>
      </c>
      <c r="N457" s="1013">
        <f t="shared" si="82"/>
        <v>4197377</v>
      </c>
      <c r="O457" s="1015">
        <v>3</v>
      </c>
      <c r="P457" s="1013">
        <f t="shared" si="83"/>
        <v>707423</v>
      </c>
      <c r="Q457" s="1016">
        <v>0</v>
      </c>
      <c r="R457" s="1013">
        <f t="shared" si="84"/>
        <v>0</v>
      </c>
      <c r="S457" s="1013">
        <f t="shared" si="85"/>
        <v>4904800</v>
      </c>
      <c r="T457" s="1017">
        <v>0</v>
      </c>
      <c r="U457" s="785">
        <v>0</v>
      </c>
      <c r="V457" s="785">
        <v>200000</v>
      </c>
      <c r="W457" s="1017">
        <v>0</v>
      </c>
      <c r="X457" s="1017">
        <v>0</v>
      </c>
      <c r="Y457" s="1017">
        <v>0</v>
      </c>
      <c r="Z457" s="1017">
        <v>352169</v>
      </c>
      <c r="AA457" s="1018"/>
      <c r="AB457" s="1013"/>
      <c r="AC457" s="1017">
        <v>0</v>
      </c>
      <c r="AD457" s="1017">
        <v>0</v>
      </c>
      <c r="AE457" s="1013">
        <v>44213.943117977527</v>
      </c>
      <c r="AF457" s="1019"/>
      <c r="AG457" s="1019">
        <f t="shared" si="119"/>
        <v>5501183</v>
      </c>
      <c r="AH457" s="1014">
        <v>28</v>
      </c>
      <c r="AI457" s="1014">
        <v>0</v>
      </c>
      <c r="AJ457" s="1014">
        <v>0</v>
      </c>
      <c r="AK457" s="1018">
        <v>0</v>
      </c>
      <c r="AL457" s="1020">
        <v>0</v>
      </c>
      <c r="AM457" s="1013">
        <f t="shared" si="123"/>
        <v>1237990</v>
      </c>
      <c r="AN457" s="1045">
        <f t="shared" si="118"/>
        <v>6739173</v>
      </c>
      <c r="AO457" s="1013">
        <v>643755</v>
      </c>
      <c r="AP457" s="1013">
        <v>44100</v>
      </c>
      <c r="AQ457" s="1013">
        <v>0</v>
      </c>
      <c r="AR457" s="1013">
        <v>0</v>
      </c>
      <c r="AS457" s="1013">
        <v>0</v>
      </c>
      <c r="AT457" s="1045">
        <f t="shared" si="121"/>
        <v>6051318</v>
      </c>
      <c r="AU457" s="1004"/>
      <c r="AV457" s="870"/>
      <c r="AW457" s="782" t="s">
        <v>4206</v>
      </c>
      <c r="AX457" s="782" t="s">
        <v>4207</v>
      </c>
      <c r="AY457" s="1007" t="s">
        <v>288</v>
      </c>
      <c r="AZ457" s="1007">
        <v>622</v>
      </c>
      <c r="BA457" s="347" t="str">
        <f t="shared" si="122"/>
        <v>Bag</v>
      </c>
      <c r="BB457" s="1008"/>
      <c r="BC457" s="1009"/>
      <c r="BD457" s="1009"/>
    </row>
    <row r="458" spans="1:56" s="1010" customFormat="1" ht="36.75" customHeight="1">
      <c r="A458" s="661">
        <f>SUBTOTAL(3,B$6:B458)</f>
        <v>453</v>
      </c>
      <c r="B458" s="661" t="s">
        <v>1720</v>
      </c>
      <c r="C458" s="662" t="s">
        <v>1721</v>
      </c>
      <c r="D458" s="1011">
        <v>40949</v>
      </c>
      <c r="E458" s="1011" t="s">
        <v>217</v>
      </c>
      <c r="F458" s="787" t="s">
        <v>579</v>
      </c>
      <c r="G458" s="996" t="s">
        <v>987</v>
      </c>
      <c r="H458" s="1012">
        <v>5931000</v>
      </c>
      <c r="I458" s="1012">
        <v>400000</v>
      </c>
      <c r="J458" s="1012">
        <v>0</v>
      </c>
      <c r="K458" s="1012">
        <v>0</v>
      </c>
      <c r="L458" s="1013">
        <f t="shared" si="120"/>
        <v>6331000</v>
      </c>
      <c r="M458" s="1014">
        <v>24</v>
      </c>
      <c r="N458" s="1013">
        <f t="shared" si="82"/>
        <v>5844000</v>
      </c>
      <c r="O458" s="1015">
        <v>2</v>
      </c>
      <c r="P458" s="1013">
        <f t="shared" si="83"/>
        <v>487000</v>
      </c>
      <c r="Q458" s="1016">
        <v>0</v>
      </c>
      <c r="R458" s="1013">
        <f t="shared" si="84"/>
        <v>0</v>
      </c>
      <c r="S458" s="1013">
        <f t="shared" si="85"/>
        <v>6331000</v>
      </c>
      <c r="T458" s="1017">
        <v>0</v>
      </c>
      <c r="U458" s="785">
        <v>0</v>
      </c>
      <c r="V458" s="785">
        <v>200000</v>
      </c>
      <c r="W458" s="1017">
        <v>500000</v>
      </c>
      <c r="X458" s="1017">
        <v>0</v>
      </c>
      <c r="Y458" s="1017">
        <v>400000</v>
      </c>
      <c r="Z458" s="1017">
        <v>502123</v>
      </c>
      <c r="AA458" s="1018"/>
      <c r="AB458" s="1013"/>
      <c r="AC458" s="1017">
        <v>0</v>
      </c>
      <c r="AD458" s="1017">
        <v>0</v>
      </c>
      <c r="AE458" s="1013">
        <v>45656.25</v>
      </c>
      <c r="AF458" s="1019"/>
      <c r="AG458" s="1019">
        <f t="shared" si="119"/>
        <v>7978779</v>
      </c>
      <c r="AH458" s="1014">
        <v>48</v>
      </c>
      <c r="AI458" s="1014">
        <v>0</v>
      </c>
      <c r="AJ458" s="1014">
        <v>0</v>
      </c>
      <c r="AK458" s="1018">
        <v>0</v>
      </c>
      <c r="AL458" s="1020">
        <v>0</v>
      </c>
      <c r="AM458" s="1013">
        <f t="shared" si="123"/>
        <v>2191500</v>
      </c>
      <c r="AN458" s="1045">
        <f t="shared" si="118"/>
        <v>10170279</v>
      </c>
      <c r="AO458" s="1013">
        <v>664755</v>
      </c>
      <c r="AP458" s="1013">
        <v>44100</v>
      </c>
      <c r="AQ458" s="1013">
        <v>0</v>
      </c>
      <c r="AR458" s="1013">
        <v>0</v>
      </c>
      <c r="AS458" s="1013">
        <v>0</v>
      </c>
      <c r="AT458" s="1045">
        <f t="shared" si="121"/>
        <v>9461424</v>
      </c>
      <c r="AU458" s="1004"/>
      <c r="AV458" s="870"/>
      <c r="AW458" s="782" t="s">
        <v>3596</v>
      </c>
      <c r="AX458" s="782" t="s">
        <v>4208</v>
      </c>
      <c r="AY458" s="1007" t="s">
        <v>288</v>
      </c>
      <c r="AZ458" s="1007">
        <v>622</v>
      </c>
      <c r="BA458" s="347" t="str">
        <f t="shared" si="122"/>
        <v>Bag</v>
      </c>
      <c r="BB458" s="1008"/>
      <c r="BC458" s="1009"/>
      <c r="BD458" s="1009"/>
    </row>
    <row r="459" spans="1:56" s="1010" customFormat="1" ht="36.75" customHeight="1">
      <c r="A459" s="661">
        <f>SUBTOTAL(3,B$6:B459)</f>
        <v>454</v>
      </c>
      <c r="B459" s="661" t="s">
        <v>1722</v>
      </c>
      <c r="C459" s="662" t="s">
        <v>1723</v>
      </c>
      <c r="D459" s="1011">
        <v>41715</v>
      </c>
      <c r="E459" s="1011" t="s">
        <v>217</v>
      </c>
      <c r="F459" s="787" t="s">
        <v>579</v>
      </c>
      <c r="G459" s="996" t="s">
        <v>992</v>
      </c>
      <c r="H459" s="1012">
        <v>5931000</v>
      </c>
      <c r="I459" s="1012">
        <v>400000</v>
      </c>
      <c r="J459" s="1012">
        <v>0</v>
      </c>
      <c r="K459" s="1012">
        <v>0</v>
      </c>
      <c r="L459" s="1013">
        <f t="shared" si="120"/>
        <v>6331000</v>
      </c>
      <c r="M459" s="1014">
        <v>23.9</v>
      </c>
      <c r="N459" s="1013">
        <f t="shared" si="82"/>
        <v>5819650</v>
      </c>
      <c r="O459" s="1015">
        <v>2</v>
      </c>
      <c r="P459" s="1013">
        <f t="shared" si="83"/>
        <v>487000</v>
      </c>
      <c r="Q459" s="1016">
        <v>0</v>
      </c>
      <c r="R459" s="1013">
        <f t="shared" si="84"/>
        <v>0</v>
      </c>
      <c r="S459" s="1013">
        <f t="shared" si="85"/>
        <v>6306650</v>
      </c>
      <c r="T459" s="1017">
        <v>0</v>
      </c>
      <c r="U459" s="785">
        <v>0</v>
      </c>
      <c r="V459" s="785">
        <v>200000</v>
      </c>
      <c r="W459" s="1017">
        <v>500000</v>
      </c>
      <c r="X459" s="1017">
        <v>0</v>
      </c>
      <c r="Y459" s="1017">
        <v>400000</v>
      </c>
      <c r="Z459" s="1017">
        <v>516432</v>
      </c>
      <c r="AA459" s="1018"/>
      <c r="AB459" s="1013"/>
      <c r="AC459" s="1017">
        <v>0</v>
      </c>
      <c r="AD459" s="1017">
        <v>0</v>
      </c>
      <c r="AE459" s="1013">
        <v>45656.25</v>
      </c>
      <c r="AF459" s="1019"/>
      <c r="AG459" s="1019">
        <f t="shared" si="119"/>
        <v>7968738</v>
      </c>
      <c r="AH459" s="1014">
        <v>48</v>
      </c>
      <c r="AI459" s="1014">
        <v>0</v>
      </c>
      <c r="AJ459" s="1014">
        <v>0</v>
      </c>
      <c r="AK459" s="1018">
        <v>0</v>
      </c>
      <c r="AL459" s="1020">
        <v>0</v>
      </c>
      <c r="AM459" s="1013">
        <f t="shared" si="123"/>
        <v>2191500</v>
      </c>
      <c r="AN459" s="1045">
        <f t="shared" si="118"/>
        <v>10160238</v>
      </c>
      <c r="AO459" s="1013">
        <v>664755</v>
      </c>
      <c r="AP459" s="1013">
        <v>44100</v>
      </c>
      <c r="AQ459" s="1013">
        <v>0</v>
      </c>
      <c r="AR459" s="1013">
        <v>0</v>
      </c>
      <c r="AS459" s="1013">
        <v>0</v>
      </c>
      <c r="AT459" s="1045">
        <f t="shared" si="121"/>
        <v>9451383</v>
      </c>
      <c r="AU459" s="1004"/>
      <c r="AV459" s="870"/>
      <c r="AW459" s="782" t="s">
        <v>4209</v>
      </c>
      <c r="AX459" s="782" t="s">
        <v>4210</v>
      </c>
      <c r="AY459" s="1007" t="s">
        <v>288</v>
      </c>
      <c r="AZ459" s="1007">
        <v>622</v>
      </c>
      <c r="BA459" s="347" t="str">
        <f t="shared" si="122"/>
        <v>Bag</v>
      </c>
      <c r="BB459" s="1008"/>
      <c r="BC459" s="1009"/>
      <c r="BD459" s="1009"/>
    </row>
    <row r="460" spans="1:56" s="1010" customFormat="1" ht="36.75" customHeight="1">
      <c r="A460" s="661">
        <f>SUBTOTAL(3,B$6:B460)</f>
        <v>455</v>
      </c>
      <c r="B460" s="661" t="s">
        <v>1724</v>
      </c>
      <c r="C460" s="662" t="s">
        <v>1725</v>
      </c>
      <c r="D460" s="1011">
        <v>42702</v>
      </c>
      <c r="E460" s="1011" t="s">
        <v>217</v>
      </c>
      <c r="F460" s="787" t="s">
        <v>579</v>
      </c>
      <c r="G460" s="996" t="s">
        <v>987</v>
      </c>
      <c r="H460" s="1012">
        <v>5931000</v>
      </c>
      <c r="I460" s="1012">
        <v>200000</v>
      </c>
      <c r="J460" s="1012">
        <v>0</v>
      </c>
      <c r="K460" s="1012">
        <v>0</v>
      </c>
      <c r="L460" s="1013">
        <f t="shared" si="120"/>
        <v>6131000</v>
      </c>
      <c r="M460" s="1014">
        <v>24</v>
      </c>
      <c r="N460" s="1013">
        <f t="shared" si="82"/>
        <v>5659385</v>
      </c>
      <c r="O460" s="1015">
        <v>2</v>
      </c>
      <c r="P460" s="1013">
        <f t="shared" si="83"/>
        <v>471615</v>
      </c>
      <c r="Q460" s="1016">
        <v>0</v>
      </c>
      <c r="R460" s="1013">
        <f t="shared" si="84"/>
        <v>0</v>
      </c>
      <c r="S460" s="1013">
        <f t="shared" si="85"/>
        <v>6131000</v>
      </c>
      <c r="T460" s="1017">
        <v>0</v>
      </c>
      <c r="U460" s="785">
        <v>0</v>
      </c>
      <c r="V460" s="785">
        <v>200000</v>
      </c>
      <c r="W460" s="1017">
        <v>500000</v>
      </c>
      <c r="X460" s="1017">
        <v>0</v>
      </c>
      <c r="Y460" s="1017">
        <v>400000</v>
      </c>
      <c r="Z460" s="1017">
        <v>525683</v>
      </c>
      <c r="AA460" s="1018"/>
      <c r="AB460" s="1013"/>
      <c r="AC460" s="1017">
        <v>100000</v>
      </c>
      <c r="AD460" s="1017">
        <v>0</v>
      </c>
      <c r="AE460" s="1013">
        <v>44213.9453125</v>
      </c>
      <c r="AF460" s="1019"/>
      <c r="AG460" s="1019">
        <f t="shared" si="119"/>
        <v>7900897</v>
      </c>
      <c r="AH460" s="1014">
        <v>44</v>
      </c>
      <c r="AI460" s="1014">
        <v>0</v>
      </c>
      <c r="AJ460" s="1014">
        <v>0</v>
      </c>
      <c r="AK460" s="1018">
        <v>0</v>
      </c>
      <c r="AL460" s="1020">
        <v>0</v>
      </c>
      <c r="AM460" s="1013">
        <f t="shared" si="123"/>
        <v>1945414</v>
      </c>
      <c r="AN460" s="1045">
        <f t="shared" si="118"/>
        <v>9846311</v>
      </c>
      <c r="AO460" s="1013">
        <v>643755</v>
      </c>
      <c r="AP460" s="1013">
        <v>44100</v>
      </c>
      <c r="AQ460" s="1013">
        <v>0</v>
      </c>
      <c r="AR460" s="1013">
        <v>0</v>
      </c>
      <c r="AS460" s="1013">
        <v>0</v>
      </c>
      <c r="AT460" s="1045">
        <f t="shared" si="121"/>
        <v>9158456</v>
      </c>
      <c r="AU460" s="1004"/>
      <c r="AV460" s="870"/>
      <c r="AW460" s="782" t="s">
        <v>4211</v>
      </c>
      <c r="AX460" s="782" t="s">
        <v>4212</v>
      </c>
      <c r="AY460" s="1007" t="s">
        <v>288</v>
      </c>
      <c r="AZ460" s="1007">
        <v>622</v>
      </c>
      <c r="BA460" s="347" t="str">
        <f t="shared" si="122"/>
        <v>Bag</v>
      </c>
      <c r="BB460" s="1008"/>
      <c r="BC460" s="1009"/>
      <c r="BD460" s="1009"/>
    </row>
    <row r="461" spans="1:56" s="1010" customFormat="1" ht="36.75" customHeight="1">
      <c r="A461" s="661">
        <f>SUBTOTAL(3,B$6:B461)</f>
        <v>456</v>
      </c>
      <c r="B461" s="661" t="s">
        <v>1726</v>
      </c>
      <c r="C461" s="662" t="s">
        <v>1727</v>
      </c>
      <c r="D461" s="1011">
        <v>42822</v>
      </c>
      <c r="E461" s="1011" t="s">
        <v>217</v>
      </c>
      <c r="F461" s="787" t="s">
        <v>579</v>
      </c>
      <c r="G461" s="996" t="s">
        <v>987</v>
      </c>
      <c r="H461" s="1012">
        <v>5931000</v>
      </c>
      <c r="I461" s="1012">
        <v>200000</v>
      </c>
      <c r="J461" s="1012">
        <v>0</v>
      </c>
      <c r="K461" s="1012">
        <v>0</v>
      </c>
      <c r="L461" s="1013">
        <f t="shared" si="120"/>
        <v>6131000</v>
      </c>
      <c r="M461" s="1014">
        <v>22.8</v>
      </c>
      <c r="N461" s="1013">
        <f t="shared" si="82"/>
        <v>5376415</v>
      </c>
      <c r="O461" s="1015">
        <v>3</v>
      </c>
      <c r="P461" s="1013">
        <f t="shared" si="83"/>
        <v>707423</v>
      </c>
      <c r="Q461" s="1016">
        <v>0</v>
      </c>
      <c r="R461" s="1013">
        <f t="shared" si="84"/>
        <v>0</v>
      </c>
      <c r="S461" s="1013">
        <f t="shared" si="85"/>
        <v>6083838</v>
      </c>
      <c r="T461" s="1017">
        <v>0</v>
      </c>
      <c r="U461" s="785">
        <v>0</v>
      </c>
      <c r="V461" s="785">
        <v>200000</v>
      </c>
      <c r="W461" s="1017">
        <v>500000</v>
      </c>
      <c r="X461" s="1017">
        <v>0</v>
      </c>
      <c r="Y461" s="1017">
        <v>400000</v>
      </c>
      <c r="Z461" s="1017">
        <v>482871</v>
      </c>
      <c r="AA461" s="1018"/>
      <c r="AB461" s="1013"/>
      <c r="AC461" s="1017">
        <v>0</v>
      </c>
      <c r="AD461" s="1017">
        <v>0</v>
      </c>
      <c r="AE461" s="1013">
        <v>44213.93914473684</v>
      </c>
      <c r="AF461" s="1019"/>
      <c r="AG461" s="1019">
        <f t="shared" si="119"/>
        <v>7710923</v>
      </c>
      <c r="AH461" s="1014">
        <v>44</v>
      </c>
      <c r="AI461" s="1014">
        <v>0</v>
      </c>
      <c r="AJ461" s="1014">
        <v>0</v>
      </c>
      <c r="AK461" s="1018">
        <v>0</v>
      </c>
      <c r="AL461" s="1020">
        <v>0</v>
      </c>
      <c r="AM461" s="1013">
        <f t="shared" si="123"/>
        <v>1945413</v>
      </c>
      <c r="AN461" s="1045">
        <f t="shared" si="118"/>
        <v>9656336</v>
      </c>
      <c r="AO461" s="1013">
        <v>643755</v>
      </c>
      <c r="AP461" s="1013">
        <v>44100</v>
      </c>
      <c r="AQ461" s="1013">
        <v>0</v>
      </c>
      <c r="AR461" s="1013">
        <v>0</v>
      </c>
      <c r="AS461" s="1013">
        <v>0</v>
      </c>
      <c r="AT461" s="1045">
        <f t="shared" si="121"/>
        <v>8968481</v>
      </c>
      <c r="AU461" s="1004"/>
      <c r="AV461" s="870"/>
      <c r="AW461" s="782" t="s">
        <v>4213</v>
      </c>
      <c r="AX461" s="782" t="s">
        <v>4214</v>
      </c>
      <c r="AY461" s="1007" t="s">
        <v>288</v>
      </c>
      <c r="AZ461" s="1007">
        <v>622</v>
      </c>
      <c r="BA461" s="347" t="str">
        <f t="shared" si="122"/>
        <v>Bag</v>
      </c>
      <c r="BB461" s="1008"/>
      <c r="BC461" s="1009"/>
      <c r="BD461" s="1009"/>
    </row>
    <row r="462" spans="1:56" s="1010" customFormat="1" ht="36.75" customHeight="1">
      <c r="A462" s="661">
        <f>SUBTOTAL(3,B$6:B462)</f>
        <v>457</v>
      </c>
      <c r="B462" s="661" t="s">
        <v>1728</v>
      </c>
      <c r="C462" s="662" t="s">
        <v>1729</v>
      </c>
      <c r="D462" s="1011">
        <v>44779</v>
      </c>
      <c r="E462" s="1011" t="s">
        <v>217</v>
      </c>
      <c r="F462" s="787" t="s">
        <v>580</v>
      </c>
      <c r="G462" s="996" t="s">
        <v>1338</v>
      </c>
      <c r="H462" s="1012">
        <v>5815000</v>
      </c>
      <c r="I462" s="1012">
        <v>400000</v>
      </c>
      <c r="J462" s="1012">
        <v>0</v>
      </c>
      <c r="K462" s="1012">
        <v>0</v>
      </c>
      <c r="L462" s="1013">
        <f t="shared" si="120"/>
        <v>6215000</v>
      </c>
      <c r="M462" s="1014">
        <v>21.3</v>
      </c>
      <c r="N462" s="1013">
        <f t="shared" si="82"/>
        <v>5091519</v>
      </c>
      <c r="O462" s="1015">
        <v>3</v>
      </c>
      <c r="P462" s="1013">
        <f t="shared" si="83"/>
        <v>717115</v>
      </c>
      <c r="Q462" s="1016">
        <v>0</v>
      </c>
      <c r="R462" s="1013">
        <f t="shared" si="84"/>
        <v>0</v>
      </c>
      <c r="S462" s="1013">
        <f t="shared" si="85"/>
        <v>5808634</v>
      </c>
      <c r="T462" s="1017">
        <v>0</v>
      </c>
      <c r="U462" s="785">
        <v>0</v>
      </c>
      <c r="V462" s="785">
        <v>200000</v>
      </c>
      <c r="W462" s="1017">
        <v>0</v>
      </c>
      <c r="X462" s="1017">
        <v>0</v>
      </c>
      <c r="Y462" s="1017">
        <v>300000</v>
      </c>
      <c r="Z462" s="1017">
        <v>325941</v>
      </c>
      <c r="AA462" s="1018"/>
      <c r="AB462" s="1013"/>
      <c r="AC462" s="1017">
        <v>0</v>
      </c>
      <c r="AD462" s="1017">
        <v>0</v>
      </c>
      <c r="AE462" s="1013">
        <v>44819.709507042251</v>
      </c>
      <c r="AF462" s="1019"/>
      <c r="AG462" s="1019">
        <f t="shared" si="119"/>
        <v>6679395</v>
      </c>
      <c r="AH462" s="1014">
        <v>24</v>
      </c>
      <c r="AI462" s="1014">
        <v>0</v>
      </c>
      <c r="AJ462" s="1014">
        <v>0</v>
      </c>
      <c r="AK462" s="1018">
        <v>0</v>
      </c>
      <c r="AL462" s="1020">
        <v>0</v>
      </c>
      <c r="AM462" s="1013">
        <f t="shared" si="123"/>
        <v>1075673</v>
      </c>
      <c r="AN462" s="1045">
        <f t="shared" si="118"/>
        <v>7755068</v>
      </c>
      <c r="AO462" s="1013">
        <v>652575</v>
      </c>
      <c r="AP462" s="1013">
        <v>44100</v>
      </c>
      <c r="AQ462" s="1013">
        <v>0</v>
      </c>
      <c r="AR462" s="1013">
        <v>0</v>
      </c>
      <c r="AS462" s="1013">
        <v>0</v>
      </c>
      <c r="AT462" s="1045">
        <f t="shared" si="121"/>
        <v>7058393</v>
      </c>
      <c r="AU462" s="1004"/>
      <c r="AV462" s="870"/>
      <c r="AW462" s="782" t="s">
        <v>4215</v>
      </c>
      <c r="AX462" s="782" t="s">
        <v>4216</v>
      </c>
      <c r="AY462" s="1007" t="s">
        <v>288</v>
      </c>
      <c r="AZ462" s="1007">
        <v>622</v>
      </c>
      <c r="BA462" s="347" t="str">
        <f t="shared" si="122"/>
        <v>Bag</v>
      </c>
      <c r="BB462" s="1008"/>
      <c r="BC462" s="1009"/>
      <c r="BD462" s="1009"/>
    </row>
    <row r="463" spans="1:56" s="1010" customFormat="1" ht="36.75" customHeight="1">
      <c r="A463" s="661">
        <f>SUBTOTAL(3,B$6:B463)</f>
        <v>458</v>
      </c>
      <c r="B463" s="661" t="s">
        <v>1730</v>
      </c>
      <c r="C463" s="662" t="s">
        <v>1731</v>
      </c>
      <c r="D463" s="1011">
        <v>45419</v>
      </c>
      <c r="E463" s="1011" t="s">
        <v>217</v>
      </c>
      <c r="F463" s="787" t="s">
        <v>580</v>
      </c>
      <c r="G463" s="996" t="s">
        <v>1338</v>
      </c>
      <c r="H463" s="1012">
        <v>5274000</v>
      </c>
      <c r="I463" s="1012">
        <v>300000</v>
      </c>
      <c r="J463" s="1012">
        <v>0</v>
      </c>
      <c r="K463" s="1012">
        <v>0</v>
      </c>
      <c r="L463" s="1013">
        <f t="shared" si="120"/>
        <v>5574000</v>
      </c>
      <c r="M463" s="1014">
        <v>23.8</v>
      </c>
      <c r="N463" s="1013">
        <f t="shared" si="82"/>
        <v>5102354</v>
      </c>
      <c r="O463" s="1015">
        <v>2</v>
      </c>
      <c r="P463" s="1013">
        <f t="shared" si="83"/>
        <v>428769</v>
      </c>
      <c r="Q463" s="1016">
        <v>0</v>
      </c>
      <c r="R463" s="1013">
        <f t="shared" si="84"/>
        <v>0</v>
      </c>
      <c r="S463" s="1013">
        <f t="shared" si="85"/>
        <v>5531123</v>
      </c>
      <c r="T463" s="1017">
        <v>0</v>
      </c>
      <c r="U463" s="785">
        <v>0</v>
      </c>
      <c r="V463" s="785">
        <v>200000</v>
      </c>
      <c r="W463" s="1017">
        <v>500000</v>
      </c>
      <c r="X463" s="1017">
        <v>0</v>
      </c>
      <c r="Y463" s="1017">
        <v>400000</v>
      </c>
      <c r="Z463" s="1017">
        <v>364197</v>
      </c>
      <c r="AA463" s="1018"/>
      <c r="AB463" s="1013"/>
      <c r="AC463" s="1017">
        <v>0</v>
      </c>
      <c r="AD463" s="1017">
        <v>0</v>
      </c>
      <c r="AE463" s="1013">
        <v>0</v>
      </c>
      <c r="AF463" s="1019"/>
      <c r="AG463" s="1019">
        <f t="shared" si="119"/>
        <v>6995320</v>
      </c>
      <c r="AH463" s="1014">
        <v>48</v>
      </c>
      <c r="AI463" s="1014">
        <v>0</v>
      </c>
      <c r="AJ463" s="1014">
        <v>0</v>
      </c>
      <c r="AK463" s="1018">
        <v>0</v>
      </c>
      <c r="AL463" s="1020">
        <v>0</v>
      </c>
      <c r="AM463" s="1013">
        <f t="shared" si="123"/>
        <v>1929462</v>
      </c>
      <c r="AN463" s="1045">
        <f t="shared" si="118"/>
        <v>8924782</v>
      </c>
      <c r="AO463" s="1013">
        <v>585270</v>
      </c>
      <c r="AP463" s="1013">
        <v>44100</v>
      </c>
      <c r="AQ463" s="1013">
        <v>0</v>
      </c>
      <c r="AR463" s="1013">
        <v>0</v>
      </c>
      <c r="AS463" s="1013">
        <v>0</v>
      </c>
      <c r="AT463" s="1045">
        <f t="shared" si="121"/>
        <v>8295412</v>
      </c>
      <c r="AU463" s="1004"/>
      <c r="AV463" s="870"/>
      <c r="AW463" s="782" t="s">
        <v>4217</v>
      </c>
      <c r="AX463" s="782" t="s">
        <v>4218</v>
      </c>
      <c r="AY463" s="1007" t="s">
        <v>288</v>
      </c>
      <c r="AZ463" s="1007">
        <v>622</v>
      </c>
      <c r="BA463" s="347" t="str">
        <f t="shared" si="122"/>
        <v>Bag</v>
      </c>
      <c r="BB463" s="1008"/>
      <c r="BC463" s="1009"/>
      <c r="BD463" s="1009"/>
    </row>
    <row r="464" spans="1:56" s="1010" customFormat="1" ht="36.75" customHeight="1">
      <c r="A464" s="661">
        <f>SUBTOTAL(3,B$6:B464)</f>
        <v>459</v>
      </c>
      <c r="B464" s="661" t="s">
        <v>1732</v>
      </c>
      <c r="C464" s="662" t="s">
        <v>1733</v>
      </c>
      <c r="D464" s="1011">
        <v>40952</v>
      </c>
      <c r="E464" s="1011" t="s">
        <v>217</v>
      </c>
      <c r="F464" s="787" t="s">
        <v>580</v>
      </c>
      <c r="G464" s="996" t="s">
        <v>1338</v>
      </c>
      <c r="H464" s="1012">
        <v>5931000</v>
      </c>
      <c r="I464" s="1012">
        <v>600000</v>
      </c>
      <c r="J464" s="1012">
        <v>0</v>
      </c>
      <c r="K464" s="1012">
        <v>0</v>
      </c>
      <c r="L464" s="1013">
        <f t="shared" si="120"/>
        <v>6531000</v>
      </c>
      <c r="M464" s="1014">
        <v>24</v>
      </c>
      <c r="N464" s="1013">
        <f t="shared" si="82"/>
        <v>6028615</v>
      </c>
      <c r="O464" s="1015">
        <v>2</v>
      </c>
      <c r="P464" s="1013">
        <f t="shared" si="83"/>
        <v>502385</v>
      </c>
      <c r="Q464" s="1016">
        <v>0</v>
      </c>
      <c r="R464" s="1013">
        <f t="shared" si="84"/>
        <v>0</v>
      </c>
      <c r="S464" s="1013">
        <f t="shared" si="85"/>
        <v>6531000</v>
      </c>
      <c r="T464" s="1017">
        <v>0</v>
      </c>
      <c r="U464" s="785">
        <v>0</v>
      </c>
      <c r="V464" s="785">
        <v>200000</v>
      </c>
      <c r="W464" s="1017">
        <v>500000</v>
      </c>
      <c r="X464" s="1017">
        <v>0</v>
      </c>
      <c r="Y464" s="1017">
        <v>400000</v>
      </c>
      <c r="Z464" s="1017">
        <v>367258</v>
      </c>
      <c r="AA464" s="1018"/>
      <c r="AB464" s="1013"/>
      <c r="AC464" s="1017">
        <v>0</v>
      </c>
      <c r="AD464" s="1017">
        <v>0</v>
      </c>
      <c r="AE464" s="1013">
        <v>47098.5546875</v>
      </c>
      <c r="AF464" s="1019"/>
      <c r="AG464" s="1019">
        <f t="shared" si="119"/>
        <v>8045357</v>
      </c>
      <c r="AH464" s="1014">
        <v>40</v>
      </c>
      <c r="AI464" s="1014">
        <v>0</v>
      </c>
      <c r="AJ464" s="1014">
        <v>0</v>
      </c>
      <c r="AK464" s="1018">
        <v>0</v>
      </c>
      <c r="AL464" s="1020">
        <v>0</v>
      </c>
      <c r="AM464" s="1013">
        <f t="shared" si="123"/>
        <v>1883942</v>
      </c>
      <c r="AN464" s="1045">
        <f t="shared" si="118"/>
        <v>9929299</v>
      </c>
      <c r="AO464" s="1013">
        <v>685755</v>
      </c>
      <c r="AP464" s="1013">
        <v>44100</v>
      </c>
      <c r="AQ464" s="1013">
        <v>0</v>
      </c>
      <c r="AR464" s="1013">
        <v>0</v>
      </c>
      <c r="AS464" s="1013">
        <v>0</v>
      </c>
      <c r="AT464" s="1045">
        <f t="shared" si="121"/>
        <v>9199444</v>
      </c>
      <c r="AU464" s="1004"/>
      <c r="AV464" s="870"/>
      <c r="AW464" s="782" t="s">
        <v>4219</v>
      </c>
      <c r="AX464" s="782" t="s">
        <v>4220</v>
      </c>
      <c r="AY464" s="1007" t="s">
        <v>288</v>
      </c>
      <c r="AZ464" s="1007">
        <v>622</v>
      </c>
      <c r="BA464" s="347" t="str">
        <f t="shared" si="122"/>
        <v>Bag</v>
      </c>
      <c r="BB464" s="1008"/>
      <c r="BC464" s="1009"/>
      <c r="BD464" s="1009"/>
    </row>
    <row r="465" spans="1:56" s="1010" customFormat="1" ht="36.75" customHeight="1">
      <c r="A465" s="661">
        <f>SUBTOTAL(3,B$6:B465)</f>
        <v>460</v>
      </c>
      <c r="B465" s="661" t="s">
        <v>1734</v>
      </c>
      <c r="C465" s="662" t="s">
        <v>1735</v>
      </c>
      <c r="D465" s="1011">
        <v>43718</v>
      </c>
      <c r="E465" s="1011" t="s">
        <v>217</v>
      </c>
      <c r="F465" s="787" t="s">
        <v>581</v>
      </c>
      <c r="G465" s="996" t="s">
        <v>1736</v>
      </c>
      <c r="H465" s="1012">
        <v>5931000</v>
      </c>
      <c r="I465" s="1012">
        <v>600000</v>
      </c>
      <c r="J465" s="1012">
        <v>0</v>
      </c>
      <c r="K465" s="1012">
        <v>0</v>
      </c>
      <c r="L465" s="1013">
        <f t="shared" si="120"/>
        <v>6531000</v>
      </c>
      <c r="M465" s="1014">
        <v>10.9</v>
      </c>
      <c r="N465" s="1013">
        <f t="shared" si="82"/>
        <v>2737996</v>
      </c>
      <c r="O465" s="1015">
        <v>2</v>
      </c>
      <c r="P465" s="1013">
        <f t="shared" si="83"/>
        <v>502385</v>
      </c>
      <c r="Q465" s="1016">
        <v>0</v>
      </c>
      <c r="R465" s="1013">
        <f t="shared" si="84"/>
        <v>0</v>
      </c>
      <c r="S465" s="1013">
        <f t="shared" si="85"/>
        <v>3240381</v>
      </c>
      <c r="T465" s="1017">
        <v>0</v>
      </c>
      <c r="U465" s="785">
        <v>0</v>
      </c>
      <c r="V465" s="785">
        <v>0</v>
      </c>
      <c r="W465" s="1017">
        <v>0</v>
      </c>
      <c r="X465" s="1017">
        <v>0</v>
      </c>
      <c r="Y465" s="1017">
        <v>0</v>
      </c>
      <c r="Z465" s="1017">
        <v>0</v>
      </c>
      <c r="AA465" s="1018"/>
      <c r="AB465" s="1013"/>
      <c r="AC465" s="1017">
        <v>0</v>
      </c>
      <c r="AD465" s="1017">
        <v>0</v>
      </c>
      <c r="AE465" s="1013">
        <v>0</v>
      </c>
      <c r="AF465" s="1019"/>
      <c r="AG465" s="1019">
        <f t="shared" ref="AG465:AG528" si="124">ROUND(SUM(S465:AF465)-AA465,0)</f>
        <v>3240381</v>
      </c>
      <c r="AH465" s="1014">
        <v>20</v>
      </c>
      <c r="AI465" s="1014">
        <v>0</v>
      </c>
      <c r="AJ465" s="1014">
        <v>0</v>
      </c>
      <c r="AK465" s="1018">
        <v>0</v>
      </c>
      <c r="AL465" s="1020">
        <v>0</v>
      </c>
      <c r="AM465" s="1013">
        <f t="shared" si="123"/>
        <v>941971</v>
      </c>
      <c r="AN465" s="1045">
        <f t="shared" si="118"/>
        <v>4182352</v>
      </c>
      <c r="AO465" s="1013">
        <v>0</v>
      </c>
      <c r="AP465" s="1013">
        <v>44100</v>
      </c>
      <c r="AQ465" s="1013">
        <v>0</v>
      </c>
      <c r="AR465" s="1013">
        <v>0</v>
      </c>
      <c r="AS465" s="1013">
        <v>0</v>
      </c>
      <c r="AT465" s="1045">
        <f t="shared" si="121"/>
        <v>4138252</v>
      </c>
      <c r="AU465" s="1004"/>
      <c r="AV465" s="870"/>
      <c r="AW465" s="782" t="s">
        <v>4221</v>
      </c>
      <c r="AX465" s="782" t="s">
        <v>4222</v>
      </c>
      <c r="AY465" s="1007" t="s">
        <v>287</v>
      </c>
      <c r="AZ465" s="1007">
        <v>622</v>
      </c>
      <c r="BA465" s="347" t="str">
        <f t="shared" si="122"/>
        <v>Box</v>
      </c>
      <c r="BB465" s="1008"/>
      <c r="BC465" s="1009"/>
      <c r="BD465" s="1009"/>
    </row>
    <row r="466" spans="1:56" s="1010" customFormat="1" ht="36.75" customHeight="1">
      <c r="A466" s="661">
        <f>SUBTOTAL(3,B$6:B466)</f>
        <v>461</v>
      </c>
      <c r="B466" s="661" t="s">
        <v>1737</v>
      </c>
      <c r="C466" s="662" t="s">
        <v>1738</v>
      </c>
      <c r="D466" s="1011">
        <v>45423</v>
      </c>
      <c r="E466" s="1011" t="s">
        <v>217</v>
      </c>
      <c r="F466" s="787" t="s">
        <v>581</v>
      </c>
      <c r="G466" s="996" t="s">
        <v>1338</v>
      </c>
      <c r="H466" s="1012">
        <v>5274000</v>
      </c>
      <c r="I466" s="1012">
        <v>300000</v>
      </c>
      <c r="J466" s="1012">
        <v>0</v>
      </c>
      <c r="K466" s="1012">
        <v>0</v>
      </c>
      <c r="L466" s="1013">
        <f t="shared" si="120"/>
        <v>5574000</v>
      </c>
      <c r="M466" s="1014">
        <v>22.9</v>
      </c>
      <c r="N466" s="1013">
        <f t="shared" si="82"/>
        <v>4909408</v>
      </c>
      <c r="O466" s="1015">
        <v>3</v>
      </c>
      <c r="P466" s="1013">
        <f t="shared" si="83"/>
        <v>643154</v>
      </c>
      <c r="Q466" s="1016">
        <v>0</v>
      </c>
      <c r="R466" s="1013">
        <f t="shared" si="84"/>
        <v>0</v>
      </c>
      <c r="S466" s="1013">
        <f t="shared" si="85"/>
        <v>5552562</v>
      </c>
      <c r="T466" s="1017">
        <v>0</v>
      </c>
      <c r="U466" s="785">
        <v>0</v>
      </c>
      <c r="V466" s="785">
        <v>200000</v>
      </c>
      <c r="W466" s="1017">
        <v>500000</v>
      </c>
      <c r="X466" s="1017">
        <v>0</v>
      </c>
      <c r="Y466" s="1017">
        <v>400000</v>
      </c>
      <c r="Z466" s="1017">
        <v>350425</v>
      </c>
      <c r="AA466" s="1018"/>
      <c r="AB466" s="1013"/>
      <c r="AC466" s="1017">
        <v>0</v>
      </c>
      <c r="AD466" s="1017">
        <v>0</v>
      </c>
      <c r="AE466" s="1013">
        <v>0</v>
      </c>
      <c r="AF466" s="1019"/>
      <c r="AG466" s="1019">
        <f t="shared" si="124"/>
        <v>7002987</v>
      </c>
      <c r="AH466" s="1014">
        <v>16</v>
      </c>
      <c r="AI466" s="1014">
        <v>0</v>
      </c>
      <c r="AJ466" s="1014">
        <v>0</v>
      </c>
      <c r="AK466" s="1018">
        <v>0</v>
      </c>
      <c r="AL466" s="1020">
        <v>0</v>
      </c>
      <c r="AM466" s="1013">
        <f t="shared" si="123"/>
        <v>643154</v>
      </c>
      <c r="AN466" s="1045">
        <f t="shared" si="118"/>
        <v>7646141</v>
      </c>
      <c r="AO466" s="1013">
        <v>585270</v>
      </c>
      <c r="AP466" s="1013">
        <v>44100</v>
      </c>
      <c r="AQ466" s="1013">
        <v>0</v>
      </c>
      <c r="AR466" s="1013">
        <v>0</v>
      </c>
      <c r="AS466" s="1013">
        <v>0</v>
      </c>
      <c r="AT466" s="1045">
        <f t="shared" si="121"/>
        <v>7016771</v>
      </c>
      <c r="AU466" s="1004"/>
      <c r="AV466" s="870"/>
      <c r="AW466" s="782" t="s">
        <v>4223</v>
      </c>
      <c r="AX466" s="782" t="s">
        <v>4224</v>
      </c>
      <c r="AY466" s="1007" t="s">
        <v>287</v>
      </c>
      <c r="AZ466" s="1007">
        <v>622</v>
      </c>
      <c r="BA466" s="347" t="str">
        <f t="shared" si="122"/>
        <v>Box</v>
      </c>
      <c r="BB466" s="1008"/>
      <c r="BC466" s="1009"/>
      <c r="BD466" s="1009"/>
    </row>
    <row r="467" spans="1:56" s="1010" customFormat="1" ht="36.75" customHeight="1">
      <c r="A467" s="661">
        <f>SUBTOTAL(3,B$6:B467)</f>
        <v>462</v>
      </c>
      <c r="B467" s="661" t="s">
        <v>1739</v>
      </c>
      <c r="C467" s="662" t="s">
        <v>1740</v>
      </c>
      <c r="D467" s="1011">
        <v>45444</v>
      </c>
      <c r="E467" s="1011" t="s">
        <v>217</v>
      </c>
      <c r="F467" s="787" t="s">
        <v>581</v>
      </c>
      <c r="G467" s="996" t="s">
        <v>1338</v>
      </c>
      <c r="H467" s="1012">
        <v>5274000</v>
      </c>
      <c r="I467" s="1012">
        <v>300000</v>
      </c>
      <c r="J467" s="1012">
        <v>0</v>
      </c>
      <c r="K467" s="1012">
        <v>0</v>
      </c>
      <c r="L467" s="1013">
        <f t="shared" si="120"/>
        <v>5574000</v>
      </c>
      <c r="M467" s="1014">
        <v>21.4</v>
      </c>
      <c r="N467" s="1013">
        <f t="shared" si="82"/>
        <v>4587831</v>
      </c>
      <c r="O467" s="1015">
        <v>3</v>
      </c>
      <c r="P467" s="1013">
        <f t="shared" si="83"/>
        <v>643154</v>
      </c>
      <c r="Q467" s="1016">
        <v>0</v>
      </c>
      <c r="R467" s="1013">
        <f t="shared" si="84"/>
        <v>0</v>
      </c>
      <c r="S467" s="1013">
        <f t="shared" si="85"/>
        <v>5230985</v>
      </c>
      <c r="T467" s="1017">
        <v>0</v>
      </c>
      <c r="U467" s="785">
        <v>0</v>
      </c>
      <c r="V467" s="785">
        <v>200000</v>
      </c>
      <c r="W467" s="1017">
        <v>0</v>
      </c>
      <c r="X467" s="1017">
        <v>0</v>
      </c>
      <c r="Y467" s="1017">
        <v>300000</v>
      </c>
      <c r="Z467" s="1017">
        <v>327471</v>
      </c>
      <c r="AA467" s="1018"/>
      <c r="AB467" s="1013"/>
      <c r="AC467" s="1017">
        <v>0</v>
      </c>
      <c r="AD467" s="1017">
        <v>0</v>
      </c>
      <c r="AE467" s="1013">
        <v>40197.117406542064</v>
      </c>
      <c r="AF467" s="1019"/>
      <c r="AG467" s="1019">
        <f t="shared" si="124"/>
        <v>6098653</v>
      </c>
      <c r="AH467" s="1014">
        <v>20</v>
      </c>
      <c r="AI467" s="1014">
        <v>0</v>
      </c>
      <c r="AJ467" s="1014">
        <v>0</v>
      </c>
      <c r="AK467" s="1018">
        <v>0</v>
      </c>
      <c r="AL467" s="1020">
        <v>0</v>
      </c>
      <c r="AM467" s="1013">
        <f t="shared" si="123"/>
        <v>803942</v>
      </c>
      <c r="AN467" s="1045">
        <f t="shared" si="118"/>
        <v>6902595</v>
      </c>
      <c r="AO467" s="1013">
        <v>585270</v>
      </c>
      <c r="AP467" s="1013">
        <v>44100</v>
      </c>
      <c r="AQ467" s="1013">
        <v>0</v>
      </c>
      <c r="AR467" s="1013">
        <v>0</v>
      </c>
      <c r="AS467" s="1013">
        <v>0</v>
      </c>
      <c r="AT467" s="1045">
        <f t="shared" si="121"/>
        <v>6273225</v>
      </c>
      <c r="AU467" s="1004"/>
      <c r="AV467" s="870"/>
      <c r="AW467" s="782" t="s">
        <v>4225</v>
      </c>
      <c r="AX467" s="782" t="s">
        <v>4226</v>
      </c>
      <c r="AY467" s="1007" t="s">
        <v>287</v>
      </c>
      <c r="AZ467" s="1007">
        <v>622</v>
      </c>
      <c r="BA467" s="347" t="str">
        <f t="shared" si="122"/>
        <v>Box</v>
      </c>
      <c r="BB467" s="1008"/>
      <c r="BC467" s="1009"/>
      <c r="BD467" s="1009"/>
    </row>
    <row r="468" spans="1:56" s="1010" customFormat="1" ht="36.75" customHeight="1">
      <c r="A468" s="661">
        <f>SUBTOTAL(3,B$6:B468)</f>
        <v>463</v>
      </c>
      <c r="B468" s="661" t="s">
        <v>1741</v>
      </c>
      <c r="C468" s="662" t="s">
        <v>1742</v>
      </c>
      <c r="D468" s="1011">
        <v>45558</v>
      </c>
      <c r="E468" s="1011" t="s">
        <v>217</v>
      </c>
      <c r="F468" s="787" t="s">
        <v>581</v>
      </c>
      <c r="G468" s="996" t="s">
        <v>1338</v>
      </c>
      <c r="H468" s="1012">
        <v>5274000</v>
      </c>
      <c r="I468" s="1012">
        <v>300000</v>
      </c>
      <c r="J468" s="1012">
        <v>0</v>
      </c>
      <c r="K468" s="1012">
        <v>0</v>
      </c>
      <c r="L468" s="1013">
        <f t="shared" si="120"/>
        <v>5574000</v>
      </c>
      <c r="M468" s="1014">
        <v>23.8</v>
      </c>
      <c r="N468" s="1013">
        <f t="shared" si="82"/>
        <v>5102354</v>
      </c>
      <c r="O468" s="1015">
        <v>2</v>
      </c>
      <c r="P468" s="1013">
        <f t="shared" si="83"/>
        <v>428769</v>
      </c>
      <c r="Q468" s="1016">
        <v>0</v>
      </c>
      <c r="R468" s="1013">
        <f t="shared" si="84"/>
        <v>0</v>
      </c>
      <c r="S468" s="1013">
        <f t="shared" si="85"/>
        <v>5531123</v>
      </c>
      <c r="T468" s="1017">
        <v>0</v>
      </c>
      <c r="U468" s="785">
        <v>0</v>
      </c>
      <c r="V468" s="785">
        <v>200000</v>
      </c>
      <c r="W468" s="1017">
        <v>500000</v>
      </c>
      <c r="X468" s="1017">
        <v>0</v>
      </c>
      <c r="Y468" s="1017">
        <v>400000</v>
      </c>
      <c r="Z468" s="1017">
        <v>364197</v>
      </c>
      <c r="AA468" s="1018"/>
      <c r="AB468" s="1013"/>
      <c r="AC468" s="1017">
        <v>0</v>
      </c>
      <c r="AD468" s="1017">
        <v>0</v>
      </c>
      <c r="AE468" s="1013">
        <v>40197.116596638654</v>
      </c>
      <c r="AF468" s="1019"/>
      <c r="AG468" s="1019">
        <f t="shared" si="124"/>
        <v>7035517</v>
      </c>
      <c r="AH468" s="1014">
        <v>28</v>
      </c>
      <c r="AI468" s="1014">
        <v>0</v>
      </c>
      <c r="AJ468" s="1014">
        <v>0</v>
      </c>
      <c r="AK468" s="1018">
        <v>0</v>
      </c>
      <c r="AL468" s="1020">
        <v>0</v>
      </c>
      <c r="AM468" s="1013">
        <f t="shared" si="123"/>
        <v>1125519</v>
      </c>
      <c r="AN468" s="1045">
        <f t="shared" si="118"/>
        <v>8161036</v>
      </c>
      <c r="AO468" s="1013">
        <v>585270</v>
      </c>
      <c r="AP468" s="1013">
        <v>44100</v>
      </c>
      <c r="AQ468" s="1013">
        <v>0</v>
      </c>
      <c r="AR468" s="1013">
        <v>0</v>
      </c>
      <c r="AS468" s="1013">
        <v>0</v>
      </c>
      <c r="AT468" s="1045">
        <f t="shared" si="121"/>
        <v>7531666</v>
      </c>
      <c r="AU468" s="1004"/>
      <c r="AV468" s="870"/>
      <c r="AW468" s="782" t="s">
        <v>4227</v>
      </c>
      <c r="AX468" s="782" t="s">
        <v>4228</v>
      </c>
      <c r="AY468" s="1007" t="s">
        <v>287</v>
      </c>
      <c r="AZ468" s="1007">
        <v>622</v>
      </c>
      <c r="BA468" s="347" t="str">
        <f t="shared" si="122"/>
        <v>Box</v>
      </c>
      <c r="BB468" s="1008"/>
      <c r="BC468" s="1009"/>
      <c r="BD468" s="1009"/>
    </row>
    <row r="469" spans="1:56" s="1010" customFormat="1" ht="36.75" customHeight="1">
      <c r="A469" s="661">
        <f>SUBTOTAL(3,B$6:B469)</f>
        <v>464</v>
      </c>
      <c r="B469" s="661" t="s">
        <v>1743</v>
      </c>
      <c r="C469" s="662" t="s">
        <v>1744</v>
      </c>
      <c r="D469" s="1011">
        <v>40815</v>
      </c>
      <c r="E469" s="1011" t="s">
        <v>218</v>
      </c>
      <c r="F469" s="787" t="s">
        <v>240</v>
      </c>
      <c r="G469" s="996" t="s">
        <v>1512</v>
      </c>
      <c r="H469" s="1012">
        <v>5931000</v>
      </c>
      <c r="I469" s="1012">
        <v>900000</v>
      </c>
      <c r="J469" s="1012">
        <v>0</v>
      </c>
      <c r="K469" s="1012">
        <v>0</v>
      </c>
      <c r="L469" s="1013">
        <f t="shared" si="120"/>
        <v>6831000</v>
      </c>
      <c r="M469" s="1014">
        <v>23</v>
      </c>
      <c r="N469" s="1013">
        <f t="shared" si="82"/>
        <v>6042808</v>
      </c>
      <c r="O469" s="1015">
        <v>3</v>
      </c>
      <c r="P469" s="1013">
        <f t="shared" si="83"/>
        <v>788192</v>
      </c>
      <c r="Q469" s="1016">
        <v>0</v>
      </c>
      <c r="R469" s="1013">
        <f t="shared" si="84"/>
        <v>0</v>
      </c>
      <c r="S469" s="1013">
        <f t="shared" si="85"/>
        <v>6831000</v>
      </c>
      <c r="T469" s="1017">
        <v>0</v>
      </c>
      <c r="U469" s="785">
        <v>0</v>
      </c>
      <c r="V469" s="785">
        <v>200000</v>
      </c>
      <c r="W469" s="1017">
        <v>500000</v>
      </c>
      <c r="X469" s="1017">
        <v>0</v>
      </c>
      <c r="Y469" s="1017">
        <v>400000</v>
      </c>
      <c r="Z469" s="1017">
        <v>0</v>
      </c>
      <c r="AA469" s="1018"/>
      <c r="AB469" s="1013"/>
      <c r="AC469" s="1017">
        <v>0</v>
      </c>
      <c r="AD469" s="1017">
        <v>0</v>
      </c>
      <c r="AE469" s="1013">
        <v>49262.02173913044</v>
      </c>
      <c r="AF469" s="1019"/>
      <c r="AG469" s="1019">
        <f t="shared" si="124"/>
        <v>7980262</v>
      </c>
      <c r="AH469" s="1014">
        <v>17</v>
      </c>
      <c r="AI469" s="1014">
        <v>0</v>
      </c>
      <c r="AJ469" s="1014">
        <v>0</v>
      </c>
      <c r="AK469" s="1018">
        <v>0</v>
      </c>
      <c r="AL469" s="1020">
        <v>0</v>
      </c>
      <c r="AM469" s="1013">
        <f t="shared" si="123"/>
        <v>837454</v>
      </c>
      <c r="AN469" s="1045">
        <f t="shared" si="118"/>
        <v>8817716</v>
      </c>
      <c r="AO469" s="1013">
        <v>717255</v>
      </c>
      <c r="AP469" s="1013">
        <v>44100</v>
      </c>
      <c r="AQ469" s="1013">
        <v>0</v>
      </c>
      <c r="AR469" s="1013">
        <v>0</v>
      </c>
      <c r="AS469" s="1013">
        <v>0</v>
      </c>
      <c r="AT469" s="1045">
        <f t="shared" si="121"/>
        <v>8056361</v>
      </c>
      <c r="AU469" s="1004"/>
      <c r="AV469" s="870"/>
      <c r="AW469" s="782" t="s">
        <v>4229</v>
      </c>
      <c r="AX469" s="782" t="s">
        <v>4230</v>
      </c>
      <c r="AY469" s="1007" t="s">
        <v>288</v>
      </c>
      <c r="AZ469" s="1007">
        <v>622</v>
      </c>
      <c r="BA469" s="347" t="str">
        <f t="shared" si="122"/>
        <v>Bag</v>
      </c>
      <c r="BB469" s="1008"/>
      <c r="BC469" s="1009"/>
      <c r="BD469" s="1009"/>
    </row>
    <row r="470" spans="1:56" s="1010" customFormat="1" ht="36.75" customHeight="1">
      <c r="A470" s="661">
        <f>SUBTOTAL(3,B$6:B470)</f>
        <v>465</v>
      </c>
      <c r="B470" s="661" t="s">
        <v>1745</v>
      </c>
      <c r="C470" s="662" t="s">
        <v>1746</v>
      </c>
      <c r="D470" s="1011">
        <v>39683</v>
      </c>
      <c r="E470" s="1011" t="s">
        <v>218</v>
      </c>
      <c r="F470" s="787" t="s">
        <v>516</v>
      </c>
      <c r="G470" s="996" t="s">
        <v>1747</v>
      </c>
      <c r="H470" s="1012">
        <v>5931000</v>
      </c>
      <c r="I470" s="1012">
        <v>2300000</v>
      </c>
      <c r="J470" s="1012">
        <v>0</v>
      </c>
      <c r="K470" s="1012">
        <v>500000</v>
      </c>
      <c r="L470" s="1013">
        <f t="shared" si="120"/>
        <v>8731000</v>
      </c>
      <c r="M470" s="1014">
        <v>24</v>
      </c>
      <c r="N470" s="1013">
        <f t="shared" si="82"/>
        <v>8059385</v>
      </c>
      <c r="O470" s="1015">
        <v>2</v>
      </c>
      <c r="P470" s="1013">
        <f t="shared" si="83"/>
        <v>671615</v>
      </c>
      <c r="Q470" s="1016">
        <v>0</v>
      </c>
      <c r="R470" s="1013">
        <f t="shared" si="84"/>
        <v>0</v>
      </c>
      <c r="S470" s="1013">
        <f t="shared" si="85"/>
        <v>8731000</v>
      </c>
      <c r="T470" s="1017">
        <v>0</v>
      </c>
      <c r="U470" s="785">
        <v>0</v>
      </c>
      <c r="V470" s="785">
        <v>200000</v>
      </c>
      <c r="W470" s="1017">
        <v>500000</v>
      </c>
      <c r="X470" s="1017">
        <v>0</v>
      </c>
      <c r="Y470" s="1017">
        <v>400000</v>
      </c>
      <c r="Z470" s="1017">
        <v>531409</v>
      </c>
      <c r="AA470" s="1018"/>
      <c r="AB470" s="1013"/>
      <c r="AC470" s="1017">
        <v>100000</v>
      </c>
      <c r="AD470" s="1017">
        <v>0</v>
      </c>
      <c r="AE470" s="1013">
        <v>62963.9453125</v>
      </c>
      <c r="AF470" s="1019"/>
      <c r="AG470" s="1019">
        <f t="shared" si="124"/>
        <v>10525373</v>
      </c>
      <c r="AH470" s="1014">
        <v>21</v>
      </c>
      <c r="AI470" s="1014">
        <v>0</v>
      </c>
      <c r="AJ470" s="1014">
        <v>0</v>
      </c>
      <c r="AK470" s="1018">
        <v>0</v>
      </c>
      <c r="AL470" s="1020">
        <v>0</v>
      </c>
      <c r="AM470" s="1013">
        <f t="shared" si="123"/>
        <v>1322243</v>
      </c>
      <c r="AN470" s="1045">
        <f t="shared" si="118"/>
        <v>11847616</v>
      </c>
      <c r="AO470" s="1013">
        <v>916755</v>
      </c>
      <c r="AP470" s="1013">
        <v>44100</v>
      </c>
      <c r="AQ470" s="1013">
        <v>0</v>
      </c>
      <c r="AR470" s="1013">
        <v>0</v>
      </c>
      <c r="AS470" s="1013">
        <v>0</v>
      </c>
      <c r="AT470" s="1045">
        <f t="shared" si="121"/>
        <v>10886761</v>
      </c>
      <c r="AU470" s="1004"/>
      <c r="AV470" s="870"/>
      <c r="AW470" s="782" t="s">
        <v>4231</v>
      </c>
      <c r="AX470" s="782" t="s">
        <v>4232</v>
      </c>
      <c r="AY470" s="1007" t="s">
        <v>288</v>
      </c>
      <c r="AZ470" s="1007">
        <v>622</v>
      </c>
      <c r="BA470" s="347" t="str">
        <f t="shared" si="122"/>
        <v>Bag</v>
      </c>
      <c r="BB470" s="1008"/>
      <c r="BC470" s="1009"/>
      <c r="BD470" s="1009"/>
    </row>
    <row r="471" spans="1:56" s="1010" customFormat="1" ht="36.75" customHeight="1">
      <c r="A471" s="661">
        <f>SUBTOTAL(3,B$6:B471)</f>
        <v>466</v>
      </c>
      <c r="B471" s="661" t="s">
        <v>1748</v>
      </c>
      <c r="C471" s="662" t="s">
        <v>1749</v>
      </c>
      <c r="D471" s="1011">
        <v>39707</v>
      </c>
      <c r="E471" s="1011" t="s">
        <v>218</v>
      </c>
      <c r="F471" s="787" t="s">
        <v>516</v>
      </c>
      <c r="G471" s="996" t="s">
        <v>797</v>
      </c>
      <c r="H471" s="1012">
        <v>5931000</v>
      </c>
      <c r="I471" s="1012">
        <v>0</v>
      </c>
      <c r="J471" s="1012">
        <v>0</v>
      </c>
      <c r="K471" s="1012">
        <v>0</v>
      </c>
      <c r="L471" s="1013">
        <f t="shared" si="120"/>
        <v>5931000</v>
      </c>
      <c r="M471" s="1014">
        <v>23.8</v>
      </c>
      <c r="N471" s="1013">
        <f t="shared" si="82"/>
        <v>5429146</v>
      </c>
      <c r="O471" s="1015">
        <v>2</v>
      </c>
      <c r="P471" s="1013">
        <f t="shared" si="83"/>
        <v>456231</v>
      </c>
      <c r="Q471" s="1016">
        <v>0</v>
      </c>
      <c r="R471" s="1013">
        <f t="shared" si="84"/>
        <v>0</v>
      </c>
      <c r="S471" s="1013">
        <f t="shared" si="85"/>
        <v>5885377</v>
      </c>
      <c r="T471" s="1017">
        <v>0</v>
      </c>
      <c r="U471" s="785">
        <v>0</v>
      </c>
      <c r="V471" s="785">
        <v>200000</v>
      </c>
      <c r="W471" s="1017">
        <v>500000</v>
      </c>
      <c r="X471" s="1017">
        <v>0</v>
      </c>
      <c r="Y471" s="1017">
        <v>400000</v>
      </c>
      <c r="Z471" s="1017">
        <v>598535</v>
      </c>
      <c r="AA471" s="1018"/>
      <c r="AB471" s="1013"/>
      <c r="AC471" s="1017">
        <v>0</v>
      </c>
      <c r="AD471" s="1017">
        <v>0</v>
      </c>
      <c r="AE471" s="1013">
        <v>42771.633403361338</v>
      </c>
      <c r="AF471" s="1019"/>
      <c r="AG471" s="1019">
        <f t="shared" si="124"/>
        <v>7626684</v>
      </c>
      <c r="AH471" s="1014">
        <v>21</v>
      </c>
      <c r="AI471" s="1014">
        <v>0</v>
      </c>
      <c r="AJ471" s="1014">
        <v>0</v>
      </c>
      <c r="AK471" s="1018">
        <v>0</v>
      </c>
      <c r="AL471" s="1020">
        <v>0</v>
      </c>
      <c r="AM471" s="1013">
        <f t="shared" si="123"/>
        <v>898204</v>
      </c>
      <c r="AN471" s="1045">
        <f t="shared" si="118"/>
        <v>8524888</v>
      </c>
      <c r="AO471" s="1013">
        <v>622755</v>
      </c>
      <c r="AP471" s="1013">
        <v>44100</v>
      </c>
      <c r="AQ471" s="1013">
        <v>0</v>
      </c>
      <c r="AR471" s="1013">
        <v>0</v>
      </c>
      <c r="AS471" s="1013">
        <v>0</v>
      </c>
      <c r="AT471" s="1045">
        <f t="shared" si="121"/>
        <v>7858033</v>
      </c>
      <c r="AU471" s="1004"/>
      <c r="AV471" s="870"/>
      <c r="AW471" s="782" t="s">
        <v>4233</v>
      </c>
      <c r="AX471" s="782" t="s">
        <v>4234</v>
      </c>
      <c r="AY471" s="1007" t="s">
        <v>288</v>
      </c>
      <c r="AZ471" s="1007">
        <v>622</v>
      </c>
      <c r="BA471" s="347" t="str">
        <f t="shared" si="122"/>
        <v>Bag</v>
      </c>
      <c r="BB471" s="1008"/>
      <c r="BC471" s="1009"/>
      <c r="BD471" s="1009"/>
    </row>
    <row r="472" spans="1:56" s="1010" customFormat="1" ht="36.75" customHeight="1">
      <c r="A472" s="661">
        <f>SUBTOTAL(3,B$6:B472)</f>
        <v>467</v>
      </c>
      <c r="B472" s="661" t="s">
        <v>1750</v>
      </c>
      <c r="C472" s="662" t="s">
        <v>1751</v>
      </c>
      <c r="D472" s="1011">
        <v>39707</v>
      </c>
      <c r="E472" s="1011" t="s">
        <v>218</v>
      </c>
      <c r="F472" s="787" t="s">
        <v>516</v>
      </c>
      <c r="G472" s="996" t="s">
        <v>797</v>
      </c>
      <c r="H472" s="1012">
        <v>5931000</v>
      </c>
      <c r="I472" s="1012">
        <v>0</v>
      </c>
      <c r="J472" s="1012">
        <v>0</v>
      </c>
      <c r="K472" s="1012">
        <v>0</v>
      </c>
      <c r="L472" s="1013">
        <f t="shared" si="120"/>
        <v>5931000</v>
      </c>
      <c r="M472" s="1014">
        <v>24</v>
      </c>
      <c r="N472" s="1013">
        <f t="shared" si="82"/>
        <v>5474769</v>
      </c>
      <c r="O472" s="1015">
        <v>2</v>
      </c>
      <c r="P472" s="1013">
        <f t="shared" si="83"/>
        <v>456231</v>
      </c>
      <c r="Q472" s="1016">
        <v>0</v>
      </c>
      <c r="R472" s="1013">
        <f t="shared" si="84"/>
        <v>0</v>
      </c>
      <c r="S472" s="1013">
        <f t="shared" si="85"/>
        <v>5931000</v>
      </c>
      <c r="T472" s="1017">
        <v>0</v>
      </c>
      <c r="U472" s="785">
        <v>0</v>
      </c>
      <c r="V472" s="785">
        <v>200000</v>
      </c>
      <c r="W472" s="1017">
        <v>500000</v>
      </c>
      <c r="X472" s="1017">
        <v>0</v>
      </c>
      <c r="Y472" s="1017">
        <v>400000</v>
      </c>
      <c r="Z472" s="1017">
        <v>564771</v>
      </c>
      <c r="AA472" s="1018"/>
      <c r="AB472" s="1013"/>
      <c r="AC472" s="1017">
        <v>0</v>
      </c>
      <c r="AD472" s="1017">
        <v>0</v>
      </c>
      <c r="AE472" s="1013">
        <v>42771.6328125</v>
      </c>
      <c r="AF472" s="1019"/>
      <c r="AG472" s="1019">
        <f t="shared" si="124"/>
        <v>7638543</v>
      </c>
      <c r="AH472" s="1014">
        <v>21</v>
      </c>
      <c r="AI472" s="1014">
        <v>0</v>
      </c>
      <c r="AJ472" s="1014">
        <v>0</v>
      </c>
      <c r="AK472" s="1018">
        <v>0</v>
      </c>
      <c r="AL472" s="1020">
        <v>0</v>
      </c>
      <c r="AM472" s="1013">
        <f t="shared" si="123"/>
        <v>898204</v>
      </c>
      <c r="AN472" s="1045">
        <f t="shared" si="118"/>
        <v>8536747</v>
      </c>
      <c r="AO472" s="1013">
        <v>622755</v>
      </c>
      <c r="AP472" s="1013">
        <v>44100</v>
      </c>
      <c r="AQ472" s="1013">
        <v>0</v>
      </c>
      <c r="AR472" s="1013">
        <v>0</v>
      </c>
      <c r="AS472" s="1013">
        <v>0</v>
      </c>
      <c r="AT472" s="1045">
        <f t="shared" si="121"/>
        <v>7869892</v>
      </c>
      <c r="AU472" s="1004"/>
      <c r="AV472" s="870"/>
      <c r="AW472" s="782" t="s">
        <v>4235</v>
      </c>
      <c r="AX472" s="782" t="s">
        <v>4236</v>
      </c>
      <c r="AY472" s="1007" t="s">
        <v>288</v>
      </c>
      <c r="AZ472" s="1007">
        <v>622</v>
      </c>
      <c r="BA472" s="347" t="str">
        <f t="shared" si="122"/>
        <v>Bag</v>
      </c>
      <c r="BB472" s="1008"/>
      <c r="BC472" s="1009"/>
      <c r="BD472" s="1009"/>
    </row>
    <row r="473" spans="1:56" s="1010" customFormat="1" ht="36.75" customHeight="1">
      <c r="A473" s="661">
        <f>SUBTOTAL(3,B$6:B473)</f>
        <v>468</v>
      </c>
      <c r="B473" s="661" t="s">
        <v>1752</v>
      </c>
      <c r="C473" s="662" t="s">
        <v>1753</v>
      </c>
      <c r="D473" s="1011">
        <v>44249</v>
      </c>
      <c r="E473" s="1011" t="s">
        <v>218</v>
      </c>
      <c r="F473" s="787" t="s">
        <v>516</v>
      </c>
      <c r="G473" s="996" t="s">
        <v>797</v>
      </c>
      <c r="H473" s="1012">
        <v>5931000</v>
      </c>
      <c r="I473" s="1012">
        <v>0</v>
      </c>
      <c r="J473" s="1012">
        <v>0</v>
      </c>
      <c r="K473" s="1012">
        <v>0</v>
      </c>
      <c r="L473" s="1013">
        <f t="shared" si="120"/>
        <v>5931000</v>
      </c>
      <c r="M473" s="1014">
        <v>24</v>
      </c>
      <c r="N473" s="1013">
        <f t="shared" si="82"/>
        <v>5474769</v>
      </c>
      <c r="O473" s="1015">
        <v>2</v>
      </c>
      <c r="P473" s="1013">
        <f t="shared" si="83"/>
        <v>456231</v>
      </c>
      <c r="Q473" s="1016">
        <v>0</v>
      </c>
      <c r="R473" s="1013">
        <f t="shared" si="84"/>
        <v>0</v>
      </c>
      <c r="S473" s="1013">
        <f t="shared" si="85"/>
        <v>5931000</v>
      </c>
      <c r="T473" s="1017">
        <v>0</v>
      </c>
      <c r="U473" s="785">
        <v>0</v>
      </c>
      <c r="V473" s="785">
        <v>200000</v>
      </c>
      <c r="W473" s="1017">
        <v>500000</v>
      </c>
      <c r="X473" s="1017">
        <v>0</v>
      </c>
      <c r="Y473" s="1017">
        <v>400000</v>
      </c>
      <c r="Z473" s="1017">
        <v>564771</v>
      </c>
      <c r="AA473" s="1018"/>
      <c r="AB473" s="1013"/>
      <c r="AC473" s="1017">
        <v>0</v>
      </c>
      <c r="AD473" s="1017">
        <v>0</v>
      </c>
      <c r="AE473" s="1013">
        <v>0</v>
      </c>
      <c r="AF473" s="1019"/>
      <c r="AG473" s="1019">
        <f t="shared" si="124"/>
        <v>7595771</v>
      </c>
      <c r="AH473" s="1014">
        <v>21</v>
      </c>
      <c r="AI473" s="1014">
        <v>0</v>
      </c>
      <c r="AJ473" s="1014">
        <v>0</v>
      </c>
      <c r="AK473" s="1018">
        <v>0</v>
      </c>
      <c r="AL473" s="1020">
        <v>0</v>
      </c>
      <c r="AM473" s="1013">
        <f t="shared" si="123"/>
        <v>898204</v>
      </c>
      <c r="AN473" s="1045">
        <f t="shared" si="118"/>
        <v>8493975</v>
      </c>
      <c r="AO473" s="1013">
        <v>622755</v>
      </c>
      <c r="AP473" s="1013">
        <v>44100</v>
      </c>
      <c r="AQ473" s="1013">
        <v>0</v>
      </c>
      <c r="AR473" s="1013">
        <v>0</v>
      </c>
      <c r="AS473" s="1013">
        <v>0</v>
      </c>
      <c r="AT473" s="1045">
        <f t="shared" si="121"/>
        <v>7827120</v>
      </c>
      <c r="AU473" s="1004"/>
      <c r="AV473" s="870"/>
      <c r="AW473" s="782" t="s">
        <v>4237</v>
      </c>
      <c r="AX473" s="782" t="s">
        <v>4238</v>
      </c>
      <c r="AY473" s="1007" t="s">
        <v>288</v>
      </c>
      <c r="AZ473" s="1007">
        <v>622</v>
      </c>
      <c r="BA473" s="347" t="str">
        <f t="shared" si="122"/>
        <v>Bag</v>
      </c>
      <c r="BB473" s="1008"/>
      <c r="BC473" s="1009"/>
      <c r="BD473" s="1009"/>
    </row>
    <row r="474" spans="1:56" s="1010" customFormat="1" ht="36.75" customHeight="1">
      <c r="A474" s="661">
        <f>SUBTOTAL(3,B$6:B474)</f>
        <v>469</v>
      </c>
      <c r="B474" s="661" t="s">
        <v>1754</v>
      </c>
      <c r="C474" s="662" t="s">
        <v>1755</v>
      </c>
      <c r="D474" s="1011">
        <v>44274</v>
      </c>
      <c r="E474" s="1011" t="s">
        <v>218</v>
      </c>
      <c r="F474" s="787" t="s">
        <v>516</v>
      </c>
      <c r="G474" s="996" t="s">
        <v>920</v>
      </c>
      <c r="H474" s="1012">
        <v>5931000</v>
      </c>
      <c r="I474" s="1012">
        <v>0</v>
      </c>
      <c r="J474" s="1012">
        <v>0</v>
      </c>
      <c r="K474" s="1012">
        <v>0</v>
      </c>
      <c r="L474" s="1013">
        <f t="shared" ref="L474:L537" si="125">SUM(H474:K474)</f>
        <v>5931000</v>
      </c>
      <c r="M474" s="1014">
        <v>24</v>
      </c>
      <c r="N474" s="1013">
        <f t="shared" si="82"/>
        <v>5474769</v>
      </c>
      <c r="O474" s="1015">
        <v>2</v>
      </c>
      <c r="P474" s="1013">
        <f t="shared" si="83"/>
        <v>456231</v>
      </c>
      <c r="Q474" s="1016">
        <v>0</v>
      </c>
      <c r="R474" s="1013">
        <f t="shared" si="84"/>
        <v>0</v>
      </c>
      <c r="S474" s="1013">
        <f t="shared" si="85"/>
        <v>5931000</v>
      </c>
      <c r="T474" s="1017">
        <v>0</v>
      </c>
      <c r="U474" s="785">
        <v>0</v>
      </c>
      <c r="V474" s="785">
        <v>200000</v>
      </c>
      <c r="W474" s="1017">
        <v>500000</v>
      </c>
      <c r="X474" s="1017">
        <v>0</v>
      </c>
      <c r="Y474" s="1017">
        <v>400000</v>
      </c>
      <c r="Z474" s="1017">
        <v>543370</v>
      </c>
      <c r="AA474" s="1018"/>
      <c r="AB474" s="1013"/>
      <c r="AC474" s="1017">
        <v>0</v>
      </c>
      <c r="AD474" s="1017">
        <v>0</v>
      </c>
      <c r="AE474" s="1013">
        <v>42771.6328125</v>
      </c>
      <c r="AF474" s="1019"/>
      <c r="AG474" s="1019">
        <f t="shared" si="124"/>
        <v>7617142</v>
      </c>
      <c r="AH474" s="1014">
        <v>21</v>
      </c>
      <c r="AI474" s="1014">
        <v>0</v>
      </c>
      <c r="AJ474" s="1014">
        <v>0</v>
      </c>
      <c r="AK474" s="1018">
        <v>0</v>
      </c>
      <c r="AL474" s="1020">
        <v>0</v>
      </c>
      <c r="AM474" s="1013">
        <f t="shared" si="123"/>
        <v>898204</v>
      </c>
      <c r="AN474" s="1045">
        <f t="shared" si="118"/>
        <v>8515346</v>
      </c>
      <c r="AO474" s="1013">
        <v>622755</v>
      </c>
      <c r="AP474" s="1013">
        <v>44100</v>
      </c>
      <c r="AQ474" s="1013">
        <v>0</v>
      </c>
      <c r="AR474" s="1013">
        <v>0</v>
      </c>
      <c r="AS474" s="1013">
        <v>0</v>
      </c>
      <c r="AT474" s="1045">
        <f t="shared" si="121"/>
        <v>7848491</v>
      </c>
      <c r="AU474" s="1004"/>
      <c r="AV474" s="870"/>
      <c r="AW474" s="782" t="s">
        <v>4239</v>
      </c>
      <c r="AX474" s="782" t="s">
        <v>4240</v>
      </c>
      <c r="AY474" s="1007" t="s">
        <v>288</v>
      </c>
      <c r="AZ474" s="1007">
        <v>622</v>
      </c>
      <c r="BA474" s="347" t="str">
        <f t="shared" si="122"/>
        <v>Bag</v>
      </c>
      <c r="BB474" s="1008"/>
      <c r="BC474" s="1009"/>
      <c r="BD474" s="1009"/>
    </row>
    <row r="475" spans="1:56" s="1010" customFormat="1" ht="36.75" customHeight="1">
      <c r="A475" s="661">
        <f>SUBTOTAL(3,B$6:B475)</f>
        <v>470</v>
      </c>
      <c r="B475" s="661" t="s">
        <v>1756</v>
      </c>
      <c r="C475" s="662" t="s">
        <v>1621</v>
      </c>
      <c r="D475" s="1011">
        <v>44729</v>
      </c>
      <c r="E475" s="1011" t="s">
        <v>218</v>
      </c>
      <c r="F475" s="787" t="s">
        <v>516</v>
      </c>
      <c r="G475" s="996" t="s">
        <v>920</v>
      </c>
      <c r="H475" s="1012">
        <v>5815000</v>
      </c>
      <c r="I475" s="1012">
        <v>0</v>
      </c>
      <c r="J475" s="1012">
        <v>0</v>
      </c>
      <c r="K475" s="1012">
        <v>0</v>
      </c>
      <c r="L475" s="1013">
        <f t="shared" si="125"/>
        <v>5815000</v>
      </c>
      <c r="M475" s="1014">
        <v>22.6</v>
      </c>
      <c r="N475" s="1013">
        <f t="shared" si="82"/>
        <v>5054577</v>
      </c>
      <c r="O475" s="1015">
        <v>3</v>
      </c>
      <c r="P475" s="1013">
        <f t="shared" si="83"/>
        <v>670962</v>
      </c>
      <c r="Q475" s="1016">
        <v>0</v>
      </c>
      <c r="R475" s="1013">
        <f t="shared" si="84"/>
        <v>0</v>
      </c>
      <c r="S475" s="1013">
        <f t="shared" si="85"/>
        <v>5725539</v>
      </c>
      <c r="T475" s="1017">
        <v>0</v>
      </c>
      <c r="U475" s="785">
        <v>0</v>
      </c>
      <c r="V475" s="785">
        <v>200000</v>
      </c>
      <c r="W475" s="1017">
        <v>500000</v>
      </c>
      <c r="X475" s="1017">
        <v>0</v>
      </c>
      <c r="Y475" s="1017">
        <v>400000</v>
      </c>
      <c r="Z475" s="1017">
        <v>564110</v>
      </c>
      <c r="AA475" s="1018"/>
      <c r="AB475" s="1013"/>
      <c r="AC475" s="1017">
        <v>0</v>
      </c>
      <c r="AD475" s="1017">
        <v>0</v>
      </c>
      <c r="AE475" s="1013">
        <v>41935.096792035394</v>
      </c>
      <c r="AF475" s="1019"/>
      <c r="AG475" s="1019">
        <f t="shared" si="124"/>
        <v>7431584</v>
      </c>
      <c r="AH475" s="1014">
        <v>21</v>
      </c>
      <c r="AI475" s="1014">
        <v>0</v>
      </c>
      <c r="AJ475" s="1014">
        <v>0</v>
      </c>
      <c r="AK475" s="1018">
        <v>0</v>
      </c>
      <c r="AL475" s="1020">
        <v>0</v>
      </c>
      <c r="AM475" s="1013">
        <f t="shared" si="123"/>
        <v>880637</v>
      </c>
      <c r="AN475" s="1045">
        <f t="shared" si="118"/>
        <v>8312221</v>
      </c>
      <c r="AO475" s="1013">
        <v>610575</v>
      </c>
      <c r="AP475" s="1013">
        <v>44100</v>
      </c>
      <c r="AQ475" s="1013">
        <v>0</v>
      </c>
      <c r="AR475" s="1013">
        <v>0</v>
      </c>
      <c r="AS475" s="1013">
        <v>0</v>
      </c>
      <c r="AT475" s="1045">
        <f t="shared" si="121"/>
        <v>7657546</v>
      </c>
      <c r="AU475" s="1004"/>
      <c r="AV475" s="870"/>
      <c r="AW475" s="782" t="s">
        <v>4110</v>
      </c>
      <c r="AX475" s="782" t="s">
        <v>4241</v>
      </c>
      <c r="AY475" s="1007" t="s">
        <v>288</v>
      </c>
      <c r="AZ475" s="1007">
        <v>622</v>
      </c>
      <c r="BA475" s="347" t="str">
        <f t="shared" si="122"/>
        <v>Bag</v>
      </c>
      <c r="BB475" s="1008"/>
      <c r="BC475" s="1009"/>
      <c r="BD475" s="1009"/>
    </row>
    <row r="476" spans="1:56" s="1010" customFormat="1" ht="36.75" customHeight="1">
      <c r="A476" s="661">
        <f>SUBTOTAL(3,B$6:B476)</f>
        <v>471</v>
      </c>
      <c r="B476" s="661" t="s">
        <v>1757</v>
      </c>
      <c r="C476" s="662" t="s">
        <v>1758</v>
      </c>
      <c r="D476" s="1011">
        <v>44768</v>
      </c>
      <c r="E476" s="1011" t="s">
        <v>218</v>
      </c>
      <c r="F476" s="787" t="s">
        <v>516</v>
      </c>
      <c r="G476" s="996" t="s">
        <v>797</v>
      </c>
      <c r="H476" s="1012">
        <v>5815000</v>
      </c>
      <c r="I476" s="1012">
        <v>0</v>
      </c>
      <c r="J476" s="1012">
        <v>0</v>
      </c>
      <c r="K476" s="1012">
        <v>0</v>
      </c>
      <c r="L476" s="1013">
        <f t="shared" si="125"/>
        <v>5815000</v>
      </c>
      <c r="M476" s="1014">
        <v>22</v>
      </c>
      <c r="N476" s="1013">
        <f t="shared" si="82"/>
        <v>4920385</v>
      </c>
      <c r="O476" s="1015">
        <v>2</v>
      </c>
      <c r="P476" s="1013">
        <f t="shared" si="83"/>
        <v>447308</v>
      </c>
      <c r="Q476" s="1016">
        <v>0</v>
      </c>
      <c r="R476" s="1013">
        <f t="shared" si="84"/>
        <v>0</v>
      </c>
      <c r="S476" s="1013">
        <f t="shared" si="85"/>
        <v>5367693</v>
      </c>
      <c r="T476" s="1017">
        <v>0</v>
      </c>
      <c r="U476" s="785">
        <v>0</v>
      </c>
      <c r="V476" s="785">
        <v>200000</v>
      </c>
      <c r="W476" s="1017">
        <v>500000</v>
      </c>
      <c r="X476" s="1017">
        <v>0</v>
      </c>
      <c r="Y476" s="1017">
        <v>150000</v>
      </c>
      <c r="Z476" s="1017">
        <v>562511</v>
      </c>
      <c r="AA476" s="1018"/>
      <c r="AB476" s="1013"/>
      <c r="AC476" s="1017">
        <v>100000</v>
      </c>
      <c r="AD476" s="1017">
        <v>0</v>
      </c>
      <c r="AE476" s="1013">
        <v>41935.099431818184</v>
      </c>
      <c r="AF476" s="1019"/>
      <c r="AG476" s="1019">
        <f t="shared" si="124"/>
        <v>6922139</v>
      </c>
      <c r="AH476" s="1014">
        <v>17</v>
      </c>
      <c r="AI476" s="1014">
        <v>0</v>
      </c>
      <c r="AJ476" s="1014">
        <v>0</v>
      </c>
      <c r="AK476" s="1018">
        <v>0</v>
      </c>
      <c r="AL476" s="1020">
        <v>0</v>
      </c>
      <c r="AM476" s="1013">
        <f t="shared" si="123"/>
        <v>712897</v>
      </c>
      <c r="AN476" s="1045">
        <f t="shared" si="118"/>
        <v>7635036</v>
      </c>
      <c r="AO476" s="1013">
        <v>610575</v>
      </c>
      <c r="AP476" s="1013">
        <v>44100</v>
      </c>
      <c r="AQ476" s="1013">
        <v>0</v>
      </c>
      <c r="AR476" s="1013">
        <v>0</v>
      </c>
      <c r="AS476" s="1013">
        <v>0</v>
      </c>
      <c r="AT476" s="1045">
        <f t="shared" si="121"/>
        <v>6980361</v>
      </c>
      <c r="AU476" s="1004"/>
      <c r="AV476" s="870"/>
      <c r="AW476" s="782" t="s">
        <v>4242</v>
      </c>
      <c r="AX476" s="782" t="s">
        <v>4243</v>
      </c>
      <c r="AY476" s="1007" t="s">
        <v>288</v>
      </c>
      <c r="AZ476" s="1007">
        <v>622</v>
      </c>
      <c r="BA476" s="347" t="str">
        <f t="shared" si="122"/>
        <v>Bag</v>
      </c>
      <c r="BB476" s="1008"/>
      <c r="BC476" s="1009"/>
      <c r="BD476" s="1009"/>
    </row>
    <row r="477" spans="1:56" s="1010" customFormat="1" ht="36.75" customHeight="1">
      <c r="A477" s="661">
        <f>SUBTOTAL(3,B$6:B477)</f>
        <v>472</v>
      </c>
      <c r="B477" s="661" t="s">
        <v>1759</v>
      </c>
      <c r="C477" s="662" t="s">
        <v>1760</v>
      </c>
      <c r="D477" s="1011">
        <v>45444</v>
      </c>
      <c r="E477" s="1011" t="s">
        <v>218</v>
      </c>
      <c r="F477" s="787" t="s">
        <v>516</v>
      </c>
      <c r="G477" s="996" t="s">
        <v>797</v>
      </c>
      <c r="H477" s="1012">
        <v>5274000</v>
      </c>
      <c r="I477" s="1012">
        <v>0</v>
      </c>
      <c r="J477" s="1012">
        <v>0</v>
      </c>
      <c r="K477" s="1012">
        <v>0</v>
      </c>
      <c r="L477" s="1013">
        <f t="shared" si="125"/>
        <v>5274000</v>
      </c>
      <c r="M477" s="1014">
        <v>23.8</v>
      </c>
      <c r="N477" s="1013">
        <f t="shared" si="82"/>
        <v>4827738</v>
      </c>
      <c r="O477" s="1015">
        <v>2</v>
      </c>
      <c r="P477" s="1013">
        <f t="shared" si="83"/>
        <v>405692</v>
      </c>
      <c r="Q477" s="1016">
        <v>0</v>
      </c>
      <c r="R477" s="1013">
        <f t="shared" si="84"/>
        <v>0</v>
      </c>
      <c r="S477" s="1013">
        <f t="shared" si="85"/>
        <v>5233430</v>
      </c>
      <c r="T477" s="1017">
        <v>0</v>
      </c>
      <c r="U477" s="785">
        <v>0</v>
      </c>
      <c r="V477" s="785">
        <v>200000</v>
      </c>
      <c r="W477" s="1017">
        <v>500000</v>
      </c>
      <c r="X477" s="1017">
        <v>0</v>
      </c>
      <c r="Y477" s="1017">
        <v>400000</v>
      </c>
      <c r="Z477" s="1017">
        <v>557086</v>
      </c>
      <c r="AA477" s="1018"/>
      <c r="AB477" s="1013"/>
      <c r="AC477" s="1017">
        <v>0</v>
      </c>
      <c r="AD477" s="1017">
        <v>0</v>
      </c>
      <c r="AE477" s="1013">
        <v>38033.65021008403</v>
      </c>
      <c r="AF477" s="1019"/>
      <c r="AG477" s="1019">
        <f t="shared" si="124"/>
        <v>6928550</v>
      </c>
      <c r="AH477" s="1014">
        <v>21</v>
      </c>
      <c r="AI477" s="1014">
        <v>0</v>
      </c>
      <c r="AJ477" s="1014">
        <v>0</v>
      </c>
      <c r="AK477" s="1018">
        <v>0</v>
      </c>
      <c r="AL477" s="1020">
        <v>0</v>
      </c>
      <c r="AM477" s="1013">
        <f t="shared" si="123"/>
        <v>798707</v>
      </c>
      <c r="AN477" s="1045">
        <f t="shared" si="118"/>
        <v>7727257</v>
      </c>
      <c r="AO477" s="1013">
        <v>553770</v>
      </c>
      <c r="AP477" s="1013">
        <v>44100</v>
      </c>
      <c r="AQ477" s="1013">
        <v>0</v>
      </c>
      <c r="AR477" s="1013">
        <v>0</v>
      </c>
      <c r="AS477" s="1013">
        <v>0</v>
      </c>
      <c r="AT477" s="1045">
        <f t="shared" si="121"/>
        <v>7129387</v>
      </c>
      <c r="AU477" s="1004"/>
      <c r="AV477" s="870"/>
      <c r="AW477" s="782" t="s">
        <v>4244</v>
      </c>
      <c r="AX477" s="782" t="s">
        <v>4245</v>
      </c>
      <c r="AY477" s="1007" t="s">
        <v>288</v>
      </c>
      <c r="AZ477" s="1007">
        <v>622</v>
      </c>
      <c r="BA477" s="347" t="str">
        <f t="shared" si="122"/>
        <v>Bag</v>
      </c>
      <c r="BB477" s="1008"/>
      <c r="BC477" s="1009"/>
      <c r="BD477" s="1009"/>
    </row>
    <row r="478" spans="1:56" s="1010" customFormat="1" ht="36.75" customHeight="1">
      <c r="A478" s="661">
        <f>SUBTOTAL(3,B$6:B478)</f>
        <v>473</v>
      </c>
      <c r="B478" s="661" t="s">
        <v>1761</v>
      </c>
      <c r="C478" s="662" t="s">
        <v>1762</v>
      </c>
      <c r="D478" s="1011">
        <v>39863</v>
      </c>
      <c r="E478" s="1011" t="s">
        <v>218</v>
      </c>
      <c r="F478" s="787" t="s">
        <v>516</v>
      </c>
      <c r="G478" s="996" t="s">
        <v>797</v>
      </c>
      <c r="H478" s="1012">
        <v>5931000</v>
      </c>
      <c r="I478" s="1012">
        <v>0</v>
      </c>
      <c r="J478" s="1012">
        <v>0</v>
      </c>
      <c r="K478" s="1012">
        <v>0</v>
      </c>
      <c r="L478" s="1013">
        <f t="shared" si="125"/>
        <v>5931000</v>
      </c>
      <c r="M478" s="1014">
        <v>24</v>
      </c>
      <c r="N478" s="1013">
        <f t="shared" si="82"/>
        <v>5474769</v>
      </c>
      <c r="O478" s="1015">
        <v>2</v>
      </c>
      <c r="P478" s="1013">
        <f t="shared" si="83"/>
        <v>456231</v>
      </c>
      <c r="Q478" s="1016">
        <v>0</v>
      </c>
      <c r="R478" s="1013">
        <f t="shared" si="84"/>
        <v>0</v>
      </c>
      <c r="S478" s="1013">
        <f t="shared" si="85"/>
        <v>5931000</v>
      </c>
      <c r="T478" s="1017">
        <v>0</v>
      </c>
      <c r="U478" s="785">
        <v>0</v>
      </c>
      <c r="V478" s="785">
        <v>200000</v>
      </c>
      <c r="W478" s="1017">
        <v>500000</v>
      </c>
      <c r="X478" s="1017">
        <v>0</v>
      </c>
      <c r="Y478" s="1017">
        <v>400000</v>
      </c>
      <c r="Z478" s="1017">
        <v>559381</v>
      </c>
      <c r="AA478" s="1018"/>
      <c r="AB478" s="1013"/>
      <c r="AC478" s="1017">
        <v>0</v>
      </c>
      <c r="AD478" s="1017">
        <v>0</v>
      </c>
      <c r="AE478" s="1013">
        <v>42771.6328125</v>
      </c>
      <c r="AF478" s="1019"/>
      <c r="AG478" s="1019">
        <f t="shared" si="124"/>
        <v>7633153</v>
      </c>
      <c r="AH478" s="1014">
        <v>21</v>
      </c>
      <c r="AI478" s="1014">
        <v>0</v>
      </c>
      <c r="AJ478" s="1014">
        <v>0</v>
      </c>
      <c r="AK478" s="1018">
        <v>0</v>
      </c>
      <c r="AL478" s="1020">
        <v>0</v>
      </c>
      <c r="AM478" s="1013">
        <f t="shared" si="123"/>
        <v>898204</v>
      </c>
      <c r="AN478" s="1045">
        <f t="shared" si="118"/>
        <v>8531357</v>
      </c>
      <c r="AO478" s="1013">
        <v>622755</v>
      </c>
      <c r="AP478" s="1013">
        <v>44100</v>
      </c>
      <c r="AQ478" s="1013">
        <v>0</v>
      </c>
      <c r="AR478" s="1013">
        <v>0</v>
      </c>
      <c r="AS478" s="1013">
        <v>0</v>
      </c>
      <c r="AT478" s="1045">
        <f t="shared" si="121"/>
        <v>7864502</v>
      </c>
      <c r="AU478" s="1004"/>
      <c r="AV478" s="870"/>
      <c r="AW478" s="782" t="s">
        <v>4246</v>
      </c>
      <c r="AX478" s="782" t="s">
        <v>4247</v>
      </c>
      <c r="AY478" s="1007" t="s">
        <v>288</v>
      </c>
      <c r="AZ478" s="1007">
        <v>622</v>
      </c>
      <c r="BA478" s="347" t="str">
        <f t="shared" si="122"/>
        <v>Bag</v>
      </c>
      <c r="BB478" s="1008"/>
      <c r="BC478" s="1009"/>
      <c r="BD478" s="1009"/>
    </row>
    <row r="479" spans="1:56" s="1010" customFormat="1" ht="36.75" customHeight="1">
      <c r="A479" s="661">
        <f>SUBTOTAL(3,B$6:B479)</f>
        <v>474</v>
      </c>
      <c r="B479" s="661" t="s">
        <v>5748</v>
      </c>
      <c r="C479" s="662" t="s">
        <v>5749</v>
      </c>
      <c r="D479" s="1011">
        <v>45750</v>
      </c>
      <c r="E479" s="1011" t="s">
        <v>218</v>
      </c>
      <c r="F479" s="787" t="s">
        <v>516</v>
      </c>
      <c r="G479" s="996" t="s">
        <v>554</v>
      </c>
      <c r="H479" s="1012">
        <v>4694000</v>
      </c>
      <c r="I479" s="1012">
        <v>0</v>
      </c>
      <c r="J479" s="1012">
        <v>0</v>
      </c>
      <c r="K479" s="1012">
        <v>0</v>
      </c>
      <c r="L479" s="1013">
        <f t="shared" si="125"/>
        <v>4694000</v>
      </c>
      <c r="M479" s="1014">
        <v>19.7</v>
      </c>
      <c r="N479" s="1013">
        <f t="shared" si="82"/>
        <v>3556608</v>
      </c>
      <c r="O479" s="1015">
        <v>2</v>
      </c>
      <c r="P479" s="1013">
        <f t="shared" si="83"/>
        <v>361077</v>
      </c>
      <c r="Q479" s="1016">
        <v>0</v>
      </c>
      <c r="R479" s="1013">
        <f t="shared" si="84"/>
        <v>0</v>
      </c>
      <c r="S479" s="1013">
        <f t="shared" si="85"/>
        <v>3917685</v>
      </c>
      <c r="T479" s="1017">
        <v>0</v>
      </c>
      <c r="U479" s="785">
        <v>0</v>
      </c>
      <c r="V479" s="785">
        <v>167000</v>
      </c>
      <c r="W479" s="1017">
        <v>417000</v>
      </c>
      <c r="X479" s="1017">
        <v>0</v>
      </c>
      <c r="Y479" s="1017">
        <v>125000</v>
      </c>
      <c r="Z479" s="1017">
        <v>0</v>
      </c>
      <c r="AA479" s="1018"/>
      <c r="AB479" s="1013"/>
      <c r="AC479" s="1017">
        <v>0</v>
      </c>
      <c r="AD479" s="1017">
        <v>0</v>
      </c>
      <c r="AE479" s="1013">
        <v>0</v>
      </c>
      <c r="AF479" s="1019"/>
      <c r="AG479" s="1019">
        <f t="shared" si="124"/>
        <v>4626685</v>
      </c>
      <c r="AH479" s="1014">
        <v>16</v>
      </c>
      <c r="AI479" s="1014">
        <v>0</v>
      </c>
      <c r="AJ479" s="1014">
        <v>0</v>
      </c>
      <c r="AK479" s="1018">
        <v>0</v>
      </c>
      <c r="AL479" s="1020">
        <v>0</v>
      </c>
      <c r="AM479" s="1013">
        <f t="shared" si="123"/>
        <v>541615</v>
      </c>
      <c r="AN479" s="1045">
        <f t="shared" si="118"/>
        <v>5168300</v>
      </c>
      <c r="AO479" s="1013">
        <v>0</v>
      </c>
      <c r="AP479" s="1013">
        <v>0</v>
      </c>
      <c r="AQ479" s="1013">
        <v>0</v>
      </c>
      <c r="AR479" s="1013">
        <v>0</v>
      </c>
      <c r="AS479" s="1013">
        <v>0</v>
      </c>
      <c r="AT479" s="1045">
        <f t="shared" si="121"/>
        <v>5168300</v>
      </c>
      <c r="AU479" s="1004"/>
      <c r="AV479" s="870"/>
      <c r="AW479" s="782" t="s">
        <v>5849</v>
      </c>
      <c r="AX479" s="782" t="s">
        <v>5850</v>
      </c>
      <c r="AY479" s="1007" t="s">
        <v>288</v>
      </c>
      <c r="AZ479" s="1007">
        <v>622</v>
      </c>
      <c r="BA479" s="347" t="str">
        <f t="shared" si="122"/>
        <v>Bag</v>
      </c>
      <c r="BB479" s="1008"/>
      <c r="BC479" s="1009"/>
      <c r="BD479" s="1009"/>
    </row>
    <row r="480" spans="1:56" s="1010" customFormat="1" ht="36.75" customHeight="1">
      <c r="A480" s="661">
        <f>SUBTOTAL(3,B$6:B480)</f>
        <v>475</v>
      </c>
      <c r="B480" s="661" t="s">
        <v>5750</v>
      </c>
      <c r="C480" s="662" t="s">
        <v>1990</v>
      </c>
      <c r="D480" s="1011">
        <v>45750</v>
      </c>
      <c r="E480" s="1011" t="s">
        <v>218</v>
      </c>
      <c r="F480" s="787" t="s">
        <v>516</v>
      </c>
      <c r="G480" s="996" t="s">
        <v>554</v>
      </c>
      <c r="H480" s="1012">
        <v>4694000</v>
      </c>
      <c r="I480" s="1012">
        <v>0</v>
      </c>
      <c r="J480" s="1012">
        <v>0</v>
      </c>
      <c r="K480" s="1012">
        <v>0</v>
      </c>
      <c r="L480" s="1013">
        <f t="shared" si="125"/>
        <v>4694000</v>
      </c>
      <c r="M480" s="1014">
        <v>18.8</v>
      </c>
      <c r="N480" s="1013">
        <f t="shared" si="82"/>
        <v>3394123</v>
      </c>
      <c r="O480" s="1015">
        <v>2</v>
      </c>
      <c r="P480" s="1013">
        <f t="shared" si="83"/>
        <v>361077</v>
      </c>
      <c r="Q480" s="1016">
        <v>0</v>
      </c>
      <c r="R480" s="1013">
        <f t="shared" si="84"/>
        <v>0</v>
      </c>
      <c r="S480" s="1013">
        <f t="shared" si="85"/>
        <v>3755200</v>
      </c>
      <c r="T480" s="1017">
        <v>0</v>
      </c>
      <c r="U480" s="785">
        <v>0</v>
      </c>
      <c r="V480" s="785">
        <v>160000</v>
      </c>
      <c r="W480" s="1017">
        <v>400000</v>
      </c>
      <c r="X480" s="1017">
        <v>0</v>
      </c>
      <c r="Y480" s="1017">
        <v>120000</v>
      </c>
      <c r="Z480" s="1017">
        <v>0</v>
      </c>
      <c r="AA480" s="1018"/>
      <c r="AB480" s="1013"/>
      <c r="AC480" s="1017">
        <v>0</v>
      </c>
      <c r="AD480" s="1017">
        <v>0</v>
      </c>
      <c r="AE480" s="1013">
        <v>33850.960771276594</v>
      </c>
      <c r="AF480" s="1019"/>
      <c r="AG480" s="1019">
        <f t="shared" si="124"/>
        <v>4469051</v>
      </c>
      <c r="AH480" s="1014">
        <v>16</v>
      </c>
      <c r="AI480" s="1014">
        <v>0</v>
      </c>
      <c r="AJ480" s="1014">
        <v>0</v>
      </c>
      <c r="AK480" s="1018">
        <v>0</v>
      </c>
      <c r="AL480" s="1020">
        <v>0</v>
      </c>
      <c r="AM480" s="1013">
        <f t="shared" si="123"/>
        <v>541615</v>
      </c>
      <c r="AN480" s="1045">
        <f t="shared" si="118"/>
        <v>5010666</v>
      </c>
      <c r="AO480" s="1013">
        <v>0</v>
      </c>
      <c r="AP480" s="1013">
        <v>0</v>
      </c>
      <c r="AQ480" s="1013">
        <v>0</v>
      </c>
      <c r="AR480" s="1013">
        <v>0</v>
      </c>
      <c r="AS480" s="1013">
        <v>0</v>
      </c>
      <c r="AT480" s="1045">
        <f t="shared" si="121"/>
        <v>5010666</v>
      </c>
      <c r="AU480" s="1004"/>
      <c r="AV480" s="870"/>
      <c r="AW480" s="782" t="s">
        <v>4468</v>
      </c>
      <c r="AX480" s="782" t="s">
        <v>5851</v>
      </c>
      <c r="AY480" s="1007" t="s">
        <v>288</v>
      </c>
      <c r="AZ480" s="1007">
        <v>622</v>
      </c>
      <c r="BA480" s="347" t="str">
        <f t="shared" si="122"/>
        <v>Bag</v>
      </c>
      <c r="BB480" s="1008"/>
      <c r="BC480" s="1009"/>
      <c r="BD480" s="1009"/>
    </row>
    <row r="481" spans="1:56" s="1010" customFormat="1" ht="36.75" customHeight="1">
      <c r="A481" s="661">
        <f>SUBTOTAL(3,B$6:B481)</f>
        <v>476</v>
      </c>
      <c r="B481" s="661" t="s">
        <v>1763</v>
      </c>
      <c r="C481" s="662" t="s">
        <v>1764</v>
      </c>
      <c r="D481" s="1011">
        <v>40316</v>
      </c>
      <c r="E481" s="1011" t="s">
        <v>218</v>
      </c>
      <c r="F481" s="787" t="s">
        <v>516</v>
      </c>
      <c r="G481" s="996" t="s">
        <v>1232</v>
      </c>
      <c r="H481" s="1012">
        <v>5931000</v>
      </c>
      <c r="I481" s="1012">
        <v>200000</v>
      </c>
      <c r="J481" s="1012">
        <v>0</v>
      </c>
      <c r="K481" s="1012">
        <v>0</v>
      </c>
      <c r="L481" s="1013">
        <f t="shared" si="125"/>
        <v>6131000</v>
      </c>
      <c r="M481" s="1014">
        <v>24</v>
      </c>
      <c r="N481" s="1013">
        <f t="shared" si="82"/>
        <v>5659385</v>
      </c>
      <c r="O481" s="1015">
        <v>2</v>
      </c>
      <c r="P481" s="1013">
        <f t="shared" si="83"/>
        <v>471615</v>
      </c>
      <c r="Q481" s="1016">
        <v>0</v>
      </c>
      <c r="R481" s="1013">
        <f t="shared" si="84"/>
        <v>0</v>
      </c>
      <c r="S481" s="1013">
        <f t="shared" si="85"/>
        <v>6131000</v>
      </c>
      <c r="T481" s="1017">
        <v>0</v>
      </c>
      <c r="U481" s="785">
        <v>0</v>
      </c>
      <c r="V481" s="785">
        <v>200000</v>
      </c>
      <c r="W481" s="1017">
        <v>500000</v>
      </c>
      <c r="X481" s="1017">
        <v>0</v>
      </c>
      <c r="Y481" s="1017">
        <v>400000</v>
      </c>
      <c r="Z481" s="1017">
        <v>538939</v>
      </c>
      <c r="AA481" s="1018"/>
      <c r="AB481" s="1013"/>
      <c r="AC481" s="1017">
        <v>0</v>
      </c>
      <c r="AD481" s="1017">
        <v>0</v>
      </c>
      <c r="AE481" s="1013">
        <v>44213.9453125</v>
      </c>
      <c r="AF481" s="1019"/>
      <c r="AG481" s="1019">
        <f t="shared" si="124"/>
        <v>7814153</v>
      </c>
      <c r="AH481" s="1014">
        <v>21</v>
      </c>
      <c r="AI481" s="1014">
        <v>0</v>
      </c>
      <c r="AJ481" s="1014">
        <v>0</v>
      </c>
      <c r="AK481" s="1018">
        <v>0</v>
      </c>
      <c r="AL481" s="1020">
        <v>0</v>
      </c>
      <c r="AM481" s="1013">
        <f t="shared" si="123"/>
        <v>928493</v>
      </c>
      <c r="AN481" s="1045">
        <f t="shared" si="118"/>
        <v>8742646</v>
      </c>
      <c r="AO481" s="1013">
        <v>643755</v>
      </c>
      <c r="AP481" s="1013">
        <v>44100</v>
      </c>
      <c r="AQ481" s="1013">
        <v>0</v>
      </c>
      <c r="AR481" s="1013">
        <v>0</v>
      </c>
      <c r="AS481" s="1013">
        <v>0</v>
      </c>
      <c r="AT481" s="1045">
        <f t="shared" si="121"/>
        <v>8054791</v>
      </c>
      <c r="AU481" s="1004"/>
      <c r="AV481" s="870"/>
      <c r="AW481" s="782" t="s">
        <v>4248</v>
      </c>
      <c r="AX481" s="782" t="s">
        <v>4249</v>
      </c>
      <c r="AY481" s="1007" t="s">
        <v>288</v>
      </c>
      <c r="AZ481" s="1007">
        <v>622</v>
      </c>
      <c r="BA481" s="347" t="str">
        <f t="shared" si="122"/>
        <v>Bag</v>
      </c>
      <c r="BB481" s="1008"/>
      <c r="BC481" s="1009"/>
      <c r="BD481" s="1009"/>
    </row>
    <row r="482" spans="1:56" s="1010" customFormat="1" ht="36.75" customHeight="1">
      <c r="A482" s="661">
        <f>SUBTOTAL(3,B$6:B482)</f>
        <v>477</v>
      </c>
      <c r="B482" s="661" t="s">
        <v>1765</v>
      </c>
      <c r="C482" s="662" t="s">
        <v>1766</v>
      </c>
      <c r="D482" s="1011">
        <v>40890</v>
      </c>
      <c r="E482" s="1011" t="s">
        <v>218</v>
      </c>
      <c r="F482" s="787" t="s">
        <v>516</v>
      </c>
      <c r="G482" s="996" t="s">
        <v>797</v>
      </c>
      <c r="H482" s="1012">
        <v>5931000</v>
      </c>
      <c r="I482" s="1012">
        <v>0</v>
      </c>
      <c r="J482" s="1012">
        <v>0</v>
      </c>
      <c r="K482" s="1012">
        <v>0</v>
      </c>
      <c r="L482" s="1013">
        <f t="shared" si="125"/>
        <v>5931000</v>
      </c>
      <c r="M482" s="1014">
        <v>23.6</v>
      </c>
      <c r="N482" s="1013">
        <f t="shared" si="82"/>
        <v>5383523</v>
      </c>
      <c r="O482" s="1015">
        <v>2</v>
      </c>
      <c r="P482" s="1013">
        <f t="shared" si="83"/>
        <v>456231</v>
      </c>
      <c r="Q482" s="1016">
        <v>0</v>
      </c>
      <c r="R482" s="1013">
        <f t="shared" si="84"/>
        <v>0</v>
      </c>
      <c r="S482" s="1013">
        <f t="shared" si="85"/>
        <v>5839754</v>
      </c>
      <c r="T482" s="1017">
        <v>0</v>
      </c>
      <c r="U482" s="785">
        <v>0</v>
      </c>
      <c r="V482" s="785">
        <v>200000</v>
      </c>
      <c r="W482" s="1017">
        <v>500000</v>
      </c>
      <c r="X482" s="1017">
        <v>0</v>
      </c>
      <c r="Y482" s="1017">
        <v>400000</v>
      </c>
      <c r="Z482" s="1017">
        <v>537047</v>
      </c>
      <c r="AA482" s="1018"/>
      <c r="AB482" s="1013"/>
      <c r="AC482" s="1017">
        <v>0</v>
      </c>
      <c r="AD482" s="1017">
        <v>0</v>
      </c>
      <c r="AE482" s="1013">
        <v>42771.634004237283</v>
      </c>
      <c r="AF482" s="1019"/>
      <c r="AG482" s="1019">
        <f t="shared" si="124"/>
        <v>7519573</v>
      </c>
      <c r="AH482" s="1014">
        <v>17</v>
      </c>
      <c r="AI482" s="1014">
        <v>0</v>
      </c>
      <c r="AJ482" s="1014">
        <v>0</v>
      </c>
      <c r="AK482" s="1018">
        <v>0</v>
      </c>
      <c r="AL482" s="1020">
        <v>0</v>
      </c>
      <c r="AM482" s="1013">
        <f t="shared" si="123"/>
        <v>727118</v>
      </c>
      <c r="AN482" s="1045">
        <f t="shared" si="118"/>
        <v>8246691</v>
      </c>
      <c r="AO482" s="1013">
        <v>622755</v>
      </c>
      <c r="AP482" s="1013">
        <v>44100</v>
      </c>
      <c r="AQ482" s="1013">
        <v>0</v>
      </c>
      <c r="AR482" s="1013">
        <v>0</v>
      </c>
      <c r="AS482" s="1013">
        <v>0</v>
      </c>
      <c r="AT482" s="1045">
        <f t="shared" si="121"/>
        <v>7579836</v>
      </c>
      <c r="AU482" s="1004"/>
      <c r="AV482" s="870"/>
      <c r="AW482" s="782" t="s">
        <v>4250</v>
      </c>
      <c r="AX482" s="782" t="s">
        <v>4251</v>
      </c>
      <c r="AY482" s="1007" t="s">
        <v>288</v>
      </c>
      <c r="AZ482" s="1007">
        <v>622</v>
      </c>
      <c r="BA482" s="347" t="str">
        <f t="shared" si="122"/>
        <v>Bag</v>
      </c>
      <c r="BB482" s="1008"/>
      <c r="BC482" s="1009"/>
      <c r="BD482" s="1009"/>
    </row>
    <row r="483" spans="1:56" s="1010" customFormat="1" ht="36.75" customHeight="1">
      <c r="A483" s="661">
        <f>SUBTOTAL(3,B$6:B483)</f>
        <v>478</v>
      </c>
      <c r="B483" s="661" t="s">
        <v>1767</v>
      </c>
      <c r="C483" s="662" t="s">
        <v>1768</v>
      </c>
      <c r="D483" s="1011">
        <v>40890</v>
      </c>
      <c r="E483" s="1011" t="s">
        <v>218</v>
      </c>
      <c r="F483" s="787" t="s">
        <v>516</v>
      </c>
      <c r="G483" s="996" t="s">
        <v>797</v>
      </c>
      <c r="H483" s="1012">
        <v>5931000</v>
      </c>
      <c r="I483" s="1012">
        <v>0</v>
      </c>
      <c r="J483" s="1012">
        <v>0</v>
      </c>
      <c r="K483" s="1012">
        <v>0</v>
      </c>
      <c r="L483" s="1013">
        <f t="shared" si="125"/>
        <v>5931000</v>
      </c>
      <c r="M483" s="1014">
        <v>24</v>
      </c>
      <c r="N483" s="1013">
        <f t="shared" si="82"/>
        <v>5474769</v>
      </c>
      <c r="O483" s="1015">
        <v>2</v>
      </c>
      <c r="P483" s="1013">
        <f t="shared" si="83"/>
        <v>456231</v>
      </c>
      <c r="Q483" s="1016">
        <v>0</v>
      </c>
      <c r="R483" s="1013">
        <f t="shared" si="84"/>
        <v>0</v>
      </c>
      <c r="S483" s="1013">
        <f t="shared" si="85"/>
        <v>5931000</v>
      </c>
      <c r="T483" s="1017">
        <v>0</v>
      </c>
      <c r="U483" s="785">
        <v>0</v>
      </c>
      <c r="V483" s="785">
        <v>200000</v>
      </c>
      <c r="W483" s="1017">
        <v>500000</v>
      </c>
      <c r="X483" s="1017">
        <v>0</v>
      </c>
      <c r="Y483" s="1017">
        <v>400000</v>
      </c>
      <c r="Z483" s="1017">
        <v>603142</v>
      </c>
      <c r="AA483" s="1018"/>
      <c r="AB483" s="1013"/>
      <c r="AC483" s="1017">
        <v>0</v>
      </c>
      <c r="AD483" s="1017">
        <v>0</v>
      </c>
      <c r="AE483" s="1013">
        <v>42771.6328125</v>
      </c>
      <c r="AF483" s="1019"/>
      <c r="AG483" s="1019">
        <f t="shared" si="124"/>
        <v>7676914</v>
      </c>
      <c r="AH483" s="1014">
        <v>21</v>
      </c>
      <c r="AI483" s="1014">
        <v>0</v>
      </c>
      <c r="AJ483" s="1014">
        <v>0</v>
      </c>
      <c r="AK483" s="1018">
        <v>0</v>
      </c>
      <c r="AL483" s="1020">
        <v>0</v>
      </c>
      <c r="AM483" s="1013">
        <f t="shared" si="123"/>
        <v>898204</v>
      </c>
      <c r="AN483" s="1045">
        <f t="shared" si="118"/>
        <v>8575118</v>
      </c>
      <c r="AO483" s="1013">
        <v>622755</v>
      </c>
      <c r="AP483" s="1013">
        <v>44100</v>
      </c>
      <c r="AQ483" s="1013">
        <v>0</v>
      </c>
      <c r="AR483" s="1013">
        <v>0</v>
      </c>
      <c r="AS483" s="1013">
        <v>0</v>
      </c>
      <c r="AT483" s="1045">
        <f t="shared" si="121"/>
        <v>7908263</v>
      </c>
      <c r="AU483" s="1004"/>
      <c r="AV483" s="870"/>
      <c r="AW483" s="782" t="s">
        <v>4252</v>
      </c>
      <c r="AX483" s="782" t="s">
        <v>4253</v>
      </c>
      <c r="AY483" s="1007" t="s">
        <v>288</v>
      </c>
      <c r="AZ483" s="1007">
        <v>622</v>
      </c>
      <c r="BA483" s="347" t="str">
        <f t="shared" si="122"/>
        <v>Bag</v>
      </c>
      <c r="BB483" s="1008"/>
      <c r="BC483" s="1009"/>
      <c r="BD483" s="1009"/>
    </row>
    <row r="484" spans="1:56" s="1010" customFormat="1" ht="36.75" customHeight="1">
      <c r="A484" s="661">
        <f>SUBTOTAL(3,B$6:B484)</f>
        <v>479</v>
      </c>
      <c r="B484" s="661" t="s">
        <v>1769</v>
      </c>
      <c r="C484" s="662" t="s">
        <v>1770</v>
      </c>
      <c r="D484" s="1011">
        <v>40943</v>
      </c>
      <c r="E484" s="1011" t="s">
        <v>218</v>
      </c>
      <c r="F484" s="787" t="s">
        <v>516</v>
      </c>
      <c r="G484" s="996" t="s">
        <v>797</v>
      </c>
      <c r="H484" s="1012">
        <v>5931000</v>
      </c>
      <c r="I484" s="1012">
        <v>0</v>
      </c>
      <c r="J484" s="1012">
        <v>0</v>
      </c>
      <c r="K484" s="1012">
        <v>0</v>
      </c>
      <c r="L484" s="1013">
        <f t="shared" si="125"/>
        <v>5931000</v>
      </c>
      <c r="M484" s="1014">
        <v>6</v>
      </c>
      <c r="N484" s="1013">
        <f t="shared" si="82"/>
        <v>1368692</v>
      </c>
      <c r="O484" s="1015">
        <v>2</v>
      </c>
      <c r="P484" s="1013">
        <f t="shared" si="83"/>
        <v>456231</v>
      </c>
      <c r="Q484" s="1016">
        <v>0</v>
      </c>
      <c r="R484" s="1013">
        <f t="shared" si="84"/>
        <v>0</v>
      </c>
      <c r="S484" s="1013">
        <f t="shared" si="85"/>
        <v>1824923</v>
      </c>
      <c r="T484" s="1017">
        <v>0</v>
      </c>
      <c r="U484" s="785">
        <v>0</v>
      </c>
      <c r="V484" s="785">
        <v>0</v>
      </c>
      <c r="W484" s="1017">
        <v>0</v>
      </c>
      <c r="X484" s="1017">
        <v>0</v>
      </c>
      <c r="Y484" s="1017">
        <v>0</v>
      </c>
      <c r="Z484" s="1017">
        <v>0</v>
      </c>
      <c r="AA484" s="1018"/>
      <c r="AB484" s="1013"/>
      <c r="AC484" s="1017">
        <v>0</v>
      </c>
      <c r="AD484" s="1017">
        <v>0</v>
      </c>
      <c r="AE484" s="1013">
        <v>0</v>
      </c>
      <c r="AF484" s="1019"/>
      <c r="AG484" s="1019">
        <f t="shared" si="124"/>
        <v>1824923</v>
      </c>
      <c r="AH484" s="1014">
        <v>4</v>
      </c>
      <c r="AI484" s="1014">
        <v>0</v>
      </c>
      <c r="AJ484" s="1014">
        <v>0</v>
      </c>
      <c r="AK484" s="1018">
        <v>0</v>
      </c>
      <c r="AL484" s="1020">
        <v>0</v>
      </c>
      <c r="AM484" s="1013">
        <f t="shared" si="123"/>
        <v>171087</v>
      </c>
      <c r="AN484" s="1045">
        <f t="shared" si="118"/>
        <v>1996010</v>
      </c>
      <c r="AO484" s="1013">
        <v>0</v>
      </c>
      <c r="AP484" s="1013">
        <v>44100</v>
      </c>
      <c r="AQ484" s="1013">
        <v>0</v>
      </c>
      <c r="AR484" s="1013">
        <v>0</v>
      </c>
      <c r="AS484" s="1013">
        <v>0</v>
      </c>
      <c r="AT484" s="1045">
        <f t="shared" si="121"/>
        <v>1951910</v>
      </c>
      <c r="AU484" s="1004"/>
      <c r="AV484" s="870"/>
      <c r="AW484" s="782" t="s">
        <v>4254</v>
      </c>
      <c r="AX484" s="782" t="s">
        <v>4255</v>
      </c>
      <c r="AY484" s="1007" t="s">
        <v>288</v>
      </c>
      <c r="AZ484" s="1007">
        <v>622</v>
      </c>
      <c r="BA484" s="347" t="str">
        <f t="shared" si="122"/>
        <v>Bag</v>
      </c>
      <c r="BB484" s="1008"/>
      <c r="BC484" s="1009"/>
      <c r="BD484" s="1009"/>
    </row>
    <row r="485" spans="1:56" s="1010" customFormat="1" ht="36.75" customHeight="1">
      <c r="A485" s="661">
        <f>SUBTOTAL(3,B$6:B485)</f>
        <v>480</v>
      </c>
      <c r="B485" s="661" t="s">
        <v>1771</v>
      </c>
      <c r="C485" s="662" t="s">
        <v>1772</v>
      </c>
      <c r="D485" s="1011">
        <v>41012</v>
      </c>
      <c r="E485" s="1011" t="s">
        <v>218</v>
      </c>
      <c r="F485" s="787" t="s">
        <v>516</v>
      </c>
      <c r="G485" s="996" t="s">
        <v>797</v>
      </c>
      <c r="H485" s="1012">
        <v>5931000</v>
      </c>
      <c r="I485" s="1012">
        <v>0</v>
      </c>
      <c r="J485" s="1012">
        <v>0</v>
      </c>
      <c r="K485" s="1012">
        <v>0</v>
      </c>
      <c r="L485" s="1013">
        <f t="shared" si="125"/>
        <v>5931000</v>
      </c>
      <c r="M485" s="1014">
        <v>24</v>
      </c>
      <c r="N485" s="1013">
        <f t="shared" si="82"/>
        <v>5474769</v>
      </c>
      <c r="O485" s="1015">
        <v>2</v>
      </c>
      <c r="P485" s="1013">
        <f t="shared" si="83"/>
        <v>456231</v>
      </c>
      <c r="Q485" s="1016">
        <v>0</v>
      </c>
      <c r="R485" s="1013">
        <f t="shared" si="84"/>
        <v>0</v>
      </c>
      <c r="S485" s="1013">
        <f t="shared" si="85"/>
        <v>5931000</v>
      </c>
      <c r="T485" s="1017">
        <v>0</v>
      </c>
      <c r="U485" s="785">
        <v>0</v>
      </c>
      <c r="V485" s="785">
        <v>200000</v>
      </c>
      <c r="W485" s="1017">
        <v>500000</v>
      </c>
      <c r="X485" s="1017">
        <v>0</v>
      </c>
      <c r="Y485" s="1017">
        <v>400000</v>
      </c>
      <c r="Z485" s="1017">
        <v>556015</v>
      </c>
      <c r="AA485" s="1018"/>
      <c r="AB485" s="1013"/>
      <c r="AC485" s="1017">
        <v>0</v>
      </c>
      <c r="AD485" s="1017">
        <v>0</v>
      </c>
      <c r="AE485" s="1013">
        <v>42771.6328125</v>
      </c>
      <c r="AF485" s="1019"/>
      <c r="AG485" s="1019">
        <f t="shared" si="124"/>
        <v>7629787</v>
      </c>
      <c r="AH485" s="1014">
        <v>21</v>
      </c>
      <c r="AI485" s="1014">
        <v>0</v>
      </c>
      <c r="AJ485" s="1014">
        <v>0</v>
      </c>
      <c r="AK485" s="1018">
        <v>0</v>
      </c>
      <c r="AL485" s="1020">
        <v>0</v>
      </c>
      <c r="AM485" s="1013">
        <f t="shared" si="123"/>
        <v>898204</v>
      </c>
      <c r="AN485" s="1045">
        <f t="shared" si="118"/>
        <v>8527991</v>
      </c>
      <c r="AO485" s="1013">
        <v>622755</v>
      </c>
      <c r="AP485" s="1013">
        <v>44100</v>
      </c>
      <c r="AQ485" s="1013">
        <v>0</v>
      </c>
      <c r="AR485" s="1013">
        <v>0</v>
      </c>
      <c r="AS485" s="1013">
        <v>0</v>
      </c>
      <c r="AT485" s="1045">
        <f t="shared" si="121"/>
        <v>7861136</v>
      </c>
      <c r="AU485" s="1004"/>
      <c r="AV485" s="870"/>
      <c r="AW485" s="782" t="s">
        <v>4256</v>
      </c>
      <c r="AX485" s="782" t="s">
        <v>4257</v>
      </c>
      <c r="AY485" s="1007" t="s">
        <v>288</v>
      </c>
      <c r="AZ485" s="1007">
        <v>622</v>
      </c>
      <c r="BA485" s="347" t="str">
        <f t="shared" si="122"/>
        <v>Bag</v>
      </c>
      <c r="BB485" s="1008"/>
      <c r="BC485" s="1009"/>
      <c r="BD485" s="1009"/>
    </row>
    <row r="486" spans="1:56" s="1010" customFormat="1" ht="36.75" customHeight="1">
      <c r="A486" s="661">
        <f>SUBTOTAL(3,B$6:B486)</f>
        <v>481</v>
      </c>
      <c r="B486" s="661" t="s">
        <v>1773</v>
      </c>
      <c r="C486" s="662" t="s">
        <v>1774</v>
      </c>
      <c r="D486" s="1011">
        <v>42626</v>
      </c>
      <c r="E486" s="1011" t="s">
        <v>218</v>
      </c>
      <c r="F486" s="787" t="s">
        <v>516</v>
      </c>
      <c r="G486" s="996" t="s">
        <v>797</v>
      </c>
      <c r="H486" s="1012">
        <v>5931000</v>
      </c>
      <c r="I486" s="1012">
        <v>0</v>
      </c>
      <c r="J486" s="1012">
        <v>0</v>
      </c>
      <c r="K486" s="1012">
        <v>0</v>
      </c>
      <c r="L486" s="1013">
        <f t="shared" si="125"/>
        <v>5931000</v>
      </c>
      <c r="M486" s="1014">
        <v>24</v>
      </c>
      <c r="N486" s="1013">
        <f t="shared" si="82"/>
        <v>5474769</v>
      </c>
      <c r="O486" s="1015">
        <v>2</v>
      </c>
      <c r="P486" s="1013">
        <f t="shared" si="83"/>
        <v>456231</v>
      </c>
      <c r="Q486" s="1016">
        <v>0</v>
      </c>
      <c r="R486" s="1013">
        <f t="shared" si="84"/>
        <v>0</v>
      </c>
      <c r="S486" s="1013">
        <f t="shared" si="85"/>
        <v>5931000</v>
      </c>
      <c r="T486" s="1017">
        <v>0</v>
      </c>
      <c r="U486" s="785">
        <v>0</v>
      </c>
      <c r="V486" s="785">
        <v>200000</v>
      </c>
      <c r="W486" s="1017">
        <v>500000</v>
      </c>
      <c r="X486" s="1017">
        <v>0</v>
      </c>
      <c r="Y486" s="1017">
        <v>400000</v>
      </c>
      <c r="Z486" s="1017">
        <v>629468</v>
      </c>
      <c r="AA486" s="1018"/>
      <c r="AB486" s="1013"/>
      <c r="AC486" s="1017">
        <v>100000</v>
      </c>
      <c r="AD486" s="1017">
        <v>0</v>
      </c>
      <c r="AE486" s="1013">
        <v>42771.6328125</v>
      </c>
      <c r="AF486" s="1019"/>
      <c r="AG486" s="1019">
        <f t="shared" si="124"/>
        <v>7803240</v>
      </c>
      <c r="AH486" s="1014">
        <v>21</v>
      </c>
      <c r="AI486" s="1014">
        <v>0</v>
      </c>
      <c r="AJ486" s="1014">
        <v>0</v>
      </c>
      <c r="AK486" s="1018">
        <v>0</v>
      </c>
      <c r="AL486" s="1020">
        <v>0</v>
      </c>
      <c r="AM486" s="1013">
        <f t="shared" si="123"/>
        <v>898204</v>
      </c>
      <c r="AN486" s="1045">
        <f t="shared" si="118"/>
        <v>8701444</v>
      </c>
      <c r="AO486" s="1013">
        <v>622755</v>
      </c>
      <c r="AP486" s="1013">
        <v>44100</v>
      </c>
      <c r="AQ486" s="1013">
        <v>0</v>
      </c>
      <c r="AR486" s="1013">
        <v>0</v>
      </c>
      <c r="AS486" s="1013">
        <v>0</v>
      </c>
      <c r="AT486" s="1045">
        <f t="shared" si="121"/>
        <v>8034589</v>
      </c>
      <c r="AU486" s="1004"/>
      <c r="AV486" s="870"/>
      <c r="AW486" s="782" t="s">
        <v>4258</v>
      </c>
      <c r="AX486" s="782" t="s">
        <v>4259</v>
      </c>
      <c r="AY486" s="1007" t="s">
        <v>288</v>
      </c>
      <c r="AZ486" s="1007">
        <v>622</v>
      </c>
      <c r="BA486" s="347" t="str">
        <f t="shared" si="122"/>
        <v>Bag</v>
      </c>
      <c r="BB486" s="1008"/>
      <c r="BC486" s="1009"/>
      <c r="BD486" s="1009"/>
    </row>
    <row r="487" spans="1:56" s="1010" customFormat="1" ht="36.75" customHeight="1">
      <c r="A487" s="661">
        <f>SUBTOTAL(3,B$6:B487)</f>
        <v>482</v>
      </c>
      <c r="B487" s="661" t="s">
        <v>1775</v>
      </c>
      <c r="C487" s="662" t="s">
        <v>1776</v>
      </c>
      <c r="D487" s="1011">
        <v>42863</v>
      </c>
      <c r="E487" s="1011" t="s">
        <v>218</v>
      </c>
      <c r="F487" s="787" t="s">
        <v>516</v>
      </c>
      <c r="G487" s="996" t="s">
        <v>797</v>
      </c>
      <c r="H487" s="1012">
        <v>5931000</v>
      </c>
      <c r="I487" s="1012">
        <v>0</v>
      </c>
      <c r="J487" s="1012">
        <v>0</v>
      </c>
      <c r="K487" s="1012">
        <v>0</v>
      </c>
      <c r="L487" s="1013">
        <f t="shared" si="125"/>
        <v>5931000</v>
      </c>
      <c r="M487" s="1014">
        <v>23</v>
      </c>
      <c r="N487" s="1013">
        <f t="shared" si="82"/>
        <v>5246654</v>
      </c>
      <c r="O487" s="1015">
        <v>3</v>
      </c>
      <c r="P487" s="1013">
        <f t="shared" si="83"/>
        <v>684346</v>
      </c>
      <c r="Q487" s="1016">
        <v>0</v>
      </c>
      <c r="R487" s="1013">
        <f t="shared" si="84"/>
        <v>0</v>
      </c>
      <c r="S487" s="1013">
        <f t="shared" si="85"/>
        <v>5931000</v>
      </c>
      <c r="T487" s="1017">
        <v>0</v>
      </c>
      <c r="U487" s="785">
        <v>0</v>
      </c>
      <c r="V487" s="785">
        <v>200000</v>
      </c>
      <c r="W487" s="1017">
        <v>500000</v>
      </c>
      <c r="X487" s="1017">
        <v>0</v>
      </c>
      <c r="Y487" s="1017">
        <v>400000</v>
      </c>
      <c r="Z487" s="1017">
        <v>563237</v>
      </c>
      <c r="AA487" s="1018"/>
      <c r="AB487" s="1013"/>
      <c r="AC487" s="1017">
        <v>100000</v>
      </c>
      <c r="AD487" s="1017">
        <v>0</v>
      </c>
      <c r="AE487" s="1013">
        <v>42771.635869565216</v>
      </c>
      <c r="AF487" s="1019"/>
      <c r="AG487" s="1019">
        <f t="shared" si="124"/>
        <v>7737009</v>
      </c>
      <c r="AH487" s="1014">
        <v>17</v>
      </c>
      <c r="AI487" s="1014">
        <v>0</v>
      </c>
      <c r="AJ487" s="1014">
        <v>0</v>
      </c>
      <c r="AK487" s="1018">
        <v>0</v>
      </c>
      <c r="AL487" s="1020">
        <v>0</v>
      </c>
      <c r="AM487" s="1013">
        <f t="shared" si="123"/>
        <v>727118</v>
      </c>
      <c r="AN487" s="1045">
        <f t="shared" si="118"/>
        <v>8464127</v>
      </c>
      <c r="AO487" s="1013">
        <v>622755</v>
      </c>
      <c r="AP487" s="1013">
        <v>44100</v>
      </c>
      <c r="AQ487" s="1013">
        <v>0</v>
      </c>
      <c r="AR487" s="1013">
        <v>0</v>
      </c>
      <c r="AS487" s="1013">
        <v>0</v>
      </c>
      <c r="AT487" s="1045">
        <f t="shared" si="121"/>
        <v>7797272</v>
      </c>
      <c r="AU487" s="1004"/>
      <c r="AV487" s="870"/>
      <c r="AW487" s="782" t="s">
        <v>4260</v>
      </c>
      <c r="AX487" s="782" t="s">
        <v>4261</v>
      </c>
      <c r="AY487" s="1007" t="s">
        <v>288</v>
      </c>
      <c r="AZ487" s="1007">
        <v>622</v>
      </c>
      <c r="BA487" s="347" t="str">
        <f t="shared" si="122"/>
        <v>Bag</v>
      </c>
      <c r="BB487" s="1008"/>
      <c r="BC487" s="1009"/>
      <c r="BD487" s="1009"/>
    </row>
    <row r="488" spans="1:56" s="1010" customFormat="1" ht="36.75" customHeight="1">
      <c r="A488" s="661">
        <f>SUBTOTAL(3,B$6:B488)</f>
        <v>483</v>
      </c>
      <c r="B488" s="661" t="s">
        <v>1777</v>
      </c>
      <c r="C488" s="662" t="s">
        <v>1778</v>
      </c>
      <c r="D488" s="1011">
        <v>43166</v>
      </c>
      <c r="E488" s="1011" t="s">
        <v>218</v>
      </c>
      <c r="F488" s="787" t="s">
        <v>516</v>
      </c>
      <c r="G488" s="996" t="s">
        <v>797</v>
      </c>
      <c r="H488" s="1012">
        <v>5931000</v>
      </c>
      <c r="I488" s="1012">
        <v>0</v>
      </c>
      <c r="J488" s="1012">
        <v>0</v>
      </c>
      <c r="K488" s="1012">
        <v>0</v>
      </c>
      <c r="L488" s="1013">
        <f t="shared" si="125"/>
        <v>5931000</v>
      </c>
      <c r="M488" s="1014">
        <v>15</v>
      </c>
      <c r="N488" s="1013">
        <f t="shared" si="82"/>
        <v>3421731</v>
      </c>
      <c r="O488" s="1015">
        <v>2</v>
      </c>
      <c r="P488" s="1013">
        <f t="shared" si="83"/>
        <v>456231</v>
      </c>
      <c r="Q488" s="1016">
        <v>0</v>
      </c>
      <c r="R488" s="1013">
        <f t="shared" si="84"/>
        <v>0</v>
      </c>
      <c r="S488" s="1013">
        <f t="shared" si="85"/>
        <v>3877962</v>
      </c>
      <c r="T488" s="1017">
        <v>0</v>
      </c>
      <c r="U488" s="785">
        <v>0</v>
      </c>
      <c r="V488" s="785">
        <v>200000</v>
      </c>
      <c r="W488" s="1017">
        <v>0</v>
      </c>
      <c r="X488" s="1017">
        <v>0</v>
      </c>
      <c r="Y488" s="1017">
        <v>0</v>
      </c>
      <c r="Z488" s="1017">
        <v>363666</v>
      </c>
      <c r="AA488" s="1018"/>
      <c r="AB488" s="1013"/>
      <c r="AC488" s="1017">
        <v>0</v>
      </c>
      <c r="AD488" s="1017">
        <v>0</v>
      </c>
      <c r="AE488" s="1013">
        <v>0</v>
      </c>
      <c r="AF488" s="1019"/>
      <c r="AG488" s="1019">
        <f t="shared" si="124"/>
        <v>4441628</v>
      </c>
      <c r="AH488" s="1014">
        <v>9</v>
      </c>
      <c r="AI488" s="1014">
        <v>0</v>
      </c>
      <c r="AJ488" s="1014">
        <v>0</v>
      </c>
      <c r="AK488" s="1018">
        <v>0</v>
      </c>
      <c r="AL488" s="1020">
        <v>0</v>
      </c>
      <c r="AM488" s="1013">
        <f t="shared" si="123"/>
        <v>384945</v>
      </c>
      <c r="AN488" s="1045">
        <f t="shared" si="118"/>
        <v>4826573</v>
      </c>
      <c r="AO488" s="1013">
        <v>622755</v>
      </c>
      <c r="AP488" s="1013">
        <v>44100</v>
      </c>
      <c r="AQ488" s="1013">
        <v>0</v>
      </c>
      <c r="AR488" s="1013">
        <v>0</v>
      </c>
      <c r="AS488" s="1013">
        <v>0</v>
      </c>
      <c r="AT488" s="1045">
        <f t="shared" si="121"/>
        <v>4159718</v>
      </c>
      <c r="AU488" s="1004"/>
      <c r="AV488" s="870"/>
      <c r="AW488" s="782" t="s">
        <v>4262</v>
      </c>
      <c r="AX488" s="782" t="s">
        <v>4263</v>
      </c>
      <c r="AY488" s="1007" t="s">
        <v>288</v>
      </c>
      <c r="AZ488" s="1007">
        <v>622</v>
      </c>
      <c r="BA488" s="347" t="str">
        <f t="shared" si="122"/>
        <v>Bag</v>
      </c>
      <c r="BB488" s="1008"/>
      <c r="BC488" s="1009"/>
      <c r="BD488" s="1009"/>
    </row>
    <row r="489" spans="1:56" s="1010" customFormat="1" ht="36.75" customHeight="1">
      <c r="A489" s="661">
        <f>SUBTOTAL(3,B$6:B489)</f>
        <v>484</v>
      </c>
      <c r="B489" s="661" t="s">
        <v>1779</v>
      </c>
      <c r="C489" s="662" t="s">
        <v>1780</v>
      </c>
      <c r="D489" s="1011">
        <v>43204</v>
      </c>
      <c r="E489" s="1011" t="s">
        <v>218</v>
      </c>
      <c r="F489" s="787" t="s">
        <v>516</v>
      </c>
      <c r="G489" s="996" t="s">
        <v>797</v>
      </c>
      <c r="H489" s="1012">
        <v>5931000</v>
      </c>
      <c r="I489" s="1012">
        <v>0</v>
      </c>
      <c r="J489" s="1012">
        <v>0</v>
      </c>
      <c r="K489" s="1012">
        <v>0</v>
      </c>
      <c r="L489" s="1013">
        <f t="shared" si="125"/>
        <v>5931000</v>
      </c>
      <c r="M489" s="1014">
        <v>23</v>
      </c>
      <c r="N489" s="1013">
        <f t="shared" si="82"/>
        <v>5246654</v>
      </c>
      <c r="O489" s="1015">
        <v>3</v>
      </c>
      <c r="P489" s="1013">
        <f t="shared" si="83"/>
        <v>684346</v>
      </c>
      <c r="Q489" s="1016">
        <v>0</v>
      </c>
      <c r="R489" s="1013">
        <f t="shared" si="84"/>
        <v>0</v>
      </c>
      <c r="S489" s="1013">
        <f t="shared" si="85"/>
        <v>5931000</v>
      </c>
      <c r="T489" s="1017">
        <v>0</v>
      </c>
      <c r="U489" s="785">
        <v>0</v>
      </c>
      <c r="V489" s="785">
        <v>200000</v>
      </c>
      <c r="W489" s="1017">
        <v>500000</v>
      </c>
      <c r="X489" s="1017">
        <v>0</v>
      </c>
      <c r="Y489" s="1017">
        <v>400000</v>
      </c>
      <c r="Z489" s="1017">
        <v>597548</v>
      </c>
      <c r="AA489" s="1018"/>
      <c r="AB489" s="1013"/>
      <c r="AC489" s="1017">
        <v>200000</v>
      </c>
      <c r="AD489" s="1017">
        <v>0</v>
      </c>
      <c r="AE489" s="1013">
        <v>42771.635869565216</v>
      </c>
      <c r="AF489" s="1019"/>
      <c r="AG489" s="1019">
        <f t="shared" si="124"/>
        <v>7871320</v>
      </c>
      <c r="AH489" s="1014">
        <v>21</v>
      </c>
      <c r="AI489" s="1014">
        <v>0</v>
      </c>
      <c r="AJ489" s="1014">
        <v>0</v>
      </c>
      <c r="AK489" s="1018">
        <v>0</v>
      </c>
      <c r="AL489" s="1020">
        <v>0</v>
      </c>
      <c r="AM489" s="1013">
        <f t="shared" si="123"/>
        <v>898204</v>
      </c>
      <c r="AN489" s="1045">
        <f t="shared" si="118"/>
        <v>8769524</v>
      </c>
      <c r="AO489" s="1013">
        <v>622755</v>
      </c>
      <c r="AP489" s="1013">
        <v>44100</v>
      </c>
      <c r="AQ489" s="1013">
        <v>0</v>
      </c>
      <c r="AR489" s="1013">
        <v>0</v>
      </c>
      <c r="AS489" s="1013">
        <v>0</v>
      </c>
      <c r="AT489" s="1045">
        <f t="shared" si="121"/>
        <v>8102669</v>
      </c>
      <c r="AU489" s="1004"/>
      <c r="AV489" s="870"/>
      <c r="AW489" s="782" t="s">
        <v>4264</v>
      </c>
      <c r="AX489" s="782" t="s">
        <v>4265</v>
      </c>
      <c r="AY489" s="1007" t="s">
        <v>288</v>
      </c>
      <c r="AZ489" s="1007">
        <v>622</v>
      </c>
      <c r="BA489" s="347" t="str">
        <f t="shared" si="122"/>
        <v>Bag</v>
      </c>
      <c r="BB489" s="1008"/>
      <c r="BC489" s="1009"/>
      <c r="BD489" s="1009"/>
    </row>
    <row r="490" spans="1:56" s="1010" customFormat="1" ht="36.75" customHeight="1">
      <c r="A490" s="661">
        <f>SUBTOTAL(3,B$6:B490)</f>
        <v>485</v>
      </c>
      <c r="B490" s="661" t="s">
        <v>1781</v>
      </c>
      <c r="C490" s="662" t="s">
        <v>1782</v>
      </c>
      <c r="D490" s="1011">
        <v>43204</v>
      </c>
      <c r="E490" s="1011" t="s">
        <v>218</v>
      </c>
      <c r="F490" s="787" t="s">
        <v>516</v>
      </c>
      <c r="G490" s="996" t="s">
        <v>797</v>
      </c>
      <c r="H490" s="1012">
        <v>5931000</v>
      </c>
      <c r="I490" s="1012">
        <v>0</v>
      </c>
      <c r="J490" s="1012">
        <v>0</v>
      </c>
      <c r="K490" s="1012">
        <v>0</v>
      </c>
      <c r="L490" s="1013">
        <f t="shared" si="125"/>
        <v>5931000</v>
      </c>
      <c r="M490" s="1014">
        <v>23.9</v>
      </c>
      <c r="N490" s="1013">
        <f t="shared" si="82"/>
        <v>5451958</v>
      </c>
      <c r="O490" s="1015">
        <v>2</v>
      </c>
      <c r="P490" s="1013">
        <f t="shared" si="83"/>
        <v>456231</v>
      </c>
      <c r="Q490" s="1016">
        <v>0</v>
      </c>
      <c r="R490" s="1013">
        <f t="shared" si="84"/>
        <v>0</v>
      </c>
      <c r="S490" s="1013">
        <f t="shared" si="85"/>
        <v>5908189</v>
      </c>
      <c r="T490" s="1017">
        <v>0</v>
      </c>
      <c r="U490" s="785">
        <v>0</v>
      </c>
      <c r="V490" s="785">
        <v>200000</v>
      </c>
      <c r="W490" s="1017">
        <v>500000</v>
      </c>
      <c r="X490" s="1017">
        <v>0</v>
      </c>
      <c r="Y490" s="1017">
        <v>400000</v>
      </c>
      <c r="Z490" s="1017">
        <v>537727</v>
      </c>
      <c r="AA490" s="1018"/>
      <c r="AB490" s="1013"/>
      <c r="AC490" s="1017">
        <v>0</v>
      </c>
      <c r="AD490" s="1017">
        <v>0</v>
      </c>
      <c r="AE490" s="1013">
        <v>42771.6370292887</v>
      </c>
      <c r="AF490" s="1019"/>
      <c r="AG490" s="1019">
        <f t="shared" si="124"/>
        <v>7588688</v>
      </c>
      <c r="AH490" s="1014">
        <v>17</v>
      </c>
      <c r="AI490" s="1014">
        <v>0</v>
      </c>
      <c r="AJ490" s="1014">
        <v>0</v>
      </c>
      <c r="AK490" s="1018">
        <v>0</v>
      </c>
      <c r="AL490" s="1020">
        <v>0</v>
      </c>
      <c r="AM490" s="1013">
        <f t="shared" si="123"/>
        <v>727118</v>
      </c>
      <c r="AN490" s="1045">
        <f t="shared" si="118"/>
        <v>8315806</v>
      </c>
      <c r="AO490" s="1013">
        <v>622755</v>
      </c>
      <c r="AP490" s="1013">
        <v>44100</v>
      </c>
      <c r="AQ490" s="1013">
        <v>0</v>
      </c>
      <c r="AR490" s="1013">
        <v>0</v>
      </c>
      <c r="AS490" s="1013">
        <v>0</v>
      </c>
      <c r="AT490" s="1045">
        <f t="shared" si="121"/>
        <v>7648951</v>
      </c>
      <c r="AU490" s="1004"/>
      <c r="AV490" s="870"/>
      <c r="AW490" s="782" t="s">
        <v>4266</v>
      </c>
      <c r="AX490" s="782" t="s">
        <v>4267</v>
      </c>
      <c r="AY490" s="1007" t="s">
        <v>288</v>
      </c>
      <c r="AZ490" s="1007">
        <v>622</v>
      </c>
      <c r="BA490" s="347" t="str">
        <f t="shared" si="122"/>
        <v>Bag</v>
      </c>
      <c r="BB490" s="1008"/>
      <c r="BC490" s="1009"/>
      <c r="BD490" s="1009"/>
    </row>
    <row r="491" spans="1:56" s="1010" customFormat="1" ht="36.75" customHeight="1">
      <c r="A491" s="661">
        <f>SUBTOTAL(3,B$6:B491)</f>
        <v>486</v>
      </c>
      <c r="B491" s="661" t="s">
        <v>1783</v>
      </c>
      <c r="C491" s="662" t="s">
        <v>1784</v>
      </c>
      <c r="D491" s="1011">
        <v>43322</v>
      </c>
      <c r="E491" s="1011" t="s">
        <v>218</v>
      </c>
      <c r="F491" s="787" t="s">
        <v>516</v>
      </c>
      <c r="G491" s="996" t="s">
        <v>1232</v>
      </c>
      <c r="H491" s="1012">
        <v>5931000</v>
      </c>
      <c r="I491" s="1012">
        <v>200000</v>
      </c>
      <c r="J491" s="1012">
        <v>0</v>
      </c>
      <c r="K491" s="1012">
        <v>0</v>
      </c>
      <c r="L491" s="1013">
        <f t="shared" si="125"/>
        <v>6131000</v>
      </c>
      <c r="M491" s="1014">
        <v>22</v>
      </c>
      <c r="N491" s="1013">
        <f t="shared" si="82"/>
        <v>5187769</v>
      </c>
      <c r="O491" s="1015">
        <v>2</v>
      </c>
      <c r="P491" s="1013">
        <f t="shared" si="83"/>
        <v>471615</v>
      </c>
      <c r="Q491" s="1016">
        <v>0</v>
      </c>
      <c r="R491" s="1013">
        <f t="shared" si="84"/>
        <v>0</v>
      </c>
      <c r="S491" s="1013">
        <f t="shared" si="85"/>
        <v>5659384</v>
      </c>
      <c r="T491" s="1017">
        <v>0</v>
      </c>
      <c r="U491" s="785">
        <v>0</v>
      </c>
      <c r="V491" s="785">
        <v>200000</v>
      </c>
      <c r="W491" s="1017">
        <v>0</v>
      </c>
      <c r="X491" s="1017">
        <v>0</v>
      </c>
      <c r="Y491" s="1017">
        <v>150000</v>
      </c>
      <c r="Z491" s="1017">
        <v>508385</v>
      </c>
      <c r="AA491" s="1018"/>
      <c r="AB491" s="1013"/>
      <c r="AC491" s="1017">
        <v>0</v>
      </c>
      <c r="AD491" s="1017">
        <v>0</v>
      </c>
      <c r="AE491" s="1013">
        <v>0</v>
      </c>
      <c r="AF491" s="1019"/>
      <c r="AG491" s="1019">
        <f t="shared" si="124"/>
        <v>6517769</v>
      </c>
      <c r="AH491" s="1014">
        <v>17</v>
      </c>
      <c r="AI491" s="1014">
        <v>0</v>
      </c>
      <c r="AJ491" s="1014">
        <v>0</v>
      </c>
      <c r="AK491" s="1018">
        <v>0</v>
      </c>
      <c r="AL491" s="1020">
        <v>0</v>
      </c>
      <c r="AM491" s="1013">
        <f t="shared" si="123"/>
        <v>751637</v>
      </c>
      <c r="AN491" s="1045">
        <f t="shared" si="118"/>
        <v>7269406</v>
      </c>
      <c r="AO491" s="1013">
        <v>643755</v>
      </c>
      <c r="AP491" s="1013">
        <v>44100</v>
      </c>
      <c r="AQ491" s="1013">
        <v>0</v>
      </c>
      <c r="AR491" s="1013">
        <v>0</v>
      </c>
      <c r="AS491" s="1013">
        <v>0</v>
      </c>
      <c r="AT491" s="1045">
        <f t="shared" si="121"/>
        <v>6581551</v>
      </c>
      <c r="AU491" s="1004"/>
      <c r="AV491" s="870"/>
      <c r="AW491" s="782" t="s">
        <v>4268</v>
      </c>
      <c r="AX491" s="782" t="s">
        <v>4269</v>
      </c>
      <c r="AY491" s="1007" t="s">
        <v>288</v>
      </c>
      <c r="AZ491" s="1007">
        <v>622</v>
      </c>
      <c r="BA491" s="347" t="str">
        <f t="shared" si="122"/>
        <v>Bag</v>
      </c>
      <c r="BB491" s="1008"/>
      <c r="BC491" s="1009"/>
      <c r="BD491" s="1009"/>
    </row>
    <row r="492" spans="1:56" s="1010" customFormat="1" ht="36.75" customHeight="1">
      <c r="A492" s="661">
        <f>SUBTOTAL(3,B$6:B492)</f>
        <v>487</v>
      </c>
      <c r="B492" s="661" t="s">
        <v>1785</v>
      </c>
      <c r="C492" s="662" t="s">
        <v>1786</v>
      </c>
      <c r="D492" s="1011">
        <v>43361</v>
      </c>
      <c r="E492" s="1011" t="s">
        <v>218</v>
      </c>
      <c r="F492" s="787" t="s">
        <v>516</v>
      </c>
      <c r="G492" s="996" t="s">
        <v>1232</v>
      </c>
      <c r="H492" s="1012">
        <v>5931000</v>
      </c>
      <c r="I492" s="1012">
        <v>200000</v>
      </c>
      <c r="J492" s="1012">
        <v>0</v>
      </c>
      <c r="K492" s="1012">
        <v>0</v>
      </c>
      <c r="L492" s="1013">
        <f t="shared" si="125"/>
        <v>6131000</v>
      </c>
      <c r="M492" s="1014">
        <v>24</v>
      </c>
      <c r="N492" s="1013">
        <f t="shared" si="82"/>
        <v>5659385</v>
      </c>
      <c r="O492" s="1015">
        <v>2</v>
      </c>
      <c r="P492" s="1013">
        <f t="shared" si="83"/>
        <v>471615</v>
      </c>
      <c r="Q492" s="1016">
        <v>0</v>
      </c>
      <c r="R492" s="1013">
        <f t="shared" si="84"/>
        <v>0</v>
      </c>
      <c r="S492" s="1013">
        <f t="shared" si="85"/>
        <v>6131000</v>
      </c>
      <c r="T492" s="1017">
        <v>0</v>
      </c>
      <c r="U492" s="785">
        <v>0</v>
      </c>
      <c r="V492" s="785">
        <v>200000</v>
      </c>
      <c r="W492" s="1017">
        <v>500000</v>
      </c>
      <c r="X492" s="1017">
        <v>0</v>
      </c>
      <c r="Y492" s="1017">
        <v>400000</v>
      </c>
      <c r="Z492" s="1017">
        <v>627396</v>
      </c>
      <c r="AA492" s="1018"/>
      <c r="AB492" s="1013"/>
      <c r="AC492" s="1017">
        <v>0</v>
      </c>
      <c r="AD492" s="1017">
        <v>0</v>
      </c>
      <c r="AE492" s="1013">
        <v>0</v>
      </c>
      <c r="AF492" s="1019"/>
      <c r="AG492" s="1019">
        <f t="shared" si="124"/>
        <v>7858396</v>
      </c>
      <c r="AH492" s="1014">
        <v>21</v>
      </c>
      <c r="AI492" s="1014">
        <v>0</v>
      </c>
      <c r="AJ492" s="1014">
        <v>0</v>
      </c>
      <c r="AK492" s="1018">
        <v>0</v>
      </c>
      <c r="AL492" s="1020">
        <v>0</v>
      </c>
      <c r="AM492" s="1013">
        <f t="shared" si="123"/>
        <v>928493</v>
      </c>
      <c r="AN492" s="1045">
        <f t="shared" si="118"/>
        <v>8786889</v>
      </c>
      <c r="AO492" s="1013">
        <v>643755</v>
      </c>
      <c r="AP492" s="1013">
        <v>44100</v>
      </c>
      <c r="AQ492" s="1013">
        <v>0</v>
      </c>
      <c r="AR492" s="1013">
        <v>0</v>
      </c>
      <c r="AS492" s="1013">
        <v>0</v>
      </c>
      <c r="AT492" s="1045">
        <f t="shared" si="121"/>
        <v>8099034</v>
      </c>
      <c r="AU492" s="1004"/>
      <c r="AV492" s="870"/>
      <c r="AW492" s="782" t="s">
        <v>4270</v>
      </c>
      <c r="AX492" s="782" t="s">
        <v>4271</v>
      </c>
      <c r="AY492" s="1007" t="s">
        <v>288</v>
      </c>
      <c r="AZ492" s="1007">
        <v>622</v>
      </c>
      <c r="BA492" s="347" t="str">
        <f t="shared" si="122"/>
        <v>Bag</v>
      </c>
      <c r="BB492" s="1008"/>
      <c r="BC492" s="1009"/>
      <c r="BD492" s="1009"/>
    </row>
    <row r="493" spans="1:56" s="1010" customFormat="1" ht="36.75" customHeight="1">
      <c r="A493" s="661">
        <f>SUBTOTAL(3,B$6:B493)</f>
        <v>488</v>
      </c>
      <c r="B493" s="661" t="s">
        <v>1787</v>
      </c>
      <c r="C493" s="662" t="s">
        <v>1788</v>
      </c>
      <c r="D493" s="1011">
        <v>43532</v>
      </c>
      <c r="E493" s="1011" t="s">
        <v>218</v>
      </c>
      <c r="F493" s="787" t="s">
        <v>516</v>
      </c>
      <c r="G493" s="996" t="s">
        <v>797</v>
      </c>
      <c r="H493" s="1012">
        <v>5931000</v>
      </c>
      <c r="I493" s="1012">
        <v>0</v>
      </c>
      <c r="J493" s="1012">
        <v>0</v>
      </c>
      <c r="K493" s="1012">
        <v>0</v>
      </c>
      <c r="L493" s="1013">
        <f t="shared" si="125"/>
        <v>5931000</v>
      </c>
      <c r="M493" s="1014">
        <v>18</v>
      </c>
      <c r="N493" s="1013">
        <f t="shared" si="82"/>
        <v>4106077</v>
      </c>
      <c r="O493" s="1015">
        <v>6</v>
      </c>
      <c r="P493" s="1013">
        <f t="shared" si="83"/>
        <v>1368692</v>
      </c>
      <c r="Q493" s="1016">
        <v>0</v>
      </c>
      <c r="R493" s="1013">
        <f t="shared" si="84"/>
        <v>0</v>
      </c>
      <c r="S493" s="1013">
        <f t="shared" si="85"/>
        <v>5474769</v>
      </c>
      <c r="T493" s="1017">
        <v>0</v>
      </c>
      <c r="U493" s="785">
        <v>0</v>
      </c>
      <c r="V493" s="785">
        <v>200000</v>
      </c>
      <c r="W493" s="1017">
        <v>0</v>
      </c>
      <c r="X493" s="1017">
        <v>0</v>
      </c>
      <c r="Y493" s="1017">
        <v>150000</v>
      </c>
      <c r="Z493" s="1017">
        <v>421839</v>
      </c>
      <c r="AA493" s="1018"/>
      <c r="AB493" s="1013"/>
      <c r="AC493" s="1017">
        <v>0</v>
      </c>
      <c r="AD493" s="1017">
        <v>0</v>
      </c>
      <c r="AE493" s="1013">
        <v>0</v>
      </c>
      <c r="AF493" s="1019"/>
      <c r="AG493" s="1019">
        <f t="shared" si="124"/>
        <v>6246608</v>
      </c>
      <c r="AH493" s="1014">
        <v>21</v>
      </c>
      <c r="AI493" s="1014">
        <v>0</v>
      </c>
      <c r="AJ493" s="1014">
        <v>0</v>
      </c>
      <c r="AK493" s="1018">
        <v>0</v>
      </c>
      <c r="AL493" s="1020">
        <v>0</v>
      </c>
      <c r="AM493" s="1013">
        <f t="shared" si="123"/>
        <v>898204</v>
      </c>
      <c r="AN493" s="1045">
        <f t="shared" si="118"/>
        <v>7144812</v>
      </c>
      <c r="AO493" s="1013">
        <v>622755</v>
      </c>
      <c r="AP493" s="1013">
        <v>44100</v>
      </c>
      <c r="AQ493" s="1013">
        <v>0</v>
      </c>
      <c r="AR493" s="1013">
        <v>0</v>
      </c>
      <c r="AS493" s="1013">
        <v>0</v>
      </c>
      <c r="AT493" s="1045">
        <f t="shared" ref="AT493:AT556" si="126">+ROUND(SUM(AN493:AN493)-SUM(AO493:AS493),0)</f>
        <v>6477957</v>
      </c>
      <c r="AU493" s="1004"/>
      <c r="AV493" s="870"/>
      <c r="AW493" s="782" t="s">
        <v>4272</v>
      </c>
      <c r="AX493" s="782" t="s">
        <v>4273</v>
      </c>
      <c r="AY493" s="1007" t="s">
        <v>288</v>
      </c>
      <c r="AZ493" s="1007">
        <v>622</v>
      </c>
      <c r="BA493" s="347" t="str">
        <f t="shared" si="122"/>
        <v>Bag</v>
      </c>
      <c r="BB493" s="1008"/>
      <c r="BC493" s="1009"/>
      <c r="BD493" s="1009"/>
    </row>
    <row r="494" spans="1:56" s="1010" customFormat="1" ht="36.75" customHeight="1">
      <c r="A494" s="661">
        <f>SUBTOTAL(3,B$6:B494)</f>
        <v>489</v>
      </c>
      <c r="B494" s="661" t="s">
        <v>1789</v>
      </c>
      <c r="C494" s="662" t="s">
        <v>1790</v>
      </c>
      <c r="D494" s="1011">
        <v>43617</v>
      </c>
      <c r="E494" s="1011" t="s">
        <v>218</v>
      </c>
      <c r="F494" s="787" t="s">
        <v>517</v>
      </c>
      <c r="G494" s="996" t="s">
        <v>797</v>
      </c>
      <c r="H494" s="1012">
        <v>5931000</v>
      </c>
      <c r="I494" s="1012">
        <v>0</v>
      </c>
      <c r="J494" s="1012">
        <v>0</v>
      </c>
      <c r="K494" s="1012">
        <v>0</v>
      </c>
      <c r="L494" s="1013">
        <f t="shared" si="125"/>
        <v>5931000</v>
      </c>
      <c r="M494" s="1014">
        <v>22.6</v>
      </c>
      <c r="N494" s="1013">
        <f t="shared" si="82"/>
        <v>5155408</v>
      </c>
      <c r="O494" s="1015">
        <v>3</v>
      </c>
      <c r="P494" s="1013">
        <f t="shared" si="83"/>
        <v>684346</v>
      </c>
      <c r="Q494" s="1016">
        <v>0</v>
      </c>
      <c r="R494" s="1013">
        <f t="shared" si="84"/>
        <v>0</v>
      </c>
      <c r="S494" s="1013">
        <f t="shared" si="85"/>
        <v>5839754</v>
      </c>
      <c r="T494" s="1017">
        <v>0</v>
      </c>
      <c r="U494" s="785">
        <v>0</v>
      </c>
      <c r="V494" s="785">
        <v>200000</v>
      </c>
      <c r="W494" s="1017">
        <v>500000</v>
      </c>
      <c r="X494" s="1017">
        <v>0</v>
      </c>
      <c r="Y494" s="1017">
        <v>400000</v>
      </c>
      <c r="Z494" s="1017">
        <v>410935</v>
      </c>
      <c r="AA494" s="1018"/>
      <c r="AB494" s="1013"/>
      <c r="AC494" s="1017">
        <v>0</v>
      </c>
      <c r="AD494" s="1017">
        <v>0</v>
      </c>
      <c r="AE494" s="1013">
        <v>42771.637168141591</v>
      </c>
      <c r="AF494" s="1019"/>
      <c r="AG494" s="1019">
        <f t="shared" si="124"/>
        <v>7393461</v>
      </c>
      <c r="AH494" s="1014">
        <v>20</v>
      </c>
      <c r="AI494" s="1014">
        <v>0</v>
      </c>
      <c r="AJ494" s="1014">
        <v>0</v>
      </c>
      <c r="AK494" s="1018">
        <v>0</v>
      </c>
      <c r="AL494" s="1020">
        <v>0</v>
      </c>
      <c r="AM494" s="1013">
        <f t="shared" si="123"/>
        <v>855433</v>
      </c>
      <c r="AN494" s="1045">
        <f t="shared" si="118"/>
        <v>8248894</v>
      </c>
      <c r="AO494" s="1013">
        <v>622755</v>
      </c>
      <c r="AP494" s="1013">
        <v>44100</v>
      </c>
      <c r="AQ494" s="1013">
        <v>0</v>
      </c>
      <c r="AR494" s="1013">
        <v>0</v>
      </c>
      <c r="AS494" s="1013">
        <v>0</v>
      </c>
      <c r="AT494" s="1045">
        <f t="shared" si="126"/>
        <v>7582039</v>
      </c>
      <c r="AU494" s="1004"/>
      <c r="AV494" s="870"/>
      <c r="AW494" s="782" t="s">
        <v>4274</v>
      </c>
      <c r="AX494" s="782" t="s">
        <v>4275</v>
      </c>
      <c r="AY494" s="1007" t="s">
        <v>288</v>
      </c>
      <c r="AZ494" s="1007">
        <v>622</v>
      </c>
      <c r="BA494" s="347" t="str">
        <f t="shared" si="122"/>
        <v>Bag</v>
      </c>
      <c r="BB494" s="1008"/>
      <c r="BC494" s="1009"/>
      <c r="BD494" s="1009"/>
    </row>
    <row r="495" spans="1:56" s="1010" customFormat="1" ht="36.75" customHeight="1">
      <c r="A495" s="661">
        <f>SUBTOTAL(3,B$6:B495)</f>
        <v>490</v>
      </c>
      <c r="B495" s="661" t="s">
        <v>1791</v>
      </c>
      <c r="C495" s="662" t="s">
        <v>1792</v>
      </c>
      <c r="D495" s="1011">
        <v>44280</v>
      </c>
      <c r="E495" s="1011" t="s">
        <v>218</v>
      </c>
      <c r="F495" s="787" t="s">
        <v>517</v>
      </c>
      <c r="G495" s="996" t="s">
        <v>797</v>
      </c>
      <c r="H495" s="1012">
        <v>5931000</v>
      </c>
      <c r="I495" s="1012">
        <v>0</v>
      </c>
      <c r="J495" s="1012">
        <v>0</v>
      </c>
      <c r="K495" s="1012">
        <v>0</v>
      </c>
      <c r="L495" s="1013">
        <f t="shared" si="125"/>
        <v>5931000</v>
      </c>
      <c r="M495" s="1014">
        <v>24</v>
      </c>
      <c r="N495" s="1013">
        <f t="shared" si="82"/>
        <v>5474769</v>
      </c>
      <c r="O495" s="1015">
        <v>2</v>
      </c>
      <c r="P495" s="1013">
        <f t="shared" si="83"/>
        <v>456231</v>
      </c>
      <c r="Q495" s="1016">
        <v>0</v>
      </c>
      <c r="R495" s="1013">
        <f t="shared" si="84"/>
        <v>0</v>
      </c>
      <c r="S495" s="1013">
        <f t="shared" si="85"/>
        <v>5931000</v>
      </c>
      <c r="T495" s="1017">
        <v>0</v>
      </c>
      <c r="U495" s="785">
        <v>0</v>
      </c>
      <c r="V495" s="785">
        <v>200000</v>
      </c>
      <c r="W495" s="1017">
        <v>500000</v>
      </c>
      <c r="X495" s="1017">
        <v>0</v>
      </c>
      <c r="Y495" s="1017">
        <v>400000</v>
      </c>
      <c r="Z495" s="1017">
        <v>465339</v>
      </c>
      <c r="AA495" s="1018"/>
      <c r="AB495" s="1013"/>
      <c r="AC495" s="1017">
        <v>0</v>
      </c>
      <c r="AD495" s="1017">
        <v>0</v>
      </c>
      <c r="AE495" s="1013">
        <v>42771.6328125</v>
      </c>
      <c r="AF495" s="1019"/>
      <c r="AG495" s="1019">
        <f t="shared" si="124"/>
        <v>7539111</v>
      </c>
      <c r="AH495" s="1014">
        <v>21</v>
      </c>
      <c r="AI495" s="1014">
        <v>0</v>
      </c>
      <c r="AJ495" s="1014">
        <v>0</v>
      </c>
      <c r="AK495" s="1018">
        <v>0</v>
      </c>
      <c r="AL495" s="1020">
        <v>0</v>
      </c>
      <c r="AM495" s="1013">
        <f t="shared" si="123"/>
        <v>898204</v>
      </c>
      <c r="AN495" s="1045">
        <f t="shared" si="118"/>
        <v>8437315</v>
      </c>
      <c r="AO495" s="1013">
        <v>622755</v>
      </c>
      <c r="AP495" s="1013">
        <v>44100</v>
      </c>
      <c r="AQ495" s="1013">
        <v>0</v>
      </c>
      <c r="AR495" s="1013">
        <v>0</v>
      </c>
      <c r="AS495" s="1013">
        <v>0</v>
      </c>
      <c r="AT495" s="1045">
        <f t="shared" si="126"/>
        <v>7770460</v>
      </c>
      <c r="AU495" s="1004"/>
      <c r="AV495" s="870"/>
      <c r="AW495" s="782" t="s">
        <v>4276</v>
      </c>
      <c r="AX495" s="782" t="s">
        <v>4277</v>
      </c>
      <c r="AY495" s="1007" t="s">
        <v>288</v>
      </c>
      <c r="AZ495" s="1007">
        <v>622</v>
      </c>
      <c r="BA495" s="347" t="str">
        <f t="shared" si="122"/>
        <v>Bag</v>
      </c>
      <c r="BB495" s="1008"/>
      <c r="BC495" s="1009"/>
      <c r="BD495" s="1009"/>
    </row>
    <row r="496" spans="1:56" s="1010" customFormat="1" ht="36.75" customHeight="1">
      <c r="A496" s="661">
        <f>SUBTOTAL(3,B$6:B496)</f>
        <v>491</v>
      </c>
      <c r="B496" s="661" t="s">
        <v>1793</v>
      </c>
      <c r="C496" s="662" t="s">
        <v>1794</v>
      </c>
      <c r="D496" s="1011">
        <v>44292</v>
      </c>
      <c r="E496" s="1011" t="s">
        <v>218</v>
      </c>
      <c r="F496" s="787" t="s">
        <v>517</v>
      </c>
      <c r="G496" s="996" t="s">
        <v>920</v>
      </c>
      <c r="H496" s="1012">
        <v>5931000</v>
      </c>
      <c r="I496" s="1012">
        <v>0</v>
      </c>
      <c r="J496" s="1012">
        <v>0</v>
      </c>
      <c r="K496" s="1012">
        <v>0</v>
      </c>
      <c r="L496" s="1013">
        <f t="shared" si="125"/>
        <v>5931000</v>
      </c>
      <c r="M496" s="1014">
        <v>23.9</v>
      </c>
      <c r="N496" s="1013">
        <f t="shared" si="82"/>
        <v>5451958</v>
      </c>
      <c r="O496" s="1015">
        <v>2</v>
      </c>
      <c r="P496" s="1013">
        <f t="shared" si="83"/>
        <v>456231</v>
      </c>
      <c r="Q496" s="1016">
        <v>0</v>
      </c>
      <c r="R496" s="1013">
        <f t="shared" si="84"/>
        <v>0</v>
      </c>
      <c r="S496" s="1013">
        <f t="shared" si="85"/>
        <v>5908189</v>
      </c>
      <c r="T496" s="1017">
        <v>0</v>
      </c>
      <c r="U496" s="785">
        <v>0</v>
      </c>
      <c r="V496" s="785">
        <v>200000</v>
      </c>
      <c r="W496" s="1017">
        <v>500000</v>
      </c>
      <c r="X496" s="1017">
        <v>0</v>
      </c>
      <c r="Y496" s="1017">
        <v>400000</v>
      </c>
      <c r="Z496" s="1017">
        <v>457066</v>
      </c>
      <c r="AA496" s="1018"/>
      <c r="AB496" s="1013"/>
      <c r="AC496" s="1017">
        <v>0</v>
      </c>
      <c r="AD496" s="1017">
        <v>0</v>
      </c>
      <c r="AE496" s="1013">
        <v>42771.6370292887</v>
      </c>
      <c r="AF496" s="1019"/>
      <c r="AG496" s="1019">
        <f t="shared" si="124"/>
        <v>7508027</v>
      </c>
      <c r="AH496" s="1014">
        <v>17</v>
      </c>
      <c r="AI496" s="1014">
        <v>0</v>
      </c>
      <c r="AJ496" s="1014">
        <v>0</v>
      </c>
      <c r="AK496" s="1018">
        <v>0</v>
      </c>
      <c r="AL496" s="1020">
        <v>0</v>
      </c>
      <c r="AM496" s="1013">
        <f t="shared" si="123"/>
        <v>727118</v>
      </c>
      <c r="AN496" s="1045">
        <f t="shared" si="118"/>
        <v>8235145</v>
      </c>
      <c r="AO496" s="1013">
        <v>622755</v>
      </c>
      <c r="AP496" s="1013">
        <v>44100</v>
      </c>
      <c r="AQ496" s="1013">
        <v>0</v>
      </c>
      <c r="AR496" s="1013">
        <v>0</v>
      </c>
      <c r="AS496" s="1013">
        <v>0</v>
      </c>
      <c r="AT496" s="1045">
        <f t="shared" si="126"/>
        <v>7568290</v>
      </c>
      <c r="AU496" s="1004"/>
      <c r="AV496" s="870"/>
      <c r="AW496" s="782" t="s">
        <v>4278</v>
      </c>
      <c r="AX496" s="782" t="s">
        <v>4279</v>
      </c>
      <c r="AY496" s="1007" t="s">
        <v>288</v>
      </c>
      <c r="AZ496" s="1007">
        <v>622</v>
      </c>
      <c r="BA496" s="347" t="str">
        <f t="shared" si="122"/>
        <v>Bag</v>
      </c>
      <c r="BB496" s="1008"/>
      <c r="BC496" s="1009"/>
      <c r="BD496" s="1009"/>
    </row>
    <row r="497" spans="1:56" s="1010" customFormat="1" ht="36.75" customHeight="1">
      <c r="A497" s="661">
        <f>SUBTOTAL(3,B$6:B497)</f>
        <v>492</v>
      </c>
      <c r="B497" s="661" t="s">
        <v>5751</v>
      </c>
      <c r="C497" s="662" t="s">
        <v>5752</v>
      </c>
      <c r="D497" s="1011">
        <v>44607</v>
      </c>
      <c r="E497" s="1011" t="s">
        <v>218</v>
      </c>
      <c r="F497" s="787" t="s">
        <v>517</v>
      </c>
      <c r="G497" s="996" t="s">
        <v>797</v>
      </c>
      <c r="H497" s="1012">
        <v>5931000</v>
      </c>
      <c r="I497" s="1012">
        <v>0</v>
      </c>
      <c r="J497" s="1012">
        <v>0</v>
      </c>
      <c r="K497" s="1012">
        <v>0</v>
      </c>
      <c r="L497" s="1013">
        <f t="shared" si="125"/>
        <v>5931000</v>
      </c>
      <c r="M497" s="1014">
        <v>22.7</v>
      </c>
      <c r="N497" s="1013">
        <f t="shared" si="82"/>
        <v>5178219</v>
      </c>
      <c r="O497" s="1015">
        <v>3</v>
      </c>
      <c r="P497" s="1013">
        <f t="shared" si="83"/>
        <v>684346</v>
      </c>
      <c r="Q497" s="1016">
        <v>0</v>
      </c>
      <c r="R497" s="1013">
        <f t="shared" si="84"/>
        <v>0</v>
      </c>
      <c r="S497" s="1013">
        <f t="shared" si="85"/>
        <v>5862565</v>
      </c>
      <c r="T497" s="1017">
        <v>0</v>
      </c>
      <c r="U497" s="785">
        <v>0</v>
      </c>
      <c r="V497" s="785">
        <v>200000</v>
      </c>
      <c r="W497" s="1017">
        <v>500000</v>
      </c>
      <c r="X497" s="1017">
        <v>0</v>
      </c>
      <c r="Y497" s="1017">
        <v>400000</v>
      </c>
      <c r="Z497" s="1017">
        <v>337297</v>
      </c>
      <c r="AA497" s="1018"/>
      <c r="AB497" s="1013"/>
      <c r="AC497" s="1017">
        <v>100000</v>
      </c>
      <c r="AD497" s="1017">
        <v>0</v>
      </c>
      <c r="AE497" s="1013">
        <v>42771.632709251098</v>
      </c>
      <c r="AF497" s="1019"/>
      <c r="AG497" s="1019">
        <f t="shared" si="124"/>
        <v>7442634</v>
      </c>
      <c r="AH497" s="1014">
        <v>0</v>
      </c>
      <c r="AI497" s="1014">
        <v>0</v>
      </c>
      <c r="AJ497" s="1014">
        <v>0</v>
      </c>
      <c r="AK497" s="1018">
        <v>0</v>
      </c>
      <c r="AL497" s="1020">
        <v>0</v>
      </c>
      <c r="AM497" s="1013">
        <f t="shared" si="123"/>
        <v>0</v>
      </c>
      <c r="AN497" s="1045">
        <f t="shared" si="118"/>
        <v>7442634</v>
      </c>
      <c r="AO497" s="1013">
        <v>622755</v>
      </c>
      <c r="AP497" s="1013">
        <v>44100</v>
      </c>
      <c r="AQ497" s="1013">
        <v>0</v>
      </c>
      <c r="AR497" s="1013">
        <v>0</v>
      </c>
      <c r="AS497" s="1013">
        <v>0</v>
      </c>
      <c r="AT497" s="1045">
        <f t="shared" si="126"/>
        <v>6775779</v>
      </c>
      <c r="AU497" s="1004"/>
      <c r="AV497" s="870"/>
      <c r="AW497" s="782" t="s">
        <v>5852</v>
      </c>
      <c r="AX497" s="782" t="s">
        <v>5853</v>
      </c>
      <c r="AY497" s="1007" t="s">
        <v>288</v>
      </c>
      <c r="AZ497" s="1007">
        <v>622</v>
      </c>
      <c r="BA497" s="347" t="str">
        <f t="shared" si="122"/>
        <v>Bag</v>
      </c>
      <c r="BB497" s="1008"/>
      <c r="BC497" s="1009"/>
      <c r="BD497" s="1009"/>
    </row>
    <row r="498" spans="1:56" s="1010" customFormat="1" ht="36.75" customHeight="1">
      <c r="A498" s="661">
        <f>SUBTOTAL(3,B$6:B498)</f>
        <v>493</v>
      </c>
      <c r="B498" s="661" t="s">
        <v>1795</v>
      </c>
      <c r="C498" s="662" t="s">
        <v>1796</v>
      </c>
      <c r="D498" s="1011">
        <v>45561</v>
      </c>
      <c r="E498" s="1011" t="s">
        <v>218</v>
      </c>
      <c r="F498" s="787" t="s">
        <v>517</v>
      </c>
      <c r="G498" s="996" t="s">
        <v>797</v>
      </c>
      <c r="H498" s="1012">
        <v>5274000</v>
      </c>
      <c r="I498" s="1012">
        <v>0</v>
      </c>
      <c r="J498" s="1012">
        <v>0</v>
      </c>
      <c r="K498" s="1012">
        <v>0</v>
      </c>
      <c r="L498" s="1013">
        <f t="shared" si="125"/>
        <v>5274000</v>
      </c>
      <c r="M498" s="1014">
        <v>23.8</v>
      </c>
      <c r="N498" s="1013">
        <f t="shared" si="82"/>
        <v>4827738</v>
      </c>
      <c r="O498" s="1015">
        <v>2</v>
      </c>
      <c r="P498" s="1013">
        <f t="shared" si="83"/>
        <v>405692</v>
      </c>
      <c r="Q498" s="1016">
        <v>0</v>
      </c>
      <c r="R498" s="1013">
        <f t="shared" si="84"/>
        <v>0</v>
      </c>
      <c r="S498" s="1013">
        <f t="shared" si="85"/>
        <v>5233430</v>
      </c>
      <c r="T498" s="1017">
        <v>0</v>
      </c>
      <c r="U498" s="785">
        <v>0</v>
      </c>
      <c r="V498" s="785">
        <v>200000</v>
      </c>
      <c r="W498" s="1017">
        <v>500000</v>
      </c>
      <c r="X498" s="1017">
        <v>0</v>
      </c>
      <c r="Y498" s="1017">
        <v>400000</v>
      </c>
      <c r="Z498" s="1017">
        <v>479811</v>
      </c>
      <c r="AA498" s="1018"/>
      <c r="AB498" s="1013"/>
      <c r="AC498" s="1017">
        <v>0</v>
      </c>
      <c r="AD498" s="1017">
        <v>0</v>
      </c>
      <c r="AE498" s="1013">
        <v>0</v>
      </c>
      <c r="AF498" s="1019"/>
      <c r="AG498" s="1019">
        <f t="shared" si="124"/>
        <v>6813241</v>
      </c>
      <c r="AH498" s="1014">
        <v>17</v>
      </c>
      <c r="AI498" s="1014">
        <v>0</v>
      </c>
      <c r="AJ498" s="1014">
        <v>0</v>
      </c>
      <c r="AK498" s="1018">
        <v>0</v>
      </c>
      <c r="AL498" s="1020">
        <v>0</v>
      </c>
      <c r="AM498" s="1013">
        <f t="shared" si="123"/>
        <v>646572</v>
      </c>
      <c r="AN498" s="1045">
        <f t="shared" si="118"/>
        <v>7459813</v>
      </c>
      <c r="AO498" s="1013">
        <v>553770</v>
      </c>
      <c r="AP498" s="1013">
        <v>44100</v>
      </c>
      <c r="AQ498" s="1013">
        <v>0</v>
      </c>
      <c r="AR498" s="1013">
        <v>0</v>
      </c>
      <c r="AS498" s="1013">
        <v>0</v>
      </c>
      <c r="AT498" s="1045">
        <f t="shared" si="126"/>
        <v>6861943</v>
      </c>
      <c r="AU498" s="1004"/>
      <c r="AV498" s="870"/>
      <c r="AW498" s="782" t="s">
        <v>4280</v>
      </c>
      <c r="AX498" s="782" t="s">
        <v>4281</v>
      </c>
      <c r="AY498" s="1007" t="s">
        <v>288</v>
      </c>
      <c r="AZ498" s="1007">
        <v>622</v>
      </c>
      <c r="BA498" s="347" t="str">
        <f t="shared" si="122"/>
        <v>Bag</v>
      </c>
      <c r="BB498" s="1008"/>
      <c r="BC498" s="1009"/>
      <c r="BD498" s="1009"/>
    </row>
    <row r="499" spans="1:56" s="1010" customFormat="1" ht="36.75" customHeight="1">
      <c r="A499" s="661">
        <f>SUBTOTAL(3,B$6:B499)</f>
        <v>494</v>
      </c>
      <c r="B499" s="661" t="s">
        <v>1797</v>
      </c>
      <c r="C499" s="662" t="s">
        <v>1798</v>
      </c>
      <c r="D499" s="1011">
        <v>45597</v>
      </c>
      <c r="E499" s="1011" t="s">
        <v>218</v>
      </c>
      <c r="F499" s="787" t="s">
        <v>517</v>
      </c>
      <c r="G499" s="996" t="s">
        <v>797</v>
      </c>
      <c r="H499" s="1012">
        <v>5023000</v>
      </c>
      <c r="I499" s="1012">
        <v>0</v>
      </c>
      <c r="J499" s="1012">
        <v>0</v>
      </c>
      <c r="K499" s="1012">
        <v>0</v>
      </c>
      <c r="L499" s="1013">
        <f t="shared" si="125"/>
        <v>5023000</v>
      </c>
      <c r="M499" s="1014">
        <v>23</v>
      </c>
      <c r="N499" s="1013">
        <f t="shared" si="82"/>
        <v>4443423</v>
      </c>
      <c r="O499" s="1015">
        <v>3</v>
      </c>
      <c r="P499" s="1013">
        <f t="shared" si="83"/>
        <v>579577</v>
      </c>
      <c r="Q499" s="1016">
        <v>0</v>
      </c>
      <c r="R499" s="1013">
        <f t="shared" si="84"/>
        <v>0</v>
      </c>
      <c r="S499" s="1013">
        <f t="shared" si="85"/>
        <v>5023000</v>
      </c>
      <c r="T499" s="1017">
        <v>0</v>
      </c>
      <c r="U499" s="785">
        <v>0</v>
      </c>
      <c r="V499" s="785">
        <v>200000</v>
      </c>
      <c r="W499" s="1017">
        <v>500000</v>
      </c>
      <c r="X499" s="1017">
        <v>0</v>
      </c>
      <c r="Y499" s="1017">
        <v>400000</v>
      </c>
      <c r="Z499" s="1017">
        <v>441746</v>
      </c>
      <c r="AA499" s="1018"/>
      <c r="AB499" s="1013"/>
      <c r="AC499" s="1017">
        <v>100000</v>
      </c>
      <c r="AD499" s="1017">
        <v>0</v>
      </c>
      <c r="AE499" s="1013">
        <v>36223.557065217392</v>
      </c>
      <c r="AF499" s="1019"/>
      <c r="AG499" s="1019">
        <f t="shared" si="124"/>
        <v>6700970</v>
      </c>
      <c r="AH499" s="1014">
        <v>17</v>
      </c>
      <c r="AI499" s="1014">
        <v>0</v>
      </c>
      <c r="AJ499" s="1014">
        <v>0</v>
      </c>
      <c r="AK499" s="1018">
        <v>0</v>
      </c>
      <c r="AL499" s="1020">
        <v>0</v>
      </c>
      <c r="AM499" s="1013">
        <f t="shared" si="123"/>
        <v>615800</v>
      </c>
      <c r="AN499" s="1045">
        <f t="shared" si="118"/>
        <v>7316770</v>
      </c>
      <c r="AO499" s="1013">
        <v>527415</v>
      </c>
      <c r="AP499" s="1013">
        <v>44100</v>
      </c>
      <c r="AQ499" s="1013">
        <v>0</v>
      </c>
      <c r="AR499" s="1013">
        <v>0</v>
      </c>
      <c r="AS499" s="1013">
        <v>0</v>
      </c>
      <c r="AT499" s="1045">
        <f t="shared" si="126"/>
        <v>6745255</v>
      </c>
      <c r="AU499" s="1004"/>
      <c r="AV499" s="870"/>
      <c r="AW499" s="782" t="s">
        <v>4282</v>
      </c>
      <c r="AX499" s="782" t="s">
        <v>4283</v>
      </c>
      <c r="AY499" s="1007" t="s">
        <v>288</v>
      </c>
      <c r="AZ499" s="1007">
        <v>622</v>
      </c>
      <c r="BA499" s="347" t="str">
        <f t="shared" si="122"/>
        <v>Bag</v>
      </c>
      <c r="BB499" s="1008"/>
      <c r="BC499" s="1009"/>
      <c r="BD499" s="1009"/>
    </row>
    <row r="500" spans="1:56" s="1010" customFormat="1" ht="36.75" customHeight="1">
      <c r="A500" s="661">
        <f>SUBTOTAL(3,B$6:B500)</f>
        <v>495</v>
      </c>
      <c r="B500" s="661" t="s">
        <v>1799</v>
      </c>
      <c r="C500" s="662" t="s">
        <v>1800</v>
      </c>
      <c r="D500" s="1011">
        <v>45597</v>
      </c>
      <c r="E500" s="1011" t="s">
        <v>218</v>
      </c>
      <c r="F500" s="787" t="s">
        <v>517</v>
      </c>
      <c r="G500" s="996" t="s">
        <v>797</v>
      </c>
      <c r="H500" s="1012">
        <v>5023000</v>
      </c>
      <c r="I500" s="1012">
        <v>0</v>
      </c>
      <c r="J500" s="1012">
        <v>0</v>
      </c>
      <c r="K500" s="1012">
        <v>0</v>
      </c>
      <c r="L500" s="1013">
        <f t="shared" si="125"/>
        <v>5023000</v>
      </c>
      <c r="M500" s="1014">
        <v>23.9</v>
      </c>
      <c r="N500" s="1013">
        <f t="shared" si="82"/>
        <v>4617296</v>
      </c>
      <c r="O500" s="1015">
        <v>2</v>
      </c>
      <c r="P500" s="1013">
        <f t="shared" si="83"/>
        <v>386385</v>
      </c>
      <c r="Q500" s="1016">
        <v>0</v>
      </c>
      <c r="R500" s="1013">
        <f t="shared" si="84"/>
        <v>0</v>
      </c>
      <c r="S500" s="1013">
        <f t="shared" si="85"/>
        <v>5003681</v>
      </c>
      <c r="T500" s="1017">
        <v>0</v>
      </c>
      <c r="U500" s="785">
        <v>0</v>
      </c>
      <c r="V500" s="785">
        <v>200000</v>
      </c>
      <c r="W500" s="1017">
        <v>500000</v>
      </c>
      <c r="X500" s="1017">
        <v>0</v>
      </c>
      <c r="Y500" s="1017">
        <v>400000</v>
      </c>
      <c r="Z500" s="1017">
        <v>441342</v>
      </c>
      <c r="AA500" s="1018"/>
      <c r="AB500" s="1013"/>
      <c r="AC500" s="1017">
        <v>100000</v>
      </c>
      <c r="AD500" s="1017">
        <v>0</v>
      </c>
      <c r="AE500" s="1013">
        <v>36223.55648535565</v>
      </c>
      <c r="AF500" s="1019"/>
      <c r="AG500" s="1019">
        <f t="shared" si="124"/>
        <v>6681247</v>
      </c>
      <c r="AH500" s="1014">
        <v>21</v>
      </c>
      <c r="AI500" s="1014">
        <v>0</v>
      </c>
      <c r="AJ500" s="1014">
        <v>0</v>
      </c>
      <c r="AK500" s="1018">
        <v>0</v>
      </c>
      <c r="AL500" s="1020">
        <v>0</v>
      </c>
      <c r="AM500" s="1013">
        <f t="shared" si="123"/>
        <v>760695</v>
      </c>
      <c r="AN500" s="1045">
        <f t="shared" si="118"/>
        <v>7441942</v>
      </c>
      <c r="AO500" s="1013">
        <v>527415</v>
      </c>
      <c r="AP500" s="1013">
        <v>44100</v>
      </c>
      <c r="AQ500" s="1013">
        <v>0</v>
      </c>
      <c r="AR500" s="1013">
        <v>0</v>
      </c>
      <c r="AS500" s="1013">
        <v>0</v>
      </c>
      <c r="AT500" s="1045">
        <f t="shared" si="126"/>
        <v>6870427</v>
      </c>
      <c r="AU500" s="1004"/>
      <c r="AV500" s="870"/>
      <c r="AW500" s="782" t="s">
        <v>4284</v>
      </c>
      <c r="AX500" s="782" t="s">
        <v>4285</v>
      </c>
      <c r="AY500" s="1007" t="s">
        <v>288</v>
      </c>
      <c r="AZ500" s="1007">
        <v>622</v>
      </c>
      <c r="BA500" s="347" t="str">
        <f t="shared" si="122"/>
        <v>Bag</v>
      </c>
      <c r="BB500" s="1008"/>
      <c r="BC500" s="1009"/>
      <c r="BD500" s="1009"/>
    </row>
    <row r="501" spans="1:56" s="1010" customFormat="1" ht="36.75" customHeight="1">
      <c r="A501" s="661">
        <f>SUBTOTAL(3,B$6:B501)</f>
        <v>496</v>
      </c>
      <c r="B501" s="661" t="s">
        <v>1801</v>
      </c>
      <c r="C501" s="662" t="s">
        <v>1802</v>
      </c>
      <c r="D501" s="1011">
        <v>45710</v>
      </c>
      <c r="E501" s="1011" t="s">
        <v>218</v>
      </c>
      <c r="F501" s="787" t="s">
        <v>517</v>
      </c>
      <c r="G501" s="996" t="s">
        <v>797</v>
      </c>
      <c r="H501" s="1012">
        <v>5023000</v>
      </c>
      <c r="I501" s="1012">
        <v>0</v>
      </c>
      <c r="J501" s="1012">
        <v>0</v>
      </c>
      <c r="K501" s="1012">
        <v>0</v>
      </c>
      <c r="L501" s="1013">
        <f t="shared" si="125"/>
        <v>5023000</v>
      </c>
      <c r="M501" s="1014">
        <v>22.6</v>
      </c>
      <c r="N501" s="1013">
        <f t="shared" si="82"/>
        <v>4366146</v>
      </c>
      <c r="O501" s="1015">
        <v>3</v>
      </c>
      <c r="P501" s="1013">
        <f t="shared" si="83"/>
        <v>579577</v>
      </c>
      <c r="Q501" s="1016">
        <v>0</v>
      </c>
      <c r="R501" s="1013">
        <f t="shared" si="84"/>
        <v>0</v>
      </c>
      <c r="S501" s="1013">
        <f t="shared" si="85"/>
        <v>4945723</v>
      </c>
      <c r="T501" s="1017">
        <v>0</v>
      </c>
      <c r="U501" s="785">
        <v>0</v>
      </c>
      <c r="V501" s="785">
        <v>200000</v>
      </c>
      <c r="W501" s="1017">
        <v>500000</v>
      </c>
      <c r="X501" s="1017">
        <v>0</v>
      </c>
      <c r="Y501" s="1017">
        <v>400000</v>
      </c>
      <c r="Z501" s="1017">
        <v>408316</v>
      </c>
      <c r="AA501" s="1018"/>
      <c r="AB501" s="1013"/>
      <c r="AC501" s="1017">
        <v>0</v>
      </c>
      <c r="AD501" s="1017">
        <v>0</v>
      </c>
      <c r="AE501" s="1013">
        <v>0</v>
      </c>
      <c r="AF501" s="1019"/>
      <c r="AG501" s="1019">
        <f t="shared" si="124"/>
        <v>6454039</v>
      </c>
      <c r="AH501" s="1014">
        <v>21</v>
      </c>
      <c r="AI501" s="1014">
        <v>0</v>
      </c>
      <c r="AJ501" s="1014">
        <v>0</v>
      </c>
      <c r="AK501" s="1018">
        <v>0</v>
      </c>
      <c r="AL501" s="1020">
        <v>0</v>
      </c>
      <c r="AM501" s="1013">
        <f t="shared" si="123"/>
        <v>760695</v>
      </c>
      <c r="AN501" s="1045">
        <f t="shared" si="118"/>
        <v>7214734</v>
      </c>
      <c r="AO501" s="1013">
        <v>527415</v>
      </c>
      <c r="AP501" s="1013">
        <v>44100</v>
      </c>
      <c r="AQ501" s="1013">
        <v>0</v>
      </c>
      <c r="AR501" s="1013">
        <v>0</v>
      </c>
      <c r="AS501" s="1013">
        <v>0</v>
      </c>
      <c r="AT501" s="1045">
        <f t="shared" si="126"/>
        <v>6643219</v>
      </c>
      <c r="AU501" s="1004"/>
      <c r="AV501" s="870"/>
      <c r="AW501" s="782" t="s">
        <v>4286</v>
      </c>
      <c r="AX501" s="782" t="s">
        <v>4287</v>
      </c>
      <c r="AY501" s="1007" t="s">
        <v>288</v>
      </c>
      <c r="AZ501" s="1007">
        <v>622</v>
      </c>
      <c r="BA501" s="347" t="str">
        <f t="shared" si="122"/>
        <v>Bag</v>
      </c>
      <c r="BB501" s="1008"/>
      <c r="BC501" s="1009"/>
      <c r="BD501" s="1009"/>
    </row>
    <row r="502" spans="1:56" s="1010" customFormat="1" ht="36.75" customHeight="1">
      <c r="A502" s="661">
        <f>SUBTOTAL(3,B$6:B502)</f>
        <v>497</v>
      </c>
      <c r="B502" s="661" t="s">
        <v>1803</v>
      </c>
      <c r="C502" s="662" t="s">
        <v>1804</v>
      </c>
      <c r="D502" s="1011">
        <v>45710</v>
      </c>
      <c r="E502" s="1011" t="s">
        <v>218</v>
      </c>
      <c r="F502" s="787" t="s">
        <v>517</v>
      </c>
      <c r="G502" s="996" t="s">
        <v>797</v>
      </c>
      <c r="H502" s="1012">
        <v>5023000</v>
      </c>
      <c r="I502" s="1012">
        <v>0</v>
      </c>
      <c r="J502" s="1012">
        <v>0</v>
      </c>
      <c r="K502" s="1012">
        <v>0</v>
      </c>
      <c r="L502" s="1013">
        <f t="shared" si="125"/>
        <v>5023000</v>
      </c>
      <c r="M502" s="1014">
        <v>23.6</v>
      </c>
      <c r="N502" s="1013">
        <f t="shared" si="82"/>
        <v>4559338</v>
      </c>
      <c r="O502" s="1015">
        <v>2</v>
      </c>
      <c r="P502" s="1013">
        <f t="shared" si="83"/>
        <v>386385</v>
      </c>
      <c r="Q502" s="1016">
        <v>0</v>
      </c>
      <c r="R502" s="1013">
        <f t="shared" si="84"/>
        <v>0</v>
      </c>
      <c r="S502" s="1013">
        <f t="shared" si="85"/>
        <v>4945723</v>
      </c>
      <c r="T502" s="1017">
        <v>0</v>
      </c>
      <c r="U502" s="785">
        <v>0</v>
      </c>
      <c r="V502" s="785">
        <v>200000</v>
      </c>
      <c r="W502" s="1017">
        <v>500000</v>
      </c>
      <c r="X502" s="1017">
        <v>0</v>
      </c>
      <c r="Y502" s="1017">
        <v>400000</v>
      </c>
      <c r="Z502" s="1017">
        <v>435116</v>
      </c>
      <c r="AA502" s="1018"/>
      <c r="AB502" s="1013"/>
      <c r="AC502" s="1017">
        <v>0</v>
      </c>
      <c r="AD502" s="1017">
        <v>0</v>
      </c>
      <c r="AE502" s="1013">
        <v>0</v>
      </c>
      <c r="AF502" s="1019"/>
      <c r="AG502" s="1019">
        <f t="shared" si="124"/>
        <v>6480839</v>
      </c>
      <c r="AH502" s="1014">
        <v>21</v>
      </c>
      <c r="AI502" s="1014">
        <v>0</v>
      </c>
      <c r="AJ502" s="1014">
        <v>0</v>
      </c>
      <c r="AK502" s="1018">
        <v>0</v>
      </c>
      <c r="AL502" s="1020">
        <v>0</v>
      </c>
      <c r="AM502" s="1013">
        <f t="shared" si="123"/>
        <v>760695</v>
      </c>
      <c r="AN502" s="1045">
        <f t="shared" si="118"/>
        <v>7241534</v>
      </c>
      <c r="AO502" s="1013">
        <v>527415</v>
      </c>
      <c r="AP502" s="1013">
        <v>44100</v>
      </c>
      <c r="AQ502" s="1013">
        <v>0</v>
      </c>
      <c r="AR502" s="1013">
        <v>0</v>
      </c>
      <c r="AS502" s="1013">
        <v>0</v>
      </c>
      <c r="AT502" s="1045">
        <f t="shared" si="126"/>
        <v>6670019</v>
      </c>
      <c r="AU502" s="1004"/>
      <c r="AV502" s="870"/>
      <c r="AW502" s="782" t="s">
        <v>4288</v>
      </c>
      <c r="AX502" s="782" t="s">
        <v>4289</v>
      </c>
      <c r="AY502" s="1007" t="s">
        <v>288</v>
      </c>
      <c r="AZ502" s="1007">
        <v>622</v>
      </c>
      <c r="BA502" s="347" t="str">
        <f t="shared" si="122"/>
        <v>Bag</v>
      </c>
      <c r="BB502" s="1008"/>
      <c r="BC502" s="1009"/>
      <c r="BD502" s="1009"/>
    </row>
    <row r="503" spans="1:56" s="1010" customFormat="1" ht="36.75" customHeight="1">
      <c r="A503" s="661">
        <f>SUBTOTAL(3,B$6:B503)</f>
        <v>498</v>
      </c>
      <c r="B503" s="661" t="s">
        <v>1805</v>
      </c>
      <c r="C503" s="662" t="s">
        <v>1806</v>
      </c>
      <c r="D503" s="1011">
        <v>45736</v>
      </c>
      <c r="E503" s="1011" t="s">
        <v>218</v>
      </c>
      <c r="F503" s="787" t="s">
        <v>517</v>
      </c>
      <c r="G503" s="996" t="s">
        <v>797</v>
      </c>
      <c r="H503" s="1012">
        <v>4694000</v>
      </c>
      <c r="I503" s="1012">
        <v>0</v>
      </c>
      <c r="J503" s="1012">
        <v>0</v>
      </c>
      <c r="K503" s="1012">
        <v>0</v>
      </c>
      <c r="L503" s="1013">
        <f t="shared" si="125"/>
        <v>4694000</v>
      </c>
      <c r="M503" s="1014">
        <v>22.9</v>
      </c>
      <c r="N503" s="1013">
        <f t="shared" si="82"/>
        <v>4134331</v>
      </c>
      <c r="O503" s="1015">
        <v>3</v>
      </c>
      <c r="P503" s="1013">
        <f t="shared" si="83"/>
        <v>541615</v>
      </c>
      <c r="Q503" s="1016">
        <v>0</v>
      </c>
      <c r="R503" s="1013">
        <f t="shared" si="84"/>
        <v>0</v>
      </c>
      <c r="S503" s="1013">
        <f t="shared" si="85"/>
        <v>4675946</v>
      </c>
      <c r="T503" s="1017">
        <v>0</v>
      </c>
      <c r="U503" s="785">
        <v>0</v>
      </c>
      <c r="V503" s="785">
        <v>200000</v>
      </c>
      <c r="W503" s="1017">
        <v>500000</v>
      </c>
      <c r="X503" s="1017">
        <v>0</v>
      </c>
      <c r="Y503" s="1017">
        <v>400000</v>
      </c>
      <c r="Z503" s="1017">
        <v>135532</v>
      </c>
      <c r="AA503" s="1018"/>
      <c r="AB503" s="1013"/>
      <c r="AC503" s="1017">
        <v>0</v>
      </c>
      <c r="AD503" s="1017">
        <v>131600</v>
      </c>
      <c r="AE503" s="1013">
        <v>33850.963427947601</v>
      </c>
      <c r="AF503" s="1019"/>
      <c r="AG503" s="1019">
        <f t="shared" si="124"/>
        <v>6076929</v>
      </c>
      <c r="AH503" s="1014">
        <v>21</v>
      </c>
      <c r="AI503" s="1014">
        <v>0</v>
      </c>
      <c r="AJ503" s="1014">
        <v>0</v>
      </c>
      <c r="AK503" s="1018">
        <v>0</v>
      </c>
      <c r="AL503" s="1020">
        <v>0</v>
      </c>
      <c r="AM503" s="1013">
        <f t="shared" si="123"/>
        <v>710870</v>
      </c>
      <c r="AN503" s="1045">
        <f t="shared" si="118"/>
        <v>6787799</v>
      </c>
      <c r="AO503" s="1013">
        <v>0</v>
      </c>
      <c r="AP503" s="1013">
        <v>0</v>
      </c>
      <c r="AQ503" s="1013">
        <v>0</v>
      </c>
      <c r="AR503" s="1013">
        <v>0</v>
      </c>
      <c r="AS503" s="1013">
        <v>0</v>
      </c>
      <c r="AT503" s="1045">
        <f t="shared" si="126"/>
        <v>6787799</v>
      </c>
      <c r="AU503" s="1004"/>
      <c r="AV503" s="870"/>
      <c r="AW503" s="782" t="s">
        <v>4290</v>
      </c>
      <c r="AX503" s="782" t="s">
        <v>4291</v>
      </c>
      <c r="AY503" s="1007" t="s">
        <v>288</v>
      </c>
      <c r="AZ503" s="1007">
        <v>622</v>
      </c>
      <c r="BA503" s="347" t="str">
        <f t="shared" si="122"/>
        <v>Bag</v>
      </c>
      <c r="BB503" s="1008"/>
      <c r="BC503" s="1009"/>
      <c r="BD503" s="1009"/>
    </row>
    <row r="504" spans="1:56" s="1010" customFormat="1" ht="36.75" customHeight="1">
      <c r="A504" s="661">
        <f>SUBTOTAL(3,B$6:B504)</f>
        <v>499</v>
      </c>
      <c r="B504" s="661" t="s">
        <v>1807</v>
      </c>
      <c r="C504" s="662" t="s">
        <v>1808</v>
      </c>
      <c r="D504" s="1011">
        <v>45745</v>
      </c>
      <c r="E504" s="1011" t="s">
        <v>218</v>
      </c>
      <c r="F504" s="787" t="s">
        <v>517</v>
      </c>
      <c r="G504" s="996" t="s">
        <v>554</v>
      </c>
      <c r="H504" s="1012">
        <v>4694000</v>
      </c>
      <c r="I504" s="1012">
        <v>0</v>
      </c>
      <c r="J504" s="1012">
        <v>0</v>
      </c>
      <c r="K504" s="1012">
        <v>0</v>
      </c>
      <c r="L504" s="1013">
        <f t="shared" si="125"/>
        <v>4694000</v>
      </c>
      <c r="M504" s="1014">
        <v>22.5</v>
      </c>
      <c r="N504" s="1013">
        <f t="shared" si="82"/>
        <v>4062115</v>
      </c>
      <c r="O504" s="1015">
        <v>3</v>
      </c>
      <c r="P504" s="1013">
        <f t="shared" si="83"/>
        <v>541615</v>
      </c>
      <c r="Q504" s="1016">
        <v>0</v>
      </c>
      <c r="R504" s="1013">
        <f t="shared" si="84"/>
        <v>0</v>
      </c>
      <c r="S504" s="1013">
        <f t="shared" si="85"/>
        <v>4603730</v>
      </c>
      <c r="T504" s="1017">
        <v>0</v>
      </c>
      <c r="U504" s="785">
        <v>0</v>
      </c>
      <c r="V504" s="785">
        <v>200000</v>
      </c>
      <c r="W504" s="1017">
        <v>500000</v>
      </c>
      <c r="X504" s="1017">
        <v>0</v>
      </c>
      <c r="Y504" s="1017">
        <v>150000</v>
      </c>
      <c r="Z504" s="1017">
        <v>0</v>
      </c>
      <c r="AA504" s="1018"/>
      <c r="AB504" s="1013"/>
      <c r="AC504" s="1017">
        <v>0</v>
      </c>
      <c r="AD504" s="1017">
        <v>25308</v>
      </c>
      <c r="AE504" s="1013">
        <v>0</v>
      </c>
      <c r="AF504" s="1019"/>
      <c r="AG504" s="1019">
        <f t="shared" si="124"/>
        <v>5479038</v>
      </c>
      <c r="AH504" s="1014">
        <v>17</v>
      </c>
      <c r="AI504" s="1014">
        <v>0</v>
      </c>
      <c r="AJ504" s="1014">
        <v>0</v>
      </c>
      <c r="AK504" s="1018">
        <v>0</v>
      </c>
      <c r="AL504" s="1020">
        <v>0</v>
      </c>
      <c r="AM504" s="1013">
        <f t="shared" si="123"/>
        <v>575466</v>
      </c>
      <c r="AN504" s="1045">
        <f t="shared" si="118"/>
        <v>6054504</v>
      </c>
      <c r="AO504" s="1013">
        <v>0</v>
      </c>
      <c r="AP504" s="1013">
        <v>0</v>
      </c>
      <c r="AQ504" s="1013">
        <v>0</v>
      </c>
      <c r="AR504" s="1013">
        <v>0</v>
      </c>
      <c r="AS504" s="1013">
        <v>0</v>
      </c>
      <c r="AT504" s="1045">
        <f t="shared" si="126"/>
        <v>6054504</v>
      </c>
      <c r="AU504" s="1004"/>
      <c r="AV504" s="870"/>
      <c r="AW504" s="782" t="s">
        <v>5854</v>
      </c>
      <c r="AX504" s="782" t="s">
        <v>5855</v>
      </c>
      <c r="AY504" s="1007" t="s">
        <v>288</v>
      </c>
      <c r="AZ504" s="1007">
        <v>622</v>
      </c>
      <c r="BA504" s="347" t="str">
        <f t="shared" si="122"/>
        <v>Bag</v>
      </c>
      <c r="BB504" s="1008"/>
      <c r="BC504" s="1009"/>
      <c r="BD504" s="1009"/>
    </row>
    <row r="505" spans="1:56" s="1010" customFormat="1" ht="36.75" customHeight="1">
      <c r="A505" s="661">
        <f>SUBTOTAL(3,B$6:B505)</f>
        <v>500</v>
      </c>
      <c r="B505" s="661" t="s">
        <v>5753</v>
      </c>
      <c r="C505" s="662" t="s">
        <v>5754</v>
      </c>
      <c r="D505" s="1011">
        <v>45762</v>
      </c>
      <c r="E505" s="1011" t="s">
        <v>218</v>
      </c>
      <c r="F505" s="787" t="s">
        <v>517</v>
      </c>
      <c r="G505" s="996" t="s">
        <v>554</v>
      </c>
      <c r="H505" s="1012">
        <v>4694000</v>
      </c>
      <c r="I505" s="1012">
        <v>0</v>
      </c>
      <c r="J505" s="1012">
        <v>0</v>
      </c>
      <c r="K505" s="1012">
        <v>0</v>
      </c>
      <c r="L505" s="1013">
        <f t="shared" si="125"/>
        <v>4694000</v>
      </c>
      <c r="M505" s="1014">
        <v>12</v>
      </c>
      <c r="N505" s="1013">
        <f t="shared" si="82"/>
        <v>2166462</v>
      </c>
      <c r="O505" s="1015">
        <v>1</v>
      </c>
      <c r="P505" s="1013">
        <f t="shared" si="83"/>
        <v>180538</v>
      </c>
      <c r="Q505" s="1016">
        <v>0</v>
      </c>
      <c r="R505" s="1013">
        <f t="shared" si="84"/>
        <v>0</v>
      </c>
      <c r="S505" s="1013">
        <f t="shared" si="85"/>
        <v>2347000</v>
      </c>
      <c r="T505" s="1017">
        <v>0</v>
      </c>
      <c r="U505" s="785">
        <v>0</v>
      </c>
      <c r="V505" s="785">
        <v>100000</v>
      </c>
      <c r="W505" s="1017">
        <v>250000</v>
      </c>
      <c r="X505" s="1017">
        <v>0</v>
      </c>
      <c r="Y505" s="1017">
        <v>75000</v>
      </c>
      <c r="Z505" s="1017">
        <v>0</v>
      </c>
      <c r="AA505" s="1018"/>
      <c r="AB505" s="1013"/>
      <c r="AC505" s="1017">
        <v>0</v>
      </c>
      <c r="AD505" s="1017">
        <v>0</v>
      </c>
      <c r="AE505" s="1013">
        <v>0</v>
      </c>
      <c r="AF505" s="1019"/>
      <c r="AG505" s="1019">
        <f t="shared" si="124"/>
        <v>2772000</v>
      </c>
      <c r="AH505" s="1014">
        <v>12</v>
      </c>
      <c r="AI505" s="1014">
        <v>0</v>
      </c>
      <c r="AJ505" s="1014">
        <v>0</v>
      </c>
      <c r="AK505" s="1018">
        <v>0</v>
      </c>
      <c r="AL505" s="1020">
        <v>0</v>
      </c>
      <c r="AM505" s="1013">
        <f t="shared" si="123"/>
        <v>406212</v>
      </c>
      <c r="AN505" s="1045">
        <f t="shared" si="118"/>
        <v>3178212</v>
      </c>
      <c r="AO505" s="1013">
        <v>0</v>
      </c>
      <c r="AP505" s="1013">
        <v>0</v>
      </c>
      <c r="AQ505" s="1013">
        <v>0</v>
      </c>
      <c r="AR505" s="1013">
        <v>0</v>
      </c>
      <c r="AS505" s="1013">
        <v>0</v>
      </c>
      <c r="AT505" s="1045">
        <f t="shared" si="126"/>
        <v>3178212</v>
      </c>
      <c r="AU505" s="1004"/>
      <c r="AV505" s="870"/>
      <c r="AW505" s="782" t="s">
        <v>5856</v>
      </c>
      <c r="AX505" s="782" t="s">
        <v>5857</v>
      </c>
      <c r="AY505" s="1007" t="s">
        <v>288</v>
      </c>
      <c r="AZ505" s="1007">
        <v>622</v>
      </c>
      <c r="BA505" s="347" t="str">
        <f t="shared" si="122"/>
        <v>Bag</v>
      </c>
      <c r="BB505" s="1008"/>
      <c r="BC505" s="1009"/>
      <c r="BD505" s="1009"/>
    </row>
    <row r="506" spans="1:56" s="1010" customFormat="1" ht="36.75" customHeight="1">
      <c r="A506" s="661">
        <f>SUBTOTAL(3,B$6:B506)</f>
        <v>501</v>
      </c>
      <c r="B506" s="661" t="s">
        <v>1809</v>
      </c>
      <c r="C506" s="662" t="s">
        <v>1810</v>
      </c>
      <c r="D506" s="1011">
        <v>39867</v>
      </c>
      <c r="E506" s="1011" t="s">
        <v>218</v>
      </c>
      <c r="F506" s="787" t="s">
        <v>517</v>
      </c>
      <c r="G506" s="996" t="s">
        <v>1747</v>
      </c>
      <c r="H506" s="1012">
        <v>5931000</v>
      </c>
      <c r="I506" s="1012">
        <v>2300000</v>
      </c>
      <c r="J506" s="1012">
        <v>0</v>
      </c>
      <c r="K506" s="1012">
        <v>700000</v>
      </c>
      <c r="L506" s="1013">
        <f t="shared" si="125"/>
        <v>8931000</v>
      </c>
      <c r="M506" s="1014">
        <v>24</v>
      </c>
      <c r="N506" s="1013">
        <f t="shared" si="82"/>
        <v>8244000</v>
      </c>
      <c r="O506" s="1015">
        <v>2</v>
      </c>
      <c r="P506" s="1013">
        <f t="shared" si="83"/>
        <v>687000</v>
      </c>
      <c r="Q506" s="1016">
        <v>0</v>
      </c>
      <c r="R506" s="1013">
        <f t="shared" si="84"/>
        <v>0</v>
      </c>
      <c r="S506" s="1013">
        <f t="shared" si="85"/>
        <v>8931000</v>
      </c>
      <c r="T506" s="1017">
        <v>0</v>
      </c>
      <c r="U506" s="785">
        <v>0</v>
      </c>
      <c r="V506" s="785">
        <v>200000</v>
      </c>
      <c r="W506" s="1017">
        <v>500000</v>
      </c>
      <c r="X506" s="1017">
        <v>0</v>
      </c>
      <c r="Y506" s="1017">
        <v>400000</v>
      </c>
      <c r="Z506" s="1017">
        <v>426617</v>
      </c>
      <c r="AA506" s="1018"/>
      <c r="AB506" s="1013"/>
      <c r="AC506" s="1017">
        <v>0</v>
      </c>
      <c r="AD506" s="1017">
        <v>0</v>
      </c>
      <c r="AE506" s="1013">
        <v>64406.25</v>
      </c>
      <c r="AF506" s="1019"/>
      <c r="AG506" s="1019">
        <f t="shared" si="124"/>
        <v>10522023</v>
      </c>
      <c r="AH506" s="1014">
        <v>21</v>
      </c>
      <c r="AI506" s="1014">
        <v>0</v>
      </c>
      <c r="AJ506" s="1014">
        <v>0</v>
      </c>
      <c r="AK506" s="1018">
        <v>0</v>
      </c>
      <c r="AL506" s="1020">
        <v>0</v>
      </c>
      <c r="AM506" s="1013">
        <f t="shared" si="123"/>
        <v>1352531</v>
      </c>
      <c r="AN506" s="1045">
        <f t="shared" si="118"/>
        <v>11874554</v>
      </c>
      <c r="AO506" s="1013">
        <v>937755</v>
      </c>
      <c r="AP506" s="1013">
        <v>44100</v>
      </c>
      <c r="AQ506" s="1013">
        <v>0</v>
      </c>
      <c r="AR506" s="1013">
        <v>65000</v>
      </c>
      <c r="AS506" s="1013">
        <v>0</v>
      </c>
      <c r="AT506" s="1045">
        <f t="shared" si="126"/>
        <v>10827699</v>
      </c>
      <c r="AU506" s="1004"/>
      <c r="AV506" s="870"/>
      <c r="AW506" s="782" t="s">
        <v>4292</v>
      </c>
      <c r="AX506" s="782" t="s">
        <v>4293</v>
      </c>
      <c r="AY506" s="1007" t="s">
        <v>288</v>
      </c>
      <c r="AZ506" s="1007">
        <v>622</v>
      </c>
      <c r="BA506" s="347" t="str">
        <f t="shared" si="122"/>
        <v>Bag</v>
      </c>
      <c r="BB506" s="1008"/>
      <c r="BC506" s="1009"/>
      <c r="BD506" s="1009"/>
    </row>
    <row r="507" spans="1:56" s="1010" customFormat="1" ht="36.75" customHeight="1">
      <c r="A507" s="661">
        <f>SUBTOTAL(3,B$6:B507)</f>
        <v>502</v>
      </c>
      <c r="B507" s="661" t="s">
        <v>1811</v>
      </c>
      <c r="C507" s="662" t="s">
        <v>1812</v>
      </c>
      <c r="D507" s="1011">
        <v>40263</v>
      </c>
      <c r="E507" s="1011" t="s">
        <v>218</v>
      </c>
      <c r="F507" s="787" t="s">
        <v>517</v>
      </c>
      <c r="G507" s="996" t="s">
        <v>797</v>
      </c>
      <c r="H507" s="1012">
        <v>5931000</v>
      </c>
      <c r="I507" s="1012">
        <v>0</v>
      </c>
      <c r="J507" s="1012">
        <v>0</v>
      </c>
      <c r="K507" s="1012">
        <v>0</v>
      </c>
      <c r="L507" s="1013">
        <f t="shared" si="125"/>
        <v>5931000</v>
      </c>
      <c r="M507" s="1014">
        <v>23.9</v>
      </c>
      <c r="N507" s="1013">
        <f t="shared" si="82"/>
        <v>5451958</v>
      </c>
      <c r="O507" s="1015">
        <v>2</v>
      </c>
      <c r="P507" s="1013">
        <f t="shared" si="83"/>
        <v>456231</v>
      </c>
      <c r="Q507" s="1016">
        <v>0</v>
      </c>
      <c r="R507" s="1013">
        <f t="shared" si="84"/>
        <v>0</v>
      </c>
      <c r="S507" s="1013">
        <f t="shared" si="85"/>
        <v>5908189</v>
      </c>
      <c r="T507" s="1017">
        <v>0</v>
      </c>
      <c r="U507" s="785">
        <v>0</v>
      </c>
      <c r="V507" s="785">
        <v>200000</v>
      </c>
      <c r="W507" s="1017">
        <v>500000</v>
      </c>
      <c r="X507" s="1017">
        <v>0</v>
      </c>
      <c r="Y507" s="1017">
        <v>400000</v>
      </c>
      <c r="Z507" s="1017">
        <v>474996</v>
      </c>
      <c r="AA507" s="1018"/>
      <c r="AB507" s="1013"/>
      <c r="AC507" s="1017">
        <v>0</v>
      </c>
      <c r="AD507" s="1017">
        <v>0</v>
      </c>
      <c r="AE507" s="1013">
        <v>42771.6370292887</v>
      </c>
      <c r="AF507" s="1019"/>
      <c r="AG507" s="1019">
        <f t="shared" si="124"/>
        <v>7525957</v>
      </c>
      <c r="AH507" s="1014">
        <v>21</v>
      </c>
      <c r="AI507" s="1014">
        <v>0</v>
      </c>
      <c r="AJ507" s="1014">
        <v>0</v>
      </c>
      <c r="AK507" s="1018">
        <v>0</v>
      </c>
      <c r="AL507" s="1020">
        <v>0</v>
      </c>
      <c r="AM507" s="1013">
        <f t="shared" si="123"/>
        <v>898204</v>
      </c>
      <c r="AN507" s="1045">
        <f t="shared" si="118"/>
        <v>8424161</v>
      </c>
      <c r="AO507" s="1013">
        <v>622755</v>
      </c>
      <c r="AP507" s="1013">
        <v>44100</v>
      </c>
      <c r="AQ507" s="1013">
        <v>0</v>
      </c>
      <c r="AR507" s="1013">
        <v>0</v>
      </c>
      <c r="AS507" s="1013">
        <v>0</v>
      </c>
      <c r="AT507" s="1045">
        <f t="shared" si="126"/>
        <v>7757306</v>
      </c>
      <c r="AU507" s="1004"/>
      <c r="AV507" s="870"/>
      <c r="AW507" s="782" t="s">
        <v>4294</v>
      </c>
      <c r="AX507" s="782" t="s">
        <v>4295</v>
      </c>
      <c r="AY507" s="1007" t="s">
        <v>288</v>
      </c>
      <c r="AZ507" s="1007">
        <v>622</v>
      </c>
      <c r="BA507" s="347" t="str">
        <f t="shared" si="122"/>
        <v>Bag</v>
      </c>
      <c r="BB507" s="1008"/>
      <c r="BC507" s="1009"/>
      <c r="BD507" s="1009"/>
    </row>
    <row r="508" spans="1:56" s="1010" customFormat="1" ht="36.75" customHeight="1">
      <c r="A508" s="661">
        <f>SUBTOTAL(3,B$6:B508)</f>
        <v>503</v>
      </c>
      <c r="B508" s="661" t="s">
        <v>1813</v>
      </c>
      <c r="C508" s="662" t="s">
        <v>1024</v>
      </c>
      <c r="D508" s="1011">
        <v>41671</v>
      </c>
      <c r="E508" s="1011" t="s">
        <v>218</v>
      </c>
      <c r="F508" s="787" t="s">
        <v>517</v>
      </c>
      <c r="G508" s="996" t="s">
        <v>797</v>
      </c>
      <c r="H508" s="1012">
        <v>5931000</v>
      </c>
      <c r="I508" s="1012">
        <v>0</v>
      </c>
      <c r="J508" s="1012">
        <v>0</v>
      </c>
      <c r="K508" s="1012">
        <v>0</v>
      </c>
      <c r="L508" s="1013">
        <f t="shared" si="125"/>
        <v>5931000</v>
      </c>
      <c r="M508" s="1014">
        <v>24</v>
      </c>
      <c r="N508" s="1013">
        <f t="shared" si="82"/>
        <v>5474769</v>
      </c>
      <c r="O508" s="1015">
        <v>2</v>
      </c>
      <c r="P508" s="1013">
        <f t="shared" si="83"/>
        <v>456231</v>
      </c>
      <c r="Q508" s="1016">
        <v>0</v>
      </c>
      <c r="R508" s="1013">
        <f t="shared" si="84"/>
        <v>0</v>
      </c>
      <c r="S508" s="1013">
        <f t="shared" si="85"/>
        <v>5931000</v>
      </c>
      <c r="T508" s="1017">
        <v>0</v>
      </c>
      <c r="U508" s="785">
        <v>0</v>
      </c>
      <c r="V508" s="785">
        <v>200000</v>
      </c>
      <c r="W508" s="1017">
        <v>500000</v>
      </c>
      <c r="X508" s="1017">
        <v>0</v>
      </c>
      <c r="Y508" s="1017">
        <v>400000</v>
      </c>
      <c r="Z508" s="1017">
        <v>468775</v>
      </c>
      <c r="AA508" s="1018"/>
      <c r="AB508" s="1013"/>
      <c r="AC508" s="1017">
        <v>100000</v>
      </c>
      <c r="AD508" s="1017">
        <v>0</v>
      </c>
      <c r="AE508" s="1013">
        <v>42771.6328125</v>
      </c>
      <c r="AF508" s="1019"/>
      <c r="AG508" s="1019">
        <f t="shared" si="124"/>
        <v>7642547</v>
      </c>
      <c r="AH508" s="1014">
        <v>21</v>
      </c>
      <c r="AI508" s="1014">
        <v>0</v>
      </c>
      <c r="AJ508" s="1014">
        <v>0</v>
      </c>
      <c r="AK508" s="1018">
        <v>0</v>
      </c>
      <c r="AL508" s="1020">
        <v>0</v>
      </c>
      <c r="AM508" s="1013">
        <f t="shared" si="123"/>
        <v>898204</v>
      </c>
      <c r="AN508" s="1045">
        <f t="shared" si="118"/>
        <v>8540751</v>
      </c>
      <c r="AO508" s="1013">
        <v>622755</v>
      </c>
      <c r="AP508" s="1013">
        <v>44100</v>
      </c>
      <c r="AQ508" s="1013">
        <v>0</v>
      </c>
      <c r="AR508" s="1013">
        <v>0</v>
      </c>
      <c r="AS508" s="1013">
        <v>0</v>
      </c>
      <c r="AT508" s="1045">
        <f t="shared" si="126"/>
        <v>7873896</v>
      </c>
      <c r="AU508" s="1004"/>
      <c r="AV508" s="870"/>
      <c r="AW508" s="782" t="s">
        <v>3550</v>
      </c>
      <c r="AX508" s="782" t="s">
        <v>4296</v>
      </c>
      <c r="AY508" s="1007" t="s">
        <v>288</v>
      </c>
      <c r="AZ508" s="1007">
        <v>622</v>
      </c>
      <c r="BA508" s="347" t="str">
        <f t="shared" ref="BA508:BA571" si="127">+IF(AY508="SK1 Box","Box",IF(AY508="Seaman","Seaman","Bag"))</f>
        <v>Bag</v>
      </c>
      <c r="BB508" s="1008"/>
      <c r="BC508" s="1009"/>
      <c r="BD508" s="1009"/>
    </row>
    <row r="509" spans="1:56" s="1010" customFormat="1" ht="36.75" customHeight="1">
      <c r="A509" s="661">
        <f>SUBTOTAL(3,B$6:B509)</f>
        <v>504</v>
      </c>
      <c r="B509" s="661" t="s">
        <v>1814</v>
      </c>
      <c r="C509" s="662" t="s">
        <v>1815</v>
      </c>
      <c r="D509" s="1011">
        <v>41550</v>
      </c>
      <c r="E509" s="1011" t="s">
        <v>218</v>
      </c>
      <c r="F509" s="787" t="s">
        <v>517</v>
      </c>
      <c r="G509" s="996" t="s">
        <v>797</v>
      </c>
      <c r="H509" s="1012">
        <v>5931000</v>
      </c>
      <c r="I509" s="1012">
        <v>0</v>
      </c>
      <c r="J509" s="1012">
        <v>0</v>
      </c>
      <c r="K509" s="1012">
        <v>0</v>
      </c>
      <c r="L509" s="1013">
        <f t="shared" si="125"/>
        <v>5931000</v>
      </c>
      <c r="M509" s="1014">
        <v>24</v>
      </c>
      <c r="N509" s="1013">
        <f t="shared" si="82"/>
        <v>5474769</v>
      </c>
      <c r="O509" s="1015">
        <v>2</v>
      </c>
      <c r="P509" s="1013">
        <f t="shared" si="83"/>
        <v>456231</v>
      </c>
      <c r="Q509" s="1016">
        <v>0</v>
      </c>
      <c r="R509" s="1013">
        <f t="shared" si="84"/>
        <v>0</v>
      </c>
      <c r="S509" s="1013">
        <f t="shared" si="85"/>
        <v>5931000</v>
      </c>
      <c r="T509" s="1017">
        <v>0</v>
      </c>
      <c r="U509" s="785">
        <v>0</v>
      </c>
      <c r="V509" s="785">
        <v>200000</v>
      </c>
      <c r="W509" s="1017">
        <v>500000</v>
      </c>
      <c r="X509" s="1017">
        <v>0</v>
      </c>
      <c r="Y509" s="1017">
        <v>400000</v>
      </c>
      <c r="Z509" s="1017">
        <v>477295</v>
      </c>
      <c r="AA509" s="1018"/>
      <c r="AB509" s="1013"/>
      <c r="AC509" s="1017">
        <v>200000</v>
      </c>
      <c r="AD509" s="1017">
        <v>0</v>
      </c>
      <c r="AE509" s="1013">
        <v>42771.6328125</v>
      </c>
      <c r="AF509" s="1019"/>
      <c r="AG509" s="1019">
        <f t="shared" si="124"/>
        <v>7751067</v>
      </c>
      <c r="AH509" s="1014">
        <v>21</v>
      </c>
      <c r="AI509" s="1014">
        <v>0</v>
      </c>
      <c r="AJ509" s="1014">
        <v>0</v>
      </c>
      <c r="AK509" s="1018">
        <v>0</v>
      </c>
      <c r="AL509" s="1020">
        <v>0</v>
      </c>
      <c r="AM509" s="1013">
        <f t="shared" si="123"/>
        <v>898204</v>
      </c>
      <c r="AN509" s="1045">
        <f t="shared" si="118"/>
        <v>8649271</v>
      </c>
      <c r="AO509" s="1013">
        <v>622755</v>
      </c>
      <c r="AP509" s="1013">
        <v>44100</v>
      </c>
      <c r="AQ509" s="1013">
        <v>0</v>
      </c>
      <c r="AR509" s="1013">
        <v>0</v>
      </c>
      <c r="AS509" s="1013">
        <v>0</v>
      </c>
      <c r="AT509" s="1045">
        <f t="shared" si="126"/>
        <v>7982416</v>
      </c>
      <c r="AU509" s="1004"/>
      <c r="AV509" s="870"/>
      <c r="AW509" s="782" t="s">
        <v>4297</v>
      </c>
      <c r="AX509" s="782" t="s">
        <v>4298</v>
      </c>
      <c r="AY509" s="1007" t="s">
        <v>288</v>
      </c>
      <c r="AZ509" s="1007">
        <v>622</v>
      </c>
      <c r="BA509" s="347" t="str">
        <f t="shared" si="127"/>
        <v>Bag</v>
      </c>
      <c r="BB509" s="1008"/>
      <c r="BC509" s="1009"/>
      <c r="BD509" s="1009"/>
    </row>
    <row r="510" spans="1:56" s="1010" customFormat="1" ht="36.75" customHeight="1">
      <c r="A510" s="661">
        <f>SUBTOTAL(3,B$6:B510)</f>
        <v>505</v>
      </c>
      <c r="B510" s="661" t="s">
        <v>1816</v>
      </c>
      <c r="C510" s="662" t="s">
        <v>1817</v>
      </c>
      <c r="D510" s="1011">
        <v>41689</v>
      </c>
      <c r="E510" s="1011" t="s">
        <v>218</v>
      </c>
      <c r="F510" s="787" t="s">
        <v>517</v>
      </c>
      <c r="G510" s="996" t="s">
        <v>797</v>
      </c>
      <c r="H510" s="1012">
        <v>5931000</v>
      </c>
      <c r="I510" s="1012">
        <v>0</v>
      </c>
      <c r="J510" s="1012">
        <v>0</v>
      </c>
      <c r="K510" s="1012">
        <v>0</v>
      </c>
      <c r="L510" s="1013">
        <f t="shared" si="125"/>
        <v>5931000</v>
      </c>
      <c r="M510" s="1014">
        <v>23.8</v>
      </c>
      <c r="N510" s="1013">
        <f t="shared" si="82"/>
        <v>5429146</v>
      </c>
      <c r="O510" s="1015">
        <v>2</v>
      </c>
      <c r="P510" s="1013">
        <f t="shared" si="83"/>
        <v>456231</v>
      </c>
      <c r="Q510" s="1016">
        <v>0</v>
      </c>
      <c r="R510" s="1013">
        <f t="shared" si="84"/>
        <v>0</v>
      </c>
      <c r="S510" s="1013">
        <f t="shared" si="85"/>
        <v>5885377</v>
      </c>
      <c r="T510" s="1017">
        <v>0</v>
      </c>
      <c r="U510" s="785">
        <v>0</v>
      </c>
      <c r="V510" s="785">
        <v>200000</v>
      </c>
      <c r="W510" s="1017">
        <v>500000</v>
      </c>
      <c r="X510" s="1017">
        <v>0</v>
      </c>
      <c r="Y510" s="1017">
        <v>400000</v>
      </c>
      <c r="Z510" s="1017">
        <v>440196</v>
      </c>
      <c r="AA510" s="1018"/>
      <c r="AB510" s="1013"/>
      <c r="AC510" s="1017">
        <v>100000</v>
      </c>
      <c r="AD510" s="1017">
        <v>0</v>
      </c>
      <c r="AE510" s="1013">
        <v>42771.633403361338</v>
      </c>
      <c r="AF510" s="1019"/>
      <c r="AG510" s="1019">
        <f t="shared" si="124"/>
        <v>7568345</v>
      </c>
      <c r="AH510" s="1014">
        <v>21</v>
      </c>
      <c r="AI510" s="1014">
        <v>0</v>
      </c>
      <c r="AJ510" s="1014">
        <v>0</v>
      </c>
      <c r="AK510" s="1018">
        <v>0</v>
      </c>
      <c r="AL510" s="1020">
        <v>0</v>
      </c>
      <c r="AM510" s="1013">
        <f t="shared" si="123"/>
        <v>898204</v>
      </c>
      <c r="AN510" s="1045">
        <f t="shared" si="118"/>
        <v>8466549</v>
      </c>
      <c r="AO510" s="1013">
        <v>622755</v>
      </c>
      <c r="AP510" s="1013">
        <v>44100</v>
      </c>
      <c r="AQ510" s="1013">
        <v>0</v>
      </c>
      <c r="AR510" s="1013">
        <v>0</v>
      </c>
      <c r="AS510" s="1013">
        <v>0</v>
      </c>
      <c r="AT510" s="1045">
        <f t="shared" si="126"/>
        <v>7799694</v>
      </c>
      <c r="AU510" s="1004"/>
      <c r="AV510" s="870"/>
      <c r="AW510" s="782" t="s">
        <v>4299</v>
      </c>
      <c r="AX510" s="782" t="s">
        <v>4300</v>
      </c>
      <c r="AY510" s="1007" t="s">
        <v>288</v>
      </c>
      <c r="AZ510" s="1007">
        <v>622</v>
      </c>
      <c r="BA510" s="347" t="str">
        <f t="shared" si="127"/>
        <v>Bag</v>
      </c>
      <c r="BB510" s="1008"/>
      <c r="BC510" s="1009"/>
      <c r="BD510" s="1009"/>
    </row>
    <row r="511" spans="1:56" s="1010" customFormat="1" ht="36.75" customHeight="1">
      <c r="A511" s="661">
        <f>SUBTOTAL(3,B$6:B511)</f>
        <v>506</v>
      </c>
      <c r="B511" s="661" t="s">
        <v>1818</v>
      </c>
      <c r="C511" s="662" t="s">
        <v>1076</v>
      </c>
      <c r="D511" s="1011">
        <v>42181</v>
      </c>
      <c r="E511" s="1011" t="s">
        <v>218</v>
      </c>
      <c r="F511" s="787" t="s">
        <v>517</v>
      </c>
      <c r="G511" s="996" t="s">
        <v>797</v>
      </c>
      <c r="H511" s="1012">
        <v>5931000</v>
      </c>
      <c r="I511" s="1012">
        <v>0</v>
      </c>
      <c r="J511" s="1012">
        <v>0</v>
      </c>
      <c r="K511" s="1012">
        <v>0</v>
      </c>
      <c r="L511" s="1013">
        <f t="shared" si="125"/>
        <v>5931000</v>
      </c>
      <c r="M511" s="1014">
        <v>23.7</v>
      </c>
      <c r="N511" s="1013">
        <f t="shared" si="82"/>
        <v>5406335</v>
      </c>
      <c r="O511" s="1015">
        <v>2</v>
      </c>
      <c r="P511" s="1013">
        <f t="shared" si="83"/>
        <v>456231</v>
      </c>
      <c r="Q511" s="1016">
        <v>0</v>
      </c>
      <c r="R511" s="1013">
        <f t="shared" si="84"/>
        <v>0</v>
      </c>
      <c r="S511" s="1013">
        <f t="shared" si="85"/>
        <v>5862566</v>
      </c>
      <c r="T511" s="1017">
        <v>0</v>
      </c>
      <c r="U511" s="785">
        <v>0</v>
      </c>
      <c r="V511" s="785">
        <v>200000</v>
      </c>
      <c r="W511" s="1017">
        <v>500000</v>
      </c>
      <c r="X511" s="1017">
        <v>0</v>
      </c>
      <c r="Y511" s="1017">
        <v>400000</v>
      </c>
      <c r="Z511" s="1017">
        <v>438567</v>
      </c>
      <c r="AA511" s="1018"/>
      <c r="AB511" s="1013"/>
      <c r="AC511" s="1017">
        <v>0</v>
      </c>
      <c r="AD511" s="1017">
        <v>0</v>
      </c>
      <c r="AE511" s="1013">
        <v>42771.637658227846</v>
      </c>
      <c r="AF511" s="1019"/>
      <c r="AG511" s="1019">
        <f t="shared" si="124"/>
        <v>7443905</v>
      </c>
      <c r="AH511" s="1014">
        <v>21</v>
      </c>
      <c r="AI511" s="1014">
        <v>0</v>
      </c>
      <c r="AJ511" s="1014">
        <v>0</v>
      </c>
      <c r="AK511" s="1018">
        <v>0</v>
      </c>
      <c r="AL511" s="1020">
        <v>0</v>
      </c>
      <c r="AM511" s="1013">
        <f t="shared" si="123"/>
        <v>898204</v>
      </c>
      <c r="AN511" s="1045">
        <f t="shared" si="118"/>
        <v>8342109</v>
      </c>
      <c r="AO511" s="1013">
        <v>622755</v>
      </c>
      <c r="AP511" s="1013">
        <v>44100</v>
      </c>
      <c r="AQ511" s="1013">
        <v>0</v>
      </c>
      <c r="AR511" s="1013">
        <v>0</v>
      </c>
      <c r="AS511" s="1013">
        <v>0</v>
      </c>
      <c r="AT511" s="1045">
        <f t="shared" si="126"/>
        <v>7675254</v>
      </c>
      <c r="AU511" s="1004"/>
      <c r="AV511" s="870"/>
      <c r="AW511" s="782" t="s">
        <v>3602</v>
      </c>
      <c r="AX511" s="782" t="s">
        <v>4301</v>
      </c>
      <c r="AY511" s="1007" t="s">
        <v>288</v>
      </c>
      <c r="AZ511" s="1007">
        <v>622</v>
      </c>
      <c r="BA511" s="347" t="str">
        <f t="shared" si="127"/>
        <v>Bag</v>
      </c>
      <c r="BB511" s="1008"/>
      <c r="BC511" s="1009"/>
      <c r="BD511" s="1009"/>
    </row>
    <row r="512" spans="1:56" s="1010" customFormat="1" ht="36.75" customHeight="1">
      <c r="A512" s="661">
        <f>SUBTOTAL(3,B$6:B512)</f>
        <v>507</v>
      </c>
      <c r="B512" s="661" t="s">
        <v>1819</v>
      </c>
      <c r="C512" s="662" t="s">
        <v>1820</v>
      </c>
      <c r="D512" s="1011">
        <v>43101</v>
      </c>
      <c r="E512" s="1011" t="s">
        <v>218</v>
      </c>
      <c r="F512" s="787" t="s">
        <v>517</v>
      </c>
      <c r="G512" s="996" t="s">
        <v>797</v>
      </c>
      <c r="H512" s="1012">
        <v>5931000</v>
      </c>
      <c r="I512" s="1012">
        <v>0</v>
      </c>
      <c r="J512" s="1012">
        <v>0</v>
      </c>
      <c r="K512" s="1012">
        <v>0</v>
      </c>
      <c r="L512" s="1013">
        <f t="shared" si="125"/>
        <v>5931000</v>
      </c>
      <c r="M512" s="1014">
        <v>22.7</v>
      </c>
      <c r="N512" s="1013">
        <f t="shared" si="82"/>
        <v>5178219</v>
      </c>
      <c r="O512" s="1015">
        <v>3</v>
      </c>
      <c r="P512" s="1013">
        <f t="shared" si="83"/>
        <v>684346</v>
      </c>
      <c r="Q512" s="1016">
        <v>0</v>
      </c>
      <c r="R512" s="1013">
        <f t="shared" si="84"/>
        <v>0</v>
      </c>
      <c r="S512" s="1013">
        <f t="shared" si="85"/>
        <v>5862565</v>
      </c>
      <c r="T512" s="1017">
        <v>0</v>
      </c>
      <c r="U512" s="785">
        <v>0</v>
      </c>
      <c r="V512" s="785">
        <v>200000</v>
      </c>
      <c r="W512" s="1017">
        <v>500000</v>
      </c>
      <c r="X512" s="1017">
        <v>0</v>
      </c>
      <c r="Y512" s="1017">
        <v>400000</v>
      </c>
      <c r="Z512" s="1017">
        <v>446186</v>
      </c>
      <c r="AA512" s="1018"/>
      <c r="AB512" s="1013"/>
      <c r="AC512" s="1017">
        <v>100000</v>
      </c>
      <c r="AD512" s="1017">
        <v>0</v>
      </c>
      <c r="AE512" s="1013">
        <v>42771.632709251098</v>
      </c>
      <c r="AF512" s="1019"/>
      <c r="AG512" s="1019">
        <f t="shared" si="124"/>
        <v>7551523</v>
      </c>
      <c r="AH512" s="1014">
        <v>21</v>
      </c>
      <c r="AI512" s="1014">
        <v>0</v>
      </c>
      <c r="AJ512" s="1014">
        <v>0</v>
      </c>
      <c r="AK512" s="1018">
        <v>0</v>
      </c>
      <c r="AL512" s="1020">
        <v>0</v>
      </c>
      <c r="AM512" s="1013">
        <f t="shared" si="123"/>
        <v>898204</v>
      </c>
      <c r="AN512" s="1045">
        <f t="shared" si="118"/>
        <v>8449727</v>
      </c>
      <c r="AO512" s="1013">
        <v>622755</v>
      </c>
      <c r="AP512" s="1013">
        <v>44100</v>
      </c>
      <c r="AQ512" s="1013">
        <v>0</v>
      </c>
      <c r="AR512" s="1013">
        <v>0</v>
      </c>
      <c r="AS512" s="1013">
        <v>0</v>
      </c>
      <c r="AT512" s="1045">
        <f t="shared" si="126"/>
        <v>7782872</v>
      </c>
      <c r="AU512" s="1004"/>
      <c r="AV512" s="870"/>
      <c r="AW512" s="782" t="s">
        <v>4302</v>
      </c>
      <c r="AX512" s="782" t="s">
        <v>4303</v>
      </c>
      <c r="AY512" s="1007" t="s">
        <v>288</v>
      </c>
      <c r="AZ512" s="1007">
        <v>622</v>
      </c>
      <c r="BA512" s="347" t="str">
        <f t="shared" si="127"/>
        <v>Bag</v>
      </c>
      <c r="BB512" s="1008"/>
      <c r="BC512" s="1009"/>
      <c r="BD512" s="1009"/>
    </row>
    <row r="513" spans="1:56" s="1010" customFormat="1" ht="36.75" customHeight="1">
      <c r="A513" s="661">
        <f>SUBTOTAL(3,B$6:B513)</f>
        <v>508</v>
      </c>
      <c r="B513" s="661" t="s">
        <v>1821</v>
      </c>
      <c r="C513" s="662" t="s">
        <v>1822</v>
      </c>
      <c r="D513" s="1011">
        <v>43509</v>
      </c>
      <c r="E513" s="1011" t="s">
        <v>218</v>
      </c>
      <c r="F513" s="787" t="s">
        <v>517</v>
      </c>
      <c r="G513" s="996" t="s">
        <v>797</v>
      </c>
      <c r="H513" s="1012">
        <v>5931000</v>
      </c>
      <c r="I513" s="1012">
        <v>0</v>
      </c>
      <c r="J513" s="1012">
        <v>0</v>
      </c>
      <c r="K513" s="1012">
        <v>0</v>
      </c>
      <c r="L513" s="1013">
        <f t="shared" si="125"/>
        <v>5931000</v>
      </c>
      <c r="M513" s="1014">
        <v>24</v>
      </c>
      <c r="N513" s="1013">
        <f t="shared" si="82"/>
        <v>5474769</v>
      </c>
      <c r="O513" s="1015">
        <v>2</v>
      </c>
      <c r="P513" s="1013">
        <f t="shared" si="83"/>
        <v>456231</v>
      </c>
      <c r="Q513" s="1016">
        <v>0</v>
      </c>
      <c r="R513" s="1013">
        <f t="shared" si="84"/>
        <v>0</v>
      </c>
      <c r="S513" s="1013">
        <f t="shared" si="85"/>
        <v>5931000</v>
      </c>
      <c r="T513" s="1017">
        <v>0</v>
      </c>
      <c r="U513" s="785">
        <v>0</v>
      </c>
      <c r="V513" s="785">
        <v>200000</v>
      </c>
      <c r="W513" s="1017">
        <v>500000</v>
      </c>
      <c r="X513" s="1017">
        <v>0</v>
      </c>
      <c r="Y513" s="1017">
        <v>400000</v>
      </c>
      <c r="Z513" s="1017">
        <v>439423</v>
      </c>
      <c r="AA513" s="1018"/>
      <c r="AB513" s="1013"/>
      <c r="AC513" s="1017">
        <v>0</v>
      </c>
      <c r="AD513" s="1017">
        <v>0</v>
      </c>
      <c r="AE513" s="1013">
        <v>42771.6328125</v>
      </c>
      <c r="AF513" s="1019"/>
      <c r="AG513" s="1019">
        <f t="shared" si="124"/>
        <v>7513195</v>
      </c>
      <c r="AH513" s="1014">
        <v>21</v>
      </c>
      <c r="AI513" s="1014">
        <v>0</v>
      </c>
      <c r="AJ513" s="1014">
        <v>0</v>
      </c>
      <c r="AK513" s="1018">
        <v>0</v>
      </c>
      <c r="AL513" s="1020">
        <v>0</v>
      </c>
      <c r="AM513" s="1013">
        <f t="shared" si="123"/>
        <v>898204</v>
      </c>
      <c r="AN513" s="1045">
        <f t="shared" si="118"/>
        <v>8411399</v>
      </c>
      <c r="AO513" s="1013">
        <v>622755</v>
      </c>
      <c r="AP513" s="1013">
        <v>44100</v>
      </c>
      <c r="AQ513" s="1013">
        <v>0</v>
      </c>
      <c r="AR513" s="1013">
        <v>0</v>
      </c>
      <c r="AS513" s="1013">
        <v>0</v>
      </c>
      <c r="AT513" s="1045">
        <f t="shared" si="126"/>
        <v>7744544</v>
      </c>
      <c r="AU513" s="1004"/>
      <c r="AV513" s="870"/>
      <c r="AW513" s="782" t="s">
        <v>4304</v>
      </c>
      <c r="AX513" s="782" t="s">
        <v>4305</v>
      </c>
      <c r="AY513" s="1007" t="s">
        <v>288</v>
      </c>
      <c r="AZ513" s="1007">
        <v>622</v>
      </c>
      <c r="BA513" s="347" t="str">
        <f t="shared" si="127"/>
        <v>Bag</v>
      </c>
      <c r="BB513" s="1008"/>
      <c r="BC513" s="1009"/>
      <c r="BD513" s="1009"/>
    </row>
    <row r="514" spans="1:56" s="1010" customFormat="1" ht="36.75" customHeight="1">
      <c r="A514" s="661">
        <f>SUBTOTAL(3,B$6:B514)</f>
        <v>509</v>
      </c>
      <c r="B514" s="661" t="s">
        <v>1823</v>
      </c>
      <c r="C514" s="662" t="s">
        <v>1824</v>
      </c>
      <c r="D514" s="1011">
        <v>43514</v>
      </c>
      <c r="E514" s="1011" t="s">
        <v>218</v>
      </c>
      <c r="F514" s="787" t="s">
        <v>517</v>
      </c>
      <c r="G514" s="996" t="s">
        <v>797</v>
      </c>
      <c r="H514" s="1012">
        <v>5931000</v>
      </c>
      <c r="I514" s="1012">
        <v>0</v>
      </c>
      <c r="J514" s="1012">
        <v>0</v>
      </c>
      <c r="K514" s="1012">
        <v>0</v>
      </c>
      <c r="L514" s="1013">
        <f t="shared" si="125"/>
        <v>5931000</v>
      </c>
      <c r="M514" s="1014">
        <v>22.9</v>
      </c>
      <c r="N514" s="1013">
        <f t="shared" si="82"/>
        <v>5223842</v>
      </c>
      <c r="O514" s="1015">
        <v>3</v>
      </c>
      <c r="P514" s="1013">
        <f t="shared" si="83"/>
        <v>684346</v>
      </c>
      <c r="Q514" s="1016">
        <v>0</v>
      </c>
      <c r="R514" s="1013">
        <f t="shared" si="84"/>
        <v>0</v>
      </c>
      <c r="S514" s="1013">
        <f t="shared" si="85"/>
        <v>5908188</v>
      </c>
      <c r="T514" s="1017">
        <v>0</v>
      </c>
      <c r="U514" s="785">
        <v>0</v>
      </c>
      <c r="V514" s="785">
        <v>200000</v>
      </c>
      <c r="W514" s="1017">
        <v>500000</v>
      </c>
      <c r="X514" s="1017">
        <v>0</v>
      </c>
      <c r="Y514" s="1017">
        <v>400000</v>
      </c>
      <c r="Z514" s="1017">
        <v>409872</v>
      </c>
      <c r="AA514" s="1018"/>
      <c r="AB514" s="1013"/>
      <c r="AC514" s="1017">
        <v>100000</v>
      </c>
      <c r="AD514" s="1017">
        <v>0</v>
      </c>
      <c r="AE514" s="1013">
        <v>42771.632096069872</v>
      </c>
      <c r="AF514" s="1019"/>
      <c r="AG514" s="1019">
        <f t="shared" si="124"/>
        <v>7560832</v>
      </c>
      <c r="AH514" s="1014">
        <v>13</v>
      </c>
      <c r="AI514" s="1014">
        <v>0</v>
      </c>
      <c r="AJ514" s="1014">
        <v>0</v>
      </c>
      <c r="AK514" s="1018">
        <v>0</v>
      </c>
      <c r="AL514" s="1020">
        <v>0</v>
      </c>
      <c r="AM514" s="1013">
        <f t="shared" si="123"/>
        <v>556031</v>
      </c>
      <c r="AN514" s="1045">
        <f t="shared" si="118"/>
        <v>8116863</v>
      </c>
      <c r="AO514" s="1013">
        <v>622755</v>
      </c>
      <c r="AP514" s="1013">
        <v>44100</v>
      </c>
      <c r="AQ514" s="1013">
        <v>0</v>
      </c>
      <c r="AR514" s="1013">
        <v>0</v>
      </c>
      <c r="AS514" s="1013">
        <v>0</v>
      </c>
      <c r="AT514" s="1045">
        <f t="shared" si="126"/>
        <v>7450008</v>
      </c>
      <c r="AU514" s="1004"/>
      <c r="AV514" s="870"/>
      <c r="AW514" s="782" t="s">
        <v>4306</v>
      </c>
      <c r="AX514" s="782" t="s">
        <v>4307</v>
      </c>
      <c r="AY514" s="1007" t="s">
        <v>288</v>
      </c>
      <c r="AZ514" s="1007">
        <v>622</v>
      </c>
      <c r="BA514" s="347" t="str">
        <f t="shared" si="127"/>
        <v>Bag</v>
      </c>
      <c r="BB514" s="1008"/>
      <c r="BC514" s="1009"/>
      <c r="BD514" s="1009"/>
    </row>
    <row r="515" spans="1:56" s="1010" customFormat="1" ht="36.75" customHeight="1">
      <c r="A515" s="661">
        <f>SUBTOTAL(3,B$6:B515)</f>
        <v>510</v>
      </c>
      <c r="B515" s="661" t="s">
        <v>1825</v>
      </c>
      <c r="C515" s="662" t="s">
        <v>1826</v>
      </c>
      <c r="D515" s="1011">
        <v>43532</v>
      </c>
      <c r="E515" s="1011" t="s">
        <v>218</v>
      </c>
      <c r="F515" s="787" t="s">
        <v>517</v>
      </c>
      <c r="G515" s="996" t="s">
        <v>920</v>
      </c>
      <c r="H515" s="1012">
        <v>5931000</v>
      </c>
      <c r="I515" s="1012">
        <v>0</v>
      </c>
      <c r="J515" s="1012">
        <v>0</v>
      </c>
      <c r="K515" s="1012">
        <v>0</v>
      </c>
      <c r="L515" s="1013">
        <f t="shared" si="125"/>
        <v>5931000</v>
      </c>
      <c r="M515" s="1014">
        <v>23.8</v>
      </c>
      <c r="N515" s="1013">
        <f t="shared" si="82"/>
        <v>5429146</v>
      </c>
      <c r="O515" s="1015">
        <v>2</v>
      </c>
      <c r="P515" s="1013">
        <f t="shared" si="83"/>
        <v>456231</v>
      </c>
      <c r="Q515" s="1016">
        <v>0</v>
      </c>
      <c r="R515" s="1013">
        <f t="shared" si="84"/>
        <v>0</v>
      </c>
      <c r="S515" s="1013">
        <f t="shared" si="85"/>
        <v>5885377</v>
      </c>
      <c r="T515" s="1017">
        <v>0</v>
      </c>
      <c r="U515" s="785">
        <v>0</v>
      </c>
      <c r="V515" s="785">
        <v>200000</v>
      </c>
      <c r="W515" s="1017">
        <v>500000</v>
      </c>
      <c r="X515" s="1017">
        <v>0</v>
      </c>
      <c r="Y515" s="1017">
        <v>400000</v>
      </c>
      <c r="Z515" s="1017">
        <v>470890</v>
      </c>
      <c r="AA515" s="1018"/>
      <c r="AB515" s="1013"/>
      <c r="AC515" s="1017">
        <v>0</v>
      </c>
      <c r="AD515" s="1017">
        <v>0</v>
      </c>
      <c r="AE515" s="1013">
        <v>0</v>
      </c>
      <c r="AF515" s="1019"/>
      <c r="AG515" s="1019">
        <f t="shared" si="124"/>
        <v>7456267</v>
      </c>
      <c r="AH515" s="1014">
        <v>21</v>
      </c>
      <c r="AI515" s="1014">
        <v>0</v>
      </c>
      <c r="AJ515" s="1014">
        <v>0</v>
      </c>
      <c r="AK515" s="1018">
        <v>0</v>
      </c>
      <c r="AL515" s="1020">
        <v>0</v>
      </c>
      <c r="AM515" s="1013">
        <f t="shared" si="123"/>
        <v>898204</v>
      </c>
      <c r="AN515" s="1045">
        <f t="shared" si="118"/>
        <v>8354471</v>
      </c>
      <c r="AO515" s="1013">
        <v>622755</v>
      </c>
      <c r="AP515" s="1013">
        <v>44100</v>
      </c>
      <c r="AQ515" s="1013">
        <v>0</v>
      </c>
      <c r="AR515" s="1013">
        <v>0</v>
      </c>
      <c r="AS515" s="1013">
        <v>0</v>
      </c>
      <c r="AT515" s="1045">
        <f t="shared" si="126"/>
        <v>7687616</v>
      </c>
      <c r="AU515" s="1004"/>
      <c r="AV515" s="870"/>
      <c r="AW515" s="782" t="s">
        <v>4308</v>
      </c>
      <c r="AX515" s="782" t="s">
        <v>4309</v>
      </c>
      <c r="AY515" s="1007" t="s">
        <v>288</v>
      </c>
      <c r="AZ515" s="1007">
        <v>622</v>
      </c>
      <c r="BA515" s="347" t="str">
        <f t="shared" si="127"/>
        <v>Bag</v>
      </c>
      <c r="BB515" s="1008"/>
      <c r="BC515" s="1009"/>
      <c r="BD515" s="1009"/>
    </row>
    <row r="516" spans="1:56" s="1010" customFormat="1" ht="36.75" customHeight="1">
      <c r="A516" s="661">
        <f>SUBTOTAL(3,B$6:B516)</f>
        <v>511</v>
      </c>
      <c r="B516" s="661" t="s">
        <v>1827</v>
      </c>
      <c r="C516" s="662" t="s">
        <v>1828</v>
      </c>
      <c r="D516" s="1011">
        <v>43532</v>
      </c>
      <c r="E516" s="1011" t="s">
        <v>218</v>
      </c>
      <c r="F516" s="787" t="s">
        <v>517</v>
      </c>
      <c r="G516" s="996" t="s">
        <v>1232</v>
      </c>
      <c r="H516" s="1012">
        <v>5931000</v>
      </c>
      <c r="I516" s="1012">
        <v>200000</v>
      </c>
      <c r="J516" s="1012">
        <v>0</v>
      </c>
      <c r="K516" s="1012">
        <v>0</v>
      </c>
      <c r="L516" s="1013">
        <f t="shared" si="125"/>
        <v>6131000</v>
      </c>
      <c r="M516" s="1014">
        <v>23</v>
      </c>
      <c r="N516" s="1013">
        <f t="shared" si="82"/>
        <v>5423577</v>
      </c>
      <c r="O516" s="1015">
        <v>3</v>
      </c>
      <c r="P516" s="1013">
        <f t="shared" si="83"/>
        <v>707423</v>
      </c>
      <c r="Q516" s="1016">
        <v>0</v>
      </c>
      <c r="R516" s="1013">
        <f t="shared" si="84"/>
        <v>0</v>
      </c>
      <c r="S516" s="1013">
        <f t="shared" si="85"/>
        <v>6131000</v>
      </c>
      <c r="T516" s="1017">
        <v>0</v>
      </c>
      <c r="U516" s="785">
        <v>0</v>
      </c>
      <c r="V516" s="785">
        <v>200000</v>
      </c>
      <c r="W516" s="1017">
        <v>500000</v>
      </c>
      <c r="X516" s="1017">
        <v>0</v>
      </c>
      <c r="Y516" s="1017">
        <v>400000</v>
      </c>
      <c r="Z516" s="1017">
        <v>428087</v>
      </c>
      <c r="AA516" s="1018"/>
      <c r="AB516" s="1013"/>
      <c r="AC516" s="1017">
        <v>0</v>
      </c>
      <c r="AD516" s="1017">
        <v>0</v>
      </c>
      <c r="AE516" s="1013">
        <v>44213.942934782608</v>
      </c>
      <c r="AF516" s="1019"/>
      <c r="AG516" s="1019">
        <f t="shared" si="124"/>
        <v>7703301</v>
      </c>
      <c r="AH516" s="1014">
        <v>21</v>
      </c>
      <c r="AI516" s="1014">
        <v>0</v>
      </c>
      <c r="AJ516" s="1014">
        <v>0</v>
      </c>
      <c r="AK516" s="1018">
        <v>0</v>
      </c>
      <c r="AL516" s="1020">
        <v>0</v>
      </c>
      <c r="AM516" s="1013">
        <f t="shared" si="123"/>
        <v>928493</v>
      </c>
      <c r="AN516" s="1045">
        <f t="shared" si="118"/>
        <v>8631794</v>
      </c>
      <c r="AO516" s="1013">
        <v>643755</v>
      </c>
      <c r="AP516" s="1013">
        <v>44100</v>
      </c>
      <c r="AQ516" s="1013">
        <v>0</v>
      </c>
      <c r="AR516" s="1013">
        <v>0</v>
      </c>
      <c r="AS516" s="1013">
        <v>0</v>
      </c>
      <c r="AT516" s="1045">
        <f t="shared" si="126"/>
        <v>7943939</v>
      </c>
      <c r="AU516" s="1004"/>
      <c r="AV516" s="870"/>
      <c r="AW516" s="782" t="s">
        <v>4310</v>
      </c>
      <c r="AX516" s="782" t="s">
        <v>4311</v>
      </c>
      <c r="AY516" s="1007" t="s">
        <v>288</v>
      </c>
      <c r="AZ516" s="1007">
        <v>622</v>
      </c>
      <c r="BA516" s="347" t="str">
        <f t="shared" si="127"/>
        <v>Bag</v>
      </c>
      <c r="BB516" s="1008"/>
      <c r="BC516" s="1009"/>
      <c r="BD516" s="1009"/>
    </row>
    <row r="517" spans="1:56" s="1010" customFormat="1" ht="36.75" customHeight="1">
      <c r="A517" s="661">
        <f>SUBTOTAL(3,B$6:B517)</f>
        <v>512</v>
      </c>
      <c r="B517" s="661" t="s">
        <v>1829</v>
      </c>
      <c r="C517" s="662" t="s">
        <v>1830</v>
      </c>
      <c r="D517" s="1011">
        <v>42583</v>
      </c>
      <c r="E517" s="1011" t="s">
        <v>218</v>
      </c>
      <c r="F517" s="787" t="s">
        <v>517</v>
      </c>
      <c r="G517" s="996" t="s">
        <v>797</v>
      </c>
      <c r="H517" s="1012">
        <v>5931000</v>
      </c>
      <c r="I517" s="1012">
        <v>0</v>
      </c>
      <c r="J517" s="1012">
        <v>0</v>
      </c>
      <c r="K517" s="1012">
        <v>0</v>
      </c>
      <c r="L517" s="1013">
        <f t="shared" si="125"/>
        <v>5931000</v>
      </c>
      <c r="M517" s="1014">
        <v>22</v>
      </c>
      <c r="N517" s="1013">
        <f t="shared" si="82"/>
        <v>5018538</v>
      </c>
      <c r="O517" s="1015">
        <v>2</v>
      </c>
      <c r="P517" s="1013">
        <f t="shared" si="83"/>
        <v>456231</v>
      </c>
      <c r="Q517" s="1016">
        <v>0</v>
      </c>
      <c r="R517" s="1013">
        <f t="shared" si="84"/>
        <v>0</v>
      </c>
      <c r="S517" s="1013">
        <f t="shared" si="85"/>
        <v>5474769</v>
      </c>
      <c r="T517" s="1017">
        <v>0</v>
      </c>
      <c r="U517" s="785">
        <v>0</v>
      </c>
      <c r="V517" s="785">
        <v>200000</v>
      </c>
      <c r="W517" s="1017">
        <v>0</v>
      </c>
      <c r="X517" s="1017">
        <v>0</v>
      </c>
      <c r="Y517" s="1017">
        <v>300000</v>
      </c>
      <c r="Z517" s="1017">
        <v>422599</v>
      </c>
      <c r="AA517" s="1018"/>
      <c r="AB517" s="1013"/>
      <c r="AC517" s="1017">
        <v>100000</v>
      </c>
      <c r="AD517" s="1017">
        <v>0</v>
      </c>
      <c r="AE517" s="1013">
        <v>42771.630681818184</v>
      </c>
      <c r="AF517" s="1019"/>
      <c r="AG517" s="1019">
        <f t="shared" si="124"/>
        <v>6540140</v>
      </c>
      <c r="AH517" s="1014">
        <v>17</v>
      </c>
      <c r="AI517" s="1014">
        <v>0</v>
      </c>
      <c r="AJ517" s="1014">
        <v>0</v>
      </c>
      <c r="AK517" s="1018">
        <v>0</v>
      </c>
      <c r="AL517" s="1020">
        <v>0</v>
      </c>
      <c r="AM517" s="1013">
        <f t="shared" si="123"/>
        <v>727118</v>
      </c>
      <c r="AN517" s="1045">
        <f t="shared" si="118"/>
        <v>7267258</v>
      </c>
      <c r="AO517" s="1013">
        <v>622755</v>
      </c>
      <c r="AP517" s="1013">
        <v>44100</v>
      </c>
      <c r="AQ517" s="1013">
        <v>0</v>
      </c>
      <c r="AR517" s="1013">
        <v>0</v>
      </c>
      <c r="AS517" s="1013">
        <v>0</v>
      </c>
      <c r="AT517" s="1045">
        <f t="shared" si="126"/>
        <v>6600403</v>
      </c>
      <c r="AU517" s="1004"/>
      <c r="AV517" s="870"/>
      <c r="AW517" s="782" t="s">
        <v>4312</v>
      </c>
      <c r="AX517" s="782" t="s">
        <v>4313</v>
      </c>
      <c r="AY517" s="1007" t="s">
        <v>288</v>
      </c>
      <c r="AZ517" s="1007">
        <v>622</v>
      </c>
      <c r="BA517" s="347" t="str">
        <f t="shared" si="127"/>
        <v>Bag</v>
      </c>
      <c r="BB517" s="1008"/>
      <c r="BC517" s="1009"/>
      <c r="BD517" s="1009"/>
    </row>
    <row r="518" spans="1:56" s="1010" customFormat="1" ht="36.75" customHeight="1">
      <c r="A518" s="661">
        <f>SUBTOTAL(3,B$6:B518)</f>
        <v>513</v>
      </c>
      <c r="B518" s="661" t="s">
        <v>1831</v>
      </c>
      <c r="C518" s="662" t="s">
        <v>1832</v>
      </c>
      <c r="D518" s="1011">
        <v>43556</v>
      </c>
      <c r="E518" s="1011" t="s">
        <v>218</v>
      </c>
      <c r="F518" s="787" t="s">
        <v>518</v>
      </c>
      <c r="G518" s="996" t="s">
        <v>797</v>
      </c>
      <c r="H518" s="1012">
        <v>5931000</v>
      </c>
      <c r="I518" s="1012">
        <v>0</v>
      </c>
      <c r="J518" s="1012">
        <v>0</v>
      </c>
      <c r="K518" s="1012">
        <v>0</v>
      </c>
      <c r="L518" s="1013">
        <f t="shared" si="125"/>
        <v>5931000</v>
      </c>
      <c r="M518" s="1014">
        <v>23.7</v>
      </c>
      <c r="N518" s="1013">
        <f t="shared" si="82"/>
        <v>5406335</v>
      </c>
      <c r="O518" s="1015">
        <v>2</v>
      </c>
      <c r="P518" s="1013">
        <f t="shared" si="83"/>
        <v>456231</v>
      </c>
      <c r="Q518" s="1016">
        <v>0</v>
      </c>
      <c r="R518" s="1013">
        <f t="shared" si="84"/>
        <v>0</v>
      </c>
      <c r="S518" s="1013">
        <f t="shared" si="85"/>
        <v>5862566</v>
      </c>
      <c r="T518" s="1017">
        <v>0</v>
      </c>
      <c r="U518" s="785">
        <v>0</v>
      </c>
      <c r="V518" s="785">
        <v>200000</v>
      </c>
      <c r="W518" s="1017">
        <v>500000</v>
      </c>
      <c r="X518" s="1017">
        <v>0</v>
      </c>
      <c r="Y518" s="1017">
        <v>400000</v>
      </c>
      <c r="Z518" s="1017">
        <v>529090</v>
      </c>
      <c r="AA518" s="1018"/>
      <c r="AB518" s="1013"/>
      <c r="AC518" s="1017">
        <v>0</v>
      </c>
      <c r="AD518" s="1017">
        <v>0</v>
      </c>
      <c r="AE518" s="1013">
        <v>42771.637658227846</v>
      </c>
      <c r="AF518" s="1019"/>
      <c r="AG518" s="1019">
        <f t="shared" si="124"/>
        <v>7534428</v>
      </c>
      <c r="AH518" s="1014">
        <v>21</v>
      </c>
      <c r="AI518" s="1014">
        <v>0</v>
      </c>
      <c r="AJ518" s="1014">
        <v>0</v>
      </c>
      <c r="AK518" s="1018">
        <v>0</v>
      </c>
      <c r="AL518" s="1020">
        <v>0</v>
      </c>
      <c r="AM518" s="1013">
        <f t="shared" si="123"/>
        <v>898204</v>
      </c>
      <c r="AN518" s="1045">
        <f t="shared" si="118"/>
        <v>8432632</v>
      </c>
      <c r="AO518" s="1013">
        <v>622755</v>
      </c>
      <c r="AP518" s="1013">
        <v>44100</v>
      </c>
      <c r="AQ518" s="1013">
        <v>0</v>
      </c>
      <c r="AR518" s="1013">
        <v>0</v>
      </c>
      <c r="AS518" s="1013">
        <v>0</v>
      </c>
      <c r="AT518" s="1045">
        <f t="shared" si="126"/>
        <v>7765777</v>
      </c>
      <c r="AU518" s="1004"/>
      <c r="AV518" s="870"/>
      <c r="AW518" s="782" t="s">
        <v>4314</v>
      </c>
      <c r="AX518" s="782" t="s">
        <v>4315</v>
      </c>
      <c r="AY518" s="1007" t="s">
        <v>288</v>
      </c>
      <c r="AZ518" s="1007">
        <v>622</v>
      </c>
      <c r="BA518" s="347" t="str">
        <f t="shared" si="127"/>
        <v>Bag</v>
      </c>
      <c r="BB518" s="1008"/>
      <c r="BC518" s="1009"/>
      <c r="BD518" s="1009"/>
    </row>
    <row r="519" spans="1:56" s="1010" customFormat="1" ht="36.75" customHeight="1">
      <c r="A519" s="661">
        <f>SUBTOTAL(3,B$6:B519)</f>
        <v>514</v>
      </c>
      <c r="B519" s="661" t="s">
        <v>1833</v>
      </c>
      <c r="C519" s="662" t="s">
        <v>1834</v>
      </c>
      <c r="D519" s="1011">
        <v>44155</v>
      </c>
      <c r="E519" s="1011" t="s">
        <v>218</v>
      </c>
      <c r="F519" s="787" t="s">
        <v>518</v>
      </c>
      <c r="G519" s="996" t="s">
        <v>797</v>
      </c>
      <c r="H519" s="1012">
        <v>5931000</v>
      </c>
      <c r="I519" s="1012">
        <v>0</v>
      </c>
      <c r="J519" s="1012">
        <v>0</v>
      </c>
      <c r="K519" s="1012">
        <v>0</v>
      </c>
      <c r="L519" s="1013">
        <f t="shared" si="125"/>
        <v>5931000</v>
      </c>
      <c r="M519" s="1014">
        <v>24</v>
      </c>
      <c r="N519" s="1013">
        <f t="shared" si="82"/>
        <v>5474769</v>
      </c>
      <c r="O519" s="1015">
        <v>2</v>
      </c>
      <c r="P519" s="1013">
        <f t="shared" si="83"/>
        <v>456231</v>
      </c>
      <c r="Q519" s="1016">
        <v>0</v>
      </c>
      <c r="R519" s="1013">
        <f t="shared" si="84"/>
        <v>0</v>
      </c>
      <c r="S519" s="1013">
        <f t="shared" si="85"/>
        <v>5931000</v>
      </c>
      <c r="T519" s="1017">
        <v>0</v>
      </c>
      <c r="U519" s="785">
        <v>0</v>
      </c>
      <c r="V519" s="785">
        <v>200000</v>
      </c>
      <c r="W519" s="1017">
        <v>500000</v>
      </c>
      <c r="X519" s="1017">
        <v>0</v>
      </c>
      <c r="Y519" s="1017">
        <v>400000</v>
      </c>
      <c r="Z519" s="1017">
        <v>414584</v>
      </c>
      <c r="AA519" s="1018"/>
      <c r="AB519" s="1013"/>
      <c r="AC519" s="1017">
        <v>0</v>
      </c>
      <c r="AD519" s="1017">
        <v>0</v>
      </c>
      <c r="AE519" s="1013">
        <v>42771.6328125</v>
      </c>
      <c r="AF519" s="1019"/>
      <c r="AG519" s="1019">
        <f t="shared" si="124"/>
        <v>7488356</v>
      </c>
      <c r="AH519" s="1014">
        <v>21</v>
      </c>
      <c r="AI519" s="1014">
        <v>0</v>
      </c>
      <c r="AJ519" s="1014">
        <v>0</v>
      </c>
      <c r="AK519" s="1018">
        <v>0</v>
      </c>
      <c r="AL519" s="1020">
        <v>0</v>
      </c>
      <c r="AM519" s="1013">
        <f t="shared" ref="AM519:AM582" si="128">ROUND((N519/IF(M519&gt;26,26,M519)/8*(AH519*$AH$5+AI519*$AI$5+AJ519*$AJ$5+AK519*$AK$5+AL519*$AL$5)),0)</f>
        <v>898204</v>
      </c>
      <c r="AN519" s="1045">
        <f t="shared" si="118"/>
        <v>8386560</v>
      </c>
      <c r="AO519" s="1013">
        <v>622755</v>
      </c>
      <c r="AP519" s="1013">
        <v>44100</v>
      </c>
      <c r="AQ519" s="1013">
        <v>0</v>
      </c>
      <c r="AR519" s="1013">
        <v>0</v>
      </c>
      <c r="AS519" s="1013">
        <v>0</v>
      </c>
      <c r="AT519" s="1045">
        <f t="shared" si="126"/>
        <v>7719705</v>
      </c>
      <c r="AU519" s="1004"/>
      <c r="AV519" s="870"/>
      <c r="AW519" s="782" t="s">
        <v>4316</v>
      </c>
      <c r="AX519" s="782" t="s">
        <v>4317</v>
      </c>
      <c r="AY519" s="1007" t="s">
        <v>288</v>
      </c>
      <c r="AZ519" s="1007">
        <v>622</v>
      </c>
      <c r="BA519" s="347" t="str">
        <f t="shared" si="127"/>
        <v>Bag</v>
      </c>
      <c r="BB519" s="1008"/>
      <c r="BC519" s="1009"/>
      <c r="BD519" s="1009"/>
    </row>
    <row r="520" spans="1:56" s="1010" customFormat="1" ht="36.75" customHeight="1">
      <c r="A520" s="661">
        <f>SUBTOTAL(3,B$6:B520)</f>
        <v>515</v>
      </c>
      <c r="B520" s="661" t="s">
        <v>1835</v>
      </c>
      <c r="C520" s="662" t="s">
        <v>1836</v>
      </c>
      <c r="D520" s="1011">
        <v>44256</v>
      </c>
      <c r="E520" s="1011" t="s">
        <v>218</v>
      </c>
      <c r="F520" s="787" t="s">
        <v>518</v>
      </c>
      <c r="G520" s="996" t="s">
        <v>797</v>
      </c>
      <c r="H520" s="1012">
        <v>5931000</v>
      </c>
      <c r="I520" s="1012">
        <v>0</v>
      </c>
      <c r="J520" s="1012">
        <v>0</v>
      </c>
      <c r="K520" s="1012">
        <v>0</v>
      </c>
      <c r="L520" s="1013">
        <f t="shared" si="125"/>
        <v>5931000</v>
      </c>
      <c r="M520" s="1014">
        <v>23.7</v>
      </c>
      <c r="N520" s="1013">
        <f t="shared" si="82"/>
        <v>5406335</v>
      </c>
      <c r="O520" s="1015">
        <v>2</v>
      </c>
      <c r="P520" s="1013">
        <f t="shared" si="83"/>
        <v>456231</v>
      </c>
      <c r="Q520" s="1016">
        <v>0</v>
      </c>
      <c r="R520" s="1013">
        <f t="shared" si="84"/>
        <v>0</v>
      </c>
      <c r="S520" s="1013">
        <f t="shared" si="85"/>
        <v>5862566</v>
      </c>
      <c r="T520" s="1017">
        <v>0</v>
      </c>
      <c r="U520" s="785">
        <v>0</v>
      </c>
      <c r="V520" s="785">
        <v>200000</v>
      </c>
      <c r="W520" s="1017">
        <v>500000</v>
      </c>
      <c r="X520" s="1017">
        <v>0</v>
      </c>
      <c r="Y520" s="1017">
        <v>400000</v>
      </c>
      <c r="Z520" s="1017">
        <v>515988</v>
      </c>
      <c r="AA520" s="1018"/>
      <c r="AB520" s="1013"/>
      <c r="AC520" s="1017">
        <v>0</v>
      </c>
      <c r="AD520" s="1017">
        <v>0</v>
      </c>
      <c r="AE520" s="1013">
        <v>42771.637658227846</v>
      </c>
      <c r="AF520" s="1019"/>
      <c r="AG520" s="1019">
        <f t="shared" si="124"/>
        <v>7521326</v>
      </c>
      <c r="AH520" s="1014">
        <v>21</v>
      </c>
      <c r="AI520" s="1014">
        <v>0</v>
      </c>
      <c r="AJ520" s="1014">
        <v>0</v>
      </c>
      <c r="AK520" s="1018">
        <v>0</v>
      </c>
      <c r="AL520" s="1020">
        <v>0</v>
      </c>
      <c r="AM520" s="1013">
        <f t="shared" si="128"/>
        <v>898204</v>
      </c>
      <c r="AN520" s="1045">
        <f t="shared" si="118"/>
        <v>8419530</v>
      </c>
      <c r="AO520" s="1013">
        <v>622755</v>
      </c>
      <c r="AP520" s="1013">
        <v>44100</v>
      </c>
      <c r="AQ520" s="1013">
        <v>0</v>
      </c>
      <c r="AR520" s="1013">
        <v>0</v>
      </c>
      <c r="AS520" s="1013">
        <v>0</v>
      </c>
      <c r="AT520" s="1045">
        <f t="shared" si="126"/>
        <v>7752675</v>
      </c>
      <c r="AU520" s="1004"/>
      <c r="AV520" s="870"/>
      <c r="AW520" s="782" t="s">
        <v>4318</v>
      </c>
      <c r="AX520" s="782" t="s">
        <v>4319</v>
      </c>
      <c r="AY520" s="1007" t="s">
        <v>288</v>
      </c>
      <c r="AZ520" s="1007">
        <v>622</v>
      </c>
      <c r="BA520" s="347" t="str">
        <f t="shared" si="127"/>
        <v>Bag</v>
      </c>
      <c r="BB520" s="1008"/>
      <c r="BC520" s="1009"/>
      <c r="BD520" s="1009"/>
    </row>
    <row r="521" spans="1:56" s="1010" customFormat="1" ht="36.75" customHeight="1">
      <c r="A521" s="661">
        <f>SUBTOTAL(3,B$6:B521)</f>
        <v>516</v>
      </c>
      <c r="B521" s="661" t="s">
        <v>1837</v>
      </c>
      <c r="C521" s="662" t="s">
        <v>1838</v>
      </c>
      <c r="D521" s="1011">
        <v>44327</v>
      </c>
      <c r="E521" s="1011" t="s">
        <v>218</v>
      </c>
      <c r="F521" s="787" t="s">
        <v>518</v>
      </c>
      <c r="G521" s="996" t="s">
        <v>797</v>
      </c>
      <c r="H521" s="1012">
        <v>5931000</v>
      </c>
      <c r="I521" s="1012">
        <v>0</v>
      </c>
      <c r="J521" s="1012">
        <v>0</v>
      </c>
      <c r="K521" s="1012">
        <v>0</v>
      </c>
      <c r="L521" s="1013">
        <f t="shared" si="125"/>
        <v>5931000</v>
      </c>
      <c r="M521" s="1014">
        <v>24</v>
      </c>
      <c r="N521" s="1013">
        <f t="shared" si="82"/>
        <v>5474769</v>
      </c>
      <c r="O521" s="1015">
        <v>2</v>
      </c>
      <c r="P521" s="1013">
        <f t="shared" si="83"/>
        <v>456231</v>
      </c>
      <c r="Q521" s="1016">
        <v>0</v>
      </c>
      <c r="R521" s="1013">
        <f t="shared" si="84"/>
        <v>0</v>
      </c>
      <c r="S521" s="1013">
        <f t="shared" si="85"/>
        <v>5931000</v>
      </c>
      <c r="T521" s="1017">
        <v>0</v>
      </c>
      <c r="U521" s="785">
        <v>0</v>
      </c>
      <c r="V521" s="785">
        <v>200000</v>
      </c>
      <c r="W521" s="1017">
        <v>500000</v>
      </c>
      <c r="X521" s="1017">
        <v>0</v>
      </c>
      <c r="Y521" s="1017">
        <v>400000</v>
      </c>
      <c r="Z521" s="1017">
        <v>557943</v>
      </c>
      <c r="AA521" s="1018"/>
      <c r="AB521" s="1013"/>
      <c r="AC521" s="1017">
        <v>0</v>
      </c>
      <c r="AD521" s="1017">
        <v>0</v>
      </c>
      <c r="AE521" s="1013">
        <v>0</v>
      </c>
      <c r="AF521" s="1019"/>
      <c r="AG521" s="1019">
        <f t="shared" si="124"/>
        <v>7588943</v>
      </c>
      <c r="AH521" s="1014">
        <v>21</v>
      </c>
      <c r="AI521" s="1014">
        <v>0</v>
      </c>
      <c r="AJ521" s="1014">
        <v>0</v>
      </c>
      <c r="AK521" s="1018">
        <v>0</v>
      </c>
      <c r="AL521" s="1020">
        <v>0</v>
      </c>
      <c r="AM521" s="1013">
        <f t="shared" si="128"/>
        <v>898204</v>
      </c>
      <c r="AN521" s="1045">
        <f t="shared" si="118"/>
        <v>8487147</v>
      </c>
      <c r="AO521" s="1013">
        <v>622755</v>
      </c>
      <c r="AP521" s="1013">
        <v>44100</v>
      </c>
      <c r="AQ521" s="1013">
        <v>0</v>
      </c>
      <c r="AR521" s="1013">
        <v>0</v>
      </c>
      <c r="AS521" s="1013">
        <v>0</v>
      </c>
      <c r="AT521" s="1045">
        <f t="shared" si="126"/>
        <v>7820292</v>
      </c>
      <c r="AU521" s="1004"/>
      <c r="AV521" s="870"/>
      <c r="AW521" s="782" t="s">
        <v>4320</v>
      </c>
      <c r="AX521" s="782" t="s">
        <v>4321</v>
      </c>
      <c r="AY521" s="1007" t="s">
        <v>288</v>
      </c>
      <c r="AZ521" s="1007">
        <v>622</v>
      </c>
      <c r="BA521" s="347" t="str">
        <f t="shared" si="127"/>
        <v>Bag</v>
      </c>
      <c r="BB521" s="1008"/>
      <c r="BC521" s="1009"/>
      <c r="BD521" s="1009"/>
    </row>
    <row r="522" spans="1:56" s="1010" customFormat="1" ht="36.75" customHeight="1">
      <c r="A522" s="661">
        <f>SUBTOTAL(3,B$6:B522)</f>
        <v>517</v>
      </c>
      <c r="B522" s="661" t="s">
        <v>1839</v>
      </c>
      <c r="C522" s="662" t="s">
        <v>1840</v>
      </c>
      <c r="D522" s="1011">
        <v>44336</v>
      </c>
      <c r="E522" s="1011" t="s">
        <v>218</v>
      </c>
      <c r="F522" s="787" t="s">
        <v>518</v>
      </c>
      <c r="G522" s="996" t="s">
        <v>797</v>
      </c>
      <c r="H522" s="1012">
        <v>5931000</v>
      </c>
      <c r="I522" s="1012">
        <v>0</v>
      </c>
      <c r="J522" s="1012">
        <v>0</v>
      </c>
      <c r="K522" s="1012">
        <v>0</v>
      </c>
      <c r="L522" s="1013">
        <f t="shared" si="125"/>
        <v>5931000</v>
      </c>
      <c r="M522" s="1014">
        <v>21</v>
      </c>
      <c r="N522" s="1013">
        <f t="shared" si="82"/>
        <v>4790423</v>
      </c>
      <c r="O522" s="1015">
        <v>3</v>
      </c>
      <c r="P522" s="1013">
        <f t="shared" si="83"/>
        <v>684346</v>
      </c>
      <c r="Q522" s="1016">
        <v>0</v>
      </c>
      <c r="R522" s="1013">
        <f t="shared" si="84"/>
        <v>0</v>
      </c>
      <c r="S522" s="1013">
        <f t="shared" si="85"/>
        <v>5474769</v>
      </c>
      <c r="T522" s="1017">
        <v>0</v>
      </c>
      <c r="U522" s="785">
        <v>0</v>
      </c>
      <c r="V522" s="785">
        <v>200000</v>
      </c>
      <c r="W522" s="1017">
        <v>0</v>
      </c>
      <c r="X522" s="1017">
        <v>0</v>
      </c>
      <c r="Y522" s="1017">
        <v>0</v>
      </c>
      <c r="Z522" s="1017">
        <v>453159</v>
      </c>
      <c r="AA522" s="1018"/>
      <c r="AB522" s="1013"/>
      <c r="AC522" s="1017">
        <v>0</v>
      </c>
      <c r="AD522" s="1017">
        <v>0</v>
      </c>
      <c r="AE522" s="1013">
        <v>0</v>
      </c>
      <c r="AF522" s="1019"/>
      <c r="AG522" s="1019">
        <f t="shared" si="124"/>
        <v>6127928</v>
      </c>
      <c r="AH522" s="1014">
        <v>16</v>
      </c>
      <c r="AI522" s="1014">
        <v>0</v>
      </c>
      <c r="AJ522" s="1014">
        <v>0</v>
      </c>
      <c r="AK522" s="1018">
        <v>0</v>
      </c>
      <c r="AL522" s="1020">
        <v>0</v>
      </c>
      <c r="AM522" s="1013">
        <f t="shared" si="128"/>
        <v>684346</v>
      </c>
      <c r="AN522" s="1045">
        <f t="shared" si="118"/>
        <v>6812274</v>
      </c>
      <c r="AO522" s="1013">
        <v>622755</v>
      </c>
      <c r="AP522" s="1013">
        <v>44100</v>
      </c>
      <c r="AQ522" s="1013">
        <v>0</v>
      </c>
      <c r="AR522" s="1013">
        <v>0</v>
      </c>
      <c r="AS522" s="1013">
        <v>0</v>
      </c>
      <c r="AT522" s="1045">
        <f t="shared" si="126"/>
        <v>6145419</v>
      </c>
      <c r="AU522" s="1004"/>
      <c r="AV522" s="870"/>
      <c r="AW522" s="782" t="s">
        <v>4322</v>
      </c>
      <c r="AX522" s="782" t="s">
        <v>4323</v>
      </c>
      <c r="AY522" s="1007" t="s">
        <v>288</v>
      </c>
      <c r="AZ522" s="1007">
        <v>622</v>
      </c>
      <c r="BA522" s="347" t="str">
        <f t="shared" si="127"/>
        <v>Bag</v>
      </c>
      <c r="BB522" s="1008"/>
      <c r="BC522" s="1009"/>
      <c r="BD522" s="1009"/>
    </row>
    <row r="523" spans="1:56" s="1010" customFormat="1" ht="36.75" customHeight="1">
      <c r="A523" s="661">
        <f>SUBTOTAL(3,B$6:B523)</f>
        <v>518</v>
      </c>
      <c r="B523" s="661" t="s">
        <v>1841</v>
      </c>
      <c r="C523" s="662" t="s">
        <v>1842</v>
      </c>
      <c r="D523" s="1011">
        <v>44356</v>
      </c>
      <c r="E523" s="1011" t="s">
        <v>218</v>
      </c>
      <c r="F523" s="787" t="s">
        <v>518</v>
      </c>
      <c r="G523" s="996" t="s">
        <v>797</v>
      </c>
      <c r="H523" s="1012">
        <v>5931000</v>
      </c>
      <c r="I523" s="1012">
        <v>0</v>
      </c>
      <c r="J523" s="1012">
        <v>0</v>
      </c>
      <c r="K523" s="1012">
        <v>0</v>
      </c>
      <c r="L523" s="1013">
        <f t="shared" si="125"/>
        <v>5931000</v>
      </c>
      <c r="M523" s="1014">
        <v>23.9</v>
      </c>
      <c r="N523" s="1013">
        <f t="shared" si="82"/>
        <v>5451958</v>
      </c>
      <c r="O523" s="1015">
        <v>2</v>
      </c>
      <c r="P523" s="1013">
        <f t="shared" si="83"/>
        <v>456231</v>
      </c>
      <c r="Q523" s="1016">
        <v>0</v>
      </c>
      <c r="R523" s="1013">
        <f t="shared" si="84"/>
        <v>0</v>
      </c>
      <c r="S523" s="1013">
        <f t="shared" si="85"/>
        <v>5908189</v>
      </c>
      <c r="T523" s="1017">
        <v>0</v>
      </c>
      <c r="U523" s="785">
        <v>0</v>
      </c>
      <c r="V523" s="785">
        <v>200000</v>
      </c>
      <c r="W523" s="1017">
        <v>500000</v>
      </c>
      <c r="X523" s="1017">
        <v>0</v>
      </c>
      <c r="Y523" s="1017">
        <v>400000</v>
      </c>
      <c r="Z523" s="1017">
        <v>557943</v>
      </c>
      <c r="AA523" s="1018"/>
      <c r="AB523" s="1013"/>
      <c r="AC523" s="1017">
        <v>0</v>
      </c>
      <c r="AD523" s="1017">
        <v>0</v>
      </c>
      <c r="AE523" s="1013">
        <v>42771.6370292887</v>
      </c>
      <c r="AF523" s="1019"/>
      <c r="AG523" s="1019">
        <f t="shared" si="124"/>
        <v>7608904</v>
      </c>
      <c r="AH523" s="1014">
        <v>21</v>
      </c>
      <c r="AI523" s="1014">
        <v>0</v>
      </c>
      <c r="AJ523" s="1014">
        <v>0</v>
      </c>
      <c r="AK523" s="1018">
        <v>0</v>
      </c>
      <c r="AL523" s="1020">
        <v>0</v>
      </c>
      <c r="AM523" s="1013">
        <f t="shared" si="128"/>
        <v>898204</v>
      </c>
      <c r="AN523" s="1045">
        <f t="shared" si="118"/>
        <v>8507108</v>
      </c>
      <c r="AO523" s="1013">
        <v>622755</v>
      </c>
      <c r="AP523" s="1013">
        <v>44100</v>
      </c>
      <c r="AQ523" s="1013">
        <v>0</v>
      </c>
      <c r="AR523" s="1013">
        <v>0</v>
      </c>
      <c r="AS523" s="1013">
        <v>0</v>
      </c>
      <c r="AT523" s="1045">
        <f t="shared" si="126"/>
        <v>7840253</v>
      </c>
      <c r="AU523" s="1004"/>
      <c r="AV523" s="870"/>
      <c r="AW523" s="782" t="s">
        <v>4324</v>
      </c>
      <c r="AX523" s="782" t="s">
        <v>4325</v>
      </c>
      <c r="AY523" s="1007" t="s">
        <v>288</v>
      </c>
      <c r="AZ523" s="1007">
        <v>622</v>
      </c>
      <c r="BA523" s="347" t="str">
        <f t="shared" si="127"/>
        <v>Bag</v>
      </c>
      <c r="BB523" s="1008"/>
      <c r="BC523" s="1009"/>
      <c r="BD523" s="1009"/>
    </row>
    <row r="524" spans="1:56" s="1010" customFormat="1" ht="36.75" customHeight="1">
      <c r="A524" s="661">
        <f>SUBTOTAL(3,B$6:B524)</f>
        <v>519</v>
      </c>
      <c r="B524" s="661" t="s">
        <v>1843</v>
      </c>
      <c r="C524" s="662" t="s">
        <v>1844</v>
      </c>
      <c r="D524" s="1011">
        <v>44770</v>
      </c>
      <c r="E524" s="1011" t="s">
        <v>218</v>
      </c>
      <c r="F524" s="787" t="s">
        <v>518</v>
      </c>
      <c r="G524" s="996" t="s">
        <v>797</v>
      </c>
      <c r="H524" s="1012">
        <v>5815000</v>
      </c>
      <c r="I524" s="1012">
        <v>0</v>
      </c>
      <c r="J524" s="1012">
        <v>0</v>
      </c>
      <c r="K524" s="1012">
        <v>0</v>
      </c>
      <c r="L524" s="1013">
        <f t="shared" si="125"/>
        <v>5815000</v>
      </c>
      <c r="M524" s="1014">
        <v>24</v>
      </c>
      <c r="N524" s="1013">
        <f t="shared" si="82"/>
        <v>5367692</v>
      </c>
      <c r="O524" s="1015">
        <v>2</v>
      </c>
      <c r="P524" s="1013">
        <f t="shared" si="83"/>
        <v>447308</v>
      </c>
      <c r="Q524" s="1016">
        <v>0</v>
      </c>
      <c r="R524" s="1013">
        <f t="shared" si="84"/>
        <v>0</v>
      </c>
      <c r="S524" s="1013">
        <f t="shared" si="85"/>
        <v>5815000</v>
      </c>
      <c r="T524" s="1017">
        <v>0</v>
      </c>
      <c r="U524" s="785">
        <v>0</v>
      </c>
      <c r="V524" s="785">
        <v>200000</v>
      </c>
      <c r="W524" s="1017">
        <v>500000</v>
      </c>
      <c r="X524" s="1017">
        <v>0</v>
      </c>
      <c r="Y524" s="1017">
        <v>400000</v>
      </c>
      <c r="Z524" s="1017">
        <v>530029</v>
      </c>
      <c r="AA524" s="1018"/>
      <c r="AB524" s="1013"/>
      <c r="AC524" s="1017">
        <v>0</v>
      </c>
      <c r="AD524" s="1017">
        <v>0</v>
      </c>
      <c r="AE524" s="1013">
        <v>0</v>
      </c>
      <c r="AF524" s="1019"/>
      <c r="AG524" s="1019">
        <f t="shared" si="124"/>
        <v>7445029</v>
      </c>
      <c r="AH524" s="1014">
        <v>21</v>
      </c>
      <c r="AI524" s="1014">
        <v>0</v>
      </c>
      <c r="AJ524" s="1014">
        <v>0</v>
      </c>
      <c r="AK524" s="1018">
        <v>0</v>
      </c>
      <c r="AL524" s="1020">
        <v>0</v>
      </c>
      <c r="AM524" s="1013">
        <f t="shared" si="128"/>
        <v>880637</v>
      </c>
      <c r="AN524" s="1045">
        <f t="shared" si="118"/>
        <v>8325666</v>
      </c>
      <c r="AO524" s="1013">
        <v>610575</v>
      </c>
      <c r="AP524" s="1013">
        <v>44100</v>
      </c>
      <c r="AQ524" s="1013">
        <v>0</v>
      </c>
      <c r="AR524" s="1013">
        <v>0</v>
      </c>
      <c r="AS524" s="1013">
        <v>0</v>
      </c>
      <c r="AT524" s="1045">
        <f t="shared" si="126"/>
        <v>7670991</v>
      </c>
      <c r="AU524" s="1004"/>
      <c r="AV524" s="870"/>
      <c r="AW524" s="782" t="s">
        <v>4326</v>
      </c>
      <c r="AX524" s="782" t="s">
        <v>4327</v>
      </c>
      <c r="AY524" s="1007" t="s">
        <v>288</v>
      </c>
      <c r="AZ524" s="1007">
        <v>622</v>
      </c>
      <c r="BA524" s="347" t="str">
        <f t="shared" si="127"/>
        <v>Bag</v>
      </c>
      <c r="BB524" s="1008"/>
      <c r="BC524" s="1009"/>
      <c r="BD524" s="1009"/>
    </row>
    <row r="525" spans="1:56" s="1010" customFormat="1" ht="36.75" customHeight="1">
      <c r="A525" s="661">
        <f>SUBTOTAL(3,B$6:B525)</f>
        <v>520</v>
      </c>
      <c r="B525" s="661" t="s">
        <v>1845</v>
      </c>
      <c r="C525" s="662" t="s">
        <v>1846</v>
      </c>
      <c r="D525" s="1011">
        <v>44786</v>
      </c>
      <c r="E525" s="1011" t="s">
        <v>218</v>
      </c>
      <c r="F525" s="787" t="s">
        <v>518</v>
      </c>
      <c r="G525" s="996" t="s">
        <v>797</v>
      </c>
      <c r="H525" s="1012">
        <v>5815000</v>
      </c>
      <c r="I525" s="1012">
        <v>0</v>
      </c>
      <c r="J525" s="1012">
        <v>0</v>
      </c>
      <c r="K525" s="1012">
        <v>0</v>
      </c>
      <c r="L525" s="1013">
        <f t="shared" si="125"/>
        <v>5815000</v>
      </c>
      <c r="M525" s="1014">
        <v>23</v>
      </c>
      <c r="N525" s="1013">
        <f t="shared" si="82"/>
        <v>5144038</v>
      </c>
      <c r="O525" s="1015">
        <v>3</v>
      </c>
      <c r="P525" s="1013">
        <f t="shared" si="83"/>
        <v>670962</v>
      </c>
      <c r="Q525" s="1016">
        <v>0</v>
      </c>
      <c r="R525" s="1013">
        <f t="shared" si="84"/>
        <v>0</v>
      </c>
      <c r="S525" s="1013">
        <f t="shared" si="85"/>
        <v>5815000</v>
      </c>
      <c r="T525" s="1017">
        <v>0</v>
      </c>
      <c r="U525" s="785">
        <v>0</v>
      </c>
      <c r="V525" s="785">
        <v>200000</v>
      </c>
      <c r="W525" s="1017">
        <v>500000</v>
      </c>
      <c r="X525" s="1017">
        <v>0</v>
      </c>
      <c r="Y525" s="1017">
        <v>400000</v>
      </c>
      <c r="Z525" s="1017">
        <v>537786</v>
      </c>
      <c r="AA525" s="1018"/>
      <c r="AB525" s="1013"/>
      <c r="AC525" s="1017">
        <v>0</v>
      </c>
      <c r="AD525" s="1017">
        <v>0</v>
      </c>
      <c r="AE525" s="1013">
        <v>0</v>
      </c>
      <c r="AF525" s="1019"/>
      <c r="AG525" s="1019">
        <f t="shared" si="124"/>
        <v>7452786</v>
      </c>
      <c r="AH525" s="1014">
        <v>21</v>
      </c>
      <c r="AI525" s="1014">
        <v>0</v>
      </c>
      <c r="AJ525" s="1014">
        <v>0</v>
      </c>
      <c r="AK525" s="1018">
        <v>0</v>
      </c>
      <c r="AL525" s="1020">
        <v>0</v>
      </c>
      <c r="AM525" s="1013">
        <f t="shared" si="128"/>
        <v>880637</v>
      </c>
      <c r="AN525" s="1045">
        <f t="shared" si="118"/>
        <v>8333423</v>
      </c>
      <c r="AO525" s="1013">
        <v>610575</v>
      </c>
      <c r="AP525" s="1013">
        <v>44100</v>
      </c>
      <c r="AQ525" s="1013">
        <v>0</v>
      </c>
      <c r="AR525" s="1013">
        <v>0</v>
      </c>
      <c r="AS525" s="1013">
        <v>0</v>
      </c>
      <c r="AT525" s="1045">
        <f t="shared" si="126"/>
        <v>7678748</v>
      </c>
      <c r="AU525" s="1004"/>
      <c r="AV525" s="870"/>
      <c r="AW525" s="782" t="s">
        <v>4328</v>
      </c>
      <c r="AX525" s="782" t="s">
        <v>4329</v>
      </c>
      <c r="AY525" s="1007" t="s">
        <v>288</v>
      </c>
      <c r="AZ525" s="1007">
        <v>622</v>
      </c>
      <c r="BA525" s="347" t="str">
        <f t="shared" si="127"/>
        <v>Bag</v>
      </c>
      <c r="BB525" s="1008"/>
      <c r="BC525" s="1009"/>
      <c r="BD525" s="1009"/>
    </row>
    <row r="526" spans="1:56" s="1010" customFormat="1" ht="36.75" customHeight="1">
      <c r="A526" s="661">
        <f>SUBTOTAL(3,B$6:B526)</f>
        <v>521</v>
      </c>
      <c r="B526" s="661" t="s">
        <v>1847</v>
      </c>
      <c r="C526" s="662" t="s">
        <v>1848</v>
      </c>
      <c r="D526" s="1011">
        <v>45320</v>
      </c>
      <c r="E526" s="1011" t="s">
        <v>218</v>
      </c>
      <c r="F526" s="787" t="s">
        <v>518</v>
      </c>
      <c r="G526" s="996" t="s">
        <v>797</v>
      </c>
      <c r="H526" s="1012">
        <v>5538000</v>
      </c>
      <c r="I526" s="1012">
        <v>0</v>
      </c>
      <c r="J526" s="1012">
        <v>0</v>
      </c>
      <c r="K526" s="1012">
        <v>0</v>
      </c>
      <c r="L526" s="1013">
        <f t="shared" si="125"/>
        <v>5538000</v>
      </c>
      <c r="M526" s="1014">
        <v>19</v>
      </c>
      <c r="N526" s="1013">
        <f t="shared" si="82"/>
        <v>4047000</v>
      </c>
      <c r="O526" s="1015">
        <v>2</v>
      </c>
      <c r="P526" s="1013">
        <f t="shared" si="83"/>
        <v>426000</v>
      </c>
      <c r="Q526" s="1016">
        <v>0</v>
      </c>
      <c r="R526" s="1013">
        <f t="shared" si="84"/>
        <v>0</v>
      </c>
      <c r="S526" s="1013">
        <f t="shared" si="85"/>
        <v>4473000</v>
      </c>
      <c r="T526" s="1017">
        <v>0</v>
      </c>
      <c r="U526" s="785">
        <v>0</v>
      </c>
      <c r="V526" s="785">
        <v>200000</v>
      </c>
      <c r="W526" s="1017">
        <v>0</v>
      </c>
      <c r="X526" s="1017">
        <v>0</v>
      </c>
      <c r="Y526" s="1017">
        <v>0</v>
      </c>
      <c r="Z526" s="1017">
        <v>395043</v>
      </c>
      <c r="AA526" s="1018"/>
      <c r="AB526" s="1013"/>
      <c r="AC526" s="1017">
        <v>100000</v>
      </c>
      <c r="AD526" s="1017">
        <v>0</v>
      </c>
      <c r="AE526" s="1013">
        <v>39937.5</v>
      </c>
      <c r="AF526" s="1019"/>
      <c r="AG526" s="1019">
        <f t="shared" si="124"/>
        <v>5207981</v>
      </c>
      <c r="AH526" s="1014">
        <v>9</v>
      </c>
      <c r="AI526" s="1014">
        <v>0</v>
      </c>
      <c r="AJ526" s="1014">
        <v>0</v>
      </c>
      <c r="AK526" s="1018">
        <v>0</v>
      </c>
      <c r="AL526" s="1020">
        <v>0</v>
      </c>
      <c r="AM526" s="1013">
        <f t="shared" si="128"/>
        <v>359438</v>
      </c>
      <c r="AN526" s="1045">
        <f t="shared" si="118"/>
        <v>5567419</v>
      </c>
      <c r="AO526" s="1013">
        <v>581490</v>
      </c>
      <c r="AP526" s="1013">
        <v>44100</v>
      </c>
      <c r="AQ526" s="1013">
        <v>0</v>
      </c>
      <c r="AR526" s="1013">
        <v>0</v>
      </c>
      <c r="AS526" s="1013">
        <v>0</v>
      </c>
      <c r="AT526" s="1045">
        <f t="shared" si="126"/>
        <v>4941829</v>
      </c>
      <c r="AU526" s="1004"/>
      <c r="AV526" s="870"/>
      <c r="AW526" s="782" t="s">
        <v>4330</v>
      </c>
      <c r="AX526" s="782" t="s">
        <v>4331</v>
      </c>
      <c r="AY526" s="1007" t="s">
        <v>288</v>
      </c>
      <c r="AZ526" s="1007">
        <v>622</v>
      </c>
      <c r="BA526" s="347" t="str">
        <f t="shared" si="127"/>
        <v>Bag</v>
      </c>
      <c r="BB526" s="1008"/>
      <c r="BC526" s="1009"/>
      <c r="BD526" s="1009"/>
    </row>
    <row r="527" spans="1:56" s="1010" customFormat="1" ht="36.75" customHeight="1">
      <c r="A527" s="661">
        <f>SUBTOTAL(3,B$6:B527)</f>
        <v>522</v>
      </c>
      <c r="B527" s="661" t="s">
        <v>1849</v>
      </c>
      <c r="C527" s="662" t="s">
        <v>1850</v>
      </c>
      <c r="D527" s="1011">
        <v>45346</v>
      </c>
      <c r="E527" s="1011" t="s">
        <v>218</v>
      </c>
      <c r="F527" s="787" t="s">
        <v>518</v>
      </c>
      <c r="G527" s="996" t="s">
        <v>797</v>
      </c>
      <c r="H527" s="1012">
        <v>5538000</v>
      </c>
      <c r="I527" s="1012">
        <v>0</v>
      </c>
      <c r="J527" s="1012">
        <v>0</v>
      </c>
      <c r="K527" s="1012">
        <v>0</v>
      </c>
      <c r="L527" s="1013">
        <f t="shared" si="125"/>
        <v>5538000</v>
      </c>
      <c r="M527" s="1014">
        <v>20</v>
      </c>
      <c r="N527" s="1013">
        <f t="shared" si="82"/>
        <v>4260000</v>
      </c>
      <c r="O527" s="1015">
        <v>3</v>
      </c>
      <c r="P527" s="1013">
        <f t="shared" si="83"/>
        <v>639000</v>
      </c>
      <c r="Q527" s="1016">
        <v>0</v>
      </c>
      <c r="R527" s="1013">
        <f t="shared" si="84"/>
        <v>0</v>
      </c>
      <c r="S527" s="1013">
        <f t="shared" si="85"/>
        <v>4899000</v>
      </c>
      <c r="T527" s="1017">
        <v>0</v>
      </c>
      <c r="U527" s="785">
        <v>0</v>
      </c>
      <c r="V527" s="785">
        <v>200000</v>
      </c>
      <c r="W527" s="1017">
        <v>0</v>
      </c>
      <c r="X527" s="1017">
        <v>0</v>
      </c>
      <c r="Y527" s="1017">
        <v>0</v>
      </c>
      <c r="Z527" s="1017">
        <v>421445</v>
      </c>
      <c r="AA527" s="1018"/>
      <c r="AB527" s="1013"/>
      <c r="AC527" s="1017">
        <v>0</v>
      </c>
      <c r="AD527" s="1017">
        <v>0</v>
      </c>
      <c r="AE527" s="1013">
        <v>39937.5</v>
      </c>
      <c r="AF527" s="1019"/>
      <c r="AG527" s="1019">
        <f t="shared" si="124"/>
        <v>5560383</v>
      </c>
      <c r="AH527" s="1014">
        <v>9</v>
      </c>
      <c r="AI527" s="1014">
        <v>0</v>
      </c>
      <c r="AJ527" s="1014">
        <v>0</v>
      </c>
      <c r="AK527" s="1018">
        <v>0</v>
      </c>
      <c r="AL527" s="1020">
        <v>0</v>
      </c>
      <c r="AM527" s="1013">
        <f t="shared" si="128"/>
        <v>359438</v>
      </c>
      <c r="AN527" s="1045">
        <f t="shared" si="118"/>
        <v>5919821</v>
      </c>
      <c r="AO527" s="1013">
        <v>581490</v>
      </c>
      <c r="AP527" s="1013">
        <v>44100</v>
      </c>
      <c r="AQ527" s="1013">
        <v>0</v>
      </c>
      <c r="AR527" s="1013">
        <v>0</v>
      </c>
      <c r="AS527" s="1013">
        <v>0</v>
      </c>
      <c r="AT527" s="1045">
        <f t="shared" si="126"/>
        <v>5294231</v>
      </c>
      <c r="AU527" s="1004"/>
      <c r="AV527" s="870"/>
      <c r="AW527" s="782" t="s">
        <v>4332</v>
      </c>
      <c r="AX527" s="782" t="s">
        <v>4333</v>
      </c>
      <c r="AY527" s="1007" t="s">
        <v>288</v>
      </c>
      <c r="AZ527" s="1007">
        <v>622</v>
      </c>
      <c r="BA527" s="347" t="str">
        <f t="shared" si="127"/>
        <v>Bag</v>
      </c>
      <c r="BB527" s="1008"/>
      <c r="BC527" s="1009"/>
      <c r="BD527" s="1009"/>
    </row>
    <row r="528" spans="1:56" s="1010" customFormat="1" ht="36.75" customHeight="1">
      <c r="A528" s="661">
        <f>SUBTOTAL(3,B$6:B528)</f>
        <v>523</v>
      </c>
      <c r="B528" s="661" t="s">
        <v>1851</v>
      </c>
      <c r="C528" s="662" t="s">
        <v>1852</v>
      </c>
      <c r="D528" s="1011">
        <v>45391</v>
      </c>
      <c r="E528" s="1011" t="s">
        <v>218</v>
      </c>
      <c r="F528" s="787" t="s">
        <v>518</v>
      </c>
      <c r="G528" s="996" t="s">
        <v>797</v>
      </c>
      <c r="H528" s="1012">
        <v>5538000</v>
      </c>
      <c r="I528" s="1012">
        <v>0</v>
      </c>
      <c r="J528" s="1012">
        <v>0</v>
      </c>
      <c r="K528" s="1012">
        <v>0</v>
      </c>
      <c r="L528" s="1013">
        <f t="shared" si="125"/>
        <v>5538000</v>
      </c>
      <c r="M528" s="1014">
        <v>24</v>
      </c>
      <c r="N528" s="1013">
        <f t="shared" si="82"/>
        <v>5112000</v>
      </c>
      <c r="O528" s="1015">
        <v>2</v>
      </c>
      <c r="P528" s="1013">
        <f t="shared" si="83"/>
        <v>426000</v>
      </c>
      <c r="Q528" s="1016">
        <v>0</v>
      </c>
      <c r="R528" s="1013">
        <f t="shared" si="84"/>
        <v>0</v>
      </c>
      <c r="S528" s="1013">
        <f t="shared" si="85"/>
        <v>5538000</v>
      </c>
      <c r="T528" s="1017">
        <v>0</v>
      </c>
      <c r="U528" s="785">
        <v>0</v>
      </c>
      <c r="V528" s="785">
        <v>200000</v>
      </c>
      <c r="W528" s="1017">
        <v>500000</v>
      </c>
      <c r="X528" s="1017">
        <v>0</v>
      </c>
      <c r="Y528" s="1017">
        <v>400000</v>
      </c>
      <c r="Z528" s="1017">
        <v>533689</v>
      </c>
      <c r="AA528" s="1018"/>
      <c r="AB528" s="1013"/>
      <c r="AC528" s="1017">
        <v>100000</v>
      </c>
      <c r="AD528" s="1017">
        <v>0</v>
      </c>
      <c r="AE528" s="1013">
        <v>39937.5</v>
      </c>
      <c r="AF528" s="1019"/>
      <c r="AG528" s="1019">
        <f t="shared" si="124"/>
        <v>7311627</v>
      </c>
      <c r="AH528" s="1014">
        <v>21</v>
      </c>
      <c r="AI528" s="1014">
        <v>0</v>
      </c>
      <c r="AJ528" s="1014">
        <v>0</v>
      </c>
      <c r="AK528" s="1018">
        <v>0</v>
      </c>
      <c r="AL528" s="1020">
        <v>0</v>
      </c>
      <c r="AM528" s="1013">
        <f t="shared" si="128"/>
        <v>838688</v>
      </c>
      <c r="AN528" s="1045">
        <f t="shared" si="118"/>
        <v>8150315</v>
      </c>
      <c r="AO528" s="1013">
        <v>581490</v>
      </c>
      <c r="AP528" s="1013">
        <v>44100</v>
      </c>
      <c r="AQ528" s="1013">
        <v>0</v>
      </c>
      <c r="AR528" s="1013">
        <v>0</v>
      </c>
      <c r="AS528" s="1013">
        <v>0</v>
      </c>
      <c r="AT528" s="1045">
        <f t="shared" si="126"/>
        <v>7524725</v>
      </c>
      <c r="AU528" s="1004"/>
      <c r="AV528" s="870"/>
      <c r="AW528" s="782" t="s">
        <v>4334</v>
      </c>
      <c r="AX528" s="782" t="s">
        <v>4335</v>
      </c>
      <c r="AY528" s="1007" t="s">
        <v>288</v>
      </c>
      <c r="AZ528" s="1007">
        <v>622</v>
      </c>
      <c r="BA528" s="347" t="str">
        <f t="shared" si="127"/>
        <v>Bag</v>
      </c>
      <c r="BB528" s="1008"/>
      <c r="BC528" s="1009"/>
      <c r="BD528" s="1009"/>
    </row>
    <row r="529" spans="1:56" s="1010" customFormat="1" ht="36.75" customHeight="1">
      <c r="A529" s="661">
        <f>SUBTOTAL(3,B$6:B529)</f>
        <v>524</v>
      </c>
      <c r="B529" s="661" t="s">
        <v>1853</v>
      </c>
      <c r="C529" s="662" t="s">
        <v>1854</v>
      </c>
      <c r="D529" s="1011">
        <v>45561</v>
      </c>
      <c r="E529" s="1011" t="s">
        <v>218</v>
      </c>
      <c r="F529" s="787" t="s">
        <v>518</v>
      </c>
      <c r="G529" s="996" t="s">
        <v>797</v>
      </c>
      <c r="H529" s="1012">
        <v>5274000</v>
      </c>
      <c r="I529" s="1012">
        <v>0</v>
      </c>
      <c r="J529" s="1012">
        <v>0</v>
      </c>
      <c r="K529" s="1012">
        <v>0</v>
      </c>
      <c r="L529" s="1013">
        <f t="shared" si="125"/>
        <v>5274000</v>
      </c>
      <c r="M529" s="1014">
        <v>19.399999999999999</v>
      </c>
      <c r="N529" s="1013">
        <f t="shared" si="82"/>
        <v>3935215</v>
      </c>
      <c r="O529" s="1015">
        <v>2</v>
      </c>
      <c r="P529" s="1013">
        <f t="shared" si="83"/>
        <v>405692</v>
      </c>
      <c r="Q529" s="1016">
        <v>0</v>
      </c>
      <c r="R529" s="1013">
        <f t="shared" si="84"/>
        <v>0</v>
      </c>
      <c r="S529" s="1013">
        <f t="shared" si="85"/>
        <v>4340907</v>
      </c>
      <c r="T529" s="1017">
        <v>0</v>
      </c>
      <c r="U529" s="785">
        <v>0</v>
      </c>
      <c r="V529" s="785">
        <v>200000</v>
      </c>
      <c r="W529" s="1017">
        <v>0</v>
      </c>
      <c r="X529" s="1017">
        <v>0</v>
      </c>
      <c r="Y529" s="1017">
        <v>0</v>
      </c>
      <c r="Z529" s="1017">
        <v>413963</v>
      </c>
      <c r="AA529" s="1018"/>
      <c r="AB529" s="1013"/>
      <c r="AC529" s="1017">
        <v>0</v>
      </c>
      <c r="AD529" s="1017">
        <v>0</v>
      </c>
      <c r="AE529" s="1013">
        <v>38033.650128865978</v>
      </c>
      <c r="AF529" s="1019"/>
      <c r="AG529" s="1019">
        <f t="shared" ref="AG529:AG592" si="129">ROUND(SUM(S529:AF529)-AA529,0)</f>
        <v>4992904</v>
      </c>
      <c r="AH529" s="1014">
        <v>17</v>
      </c>
      <c r="AI529" s="1014">
        <v>0</v>
      </c>
      <c r="AJ529" s="1014">
        <v>0</v>
      </c>
      <c r="AK529" s="1018">
        <v>0</v>
      </c>
      <c r="AL529" s="1020">
        <v>0</v>
      </c>
      <c r="AM529" s="1013">
        <f t="shared" si="128"/>
        <v>646572</v>
      </c>
      <c r="AN529" s="1045">
        <f t="shared" si="118"/>
        <v>5639476</v>
      </c>
      <c r="AO529" s="1013">
        <v>553770</v>
      </c>
      <c r="AP529" s="1013">
        <v>44100</v>
      </c>
      <c r="AQ529" s="1013">
        <v>0</v>
      </c>
      <c r="AR529" s="1013">
        <v>0</v>
      </c>
      <c r="AS529" s="1013">
        <v>0</v>
      </c>
      <c r="AT529" s="1045">
        <f t="shared" si="126"/>
        <v>5041606</v>
      </c>
      <c r="AU529" s="1004"/>
      <c r="AV529" s="870"/>
      <c r="AW529" s="782" t="s">
        <v>4336</v>
      </c>
      <c r="AX529" s="782" t="s">
        <v>4337</v>
      </c>
      <c r="AY529" s="1007" t="s">
        <v>288</v>
      </c>
      <c r="AZ529" s="1007">
        <v>622</v>
      </c>
      <c r="BA529" s="347" t="str">
        <f t="shared" si="127"/>
        <v>Bag</v>
      </c>
      <c r="BB529" s="1008"/>
      <c r="BC529" s="1009"/>
      <c r="BD529" s="1009"/>
    </row>
    <row r="530" spans="1:56" s="1010" customFormat="1" ht="36.75" customHeight="1">
      <c r="A530" s="661">
        <f>SUBTOTAL(3,B$6:B530)</f>
        <v>525</v>
      </c>
      <c r="B530" s="661" t="s">
        <v>1855</v>
      </c>
      <c r="C530" s="662" t="s">
        <v>1856</v>
      </c>
      <c r="D530" s="1011">
        <v>45561</v>
      </c>
      <c r="E530" s="1011" t="s">
        <v>218</v>
      </c>
      <c r="F530" s="787" t="s">
        <v>518</v>
      </c>
      <c r="G530" s="996" t="s">
        <v>797</v>
      </c>
      <c r="H530" s="1012">
        <v>5274000</v>
      </c>
      <c r="I530" s="1012">
        <v>0</v>
      </c>
      <c r="J530" s="1012">
        <v>0</v>
      </c>
      <c r="K530" s="1012">
        <v>0</v>
      </c>
      <c r="L530" s="1013">
        <f t="shared" si="125"/>
        <v>5274000</v>
      </c>
      <c r="M530" s="1014">
        <v>16</v>
      </c>
      <c r="N530" s="1013">
        <f t="shared" si="82"/>
        <v>3245538</v>
      </c>
      <c r="O530" s="1015">
        <v>2</v>
      </c>
      <c r="P530" s="1013">
        <f t="shared" si="83"/>
        <v>405692</v>
      </c>
      <c r="Q530" s="1016">
        <v>0</v>
      </c>
      <c r="R530" s="1013">
        <f t="shared" si="84"/>
        <v>0</v>
      </c>
      <c r="S530" s="1013">
        <f t="shared" si="85"/>
        <v>3651230</v>
      </c>
      <c r="T530" s="1017">
        <v>0</v>
      </c>
      <c r="U530" s="785">
        <v>0</v>
      </c>
      <c r="V530" s="785">
        <v>200000</v>
      </c>
      <c r="W530" s="1017">
        <v>0</v>
      </c>
      <c r="X530" s="1017">
        <v>0</v>
      </c>
      <c r="Y530" s="1017">
        <v>0</v>
      </c>
      <c r="Z530" s="1017">
        <v>363667</v>
      </c>
      <c r="AA530" s="1018"/>
      <c r="AB530" s="1013"/>
      <c r="AC530" s="1017">
        <v>0</v>
      </c>
      <c r="AD530" s="1017">
        <v>0</v>
      </c>
      <c r="AE530" s="1013">
        <v>38033.6484375</v>
      </c>
      <c r="AF530" s="1019"/>
      <c r="AG530" s="1019">
        <f t="shared" si="129"/>
        <v>4252931</v>
      </c>
      <c r="AH530" s="1014">
        <v>17</v>
      </c>
      <c r="AI530" s="1014">
        <v>0</v>
      </c>
      <c r="AJ530" s="1014">
        <v>0</v>
      </c>
      <c r="AK530" s="1018">
        <v>0</v>
      </c>
      <c r="AL530" s="1020">
        <v>0</v>
      </c>
      <c r="AM530" s="1013">
        <f t="shared" si="128"/>
        <v>646572</v>
      </c>
      <c r="AN530" s="1045">
        <f t="shared" si="118"/>
        <v>4899503</v>
      </c>
      <c r="AO530" s="1013">
        <v>553770</v>
      </c>
      <c r="AP530" s="1013">
        <v>44100</v>
      </c>
      <c r="AQ530" s="1013">
        <v>0</v>
      </c>
      <c r="AR530" s="1013">
        <v>0</v>
      </c>
      <c r="AS530" s="1013">
        <v>0</v>
      </c>
      <c r="AT530" s="1045">
        <f t="shared" si="126"/>
        <v>4301633</v>
      </c>
      <c r="AU530" s="1004"/>
      <c r="AV530" s="870"/>
      <c r="AW530" s="782" t="s">
        <v>4338</v>
      </c>
      <c r="AX530" s="782" t="s">
        <v>4339</v>
      </c>
      <c r="AY530" s="1007" t="s">
        <v>288</v>
      </c>
      <c r="AZ530" s="1007">
        <v>622</v>
      </c>
      <c r="BA530" s="347" t="str">
        <f t="shared" si="127"/>
        <v>Bag</v>
      </c>
      <c r="BB530" s="1008"/>
      <c r="BC530" s="1009"/>
      <c r="BD530" s="1009"/>
    </row>
    <row r="531" spans="1:56" s="1010" customFormat="1" ht="36.75" customHeight="1">
      <c r="A531" s="661">
        <f>SUBTOTAL(3,B$6:B531)</f>
        <v>526</v>
      </c>
      <c r="B531" s="661" t="s">
        <v>1857</v>
      </c>
      <c r="C531" s="662" t="s">
        <v>1858</v>
      </c>
      <c r="D531" s="1011">
        <v>45745</v>
      </c>
      <c r="E531" s="1011" t="s">
        <v>218</v>
      </c>
      <c r="F531" s="787" t="s">
        <v>518</v>
      </c>
      <c r="G531" s="996" t="s">
        <v>554</v>
      </c>
      <c r="H531" s="1012">
        <v>4694000</v>
      </c>
      <c r="I531" s="1012">
        <v>0</v>
      </c>
      <c r="J531" s="1012">
        <v>0</v>
      </c>
      <c r="K531" s="1012">
        <v>0</v>
      </c>
      <c r="L531" s="1013">
        <f t="shared" si="125"/>
        <v>4694000</v>
      </c>
      <c r="M531" s="1014">
        <v>23.9</v>
      </c>
      <c r="N531" s="1013">
        <f t="shared" si="82"/>
        <v>4314869</v>
      </c>
      <c r="O531" s="1015">
        <v>2</v>
      </c>
      <c r="P531" s="1013">
        <f t="shared" si="83"/>
        <v>361077</v>
      </c>
      <c r="Q531" s="1016">
        <v>0</v>
      </c>
      <c r="R531" s="1013">
        <f t="shared" si="84"/>
        <v>0</v>
      </c>
      <c r="S531" s="1013">
        <f t="shared" si="85"/>
        <v>4675946</v>
      </c>
      <c r="T531" s="1017">
        <v>0</v>
      </c>
      <c r="U531" s="785">
        <v>0</v>
      </c>
      <c r="V531" s="785">
        <v>200000</v>
      </c>
      <c r="W531" s="1017">
        <v>500000</v>
      </c>
      <c r="X531" s="1017">
        <v>0</v>
      </c>
      <c r="Y531" s="1017">
        <v>150000</v>
      </c>
      <c r="Z531" s="1017">
        <v>0</v>
      </c>
      <c r="AA531" s="1018"/>
      <c r="AB531" s="1013"/>
      <c r="AC531" s="1017">
        <v>0</v>
      </c>
      <c r="AD531" s="1017">
        <v>25307</v>
      </c>
      <c r="AE531" s="1013">
        <v>0</v>
      </c>
      <c r="AF531" s="1019"/>
      <c r="AG531" s="1019">
        <f t="shared" si="129"/>
        <v>5551253</v>
      </c>
      <c r="AH531" s="1014">
        <v>21</v>
      </c>
      <c r="AI531" s="1014">
        <v>0</v>
      </c>
      <c r="AJ531" s="1014">
        <v>0</v>
      </c>
      <c r="AK531" s="1018">
        <v>0</v>
      </c>
      <c r="AL531" s="1020">
        <v>0</v>
      </c>
      <c r="AM531" s="1013">
        <f t="shared" si="128"/>
        <v>710870</v>
      </c>
      <c r="AN531" s="1045">
        <f t="shared" si="118"/>
        <v>6262123</v>
      </c>
      <c r="AO531" s="1013">
        <v>0</v>
      </c>
      <c r="AP531" s="1013">
        <v>0</v>
      </c>
      <c r="AQ531" s="1013">
        <v>0</v>
      </c>
      <c r="AR531" s="1013">
        <v>0</v>
      </c>
      <c r="AS531" s="1013">
        <v>0</v>
      </c>
      <c r="AT531" s="1045">
        <f t="shared" si="126"/>
        <v>6262123</v>
      </c>
      <c r="AU531" s="1004"/>
      <c r="AV531" s="870"/>
      <c r="AW531" s="782" t="s">
        <v>5858</v>
      </c>
      <c r="AX531" s="782" t="s">
        <v>5859</v>
      </c>
      <c r="AY531" s="1007" t="s">
        <v>288</v>
      </c>
      <c r="AZ531" s="1007">
        <v>622</v>
      </c>
      <c r="BA531" s="347" t="str">
        <f t="shared" si="127"/>
        <v>Bag</v>
      </c>
      <c r="BB531" s="1008"/>
      <c r="BC531" s="1009"/>
      <c r="BD531" s="1009"/>
    </row>
    <row r="532" spans="1:56" s="1010" customFormat="1" ht="36.75" customHeight="1">
      <c r="A532" s="661">
        <f>SUBTOTAL(3,B$6:B532)</f>
        <v>527</v>
      </c>
      <c r="B532" s="661" t="s">
        <v>5755</v>
      </c>
      <c r="C532" s="662" t="s">
        <v>5756</v>
      </c>
      <c r="D532" s="1011">
        <v>45752</v>
      </c>
      <c r="E532" s="1011" t="s">
        <v>218</v>
      </c>
      <c r="F532" s="787" t="s">
        <v>518</v>
      </c>
      <c r="G532" s="996" t="s">
        <v>554</v>
      </c>
      <c r="H532" s="1012">
        <v>4694000</v>
      </c>
      <c r="I532" s="1012">
        <v>0</v>
      </c>
      <c r="J532" s="1012">
        <v>0</v>
      </c>
      <c r="K532" s="1012">
        <v>0</v>
      </c>
      <c r="L532" s="1013">
        <f t="shared" si="125"/>
        <v>4694000</v>
      </c>
      <c r="M532" s="1014">
        <v>18.600000000000001</v>
      </c>
      <c r="N532" s="1013">
        <f t="shared" si="82"/>
        <v>3358015</v>
      </c>
      <c r="O532" s="1015">
        <v>2</v>
      </c>
      <c r="P532" s="1013">
        <f t="shared" si="83"/>
        <v>361077</v>
      </c>
      <c r="Q532" s="1016">
        <v>0</v>
      </c>
      <c r="R532" s="1013">
        <f t="shared" si="84"/>
        <v>0</v>
      </c>
      <c r="S532" s="1013">
        <f t="shared" si="85"/>
        <v>3719092</v>
      </c>
      <c r="T532" s="1017">
        <v>0</v>
      </c>
      <c r="U532" s="785">
        <v>0</v>
      </c>
      <c r="V532" s="785">
        <v>158000</v>
      </c>
      <c r="W532" s="1017">
        <v>396000</v>
      </c>
      <c r="X532" s="1017">
        <v>0</v>
      </c>
      <c r="Y532" s="1017">
        <v>119000</v>
      </c>
      <c r="Z532" s="1017">
        <v>0</v>
      </c>
      <c r="AA532" s="1018"/>
      <c r="AB532" s="1013"/>
      <c r="AC532" s="1017">
        <v>0</v>
      </c>
      <c r="AD532" s="1017">
        <v>0</v>
      </c>
      <c r="AE532" s="1013">
        <v>0</v>
      </c>
      <c r="AF532" s="1019"/>
      <c r="AG532" s="1019">
        <f t="shared" si="129"/>
        <v>4392092</v>
      </c>
      <c r="AH532" s="1014">
        <v>12</v>
      </c>
      <c r="AI532" s="1014">
        <v>0</v>
      </c>
      <c r="AJ532" s="1014">
        <v>0</v>
      </c>
      <c r="AK532" s="1018">
        <v>0</v>
      </c>
      <c r="AL532" s="1020">
        <v>0</v>
      </c>
      <c r="AM532" s="1013">
        <f t="shared" si="128"/>
        <v>406211</v>
      </c>
      <c r="AN532" s="1045">
        <f t="shared" si="118"/>
        <v>4798303</v>
      </c>
      <c r="AO532" s="1013">
        <v>0</v>
      </c>
      <c r="AP532" s="1013">
        <v>0</v>
      </c>
      <c r="AQ532" s="1013">
        <v>0</v>
      </c>
      <c r="AR532" s="1013">
        <v>0</v>
      </c>
      <c r="AS532" s="1013">
        <v>0</v>
      </c>
      <c r="AT532" s="1045">
        <f t="shared" si="126"/>
        <v>4798303</v>
      </c>
      <c r="AU532" s="1004"/>
      <c r="AV532" s="870"/>
      <c r="AW532" s="782" t="s">
        <v>5860</v>
      </c>
      <c r="AX532" s="782" t="s">
        <v>5861</v>
      </c>
      <c r="AY532" s="1007" t="s">
        <v>288</v>
      </c>
      <c r="AZ532" s="1007">
        <v>622</v>
      </c>
      <c r="BA532" s="347" t="str">
        <f t="shared" si="127"/>
        <v>Bag</v>
      </c>
      <c r="BB532" s="1008"/>
      <c r="BC532" s="1009"/>
      <c r="BD532" s="1009"/>
    </row>
    <row r="533" spans="1:56" s="1010" customFormat="1" ht="36.75" customHeight="1">
      <c r="A533" s="661">
        <f>SUBTOTAL(3,B$6:B533)</f>
        <v>528</v>
      </c>
      <c r="B533" s="661" t="s">
        <v>1859</v>
      </c>
      <c r="C533" s="662" t="s">
        <v>1860</v>
      </c>
      <c r="D533" s="1011">
        <v>39881</v>
      </c>
      <c r="E533" s="1011" t="s">
        <v>218</v>
      </c>
      <c r="F533" s="787" t="s">
        <v>518</v>
      </c>
      <c r="G533" s="996" t="s">
        <v>797</v>
      </c>
      <c r="H533" s="1012">
        <v>5931000</v>
      </c>
      <c r="I533" s="1012">
        <v>0</v>
      </c>
      <c r="J533" s="1012">
        <v>0</v>
      </c>
      <c r="K533" s="1012">
        <v>0</v>
      </c>
      <c r="L533" s="1013">
        <f t="shared" si="125"/>
        <v>5931000</v>
      </c>
      <c r="M533" s="1014">
        <v>23.9</v>
      </c>
      <c r="N533" s="1013">
        <f t="shared" si="82"/>
        <v>5451958</v>
      </c>
      <c r="O533" s="1015">
        <v>2</v>
      </c>
      <c r="P533" s="1013">
        <f t="shared" si="83"/>
        <v>456231</v>
      </c>
      <c r="Q533" s="1016">
        <v>0</v>
      </c>
      <c r="R533" s="1013">
        <f t="shared" si="84"/>
        <v>0</v>
      </c>
      <c r="S533" s="1013">
        <f t="shared" si="85"/>
        <v>5908189</v>
      </c>
      <c r="T533" s="1017">
        <v>0</v>
      </c>
      <c r="U533" s="785">
        <v>0</v>
      </c>
      <c r="V533" s="785">
        <v>200000</v>
      </c>
      <c r="W533" s="1017">
        <v>500000</v>
      </c>
      <c r="X533" s="1017">
        <v>0</v>
      </c>
      <c r="Y533" s="1017">
        <v>400000</v>
      </c>
      <c r="Z533" s="1017">
        <v>526352</v>
      </c>
      <c r="AA533" s="1018"/>
      <c r="AB533" s="1013"/>
      <c r="AC533" s="1017">
        <v>200000</v>
      </c>
      <c r="AD533" s="1017">
        <v>0</v>
      </c>
      <c r="AE533" s="1013">
        <v>42771.6370292887</v>
      </c>
      <c r="AF533" s="1019"/>
      <c r="AG533" s="1019">
        <f t="shared" si="129"/>
        <v>7777313</v>
      </c>
      <c r="AH533" s="1014">
        <v>21</v>
      </c>
      <c r="AI533" s="1014">
        <v>0</v>
      </c>
      <c r="AJ533" s="1014">
        <v>0</v>
      </c>
      <c r="AK533" s="1018">
        <v>0</v>
      </c>
      <c r="AL533" s="1020">
        <v>0</v>
      </c>
      <c r="AM533" s="1013">
        <f t="shared" si="128"/>
        <v>898204</v>
      </c>
      <c r="AN533" s="1045">
        <f t="shared" si="118"/>
        <v>8675517</v>
      </c>
      <c r="AO533" s="1013">
        <v>622755</v>
      </c>
      <c r="AP533" s="1013">
        <v>44100</v>
      </c>
      <c r="AQ533" s="1013">
        <v>0</v>
      </c>
      <c r="AR533" s="1013">
        <v>0</v>
      </c>
      <c r="AS533" s="1013">
        <v>0</v>
      </c>
      <c r="AT533" s="1045">
        <f t="shared" si="126"/>
        <v>8008662</v>
      </c>
      <c r="AU533" s="1004"/>
      <c r="AV533" s="870"/>
      <c r="AW533" s="782" t="s">
        <v>4340</v>
      </c>
      <c r="AX533" s="782" t="s">
        <v>4341</v>
      </c>
      <c r="AY533" s="1007" t="s">
        <v>288</v>
      </c>
      <c r="AZ533" s="1007">
        <v>622</v>
      </c>
      <c r="BA533" s="347" t="str">
        <f t="shared" si="127"/>
        <v>Bag</v>
      </c>
      <c r="BB533" s="1008"/>
      <c r="BC533" s="1009"/>
      <c r="BD533" s="1009"/>
    </row>
    <row r="534" spans="1:56" s="1010" customFormat="1" ht="36.75" customHeight="1">
      <c r="A534" s="661">
        <f>SUBTOTAL(3,B$6:B534)</f>
        <v>529</v>
      </c>
      <c r="B534" s="661" t="s">
        <v>1861</v>
      </c>
      <c r="C534" s="662" t="s">
        <v>1862</v>
      </c>
      <c r="D534" s="1011">
        <v>40695</v>
      </c>
      <c r="E534" s="1011" t="s">
        <v>218</v>
      </c>
      <c r="F534" s="787" t="s">
        <v>518</v>
      </c>
      <c r="G534" s="996" t="s">
        <v>797</v>
      </c>
      <c r="H534" s="1012">
        <v>5931000</v>
      </c>
      <c r="I534" s="1012">
        <v>0</v>
      </c>
      <c r="J534" s="1012">
        <v>0</v>
      </c>
      <c r="K534" s="1012">
        <v>0</v>
      </c>
      <c r="L534" s="1013">
        <f t="shared" si="125"/>
        <v>5931000</v>
      </c>
      <c r="M534" s="1014">
        <v>23</v>
      </c>
      <c r="N534" s="1013">
        <f t="shared" si="82"/>
        <v>5246654</v>
      </c>
      <c r="O534" s="1015">
        <v>3</v>
      </c>
      <c r="P534" s="1013">
        <f t="shared" si="83"/>
        <v>684346</v>
      </c>
      <c r="Q534" s="1016">
        <v>0</v>
      </c>
      <c r="R534" s="1013">
        <f t="shared" si="84"/>
        <v>0</v>
      </c>
      <c r="S534" s="1013">
        <f t="shared" si="85"/>
        <v>5931000</v>
      </c>
      <c r="T534" s="1017">
        <v>0</v>
      </c>
      <c r="U534" s="785">
        <v>0</v>
      </c>
      <c r="V534" s="785">
        <v>200000</v>
      </c>
      <c r="W534" s="1017">
        <v>500000</v>
      </c>
      <c r="X534" s="1017">
        <v>0</v>
      </c>
      <c r="Y534" s="1017">
        <v>400000</v>
      </c>
      <c r="Z534" s="1017">
        <v>506209</v>
      </c>
      <c r="AA534" s="1018"/>
      <c r="AB534" s="1013"/>
      <c r="AC534" s="1017">
        <v>0</v>
      </c>
      <c r="AD534" s="1017">
        <v>0</v>
      </c>
      <c r="AE534" s="1013">
        <v>42771.635869565216</v>
      </c>
      <c r="AF534" s="1019"/>
      <c r="AG534" s="1019">
        <f t="shared" si="129"/>
        <v>7579981</v>
      </c>
      <c r="AH534" s="1014">
        <v>21</v>
      </c>
      <c r="AI534" s="1014">
        <v>0</v>
      </c>
      <c r="AJ534" s="1014">
        <v>0</v>
      </c>
      <c r="AK534" s="1018">
        <v>0</v>
      </c>
      <c r="AL534" s="1020">
        <v>0</v>
      </c>
      <c r="AM534" s="1013">
        <f t="shared" si="128"/>
        <v>898204</v>
      </c>
      <c r="AN534" s="1045">
        <f t="shared" si="118"/>
        <v>8478185</v>
      </c>
      <c r="AO534" s="1013">
        <v>622755</v>
      </c>
      <c r="AP534" s="1013">
        <v>44100</v>
      </c>
      <c r="AQ534" s="1013">
        <v>0</v>
      </c>
      <c r="AR534" s="1013">
        <v>0</v>
      </c>
      <c r="AS534" s="1013">
        <v>0</v>
      </c>
      <c r="AT534" s="1045">
        <f t="shared" si="126"/>
        <v>7811330</v>
      </c>
      <c r="AU534" s="1004"/>
      <c r="AV534" s="870"/>
      <c r="AW534" s="782" t="s">
        <v>4342</v>
      </c>
      <c r="AX534" s="782" t="s">
        <v>4343</v>
      </c>
      <c r="AY534" s="1007" t="s">
        <v>288</v>
      </c>
      <c r="AZ534" s="1007">
        <v>622</v>
      </c>
      <c r="BA534" s="347" t="str">
        <f t="shared" si="127"/>
        <v>Bag</v>
      </c>
      <c r="BB534" s="1008"/>
      <c r="BC534" s="1009"/>
      <c r="BD534" s="1009"/>
    </row>
    <row r="535" spans="1:56" s="1010" customFormat="1" ht="36.75" customHeight="1">
      <c r="A535" s="661">
        <f>SUBTOTAL(3,B$6:B535)</f>
        <v>530</v>
      </c>
      <c r="B535" s="661" t="s">
        <v>1863</v>
      </c>
      <c r="C535" s="662" t="s">
        <v>1864</v>
      </c>
      <c r="D535" s="1011">
        <v>40697</v>
      </c>
      <c r="E535" s="1011" t="s">
        <v>218</v>
      </c>
      <c r="F535" s="787" t="s">
        <v>518</v>
      </c>
      <c r="G535" s="996" t="s">
        <v>797</v>
      </c>
      <c r="H535" s="1012">
        <v>5931000</v>
      </c>
      <c r="I535" s="1012">
        <v>0</v>
      </c>
      <c r="J535" s="1012">
        <v>0</v>
      </c>
      <c r="K535" s="1012">
        <v>0</v>
      </c>
      <c r="L535" s="1013">
        <f t="shared" si="125"/>
        <v>5931000</v>
      </c>
      <c r="M535" s="1014">
        <v>22.6</v>
      </c>
      <c r="N535" s="1013">
        <f t="shared" si="82"/>
        <v>5155408</v>
      </c>
      <c r="O535" s="1015">
        <v>3</v>
      </c>
      <c r="P535" s="1013">
        <f t="shared" si="83"/>
        <v>684346</v>
      </c>
      <c r="Q535" s="1016">
        <v>0</v>
      </c>
      <c r="R535" s="1013">
        <f t="shared" si="84"/>
        <v>0</v>
      </c>
      <c r="S535" s="1013">
        <f t="shared" si="85"/>
        <v>5839754</v>
      </c>
      <c r="T535" s="1017">
        <v>0</v>
      </c>
      <c r="U535" s="785">
        <v>0</v>
      </c>
      <c r="V535" s="785">
        <v>200000</v>
      </c>
      <c r="W535" s="1017">
        <v>500000</v>
      </c>
      <c r="X535" s="1017">
        <v>0</v>
      </c>
      <c r="Y535" s="1017">
        <v>400000</v>
      </c>
      <c r="Z535" s="1017">
        <v>507435</v>
      </c>
      <c r="AA535" s="1018"/>
      <c r="AB535" s="1013"/>
      <c r="AC535" s="1017">
        <v>0</v>
      </c>
      <c r="AD535" s="1017">
        <v>0</v>
      </c>
      <c r="AE535" s="1013">
        <v>42771.637168141591</v>
      </c>
      <c r="AF535" s="1019"/>
      <c r="AG535" s="1019">
        <f t="shared" si="129"/>
        <v>7489961</v>
      </c>
      <c r="AH535" s="1014">
        <v>21</v>
      </c>
      <c r="AI535" s="1014">
        <v>0</v>
      </c>
      <c r="AJ535" s="1014">
        <v>0</v>
      </c>
      <c r="AK535" s="1018">
        <v>0</v>
      </c>
      <c r="AL535" s="1020">
        <v>0</v>
      </c>
      <c r="AM535" s="1013">
        <f t="shared" si="128"/>
        <v>898204</v>
      </c>
      <c r="AN535" s="1045">
        <f t="shared" si="118"/>
        <v>8388165</v>
      </c>
      <c r="AO535" s="1013">
        <v>622755</v>
      </c>
      <c r="AP535" s="1013">
        <v>44100</v>
      </c>
      <c r="AQ535" s="1013">
        <v>0</v>
      </c>
      <c r="AR535" s="1013">
        <v>0</v>
      </c>
      <c r="AS535" s="1013">
        <v>0</v>
      </c>
      <c r="AT535" s="1045">
        <f t="shared" si="126"/>
        <v>7721310</v>
      </c>
      <c r="AU535" s="1004"/>
      <c r="AV535" s="870"/>
      <c r="AW535" s="782" t="s">
        <v>4344</v>
      </c>
      <c r="AX535" s="782" t="s">
        <v>4345</v>
      </c>
      <c r="AY535" s="1007" t="s">
        <v>288</v>
      </c>
      <c r="AZ535" s="1007">
        <v>622</v>
      </c>
      <c r="BA535" s="347" t="str">
        <f t="shared" si="127"/>
        <v>Bag</v>
      </c>
      <c r="BB535" s="1008"/>
      <c r="BC535" s="1009"/>
      <c r="BD535" s="1009"/>
    </row>
    <row r="536" spans="1:56" s="1010" customFormat="1" ht="36.75" customHeight="1">
      <c r="A536" s="661">
        <f>SUBTOTAL(3,B$6:B536)</f>
        <v>531</v>
      </c>
      <c r="B536" s="661" t="s">
        <v>1865</v>
      </c>
      <c r="C536" s="662" t="s">
        <v>1866</v>
      </c>
      <c r="D536" s="1011">
        <v>40744</v>
      </c>
      <c r="E536" s="1011" t="s">
        <v>218</v>
      </c>
      <c r="F536" s="787" t="s">
        <v>518</v>
      </c>
      <c r="G536" s="996" t="s">
        <v>1232</v>
      </c>
      <c r="H536" s="1012">
        <v>5931000</v>
      </c>
      <c r="I536" s="1012">
        <v>200000</v>
      </c>
      <c r="J536" s="1012">
        <v>0</v>
      </c>
      <c r="K536" s="1012">
        <v>0</v>
      </c>
      <c r="L536" s="1013">
        <f t="shared" si="125"/>
        <v>6131000</v>
      </c>
      <c r="M536" s="1014">
        <v>24</v>
      </c>
      <c r="N536" s="1013">
        <f t="shared" si="82"/>
        <v>5659385</v>
      </c>
      <c r="O536" s="1015">
        <v>2</v>
      </c>
      <c r="P536" s="1013">
        <f t="shared" si="83"/>
        <v>471615</v>
      </c>
      <c r="Q536" s="1016">
        <v>0</v>
      </c>
      <c r="R536" s="1013">
        <f t="shared" si="84"/>
        <v>0</v>
      </c>
      <c r="S536" s="1013">
        <f t="shared" si="85"/>
        <v>6131000</v>
      </c>
      <c r="T536" s="1017">
        <v>0</v>
      </c>
      <c r="U536" s="785">
        <v>0</v>
      </c>
      <c r="V536" s="785">
        <v>200000</v>
      </c>
      <c r="W536" s="1017">
        <v>500000</v>
      </c>
      <c r="X536" s="1017">
        <v>0</v>
      </c>
      <c r="Y536" s="1017">
        <v>400000</v>
      </c>
      <c r="Z536" s="1017">
        <v>526352</v>
      </c>
      <c r="AA536" s="1018"/>
      <c r="AB536" s="1013"/>
      <c r="AC536" s="1017">
        <v>0</v>
      </c>
      <c r="AD536" s="1017">
        <v>0</v>
      </c>
      <c r="AE536" s="1013">
        <v>44213.9453125</v>
      </c>
      <c r="AF536" s="1019"/>
      <c r="AG536" s="1019">
        <f t="shared" si="129"/>
        <v>7801566</v>
      </c>
      <c r="AH536" s="1014">
        <v>21</v>
      </c>
      <c r="AI536" s="1014">
        <v>0</v>
      </c>
      <c r="AJ536" s="1014">
        <v>0</v>
      </c>
      <c r="AK536" s="1018">
        <v>0</v>
      </c>
      <c r="AL536" s="1020">
        <v>0</v>
      </c>
      <c r="AM536" s="1013">
        <f t="shared" si="128"/>
        <v>928493</v>
      </c>
      <c r="AN536" s="1045">
        <f t="shared" si="118"/>
        <v>8730059</v>
      </c>
      <c r="AO536" s="1013">
        <v>643755</v>
      </c>
      <c r="AP536" s="1013">
        <v>44100</v>
      </c>
      <c r="AQ536" s="1013">
        <v>0</v>
      </c>
      <c r="AR536" s="1013">
        <v>0</v>
      </c>
      <c r="AS536" s="1013">
        <v>0</v>
      </c>
      <c r="AT536" s="1045">
        <f t="shared" si="126"/>
        <v>8042204</v>
      </c>
      <c r="AU536" s="1004"/>
      <c r="AV536" s="870"/>
      <c r="AW536" s="782" t="s">
        <v>4346</v>
      </c>
      <c r="AX536" s="782" t="s">
        <v>4347</v>
      </c>
      <c r="AY536" s="1007" t="s">
        <v>288</v>
      </c>
      <c r="AZ536" s="1007">
        <v>622</v>
      </c>
      <c r="BA536" s="347" t="str">
        <f t="shared" si="127"/>
        <v>Bag</v>
      </c>
      <c r="BB536" s="1008"/>
      <c r="BC536" s="1009"/>
      <c r="BD536" s="1009"/>
    </row>
    <row r="537" spans="1:56" s="1010" customFormat="1" ht="36.75" customHeight="1">
      <c r="A537" s="661">
        <f>SUBTOTAL(3,B$6:B537)</f>
        <v>532</v>
      </c>
      <c r="B537" s="661" t="s">
        <v>1867</v>
      </c>
      <c r="C537" s="662" t="s">
        <v>1868</v>
      </c>
      <c r="D537" s="1011">
        <v>40969</v>
      </c>
      <c r="E537" s="1011" t="s">
        <v>218</v>
      </c>
      <c r="F537" s="787" t="s">
        <v>518</v>
      </c>
      <c r="G537" s="996" t="s">
        <v>797</v>
      </c>
      <c r="H537" s="1012">
        <v>5931000</v>
      </c>
      <c r="I537" s="1012">
        <v>0</v>
      </c>
      <c r="J537" s="1012">
        <v>0</v>
      </c>
      <c r="K537" s="1012">
        <v>0</v>
      </c>
      <c r="L537" s="1013">
        <f t="shared" si="125"/>
        <v>5931000</v>
      </c>
      <c r="M537" s="1014">
        <v>23</v>
      </c>
      <c r="N537" s="1013">
        <f t="shared" si="82"/>
        <v>5246654</v>
      </c>
      <c r="O537" s="1015">
        <v>3</v>
      </c>
      <c r="P537" s="1013">
        <f t="shared" si="83"/>
        <v>684346</v>
      </c>
      <c r="Q537" s="1016">
        <v>0</v>
      </c>
      <c r="R537" s="1013">
        <f t="shared" si="84"/>
        <v>0</v>
      </c>
      <c r="S537" s="1013">
        <f t="shared" si="85"/>
        <v>5931000</v>
      </c>
      <c r="T537" s="1017">
        <v>0</v>
      </c>
      <c r="U537" s="785">
        <v>0</v>
      </c>
      <c r="V537" s="785">
        <v>200000</v>
      </c>
      <c r="W537" s="1017">
        <v>500000</v>
      </c>
      <c r="X537" s="1017">
        <v>0</v>
      </c>
      <c r="Y537" s="1017">
        <v>400000</v>
      </c>
      <c r="Z537" s="1017">
        <v>498772</v>
      </c>
      <c r="AA537" s="1018"/>
      <c r="AB537" s="1013"/>
      <c r="AC537" s="1017">
        <v>0</v>
      </c>
      <c r="AD537" s="1017">
        <v>0</v>
      </c>
      <c r="AE537" s="1013">
        <v>42771.635869565216</v>
      </c>
      <c r="AF537" s="1019"/>
      <c r="AG537" s="1019">
        <f t="shared" si="129"/>
        <v>7572544</v>
      </c>
      <c r="AH537" s="1014">
        <v>21</v>
      </c>
      <c r="AI537" s="1014">
        <v>0</v>
      </c>
      <c r="AJ537" s="1014">
        <v>0</v>
      </c>
      <c r="AK537" s="1018">
        <v>0</v>
      </c>
      <c r="AL537" s="1020">
        <v>0</v>
      </c>
      <c r="AM537" s="1013">
        <f t="shared" si="128"/>
        <v>898204</v>
      </c>
      <c r="AN537" s="1045">
        <f t="shared" si="118"/>
        <v>8470748</v>
      </c>
      <c r="AO537" s="1013">
        <v>622755</v>
      </c>
      <c r="AP537" s="1013">
        <v>44100</v>
      </c>
      <c r="AQ537" s="1013">
        <v>0</v>
      </c>
      <c r="AR537" s="1013">
        <v>0</v>
      </c>
      <c r="AS537" s="1013">
        <v>0</v>
      </c>
      <c r="AT537" s="1045">
        <f t="shared" si="126"/>
        <v>7803893</v>
      </c>
      <c r="AU537" s="1004"/>
      <c r="AV537" s="870"/>
      <c r="AW537" s="782" t="s">
        <v>4348</v>
      </c>
      <c r="AX537" s="782" t="s">
        <v>4349</v>
      </c>
      <c r="AY537" s="1007" t="s">
        <v>288</v>
      </c>
      <c r="AZ537" s="1007">
        <v>622</v>
      </c>
      <c r="BA537" s="347" t="str">
        <f t="shared" si="127"/>
        <v>Bag</v>
      </c>
      <c r="BB537" s="1008"/>
      <c r="BC537" s="1009"/>
      <c r="BD537" s="1009"/>
    </row>
    <row r="538" spans="1:56" s="1010" customFormat="1" ht="36.75" customHeight="1">
      <c r="A538" s="661">
        <f>SUBTOTAL(3,B$6:B538)</f>
        <v>533</v>
      </c>
      <c r="B538" s="661" t="s">
        <v>1869</v>
      </c>
      <c r="C538" s="662" t="s">
        <v>1870</v>
      </c>
      <c r="D538" s="1011">
        <v>41671</v>
      </c>
      <c r="E538" s="1011" t="s">
        <v>218</v>
      </c>
      <c r="F538" s="787" t="s">
        <v>518</v>
      </c>
      <c r="G538" s="996" t="s">
        <v>1232</v>
      </c>
      <c r="H538" s="1012">
        <v>5931000</v>
      </c>
      <c r="I538" s="1012">
        <v>200000</v>
      </c>
      <c r="J538" s="1012">
        <v>0</v>
      </c>
      <c r="K538" s="1012">
        <v>0</v>
      </c>
      <c r="L538" s="1013">
        <f t="shared" ref="L538:L570" si="130">SUM(H538:K538)</f>
        <v>6131000</v>
      </c>
      <c r="M538" s="1014">
        <v>18</v>
      </c>
      <c r="N538" s="1013">
        <f t="shared" si="82"/>
        <v>4244538</v>
      </c>
      <c r="O538" s="1015">
        <v>6</v>
      </c>
      <c r="P538" s="1013">
        <f t="shared" si="83"/>
        <v>1414846</v>
      </c>
      <c r="Q538" s="1016">
        <v>0</v>
      </c>
      <c r="R538" s="1013">
        <f t="shared" si="84"/>
        <v>0</v>
      </c>
      <c r="S538" s="1013">
        <f t="shared" si="85"/>
        <v>5659384</v>
      </c>
      <c r="T538" s="1017">
        <v>0</v>
      </c>
      <c r="U538" s="785">
        <v>0</v>
      </c>
      <c r="V538" s="785">
        <v>200000</v>
      </c>
      <c r="W538" s="1017">
        <v>0</v>
      </c>
      <c r="X538" s="1017">
        <v>0</v>
      </c>
      <c r="Y538" s="1017">
        <v>150000</v>
      </c>
      <c r="Z538" s="1017">
        <v>434282</v>
      </c>
      <c r="AA538" s="1018"/>
      <c r="AB538" s="1013"/>
      <c r="AC538" s="1017">
        <v>0</v>
      </c>
      <c r="AD538" s="1017">
        <v>0</v>
      </c>
      <c r="AE538" s="1013">
        <v>44213.9375</v>
      </c>
      <c r="AF538" s="1019"/>
      <c r="AG538" s="1019">
        <f t="shared" si="129"/>
        <v>6487880</v>
      </c>
      <c r="AH538" s="1014">
        <v>21</v>
      </c>
      <c r="AI538" s="1014">
        <v>0</v>
      </c>
      <c r="AJ538" s="1014">
        <v>0</v>
      </c>
      <c r="AK538" s="1018">
        <v>0</v>
      </c>
      <c r="AL538" s="1020">
        <v>0</v>
      </c>
      <c r="AM538" s="1013">
        <f t="shared" si="128"/>
        <v>928493</v>
      </c>
      <c r="AN538" s="1045">
        <f t="shared" si="118"/>
        <v>7416373</v>
      </c>
      <c r="AO538" s="1013">
        <v>643755</v>
      </c>
      <c r="AP538" s="1013">
        <v>44100</v>
      </c>
      <c r="AQ538" s="1013">
        <v>0</v>
      </c>
      <c r="AR538" s="1013">
        <v>0</v>
      </c>
      <c r="AS538" s="1013">
        <v>0</v>
      </c>
      <c r="AT538" s="1045">
        <f t="shared" si="126"/>
        <v>6728518</v>
      </c>
      <c r="AU538" s="1004"/>
      <c r="AV538" s="870"/>
      <c r="AW538" s="782" t="s">
        <v>4350</v>
      </c>
      <c r="AX538" s="782" t="s">
        <v>4351</v>
      </c>
      <c r="AY538" s="1007" t="s">
        <v>288</v>
      </c>
      <c r="AZ538" s="1007">
        <v>622</v>
      </c>
      <c r="BA538" s="347" t="str">
        <f t="shared" si="127"/>
        <v>Bag</v>
      </c>
      <c r="BB538" s="1008"/>
      <c r="BC538" s="1009"/>
      <c r="BD538" s="1009"/>
    </row>
    <row r="539" spans="1:56" s="1010" customFormat="1" ht="36.75" customHeight="1">
      <c r="A539" s="661">
        <f>SUBTOTAL(3,B$6:B539)</f>
        <v>534</v>
      </c>
      <c r="B539" s="661" t="s">
        <v>1871</v>
      </c>
      <c r="C539" s="662" t="s">
        <v>1872</v>
      </c>
      <c r="D539" s="1011">
        <v>41435</v>
      </c>
      <c r="E539" s="1011" t="s">
        <v>218</v>
      </c>
      <c r="F539" s="787" t="s">
        <v>518</v>
      </c>
      <c r="G539" s="996" t="s">
        <v>1747</v>
      </c>
      <c r="H539" s="1012">
        <v>5931000</v>
      </c>
      <c r="I539" s="1012">
        <v>700000</v>
      </c>
      <c r="J539" s="1012">
        <v>0</v>
      </c>
      <c r="K539" s="1012">
        <v>300000</v>
      </c>
      <c r="L539" s="1013">
        <f t="shared" si="130"/>
        <v>6931000</v>
      </c>
      <c r="M539" s="1014">
        <v>23</v>
      </c>
      <c r="N539" s="1013">
        <f t="shared" si="82"/>
        <v>6131269</v>
      </c>
      <c r="O539" s="1015">
        <v>3</v>
      </c>
      <c r="P539" s="1013">
        <f t="shared" si="83"/>
        <v>799731</v>
      </c>
      <c r="Q539" s="1016">
        <v>0</v>
      </c>
      <c r="R539" s="1013">
        <f t="shared" si="84"/>
        <v>0</v>
      </c>
      <c r="S539" s="1013">
        <f t="shared" si="85"/>
        <v>6931000</v>
      </c>
      <c r="T539" s="1017">
        <v>0</v>
      </c>
      <c r="U539" s="785">
        <v>0</v>
      </c>
      <c r="V539" s="785">
        <v>200000</v>
      </c>
      <c r="W539" s="1017">
        <v>500000</v>
      </c>
      <c r="X539" s="1017">
        <v>0</v>
      </c>
      <c r="Y539" s="1017">
        <v>400000</v>
      </c>
      <c r="Z539" s="1017">
        <v>452235</v>
      </c>
      <c r="AA539" s="1018"/>
      <c r="AB539" s="1013"/>
      <c r="AC539" s="1017">
        <v>0</v>
      </c>
      <c r="AD539" s="1017">
        <v>0</v>
      </c>
      <c r="AE539" s="1013">
        <v>49983.171195652176</v>
      </c>
      <c r="AF539" s="1019"/>
      <c r="AG539" s="1019">
        <f t="shared" si="129"/>
        <v>8533218</v>
      </c>
      <c r="AH539" s="1014">
        <v>21</v>
      </c>
      <c r="AI539" s="1014">
        <v>0</v>
      </c>
      <c r="AJ539" s="1014">
        <v>0</v>
      </c>
      <c r="AK539" s="1018">
        <v>0</v>
      </c>
      <c r="AL539" s="1020">
        <v>0</v>
      </c>
      <c r="AM539" s="1013">
        <f t="shared" si="128"/>
        <v>1049647</v>
      </c>
      <c r="AN539" s="1045">
        <f t="shared" si="118"/>
        <v>9582865</v>
      </c>
      <c r="AO539" s="1013">
        <v>727755</v>
      </c>
      <c r="AP539" s="1013">
        <v>44100</v>
      </c>
      <c r="AQ539" s="1013">
        <v>0</v>
      </c>
      <c r="AR539" s="1013">
        <v>0</v>
      </c>
      <c r="AS539" s="1013">
        <v>0</v>
      </c>
      <c r="AT539" s="1045">
        <f t="shared" si="126"/>
        <v>8811010</v>
      </c>
      <c r="AU539" s="1004"/>
      <c r="AV539" s="870"/>
      <c r="AW539" s="782" t="s">
        <v>4352</v>
      </c>
      <c r="AX539" s="782" t="s">
        <v>4353</v>
      </c>
      <c r="AY539" s="1007" t="s">
        <v>288</v>
      </c>
      <c r="AZ539" s="1007">
        <v>622</v>
      </c>
      <c r="BA539" s="347" t="str">
        <f t="shared" si="127"/>
        <v>Bag</v>
      </c>
      <c r="BB539" s="1008"/>
      <c r="BC539" s="1009"/>
      <c r="BD539" s="1009"/>
    </row>
    <row r="540" spans="1:56" s="1010" customFormat="1" ht="36.75" customHeight="1">
      <c r="A540" s="661">
        <f>SUBTOTAL(3,B$6:B540)</f>
        <v>535</v>
      </c>
      <c r="B540" s="661" t="s">
        <v>1873</v>
      </c>
      <c r="C540" s="662" t="s">
        <v>1874</v>
      </c>
      <c r="D540" s="1011">
        <v>43223</v>
      </c>
      <c r="E540" s="1011" t="s">
        <v>218</v>
      </c>
      <c r="F540" s="787" t="s">
        <v>518</v>
      </c>
      <c r="G540" s="996" t="s">
        <v>797</v>
      </c>
      <c r="H540" s="1012">
        <v>5931000</v>
      </c>
      <c r="I540" s="1012">
        <v>0</v>
      </c>
      <c r="J540" s="1012">
        <v>0</v>
      </c>
      <c r="K540" s="1012">
        <v>0</v>
      </c>
      <c r="L540" s="1013">
        <f t="shared" si="130"/>
        <v>5931000</v>
      </c>
      <c r="M540" s="1014">
        <v>24</v>
      </c>
      <c r="N540" s="1013">
        <f t="shared" si="82"/>
        <v>5474769</v>
      </c>
      <c r="O540" s="1015">
        <v>2</v>
      </c>
      <c r="P540" s="1013">
        <f t="shared" si="83"/>
        <v>456231</v>
      </c>
      <c r="Q540" s="1016">
        <v>0</v>
      </c>
      <c r="R540" s="1013">
        <f t="shared" si="84"/>
        <v>0</v>
      </c>
      <c r="S540" s="1013">
        <f t="shared" si="85"/>
        <v>5931000</v>
      </c>
      <c r="T540" s="1017">
        <v>0</v>
      </c>
      <c r="U540" s="785">
        <v>0</v>
      </c>
      <c r="V540" s="785">
        <v>200000</v>
      </c>
      <c r="W540" s="1017">
        <v>500000</v>
      </c>
      <c r="X540" s="1017">
        <v>0</v>
      </c>
      <c r="Y540" s="1017">
        <v>400000</v>
      </c>
      <c r="Z540" s="1017">
        <v>557943</v>
      </c>
      <c r="AA540" s="1018"/>
      <c r="AB540" s="1013"/>
      <c r="AC540" s="1017">
        <v>0</v>
      </c>
      <c r="AD540" s="1017">
        <v>0</v>
      </c>
      <c r="AE540" s="1013">
        <v>42771.6328125</v>
      </c>
      <c r="AF540" s="1019"/>
      <c r="AG540" s="1019">
        <f t="shared" si="129"/>
        <v>7631715</v>
      </c>
      <c r="AH540" s="1014">
        <v>21</v>
      </c>
      <c r="AI540" s="1014">
        <v>0</v>
      </c>
      <c r="AJ540" s="1014">
        <v>0</v>
      </c>
      <c r="AK540" s="1018">
        <v>0</v>
      </c>
      <c r="AL540" s="1020">
        <v>0</v>
      </c>
      <c r="AM540" s="1013">
        <f t="shared" si="128"/>
        <v>898204</v>
      </c>
      <c r="AN540" s="1045">
        <f t="shared" si="118"/>
        <v>8529919</v>
      </c>
      <c r="AO540" s="1013">
        <v>622755</v>
      </c>
      <c r="AP540" s="1013">
        <v>44100</v>
      </c>
      <c r="AQ540" s="1013">
        <v>0</v>
      </c>
      <c r="AR540" s="1013">
        <v>0</v>
      </c>
      <c r="AS540" s="1013">
        <v>0</v>
      </c>
      <c r="AT540" s="1045">
        <f t="shared" si="126"/>
        <v>7863064</v>
      </c>
      <c r="AU540" s="1004"/>
      <c r="AV540" s="870"/>
      <c r="AW540" s="782" t="s">
        <v>4354</v>
      </c>
      <c r="AX540" s="782" t="s">
        <v>4355</v>
      </c>
      <c r="AY540" s="1007" t="s">
        <v>288</v>
      </c>
      <c r="AZ540" s="1007">
        <v>622</v>
      </c>
      <c r="BA540" s="347" t="str">
        <f t="shared" si="127"/>
        <v>Bag</v>
      </c>
      <c r="BB540" s="1008"/>
      <c r="BC540" s="1009"/>
      <c r="BD540" s="1009"/>
    </row>
    <row r="541" spans="1:56" s="1010" customFormat="1" ht="36.75" customHeight="1">
      <c r="A541" s="661">
        <f>SUBTOTAL(3,B$6:B541)</f>
        <v>536</v>
      </c>
      <c r="B541" s="661" t="s">
        <v>1875</v>
      </c>
      <c r="C541" s="662" t="s">
        <v>1876</v>
      </c>
      <c r="D541" s="1011">
        <v>39704</v>
      </c>
      <c r="E541" s="1011" t="s">
        <v>218</v>
      </c>
      <c r="F541" s="787" t="s">
        <v>519</v>
      </c>
      <c r="G541" s="996" t="s">
        <v>797</v>
      </c>
      <c r="H541" s="1012">
        <v>5931000</v>
      </c>
      <c r="I541" s="1012">
        <v>0</v>
      </c>
      <c r="J541" s="1012">
        <v>0</v>
      </c>
      <c r="K541" s="1012">
        <v>0</v>
      </c>
      <c r="L541" s="1013">
        <f t="shared" si="130"/>
        <v>5931000</v>
      </c>
      <c r="M541" s="1014">
        <v>24</v>
      </c>
      <c r="N541" s="1013">
        <f t="shared" si="82"/>
        <v>5474769</v>
      </c>
      <c r="O541" s="1015">
        <v>2</v>
      </c>
      <c r="P541" s="1013">
        <f t="shared" si="83"/>
        <v>456231</v>
      </c>
      <c r="Q541" s="1016">
        <v>0</v>
      </c>
      <c r="R541" s="1013">
        <f t="shared" si="84"/>
        <v>0</v>
      </c>
      <c r="S541" s="1013">
        <f t="shared" si="85"/>
        <v>5931000</v>
      </c>
      <c r="T541" s="1017">
        <v>0</v>
      </c>
      <c r="U541" s="785">
        <v>0</v>
      </c>
      <c r="V541" s="785">
        <v>200000</v>
      </c>
      <c r="W541" s="1017">
        <v>500000</v>
      </c>
      <c r="X541" s="1017">
        <v>0</v>
      </c>
      <c r="Y541" s="1017">
        <v>400000</v>
      </c>
      <c r="Z541" s="1017">
        <v>584053</v>
      </c>
      <c r="AA541" s="1018"/>
      <c r="AB541" s="1013"/>
      <c r="AC541" s="1017">
        <v>0</v>
      </c>
      <c r="AD541" s="1017">
        <v>0</v>
      </c>
      <c r="AE541" s="1013">
        <v>42771.6328125</v>
      </c>
      <c r="AF541" s="1019"/>
      <c r="AG541" s="1019">
        <f t="shared" si="129"/>
        <v>7657825</v>
      </c>
      <c r="AH541" s="1014">
        <v>36</v>
      </c>
      <c r="AI541" s="1014">
        <v>0</v>
      </c>
      <c r="AJ541" s="1014">
        <v>0</v>
      </c>
      <c r="AK541" s="1018">
        <v>0</v>
      </c>
      <c r="AL541" s="1020">
        <v>0</v>
      </c>
      <c r="AM541" s="1013">
        <f t="shared" si="128"/>
        <v>1539779</v>
      </c>
      <c r="AN541" s="1045">
        <f t="shared" si="118"/>
        <v>9197604</v>
      </c>
      <c r="AO541" s="1013">
        <v>622755</v>
      </c>
      <c r="AP541" s="1013">
        <v>44100</v>
      </c>
      <c r="AQ541" s="1013">
        <v>0</v>
      </c>
      <c r="AR541" s="1013">
        <v>0</v>
      </c>
      <c r="AS541" s="1013">
        <v>0</v>
      </c>
      <c r="AT541" s="1045">
        <f t="shared" si="126"/>
        <v>8530749</v>
      </c>
      <c r="AU541" s="1004"/>
      <c r="AV541" s="870"/>
      <c r="AW541" s="782" t="s">
        <v>4356</v>
      </c>
      <c r="AX541" s="782" t="s">
        <v>4357</v>
      </c>
      <c r="AY541" s="1007" t="s">
        <v>288</v>
      </c>
      <c r="AZ541" s="1007">
        <v>622</v>
      </c>
      <c r="BA541" s="347" t="str">
        <f t="shared" si="127"/>
        <v>Bag</v>
      </c>
      <c r="BB541" s="1008"/>
      <c r="BC541" s="1009"/>
      <c r="BD541" s="1009"/>
    </row>
    <row r="542" spans="1:56" s="1010" customFormat="1" ht="36.75" customHeight="1">
      <c r="A542" s="661">
        <f>SUBTOTAL(3,B$6:B542)</f>
        <v>537</v>
      </c>
      <c r="B542" s="661" t="s">
        <v>1877</v>
      </c>
      <c r="C542" s="662" t="s">
        <v>1878</v>
      </c>
      <c r="D542" s="1011">
        <v>43825</v>
      </c>
      <c r="E542" s="1011" t="s">
        <v>218</v>
      </c>
      <c r="F542" s="787" t="s">
        <v>519</v>
      </c>
      <c r="G542" s="996" t="s">
        <v>797</v>
      </c>
      <c r="H542" s="1012">
        <v>5931000</v>
      </c>
      <c r="I542" s="1012">
        <v>0</v>
      </c>
      <c r="J542" s="1012">
        <v>0</v>
      </c>
      <c r="K542" s="1012">
        <v>0</v>
      </c>
      <c r="L542" s="1013">
        <f t="shared" si="130"/>
        <v>5931000</v>
      </c>
      <c r="M542" s="1014">
        <v>24</v>
      </c>
      <c r="N542" s="1013">
        <f t="shared" si="82"/>
        <v>5474769</v>
      </c>
      <c r="O542" s="1015">
        <v>2</v>
      </c>
      <c r="P542" s="1013">
        <f t="shared" si="83"/>
        <v>456231</v>
      </c>
      <c r="Q542" s="1016">
        <v>0</v>
      </c>
      <c r="R542" s="1013">
        <f t="shared" si="84"/>
        <v>0</v>
      </c>
      <c r="S542" s="1013">
        <f t="shared" si="85"/>
        <v>5931000</v>
      </c>
      <c r="T542" s="1017">
        <v>0</v>
      </c>
      <c r="U542" s="785">
        <v>0</v>
      </c>
      <c r="V542" s="785">
        <v>200000</v>
      </c>
      <c r="W542" s="1017">
        <v>500000</v>
      </c>
      <c r="X542" s="1017">
        <v>0</v>
      </c>
      <c r="Y542" s="1017">
        <v>400000</v>
      </c>
      <c r="Z542" s="1017">
        <v>589321</v>
      </c>
      <c r="AA542" s="1018"/>
      <c r="AB542" s="1013"/>
      <c r="AC542" s="1017">
        <v>0</v>
      </c>
      <c r="AD542" s="1017">
        <v>0</v>
      </c>
      <c r="AE542" s="1013">
        <v>42771.6328125</v>
      </c>
      <c r="AF542" s="1019"/>
      <c r="AG542" s="1019">
        <f t="shared" si="129"/>
        <v>7663093</v>
      </c>
      <c r="AH542" s="1014">
        <v>36</v>
      </c>
      <c r="AI542" s="1014">
        <v>0</v>
      </c>
      <c r="AJ542" s="1014">
        <v>0</v>
      </c>
      <c r="AK542" s="1018">
        <v>0</v>
      </c>
      <c r="AL542" s="1020">
        <v>0</v>
      </c>
      <c r="AM542" s="1013">
        <f t="shared" si="128"/>
        <v>1539779</v>
      </c>
      <c r="AN542" s="1045">
        <f t="shared" si="118"/>
        <v>9202872</v>
      </c>
      <c r="AO542" s="1013">
        <v>622755</v>
      </c>
      <c r="AP542" s="1013">
        <v>44100</v>
      </c>
      <c r="AQ542" s="1013">
        <v>0</v>
      </c>
      <c r="AR542" s="1013">
        <v>0</v>
      </c>
      <c r="AS542" s="1013">
        <v>0</v>
      </c>
      <c r="AT542" s="1045">
        <f t="shared" si="126"/>
        <v>8536017</v>
      </c>
      <c r="AU542" s="1004"/>
      <c r="AV542" s="870"/>
      <c r="AW542" s="782" t="s">
        <v>4358</v>
      </c>
      <c r="AX542" s="782" t="s">
        <v>4359</v>
      </c>
      <c r="AY542" s="1007" t="s">
        <v>288</v>
      </c>
      <c r="AZ542" s="1007">
        <v>622</v>
      </c>
      <c r="BA542" s="347" t="str">
        <f t="shared" si="127"/>
        <v>Bag</v>
      </c>
      <c r="BB542" s="1008"/>
      <c r="BC542" s="1009"/>
      <c r="BD542" s="1009"/>
    </row>
    <row r="543" spans="1:56" s="1010" customFormat="1" ht="36.75" customHeight="1">
      <c r="A543" s="661">
        <f>SUBTOTAL(3,B$6:B543)</f>
        <v>538</v>
      </c>
      <c r="B543" s="661" t="s">
        <v>1879</v>
      </c>
      <c r="C543" s="662" t="s">
        <v>1880</v>
      </c>
      <c r="D543" s="1011">
        <v>44027</v>
      </c>
      <c r="E543" s="1011" t="s">
        <v>218</v>
      </c>
      <c r="F543" s="787" t="s">
        <v>519</v>
      </c>
      <c r="G543" s="996" t="s">
        <v>797</v>
      </c>
      <c r="H543" s="1012">
        <v>5931000</v>
      </c>
      <c r="I543" s="1012">
        <v>0</v>
      </c>
      <c r="J543" s="1012">
        <v>0</v>
      </c>
      <c r="K543" s="1012">
        <v>0</v>
      </c>
      <c r="L543" s="1013">
        <f t="shared" si="130"/>
        <v>5931000</v>
      </c>
      <c r="M543" s="1014">
        <v>20</v>
      </c>
      <c r="N543" s="1013">
        <f t="shared" si="82"/>
        <v>4562308</v>
      </c>
      <c r="O543" s="1015">
        <v>3</v>
      </c>
      <c r="P543" s="1013">
        <f t="shared" si="83"/>
        <v>684346</v>
      </c>
      <c r="Q543" s="1016">
        <v>0</v>
      </c>
      <c r="R543" s="1013">
        <f t="shared" si="84"/>
        <v>0</v>
      </c>
      <c r="S543" s="1013">
        <f t="shared" si="85"/>
        <v>5246654</v>
      </c>
      <c r="T543" s="1017">
        <v>0</v>
      </c>
      <c r="U543" s="785">
        <v>0</v>
      </c>
      <c r="V543" s="785">
        <v>200000</v>
      </c>
      <c r="W543" s="1017">
        <v>0</v>
      </c>
      <c r="X543" s="1017">
        <v>0</v>
      </c>
      <c r="Y543" s="1017">
        <v>0</v>
      </c>
      <c r="Z543" s="1017">
        <v>336580</v>
      </c>
      <c r="AA543" s="1018"/>
      <c r="AB543" s="1013"/>
      <c r="AC543" s="1017">
        <v>100000</v>
      </c>
      <c r="AD543" s="1017">
        <v>0</v>
      </c>
      <c r="AE543" s="1013">
        <v>42771.637499999997</v>
      </c>
      <c r="AF543" s="1019"/>
      <c r="AG543" s="1019">
        <f t="shared" si="129"/>
        <v>5926006</v>
      </c>
      <c r="AH543" s="1014">
        <v>28</v>
      </c>
      <c r="AI543" s="1014">
        <v>0</v>
      </c>
      <c r="AJ543" s="1014">
        <v>0</v>
      </c>
      <c r="AK543" s="1018">
        <v>0</v>
      </c>
      <c r="AL543" s="1020">
        <v>0</v>
      </c>
      <c r="AM543" s="1013">
        <f t="shared" si="128"/>
        <v>1197606</v>
      </c>
      <c r="AN543" s="1045">
        <f t="shared" si="118"/>
        <v>7123612</v>
      </c>
      <c r="AO543" s="1013">
        <v>622755</v>
      </c>
      <c r="AP543" s="1013">
        <v>44100</v>
      </c>
      <c r="AQ543" s="1013">
        <v>0</v>
      </c>
      <c r="AR543" s="1013">
        <v>0</v>
      </c>
      <c r="AS543" s="1013">
        <v>0</v>
      </c>
      <c r="AT543" s="1045">
        <f t="shared" si="126"/>
        <v>6456757</v>
      </c>
      <c r="AU543" s="1004"/>
      <c r="AV543" s="870"/>
      <c r="AW543" s="782" t="s">
        <v>4360</v>
      </c>
      <c r="AX543" s="782" t="s">
        <v>4361</v>
      </c>
      <c r="AY543" s="1007" t="s">
        <v>288</v>
      </c>
      <c r="AZ543" s="1007">
        <v>622</v>
      </c>
      <c r="BA543" s="347" t="str">
        <f t="shared" si="127"/>
        <v>Bag</v>
      </c>
      <c r="BB543" s="1008"/>
      <c r="BC543" s="1009"/>
      <c r="BD543" s="1009"/>
    </row>
    <row r="544" spans="1:56" s="1010" customFormat="1" ht="36.75" customHeight="1">
      <c r="A544" s="661">
        <f>SUBTOTAL(3,B$6:B544)</f>
        <v>539</v>
      </c>
      <c r="B544" s="661" t="s">
        <v>1881</v>
      </c>
      <c r="C544" s="662" t="s">
        <v>1882</v>
      </c>
      <c r="D544" s="1011">
        <v>44364</v>
      </c>
      <c r="E544" s="1011" t="s">
        <v>218</v>
      </c>
      <c r="F544" s="787" t="s">
        <v>519</v>
      </c>
      <c r="G544" s="996" t="s">
        <v>797</v>
      </c>
      <c r="H544" s="1012">
        <v>5931000</v>
      </c>
      <c r="I544" s="1012">
        <v>0</v>
      </c>
      <c r="J544" s="1012">
        <v>0</v>
      </c>
      <c r="K544" s="1012">
        <v>0</v>
      </c>
      <c r="L544" s="1013">
        <f t="shared" si="130"/>
        <v>5931000</v>
      </c>
      <c r="M544" s="1014">
        <v>23</v>
      </c>
      <c r="N544" s="1013">
        <f t="shared" si="82"/>
        <v>5246654</v>
      </c>
      <c r="O544" s="1015">
        <v>3</v>
      </c>
      <c r="P544" s="1013">
        <f t="shared" si="83"/>
        <v>684346</v>
      </c>
      <c r="Q544" s="1016">
        <v>0</v>
      </c>
      <c r="R544" s="1013">
        <f t="shared" si="84"/>
        <v>0</v>
      </c>
      <c r="S544" s="1013">
        <f t="shared" si="85"/>
        <v>5931000</v>
      </c>
      <c r="T544" s="1017">
        <v>0</v>
      </c>
      <c r="U544" s="785">
        <v>0</v>
      </c>
      <c r="V544" s="785">
        <v>200000</v>
      </c>
      <c r="W544" s="1017">
        <v>500000</v>
      </c>
      <c r="X544" s="1017">
        <v>0</v>
      </c>
      <c r="Y544" s="1017">
        <v>400000</v>
      </c>
      <c r="Z544" s="1017">
        <v>577912</v>
      </c>
      <c r="AA544" s="1018"/>
      <c r="AB544" s="1013"/>
      <c r="AC544" s="1017">
        <v>0</v>
      </c>
      <c r="AD544" s="1017">
        <v>0</v>
      </c>
      <c r="AE544" s="1013">
        <v>42771.635869565216</v>
      </c>
      <c r="AF544" s="1019"/>
      <c r="AG544" s="1019">
        <f t="shared" si="129"/>
        <v>7651684</v>
      </c>
      <c r="AH544" s="1014">
        <v>36</v>
      </c>
      <c r="AI544" s="1014">
        <v>0</v>
      </c>
      <c r="AJ544" s="1014">
        <v>0</v>
      </c>
      <c r="AK544" s="1018">
        <v>0</v>
      </c>
      <c r="AL544" s="1020">
        <v>0</v>
      </c>
      <c r="AM544" s="1013">
        <f t="shared" si="128"/>
        <v>1539779</v>
      </c>
      <c r="AN544" s="1045">
        <f t="shared" si="118"/>
        <v>9191463</v>
      </c>
      <c r="AO544" s="1013">
        <v>622755</v>
      </c>
      <c r="AP544" s="1013">
        <v>44100</v>
      </c>
      <c r="AQ544" s="1013">
        <v>0</v>
      </c>
      <c r="AR544" s="1013">
        <v>0</v>
      </c>
      <c r="AS544" s="1013">
        <v>0</v>
      </c>
      <c r="AT544" s="1045">
        <f t="shared" si="126"/>
        <v>8524608</v>
      </c>
      <c r="AU544" s="1004"/>
      <c r="AV544" s="870"/>
      <c r="AW544" s="782" t="s">
        <v>4362</v>
      </c>
      <c r="AX544" s="782" t="s">
        <v>4363</v>
      </c>
      <c r="AY544" s="1007" t="s">
        <v>288</v>
      </c>
      <c r="AZ544" s="1007">
        <v>622</v>
      </c>
      <c r="BA544" s="347" t="str">
        <f t="shared" si="127"/>
        <v>Bag</v>
      </c>
      <c r="BB544" s="1008"/>
      <c r="BC544" s="1009"/>
      <c r="BD544" s="1009"/>
    </row>
    <row r="545" spans="1:56" s="1010" customFormat="1" ht="36.75" customHeight="1">
      <c r="A545" s="661">
        <f>SUBTOTAL(3,B$6:B545)</f>
        <v>540</v>
      </c>
      <c r="B545" s="661" t="s">
        <v>1883</v>
      </c>
      <c r="C545" s="662" t="s">
        <v>1884</v>
      </c>
      <c r="D545" s="1011">
        <v>39798</v>
      </c>
      <c r="E545" s="1011" t="s">
        <v>218</v>
      </c>
      <c r="F545" s="787" t="s">
        <v>519</v>
      </c>
      <c r="G545" s="996" t="s">
        <v>1747</v>
      </c>
      <c r="H545" s="1012">
        <v>5931000</v>
      </c>
      <c r="I545" s="1012">
        <v>2300000</v>
      </c>
      <c r="J545" s="1012">
        <v>0</v>
      </c>
      <c r="K545" s="1012">
        <v>700000</v>
      </c>
      <c r="L545" s="1013">
        <f t="shared" si="130"/>
        <v>8931000</v>
      </c>
      <c r="M545" s="1014">
        <v>24</v>
      </c>
      <c r="N545" s="1013">
        <f t="shared" si="82"/>
        <v>8244000</v>
      </c>
      <c r="O545" s="1015">
        <v>2</v>
      </c>
      <c r="P545" s="1013">
        <f t="shared" si="83"/>
        <v>687000</v>
      </c>
      <c r="Q545" s="1016">
        <v>0</v>
      </c>
      <c r="R545" s="1013">
        <f t="shared" si="84"/>
        <v>0</v>
      </c>
      <c r="S545" s="1013">
        <f t="shared" si="85"/>
        <v>8931000</v>
      </c>
      <c r="T545" s="1017">
        <v>0</v>
      </c>
      <c r="U545" s="785">
        <v>0</v>
      </c>
      <c r="V545" s="785">
        <v>200000</v>
      </c>
      <c r="W545" s="1017">
        <v>500000</v>
      </c>
      <c r="X545" s="1017">
        <v>0</v>
      </c>
      <c r="Y545" s="1017">
        <v>400000</v>
      </c>
      <c r="Z545" s="1017">
        <v>470024</v>
      </c>
      <c r="AA545" s="1018"/>
      <c r="AB545" s="1013"/>
      <c r="AC545" s="1017">
        <v>0</v>
      </c>
      <c r="AD545" s="1017">
        <v>0</v>
      </c>
      <c r="AE545" s="1013">
        <v>64406.25</v>
      </c>
      <c r="AF545" s="1019"/>
      <c r="AG545" s="1019">
        <f t="shared" si="129"/>
        <v>10565430</v>
      </c>
      <c r="AH545" s="1014">
        <v>36</v>
      </c>
      <c r="AI545" s="1014">
        <v>0</v>
      </c>
      <c r="AJ545" s="1014">
        <v>0</v>
      </c>
      <c r="AK545" s="1018">
        <v>0</v>
      </c>
      <c r="AL545" s="1020">
        <v>0</v>
      </c>
      <c r="AM545" s="1013">
        <f t="shared" si="128"/>
        <v>2318625</v>
      </c>
      <c r="AN545" s="1045">
        <f t="shared" si="118"/>
        <v>12884055</v>
      </c>
      <c r="AO545" s="1013">
        <v>937755</v>
      </c>
      <c r="AP545" s="1013">
        <v>44100</v>
      </c>
      <c r="AQ545" s="1013">
        <v>13671</v>
      </c>
      <c r="AR545" s="1013">
        <v>0</v>
      </c>
      <c r="AS545" s="1013">
        <v>0</v>
      </c>
      <c r="AT545" s="1045">
        <f t="shared" si="126"/>
        <v>11888529</v>
      </c>
      <c r="AU545" s="1004"/>
      <c r="AV545" s="870"/>
      <c r="AW545" s="782" t="s">
        <v>4364</v>
      </c>
      <c r="AX545" s="782" t="s">
        <v>4365</v>
      </c>
      <c r="AY545" s="1007" t="s">
        <v>288</v>
      </c>
      <c r="AZ545" s="1007">
        <v>622</v>
      </c>
      <c r="BA545" s="347" t="str">
        <f t="shared" si="127"/>
        <v>Bag</v>
      </c>
      <c r="BB545" s="1008"/>
      <c r="BC545" s="1009"/>
      <c r="BD545" s="1009"/>
    </row>
    <row r="546" spans="1:56" s="1010" customFormat="1" ht="36.75" customHeight="1">
      <c r="A546" s="661">
        <f>SUBTOTAL(3,B$6:B546)</f>
        <v>541</v>
      </c>
      <c r="B546" s="661" t="s">
        <v>1885</v>
      </c>
      <c r="C546" s="662" t="s">
        <v>1886</v>
      </c>
      <c r="D546" s="1011">
        <v>44713</v>
      </c>
      <c r="E546" s="1011" t="s">
        <v>218</v>
      </c>
      <c r="F546" s="787" t="s">
        <v>519</v>
      </c>
      <c r="G546" s="996" t="s">
        <v>797</v>
      </c>
      <c r="H546" s="1012">
        <v>5815000</v>
      </c>
      <c r="I546" s="1012">
        <v>0</v>
      </c>
      <c r="J546" s="1012">
        <v>0</v>
      </c>
      <c r="K546" s="1012">
        <v>0</v>
      </c>
      <c r="L546" s="1013">
        <f t="shared" si="130"/>
        <v>5815000</v>
      </c>
      <c r="M546" s="1014">
        <v>23</v>
      </c>
      <c r="N546" s="1013">
        <f t="shared" si="82"/>
        <v>5144038</v>
      </c>
      <c r="O546" s="1015">
        <v>3</v>
      </c>
      <c r="P546" s="1013">
        <f t="shared" si="83"/>
        <v>670962</v>
      </c>
      <c r="Q546" s="1016">
        <v>0</v>
      </c>
      <c r="R546" s="1013">
        <f t="shared" si="84"/>
        <v>0</v>
      </c>
      <c r="S546" s="1013">
        <f t="shared" si="85"/>
        <v>5815000</v>
      </c>
      <c r="T546" s="1017">
        <v>0</v>
      </c>
      <c r="U546" s="785">
        <v>0</v>
      </c>
      <c r="V546" s="785">
        <v>200000</v>
      </c>
      <c r="W546" s="1017">
        <v>500000</v>
      </c>
      <c r="X546" s="1017">
        <v>0</v>
      </c>
      <c r="Y546" s="1017">
        <v>400000</v>
      </c>
      <c r="Z546" s="1017">
        <v>486849</v>
      </c>
      <c r="AA546" s="1018"/>
      <c r="AB546" s="1013"/>
      <c r="AC546" s="1017">
        <v>0</v>
      </c>
      <c r="AD546" s="1017">
        <v>0</v>
      </c>
      <c r="AE546" s="1013">
        <v>41935.092391304344</v>
      </c>
      <c r="AF546" s="1019"/>
      <c r="AG546" s="1019">
        <f t="shared" si="129"/>
        <v>7443784</v>
      </c>
      <c r="AH546" s="1014">
        <v>32</v>
      </c>
      <c r="AI546" s="1014">
        <v>0</v>
      </c>
      <c r="AJ546" s="1014">
        <v>0</v>
      </c>
      <c r="AK546" s="1018">
        <v>0</v>
      </c>
      <c r="AL546" s="1020">
        <v>0</v>
      </c>
      <c r="AM546" s="1013">
        <f t="shared" si="128"/>
        <v>1341923</v>
      </c>
      <c r="AN546" s="1045">
        <f t="shared" si="118"/>
        <v>8785707</v>
      </c>
      <c r="AO546" s="1013">
        <v>610575</v>
      </c>
      <c r="AP546" s="1013">
        <v>44100</v>
      </c>
      <c r="AQ546" s="1013">
        <v>0</v>
      </c>
      <c r="AR546" s="1013">
        <v>0</v>
      </c>
      <c r="AS546" s="1013">
        <v>0</v>
      </c>
      <c r="AT546" s="1045">
        <f t="shared" si="126"/>
        <v>8131032</v>
      </c>
      <c r="AU546" s="1004"/>
      <c r="AV546" s="870"/>
      <c r="AW546" s="782" t="s">
        <v>4366</v>
      </c>
      <c r="AX546" s="782" t="s">
        <v>4367</v>
      </c>
      <c r="AY546" s="1007" t="s">
        <v>288</v>
      </c>
      <c r="AZ546" s="1007">
        <v>622</v>
      </c>
      <c r="BA546" s="347" t="str">
        <f t="shared" si="127"/>
        <v>Bag</v>
      </c>
      <c r="BB546" s="1008"/>
      <c r="BC546" s="1009"/>
      <c r="BD546" s="1009"/>
    </row>
    <row r="547" spans="1:56" s="1010" customFormat="1" ht="36.75" customHeight="1">
      <c r="A547" s="661">
        <f>SUBTOTAL(3,B$6:B547)</f>
        <v>542</v>
      </c>
      <c r="B547" s="661" t="s">
        <v>1887</v>
      </c>
      <c r="C547" s="662" t="s">
        <v>1888</v>
      </c>
      <c r="D547" s="1011">
        <v>45428</v>
      </c>
      <c r="E547" s="1011" t="s">
        <v>218</v>
      </c>
      <c r="F547" s="787" t="s">
        <v>519</v>
      </c>
      <c r="G547" s="996" t="s">
        <v>797</v>
      </c>
      <c r="H547" s="1012">
        <v>5274000</v>
      </c>
      <c r="I547" s="1012">
        <v>0</v>
      </c>
      <c r="J547" s="1012">
        <v>0</v>
      </c>
      <c r="K547" s="1012">
        <v>0</v>
      </c>
      <c r="L547" s="1013">
        <f t="shared" si="130"/>
        <v>5274000</v>
      </c>
      <c r="M547" s="1014">
        <v>24</v>
      </c>
      <c r="N547" s="1013">
        <f t="shared" si="82"/>
        <v>4868308</v>
      </c>
      <c r="O547" s="1015">
        <v>2</v>
      </c>
      <c r="P547" s="1013">
        <f t="shared" si="83"/>
        <v>405692</v>
      </c>
      <c r="Q547" s="1016">
        <v>0</v>
      </c>
      <c r="R547" s="1013">
        <f t="shared" si="84"/>
        <v>0</v>
      </c>
      <c r="S547" s="1013">
        <f t="shared" si="85"/>
        <v>5274000</v>
      </c>
      <c r="T547" s="1017">
        <v>0</v>
      </c>
      <c r="U547" s="785">
        <v>0</v>
      </c>
      <c r="V547" s="785">
        <v>200000</v>
      </c>
      <c r="W547" s="1017">
        <v>500000</v>
      </c>
      <c r="X547" s="1017">
        <v>0</v>
      </c>
      <c r="Y547" s="1017">
        <v>400000</v>
      </c>
      <c r="Z547" s="1017">
        <v>587103</v>
      </c>
      <c r="AA547" s="1018"/>
      <c r="AB547" s="1013"/>
      <c r="AC547" s="1017">
        <v>0</v>
      </c>
      <c r="AD547" s="1017">
        <v>0</v>
      </c>
      <c r="AE547" s="1013">
        <v>0</v>
      </c>
      <c r="AF547" s="1019"/>
      <c r="AG547" s="1019">
        <f t="shared" si="129"/>
        <v>6961103</v>
      </c>
      <c r="AH547" s="1014">
        <v>36</v>
      </c>
      <c r="AI547" s="1014">
        <v>0</v>
      </c>
      <c r="AJ547" s="1014">
        <v>0</v>
      </c>
      <c r="AK547" s="1018">
        <v>0</v>
      </c>
      <c r="AL547" s="1020">
        <v>0</v>
      </c>
      <c r="AM547" s="1013">
        <f t="shared" si="128"/>
        <v>1369212</v>
      </c>
      <c r="AN547" s="1045">
        <f t="shared" si="118"/>
        <v>8330315</v>
      </c>
      <c r="AO547" s="1013">
        <v>553770</v>
      </c>
      <c r="AP547" s="1013">
        <v>44100</v>
      </c>
      <c r="AQ547" s="1013">
        <v>0</v>
      </c>
      <c r="AR547" s="1013">
        <v>0</v>
      </c>
      <c r="AS547" s="1013">
        <v>0</v>
      </c>
      <c r="AT547" s="1045">
        <f t="shared" si="126"/>
        <v>7732445</v>
      </c>
      <c r="AU547" s="1004"/>
      <c r="AV547" s="870"/>
      <c r="AW547" s="782" t="s">
        <v>4368</v>
      </c>
      <c r="AX547" s="782" t="s">
        <v>4369</v>
      </c>
      <c r="AY547" s="1007" t="s">
        <v>288</v>
      </c>
      <c r="AZ547" s="1007">
        <v>622</v>
      </c>
      <c r="BA547" s="347" t="str">
        <f t="shared" si="127"/>
        <v>Bag</v>
      </c>
      <c r="BB547" s="1008"/>
      <c r="BC547" s="1009"/>
      <c r="BD547" s="1009"/>
    </row>
    <row r="548" spans="1:56" s="1010" customFormat="1" ht="36.75" customHeight="1">
      <c r="A548" s="661">
        <f>SUBTOTAL(3,B$6:B548)</f>
        <v>543</v>
      </c>
      <c r="B548" s="661" t="s">
        <v>1889</v>
      </c>
      <c r="C548" s="662" t="s">
        <v>1890</v>
      </c>
      <c r="D548" s="1011">
        <v>45428</v>
      </c>
      <c r="E548" s="1011" t="s">
        <v>218</v>
      </c>
      <c r="F548" s="787" t="s">
        <v>519</v>
      </c>
      <c r="G548" s="996" t="s">
        <v>797</v>
      </c>
      <c r="H548" s="1012">
        <v>5274000</v>
      </c>
      <c r="I548" s="1012">
        <v>0</v>
      </c>
      <c r="J548" s="1012">
        <v>0</v>
      </c>
      <c r="K548" s="1012">
        <v>0</v>
      </c>
      <c r="L548" s="1013">
        <f t="shared" si="130"/>
        <v>5274000</v>
      </c>
      <c r="M548" s="1014">
        <v>24</v>
      </c>
      <c r="N548" s="1013">
        <f t="shared" si="82"/>
        <v>4868308</v>
      </c>
      <c r="O548" s="1015">
        <v>2</v>
      </c>
      <c r="P548" s="1013">
        <f t="shared" si="83"/>
        <v>405692</v>
      </c>
      <c r="Q548" s="1016">
        <v>0</v>
      </c>
      <c r="R548" s="1013">
        <f t="shared" si="84"/>
        <v>0</v>
      </c>
      <c r="S548" s="1013">
        <f t="shared" si="85"/>
        <v>5274000</v>
      </c>
      <c r="T548" s="1017">
        <v>0</v>
      </c>
      <c r="U548" s="785">
        <v>0</v>
      </c>
      <c r="V548" s="785">
        <v>200000</v>
      </c>
      <c r="W548" s="1017">
        <v>500000</v>
      </c>
      <c r="X548" s="1017">
        <v>0</v>
      </c>
      <c r="Y548" s="1017">
        <v>400000</v>
      </c>
      <c r="Z548" s="1017">
        <v>589321</v>
      </c>
      <c r="AA548" s="1018"/>
      <c r="AB548" s="1013"/>
      <c r="AC548" s="1017">
        <v>0</v>
      </c>
      <c r="AD548" s="1017">
        <v>0</v>
      </c>
      <c r="AE548" s="1013">
        <v>0</v>
      </c>
      <c r="AF548" s="1019"/>
      <c r="AG548" s="1019">
        <f t="shared" si="129"/>
        <v>6963321</v>
      </c>
      <c r="AH548" s="1014">
        <v>36</v>
      </c>
      <c r="AI548" s="1014">
        <v>0</v>
      </c>
      <c r="AJ548" s="1014">
        <v>0</v>
      </c>
      <c r="AK548" s="1018">
        <v>0</v>
      </c>
      <c r="AL548" s="1020">
        <v>0</v>
      </c>
      <c r="AM548" s="1013">
        <f t="shared" si="128"/>
        <v>1369212</v>
      </c>
      <c r="AN548" s="1045">
        <f t="shared" si="118"/>
        <v>8332533</v>
      </c>
      <c r="AO548" s="1013">
        <v>553770</v>
      </c>
      <c r="AP548" s="1013">
        <v>44100</v>
      </c>
      <c r="AQ548" s="1013">
        <v>0</v>
      </c>
      <c r="AR548" s="1013">
        <v>0</v>
      </c>
      <c r="AS548" s="1013">
        <v>0</v>
      </c>
      <c r="AT548" s="1045">
        <f t="shared" si="126"/>
        <v>7734663</v>
      </c>
      <c r="AU548" s="1004"/>
      <c r="AV548" s="870"/>
      <c r="AW548" s="782" t="s">
        <v>4370</v>
      </c>
      <c r="AX548" s="782" t="s">
        <v>4371</v>
      </c>
      <c r="AY548" s="1007" t="s">
        <v>288</v>
      </c>
      <c r="AZ548" s="1007">
        <v>622</v>
      </c>
      <c r="BA548" s="347" t="str">
        <f t="shared" si="127"/>
        <v>Bag</v>
      </c>
      <c r="BB548" s="1008"/>
      <c r="BC548" s="1009"/>
      <c r="BD548" s="1009"/>
    </row>
    <row r="549" spans="1:56" s="1010" customFormat="1" ht="36.75" customHeight="1">
      <c r="A549" s="661">
        <f>SUBTOTAL(3,B$6:B549)</f>
        <v>544</v>
      </c>
      <c r="B549" s="661" t="s">
        <v>1891</v>
      </c>
      <c r="C549" s="662" t="s">
        <v>1892</v>
      </c>
      <c r="D549" s="1011">
        <v>45736</v>
      </c>
      <c r="E549" s="1011" t="s">
        <v>218</v>
      </c>
      <c r="F549" s="787" t="s">
        <v>519</v>
      </c>
      <c r="G549" s="996" t="s">
        <v>797</v>
      </c>
      <c r="H549" s="1012">
        <v>4694000</v>
      </c>
      <c r="I549" s="1012">
        <v>0</v>
      </c>
      <c r="J549" s="1012">
        <v>0</v>
      </c>
      <c r="K549" s="1012">
        <v>0</v>
      </c>
      <c r="L549" s="1013">
        <f t="shared" si="130"/>
        <v>4694000</v>
      </c>
      <c r="M549" s="1014">
        <v>23</v>
      </c>
      <c r="N549" s="1013">
        <f t="shared" si="82"/>
        <v>4152385</v>
      </c>
      <c r="O549" s="1015">
        <v>2</v>
      </c>
      <c r="P549" s="1013">
        <f t="shared" si="83"/>
        <v>361077</v>
      </c>
      <c r="Q549" s="1016">
        <v>0</v>
      </c>
      <c r="R549" s="1013">
        <f t="shared" si="84"/>
        <v>0</v>
      </c>
      <c r="S549" s="1013">
        <f t="shared" si="85"/>
        <v>4513462</v>
      </c>
      <c r="T549" s="1017">
        <v>0</v>
      </c>
      <c r="U549" s="785">
        <v>0</v>
      </c>
      <c r="V549" s="785">
        <v>200000</v>
      </c>
      <c r="W549" s="1017">
        <v>0</v>
      </c>
      <c r="X549" s="1017">
        <v>0</v>
      </c>
      <c r="Y549" s="1017">
        <v>150000</v>
      </c>
      <c r="Z549" s="1017">
        <v>65161</v>
      </c>
      <c r="AA549" s="1018"/>
      <c r="AB549" s="1013"/>
      <c r="AC549" s="1017">
        <v>0</v>
      </c>
      <c r="AD549" s="1017">
        <v>132863</v>
      </c>
      <c r="AE549" s="1013">
        <v>33850.96467391304</v>
      </c>
      <c r="AF549" s="1019"/>
      <c r="AG549" s="1019">
        <f t="shared" si="129"/>
        <v>5095337</v>
      </c>
      <c r="AH549" s="1014">
        <v>28</v>
      </c>
      <c r="AI549" s="1014">
        <v>0</v>
      </c>
      <c r="AJ549" s="1014">
        <v>0</v>
      </c>
      <c r="AK549" s="1018">
        <v>0</v>
      </c>
      <c r="AL549" s="1020">
        <v>0</v>
      </c>
      <c r="AM549" s="1013">
        <f t="shared" si="128"/>
        <v>947827</v>
      </c>
      <c r="AN549" s="1045">
        <f t="shared" si="118"/>
        <v>6043164</v>
      </c>
      <c r="AO549" s="1013">
        <v>0</v>
      </c>
      <c r="AP549" s="1013">
        <v>0</v>
      </c>
      <c r="AQ549" s="1013">
        <v>0</v>
      </c>
      <c r="AR549" s="1013">
        <v>0</v>
      </c>
      <c r="AS549" s="1013">
        <v>0</v>
      </c>
      <c r="AT549" s="1045">
        <f t="shared" si="126"/>
        <v>6043164</v>
      </c>
      <c r="AU549" s="1004"/>
      <c r="AV549" s="870"/>
      <c r="AW549" s="782" t="s">
        <v>4372</v>
      </c>
      <c r="AX549" s="782" t="s">
        <v>4373</v>
      </c>
      <c r="AY549" s="1007" t="s">
        <v>288</v>
      </c>
      <c r="AZ549" s="1007">
        <v>622</v>
      </c>
      <c r="BA549" s="347" t="str">
        <f t="shared" si="127"/>
        <v>Bag</v>
      </c>
      <c r="BB549" s="1008"/>
      <c r="BC549" s="1009"/>
      <c r="BD549" s="1009"/>
    </row>
    <row r="550" spans="1:56" s="1010" customFormat="1" ht="36.75" customHeight="1">
      <c r="A550" s="661">
        <f>SUBTOTAL(3,B$6:B550)</f>
        <v>545</v>
      </c>
      <c r="B550" s="661" t="s">
        <v>1893</v>
      </c>
      <c r="C550" s="662" t="s">
        <v>1894</v>
      </c>
      <c r="D550" s="1011">
        <v>45736</v>
      </c>
      <c r="E550" s="1011" t="s">
        <v>218</v>
      </c>
      <c r="F550" s="787" t="s">
        <v>519</v>
      </c>
      <c r="G550" s="996" t="s">
        <v>797</v>
      </c>
      <c r="H550" s="1012">
        <v>4694000</v>
      </c>
      <c r="I550" s="1012">
        <v>0</v>
      </c>
      <c r="J550" s="1012">
        <v>0</v>
      </c>
      <c r="K550" s="1012">
        <v>0</v>
      </c>
      <c r="L550" s="1013">
        <f t="shared" si="130"/>
        <v>4694000</v>
      </c>
      <c r="M550" s="1014">
        <v>23</v>
      </c>
      <c r="N550" s="1013">
        <f t="shared" si="82"/>
        <v>4152385</v>
      </c>
      <c r="O550" s="1015">
        <v>3</v>
      </c>
      <c r="P550" s="1013">
        <f t="shared" si="83"/>
        <v>541615</v>
      </c>
      <c r="Q550" s="1016">
        <v>0</v>
      </c>
      <c r="R550" s="1013">
        <f t="shared" si="84"/>
        <v>0</v>
      </c>
      <c r="S550" s="1013">
        <f t="shared" si="85"/>
        <v>4694000</v>
      </c>
      <c r="T550" s="1017">
        <v>0</v>
      </c>
      <c r="U550" s="785">
        <v>0</v>
      </c>
      <c r="V550" s="785">
        <v>200000</v>
      </c>
      <c r="W550" s="1017">
        <v>500000</v>
      </c>
      <c r="X550" s="1017">
        <v>0</v>
      </c>
      <c r="Y550" s="1017">
        <v>400000</v>
      </c>
      <c r="Z550" s="1017">
        <v>185238</v>
      </c>
      <c r="AA550" s="1018"/>
      <c r="AB550" s="1013"/>
      <c r="AC550" s="1017">
        <v>0</v>
      </c>
      <c r="AD550" s="1017">
        <v>132864</v>
      </c>
      <c r="AE550" s="1013">
        <v>0</v>
      </c>
      <c r="AF550" s="1019"/>
      <c r="AG550" s="1019">
        <f t="shared" si="129"/>
        <v>6112102</v>
      </c>
      <c r="AH550" s="1014">
        <v>36</v>
      </c>
      <c r="AI550" s="1014">
        <v>0</v>
      </c>
      <c r="AJ550" s="1014">
        <v>0</v>
      </c>
      <c r="AK550" s="1018">
        <v>0</v>
      </c>
      <c r="AL550" s="1020">
        <v>0</v>
      </c>
      <c r="AM550" s="1013">
        <f t="shared" si="128"/>
        <v>1218635</v>
      </c>
      <c r="AN550" s="1045">
        <f t="shared" si="118"/>
        <v>7330737</v>
      </c>
      <c r="AO550" s="1013">
        <v>0</v>
      </c>
      <c r="AP550" s="1013">
        <v>0</v>
      </c>
      <c r="AQ550" s="1013">
        <v>0</v>
      </c>
      <c r="AR550" s="1013">
        <v>0</v>
      </c>
      <c r="AS550" s="1013">
        <v>0</v>
      </c>
      <c r="AT550" s="1045">
        <f t="shared" si="126"/>
        <v>7330737</v>
      </c>
      <c r="AU550" s="1004"/>
      <c r="AV550" s="870"/>
      <c r="AW550" s="782" t="s">
        <v>4374</v>
      </c>
      <c r="AX550" s="782" t="s">
        <v>4375</v>
      </c>
      <c r="AY550" s="1007" t="s">
        <v>288</v>
      </c>
      <c r="AZ550" s="1007">
        <v>622</v>
      </c>
      <c r="BA550" s="347" t="str">
        <f t="shared" si="127"/>
        <v>Bag</v>
      </c>
      <c r="BB550" s="1008"/>
      <c r="BC550" s="1009"/>
      <c r="BD550" s="1009"/>
    </row>
    <row r="551" spans="1:56" s="1010" customFormat="1" ht="36.75" customHeight="1">
      <c r="A551" s="661">
        <f>SUBTOTAL(3,B$6:B551)</f>
        <v>546</v>
      </c>
      <c r="B551" s="661" t="s">
        <v>5757</v>
      </c>
      <c r="C551" s="662" t="s">
        <v>5758</v>
      </c>
      <c r="D551" s="1011">
        <v>45771</v>
      </c>
      <c r="E551" s="1011" t="s">
        <v>218</v>
      </c>
      <c r="F551" s="787" t="s">
        <v>519</v>
      </c>
      <c r="G551" s="996" t="s">
        <v>554</v>
      </c>
      <c r="H551" s="1012">
        <v>4694000</v>
      </c>
      <c r="I551" s="1012">
        <v>0</v>
      </c>
      <c r="J551" s="1012">
        <v>0</v>
      </c>
      <c r="K551" s="1012">
        <v>0</v>
      </c>
      <c r="L551" s="1013">
        <f t="shared" si="130"/>
        <v>4694000</v>
      </c>
      <c r="M551" s="1014">
        <v>5</v>
      </c>
      <c r="N551" s="1013">
        <f t="shared" si="82"/>
        <v>902692</v>
      </c>
      <c r="O551" s="1015">
        <v>1</v>
      </c>
      <c r="P551" s="1013">
        <f t="shared" si="83"/>
        <v>180538</v>
      </c>
      <c r="Q551" s="1016">
        <v>0</v>
      </c>
      <c r="R551" s="1013">
        <f t="shared" si="84"/>
        <v>0</v>
      </c>
      <c r="S551" s="1013">
        <f t="shared" si="85"/>
        <v>1083230</v>
      </c>
      <c r="T551" s="1017">
        <v>0</v>
      </c>
      <c r="U551" s="785">
        <v>0</v>
      </c>
      <c r="V551" s="785">
        <v>46000</v>
      </c>
      <c r="W551" s="1017">
        <v>115000</v>
      </c>
      <c r="X551" s="1017">
        <v>0</v>
      </c>
      <c r="Y551" s="1017">
        <v>35000</v>
      </c>
      <c r="Z551" s="1017">
        <v>0</v>
      </c>
      <c r="AA551" s="1018"/>
      <c r="AB551" s="1013"/>
      <c r="AC551" s="1017">
        <v>0</v>
      </c>
      <c r="AD551" s="1017">
        <v>0</v>
      </c>
      <c r="AE551" s="1013">
        <v>0</v>
      </c>
      <c r="AF551" s="1019"/>
      <c r="AG551" s="1019">
        <f t="shared" si="129"/>
        <v>1279230</v>
      </c>
      <c r="AH551" s="1014">
        <v>0</v>
      </c>
      <c r="AI551" s="1014">
        <v>0</v>
      </c>
      <c r="AJ551" s="1014">
        <v>0</v>
      </c>
      <c r="AK551" s="1018">
        <v>0</v>
      </c>
      <c r="AL551" s="1020">
        <v>0</v>
      </c>
      <c r="AM551" s="1013">
        <f t="shared" si="128"/>
        <v>0</v>
      </c>
      <c r="AN551" s="1045">
        <f t="shared" si="118"/>
        <v>1279230</v>
      </c>
      <c r="AO551" s="1013">
        <v>0</v>
      </c>
      <c r="AP551" s="1013">
        <v>0</v>
      </c>
      <c r="AQ551" s="1013">
        <v>0</v>
      </c>
      <c r="AR551" s="1013">
        <v>0</v>
      </c>
      <c r="AS551" s="1013">
        <v>0</v>
      </c>
      <c r="AT551" s="1045">
        <f t="shared" si="126"/>
        <v>1279230</v>
      </c>
      <c r="AU551" s="1004"/>
      <c r="AV551" s="870"/>
      <c r="AW551" s="782"/>
      <c r="AX551" s="782" t="s">
        <v>3644</v>
      </c>
      <c r="AY551" s="1007" t="s">
        <v>288</v>
      </c>
      <c r="AZ551" s="1007">
        <v>622</v>
      </c>
      <c r="BA551" s="347" t="str">
        <f t="shared" si="127"/>
        <v>Bag</v>
      </c>
      <c r="BB551" s="1008"/>
      <c r="BC551" s="1009"/>
      <c r="BD551" s="1009"/>
    </row>
    <row r="552" spans="1:56" s="1010" customFormat="1" ht="36.75" customHeight="1">
      <c r="A552" s="661">
        <f>SUBTOTAL(3,B$6:B552)</f>
        <v>547</v>
      </c>
      <c r="B552" s="661" t="s">
        <v>1895</v>
      </c>
      <c r="C552" s="662" t="s">
        <v>1896</v>
      </c>
      <c r="D552" s="1011">
        <v>40835</v>
      </c>
      <c r="E552" s="1011" t="s">
        <v>218</v>
      </c>
      <c r="F552" s="787" t="s">
        <v>519</v>
      </c>
      <c r="G552" s="996" t="s">
        <v>797</v>
      </c>
      <c r="H552" s="1012">
        <v>5931000</v>
      </c>
      <c r="I552" s="1012">
        <v>0</v>
      </c>
      <c r="J552" s="1012">
        <v>0</v>
      </c>
      <c r="K552" s="1012">
        <v>0</v>
      </c>
      <c r="L552" s="1013">
        <f t="shared" si="130"/>
        <v>5931000</v>
      </c>
      <c r="M552" s="1014">
        <v>24</v>
      </c>
      <c r="N552" s="1013">
        <f t="shared" si="82"/>
        <v>5474769</v>
      </c>
      <c r="O552" s="1015">
        <v>2</v>
      </c>
      <c r="P552" s="1013">
        <f t="shared" si="83"/>
        <v>456231</v>
      </c>
      <c r="Q552" s="1016">
        <v>0</v>
      </c>
      <c r="R552" s="1013">
        <f t="shared" si="84"/>
        <v>0</v>
      </c>
      <c r="S552" s="1013">
        <f t="shared" si="85"/>
        <v>5931000</v>
      </c>
      <c r="T552" s="1017">
        <v>0</v>
      </c>
      <c r="U552" s="785">
        <v>0</v>
      </c>
      <c r="V552" s="785">
        <v>200000</v>
      </c>
      <c r="W552" s="1017">
        <v>500000</v>
      </c>
      <c r="X552" s="1017">
        <v>0</v>
      </c>
      <c r="Y552" s="1017">
        <v>400000</v>
      </c>
      <c r="Z552" s="1017">
        <v>535571</v>
      </c>
      <c r="AA552" s="1018"/>
      <c r="AB552" s="1013"/>
      <c r="AC552" s="1017">
        <v>0</v>
      </c>
      <c r="AD552" s="1017">
        <v>0</v>
      </c>
      <c r="AE552" s="1013">
        <v>42771.6328125</v>
      </c>
      <c r="AF552" s="1019"/>
      <c r="AG552" s="1019">
        <f t="shared" si="129"/>
        <v>7609343</v>
      </c>
      <c r="AH552" s="1014">
        <v>36</v>
      </c>
      <c r="AI552" s="1014">
        <v>0</v>
      </c>
      <c r="AJ552" s="1014">
        <v>0</v>
      </c>
      <c r="AK552" s="1018">
        <v>0</v>
      </c>
      <c r="AL552" s="1020">
        <v>0</v>
      </c>
      <c r="AM552" s="1013">
        <f t="shared" si="128"/>
        <v>1539779</v>
      </c>
      <c r="AN552" s="1045">
        <f t="shared" si="118"/>
        <v>9149122</v>
      </c>
      <c r="AO552" s="1013">
        <v>622755</v>
      </c>
      <c r="AP552" s="1013">
        <v>44100</v>
      </c>
      <c r="AQ552" s="1013">
        <v>0</v>
      </c>
      <c r="AR552" s="1013">
        <v>0</v>
      </c>
      <c r="AS552" s="1013">
        <v>0</v>
      </c>
      <c r="AT552" s="1045">
        <f t="shared" si="126"/>
        <v>8482267</v>
      </c>
      <c r="AU552" s="1004"/>
      <c r="AV552" s="870"/>
      <c r="AW552" s="782" t="s">
        <v>4376</v>
      </c>
      <c r="AX552" s="782" t="s">
        <v>4377</v>
      </c>
      <c r="AY552" s="1007" t="s">
        <v>288</v>
      </c>
      <c r="AZ552" s="1007">
        <v>622</v>
      </c>
      <c r="BA552" s="347" t="str">
        <f t="shared" si="127"/>
        <v>Bag</v>
      </c>
      <c r="BB552" s="1008"/>
      <c r="BC552" s="1009"/>
      <c r="BD552" s="1009"/>
    </row>
    <row r="553" spans="1:56" s="1010" customFormat="1" ht="36.75" customHeight="1">
      <c r="A553" s="661">
        <f>SUBTOTAL(3,B$6:B553)</f>
        <v>548</v>
      </c>
      <c r="B553" s="661" t="s">
        <v>1897</v>
      </c>
      <c r="C553" s="662" t="s">
        <v>1898</v>
      </c>
      <c r="D553" s="1011">
        <v>41334</v>
      </c>
      <c r="E553" s="1011" t="s">
        <v>218</v>
      </c>
      <c r="F553" s="787" t="s">
        <v>519</v>
      </c>
      <c r="G553" s="996" t="s">
        <v>797</v>
      </c>
      <c r="H553" s="1012">
        <v>5931000</v>
      </c>
      <c r="I553" s="1012">
        <v>0</v>
      </c>
      <c r="J553" s="1012">
        <v>0</v>
      </c>
      <c r="K553" s="1012">
        <v>0</v>
      </c>
      <c r="L553" s="1013">
        <f t="shared" si="130"/>
        <v>5931000</v>
      </c>
      <c r="M553" s="1014">
        <v>23</v>
      </c>
      <c r="N553" s="1013">
        <f t="shared" si="82"/>
        <v>5246654</v>
      </c>
      <c r="O553" s="1015">
        <v>3</v>
      </c>
      <c r="P553" s="1013">
        <f t="shared" si="83"/>
        <v>684346</v>
      </c>
      <c r="Q553" s="1016">
        <v>0</v>
      </c>
      <c r="R553" s="1013">
        <f t="shared" si="84"/>
        <v>0</v>
      </c>
      <c r="S553" s="1013">
        <f t="shared" si="85"/>
        <v>5931000</v>
      </c>
      <c r="T553" s="1017">
        <v>0</v>
      </c>
      <c r="U553" s="785">
        <v>0</v>
      </c>
      <c r="V553" s="785">
        <v>200000</v>
      </c>
      <c r="W553" s="1017">
        <v>500000</v>
      </c>
      <c r="X553" s="1017">
        <v>0</v>
      </c>
      <c r="Y553" s="1017">
        <v>400000</v>
      </c>
      <c r="Z553" s="1017">
        <v>564405</v>
      </c>
      <c r="AA553" s="1018"/>
      <c r="AB553" s="1013"/>
      <c r="AC553" s="1017">
        <v>100000</v>
      </c>
      <c r="AD553" s="1017">
        <v>0</v>
      </c>
      <c r="AE553" s="1013">
        <v>42771.635869565216</v>
      </c>
      <c r="AF553" s="1019"/>
      <c r="AG553" s="1019">
        <f t="shared" si="129"/>
        <v>7738177</v>
      </c>
      <c r="AH553" s="1014">
        <v>36</v>
      </c>
      <c r="AI553" s="1014">
        <v>0</v>
      </c>
      <c r="AJ553" s="1014">
        <v>0</v>
      </c>
      <c r="AK553" s="1018">
        <v>0</v>
      </c>
      <c r="AL553" s="1020">
        <v>0</v>
      </c>
      <c r="AM553" s="1013">
        <f t="shared" si="128"/>
        <v>1539779</v>
      </c>
      <c r="AN553" s="1045">
        <f t="shared" si="118"/>
        <v>9277956</v>
      </c>
      <c r="AO553" s="1013">
        <v>622755</v>
      </c>
      <c r="AP553" s="1013">
        <v>44100</v>
      </c>
      <c r="AQ553" s="1013">
        <v>0</v>
      </c>
      <c r="AR553" s="1013">
        <v>0</v>
      </c>
      <c r="AS553" s="1013">
        <v>0</v>
      </c>
      <c r="AT553" s="1045">
        <f t="shared" si="126"/>
        <v>8611101</v>
      </c>
      <c r="AU553" s="1004"/>
      <c r="AV553" s="870"/>
      <c r="AW553" s="782" t="s">
        <v>4378</v>
      </c>
      <c r="AX553" s="782" t="s">
        <v>4379</v>
      </c>
      <c r="AY553" s="1007" t="s">
        <v>288</v>
      </c>
      <c r="AZ553" s="1007">
        <v>622</v>
      </c>
      <c r="BA553" s="347" t="str">
        <f t="shared" si="127"/>
        <v>Bag</v>
      </c>
      <c r="BB553" s="1008"/>
      <c r="BC553" s="1009"/>
      <c r="BD553" s="1009"/>
    </row>
    <row r="554" spans="1:56" s="1010" customFormat="1" ht="36.75" customHeight="1">
      <c r="A554" s="661">
        <f>SUBTOTAL(3,B$6:B554)</f>
        <v>549</v>
      </c>
      <c r="B554" s="661" t="s">
        <v>1899</v>
      </c>
      <c r="C554" s="662" t="s">
        <v>1900</v>
      </c>
      <c r="D554" s="1011">
        <v>42790</v>
      </c>
      <c r="E554" s="1011" t="s">
        <v>218</v>
      </c>
      <c r="F554" s="787" t="s">
        <v>519</v>
      </c>
      <c r="G554" s="996" t="s">
        <v>797</v>
      </c>
      <c r="H554" s="1012">
        <v>5931000</v>
      </c>
      <c r="I554" s="1012">
        <v>0</v>
      </c>
      <c r="J554" s="1012">
        <v>0</v>
      </c>
      <c r="K554" s="1012">
        <v>0</v>
      </c>
      <c r="L554" s="1013">
        <f t="shared" si="130"/>
        <v>5931000</v>
      </c>
      <c r="M554" s="1014">
        <v>24</v>
      </c>
      <c r="N554" s="1013">
        <f t="shared" si="82"/>
        <v>5474769</v>
      </c>
      <c r="O554" s="1015">
        <v>2</v>
      </c>
      <c r="P554" s="1013">
        <f t="shared" si="83"/>
        <v>456231</v>
      </c>
      <c r="Q554" s="1016">
        <v>0</v>
      </c>
      <c r="R554" s="1013">
        <f t="shared" si="84"/>
        <v>0</v>
      </c>
      <c r="S554" s="1013">
        <f t="shared" si="85"/>
        <v>5931000</v>
      </c>
      <c r="T554" s="1017">
        <v>0</v>
      </c>
      <c r="U554" s="785">
        <v>0</v>
      </c>
      <c r="V554" s="785">
        <v>200000</v>
      </c>
      <c r="W554" s="1017">
        <v>500000</v>
      </c>
      <c r="X554" s="1017">
        <v>0</v>
      </c>
      <c r="Y554" s="1017">
        <v>400000</v>
      </c>
      <c r="Z554" s="1017">
        <v>476646</v>
      </c>
      <c r="AA554" s="1018"/>
      <c r="AB554" s="1013"/>
      <c r="AC554" s="1017">
        <v>0</v>
      </c>
      <c r="AD554" s="1017">
        <v>0</v>
      </c>
      <c r="AE554" s="1013">
        <v>42771.6328125</v>
      </c>
      <c r="AF554" s="1019"/>
      <c r="AG554" s="1019">
        <f t="shared" si="129"/>
        <v>7550418</v>
      </c>
      <c r="AH554" s="1014">
        <v>36</v>
      </c>
      <c r="AI554" s="1014">
        <v>0</v>
      </c>
      <c r="AJ554" s="1014">
        <v>0</v>
      </c>
      <c r="AK554" s="1018">
        <v>0</v>
      </c>
      <c r="AL554" s="1020">
        <v>0</v>
      </c>
      <c r="AM554" s="1013">
        <f t="shared" si="128"/>
        <v>1539779</v>
      </c>
      <c r="AN554" s="1045">
        <f t="shared" si="118"/>
        <v>9090197</v>
      </c>
      <c r="AO554" s="1013">
        <v>622755</v>
      </c>
      <c r="AP554" s="1013">
        <v>44100</v>
      </c>
      <c r="AQ554" s="1013">
        <v>0</v>
      </c>
      <c r="AR554" s="1013">
        <v>0</v>
      </c>
      <c r="AS554" s="1013">
        <v>0</v>
      </c>
      <c r="AT554" s="1045">
        <f t="shared" si="126"/>
        <v>8423342</v>
      </c>
      <c r="AU554" s="1004"/>
      <c r="AV554" s="870"/>
      <c r="AW554" s="782" t="s">
        <v>4380</v>
      </c>
      <c r="AX554" s="782" t="s">
        <v>4381</v>
      </c>
      <c r="AY554" s="1007" t="s">
        <v>288</v>
      </c>
      <c r="AZ554" s="1007">
        <v>622</v>
      </c>
      <c r="BA554" s="347" t="str">
        <f t="shared" si="127"/>
        <v>Bag</v>
      </c>
      <c r="BB554" s="1008"/>
      <c r="BC554" s="1009"/>
      <c r="BD554" s="1009"/>
    </row>
    <row r="555" spans="1:56" s="1010" customFormat="1" ht="36.75" customHeight="1">
      <c r="A555" s="661">
        <f>SUBTOTAL(3,B$6:B555)</f>
        <v>550</v>
      </c>
      <c r="B555" s="661" t="s">
        <v>1901</v>
      </c>
      <c r="C555" s="662" t="s">
        <v>1902</v>
      </c>
      <c r="D555" s="1011">
        <v>43172</v>
      </c>
      <c r="E555" s="1011" t="s">
        <v>218</v>
      </c>
      <c r="F555" s="787" t="s">
        <v>519</v>
      </c>
      <c r="G555" s="996" t="s">
        <v>797</v>
      </c>
      <c r="H555" s="1012">
        <v>5931000</v>
      </c>
      <c r="I555" s="1012">
        <v>0</v>
      </c>
      <c r="J555" s="1012">
        <v>0</v>
      </c>
      <c r="K555" s="1012">
        <v>0</v>
      </c>
      <c r="L555" s="1013">
        <f t="shared" si="130"/>
        <v>5931000</v>
      </c>
      <c r="M555" s="1014">
        <v>24</v>
      </c>
      <c r="N555" s="1013">
        <f t="shared" si="82"/>
        <v>5474769</v>
      </c>
      <c r="O555" s="1015">
        <v>2</v>
      </c>
      <c r="P555" s="1013">
        <f t="shared" si="83"/>
        <v>456231</v>
      </c>
      <c r="Q555" s="1016">
        <v>0</v>
      </c>
      <c r="R555" s="1013">
        <f t="shared" si="84"/>
        <v>0</v>
      </c>
      <c r="S555" s="1013">
        <f t="shared" si="85"/>
        <v>5931000</v>
      </c>
      <c r="T555" s="1017">
        <v>0</v>
      </c>
      <c r="U555" s="785">
        <v>0</v>
      </c>
      <c r="V555" s="785">
        <v>200000</v>
      </c>
      <c r="W555" s="1017">
        <v>500000</v>
      </c>
      <c r="X555" s="1017">
        <v>0</v>
      </c>
      <c r="Y555" s="1017">
        <v>400000</v>
      </c>
      <c r="Z555" s="1017">
        <v>602971</v>
      </c>
      <c r="AA555" s="1018"/>
      <c r="AB555" s="1013"/>
      <c r="AC555" s="1017">
        <v>0</v>
      </c>
      <c r="AD555" s="1017">
        <v>0</v>
      </c>
      <c r="AE555" s="1013">
        <v>42771.6328125</v>
      </c>
      <c r="AF555" s="1019"/>
      <c r="AG555" s="1019">
        <f t="shared" si="129"/>
        <v>7676743</v>
      </c>
      <c r="AH555" s="1014">
        <v>36</v>
      </c>
      <c r="AI555" s="1014">
        <v>0</v>
      </c>
      <c r="AJ555" s="1014">
        <v>0</v>
      </c>
      <c r="AK555" s="1018">
        <v>0</v>
      </c>
      <c r="AL555" s="1020">
        <v>0</v>
      </c>
      <c r="AM555" s="1013">
        <f t="shared" si="128"/>
        <v>1539779</v>
      </c>
      <c r="AN555" s="1045">
        <f t="shared" si="118"/>
        <v>9216522</v>
      </c>
      <c r="AO555" s="1013">
        <v>622755</v>
      </c>
      <c r="AP555" s="1013">
        <v>44100</v>
      </c>
      <c r="AQ555" s="1013">
        <v>0</v>
      </c>
      <c r="AR555" s="1013">
        <v>0</v>
      </c>
      <c r="AS555" s="1013">
        <v>0</v>
      </c>
      <c r="AT555" s="1045">
        <f t="shared" si="126"/>
        <v>8549667</v>
      </c>
      <c r="AU555" s="1004"/>
      <c r="AV555" s="870"/>
      <c r="AW555" s="782" t="s">
        <v>3460</v>
      </c>
      <c r="AX555" s="782" t="s">
        <v>4382</v>
      </c>
      <c r="AY555" s="1007" t="s">
        <v>288</v>
      </c>
      <c r="AZ555" s="1007">
        <v>622</v>
      </c>
      <c r="BA555" s="347" t="str">
        <f t="shared" si="127"/>
        <v>Bag</v>
      </c>
      <c r="BB555" s="1008"/>
      <c r="BC555" s="1009"/>
      <c r="BD555" s="1009"/>
    </row>
    <row r="556" spans="1:56" s="1010" customFormat="1" ht="36.75" customHeight="1">
      <c r="A556" s="661">
        <f>SUBTOTAL(3,B$6:B556)</f>
        <v>551</v>
      </c>
      <c r="B556" s="661" t="s">
        <v>1903</v>
      </c>
      <c r="C556" s="662" t="s">
        <v>1904</v>
      </c>
      <c r="D556" s="1011">
        <v>43210</v>
      </c>
      <c r="E556" s="1011" t="s">
        <v>218</v>
      </c>
      <c r="F556" s="787" t="s">
        <v>519</v>
      </c>
      <c r="G556" s="996" t="s">
        <v>797</v>
      </c>
      <c r="H556" s="1012">
        <v>5931000</v>
      </c>
      <c r="I556" s="1012">
        <v>0</v>
      </c>
      <c r="J556" s="1012">
        <v>0</v>
      </c>
      <c r="K556" s="1012">
        <v>0</v>
      </c>
      <c r="L556" s="1013">
        <f t="shared" si="130"/>
        <v>5931000</v>
      </c>
      <c r="M556" s="1014">
        <v>22</v>
      </c>
      <c r="N556" s="1013">
        <f t="shared" ref="N556:N570" si="131">ROUND((H556+I556+J556+K556)/IF($M$2&gt;26,26,$M$2)*M556,0)</f>
        <v>5018538</v>
      </c>
      <c r="O556" s="1015">
        <v>2</v>
      </c>
      <c r="P556" s="1013">
        <f t="shared" ref="P556:P570" si="132">ROUND((H556+I556+J556+K556)/IF($M$2&gt;26,26,$M$2)*O556,0)</f>
        <v>456231</v>
      </c>
      <c r="Q556" s="1016">
        <v>0</v>
      </c>
      <c r="R556" s="1013">
        <f t="shared" ref="R556:R570" si="133">IF(M556&gt;0,ROUND(N556/IF(M556&gt;26,26,M556)/8*Q556*30%,0),0)</f>
        <v>0</v>
      </c>
      <c r="S556" s="1013">
        <f t="shared" ref="S556:S570" si="134">N556+P556+R556</f>
        <v>5474769</v>
      </c>
      <c r="T556" s="1017">
        <v>0</v>
      </c>
      <c r="U556" s="785">
        <v>0</v>
      </c>
      <c r="V556" s="785">
        <v>200000</v>
      </c>
      <c r="W556" s="1017">
        <v>0</v>
      </c>
      <c r="X556" s="1017">
        <v>0</v>
      </c>
      <c r="Y556" s="1017">
        <v>300000</v>
      </c>
      <c r="Z556" s="1017">
        <v>514337</v>
      </c>
      <c r="AA556" s="1018"/>
      <c r="AB556" s="1013"/>
      <c r="AC556" s="1017">
        <v>0</v>
      </c>
      <c r="AD556" s="1017">
        <v>0</v>
      </c>
      <c r="AE556" s="1013">
        <v>42771.630681818184</v>
      </c>
      <c r="AF556" s="1019"/>
      <c r="AG556" s="1019">
        <f t="shared" si="129"/>
        <v>6531878</v>
      </c>
      <c r="AH556" s="1014">
        <v>32</v>
      </c>
      <c r="AI556" s="1014">
        <v>0</v>
      </c>
      <c r="AJ556" s="1014">
        <v>0</v>
      </c>
      <c r="AK556" s="1018">
        <v>0</v>
      </c>
      <c r="AL556" s="1020">
        <v>0</v>
      </c>
      <c r="AM556" s="1013">
        <f t="shared" si="128"/>
        <v>1368692</v>
      </c>
      <c r="AN556" s="1045">
        <f t="shared" si="118"/>
        <v>7900570</v>
      </c>
      <c r="AO556" s="1013">
        <v>622755</v>
      </c>
      <c r="AP556" s="1013">
        <v>44100</v>
      </c>
      <c r="AQ556" s="1013">
        <v>0</v>
      </c>
      <c r="AR556" s="1013">
        <v>0</v>
      </c>
      <c r="AS556" s="1013">
        <v>0</v>
      </c>
      <c r="AT556" s="1045">
        <f t="shared" si="126"/>
        <v>7233715</v>
      </c>
      <c r="AU556" s="1004"/>
      <c r="AV556" s="870"/>
      <c r="AW556" s="782" t="s">
        <v>4383</v>
      </c>
      <c r="AX556" s="782" t="s">
        <v>4384</v>
      </c>
      <c r="AY556" s="1007" t="s">
        <v>288</v>
      </c>
      <c r="AZ556" s="1007">
        <v>622</v>
      </c>
      <c r="BA556" s="347" t="str">
        <f t="shared" si="127"/>
        <v>Bag</v>
      </c>
      <c r="BB556" s="1008"/>
      <c r="BC556" s="1009"/>
      <c r="BD556" s="1009"/>
    </row>
    <row r="557" spans="1:56" s="1010" customFormat="1" ht="36.75" customHeight="1">
      <c r="A557" s="661">
        <f>SUBTOTAL(3,B$6:B557)</f>
        <v>552</v>
      </c>
      <c r="B557" s="661" t="s">
        <v>1905</v>
      </c>
      <c r="C557" s="662" t="s">
        <v>1906</v>
      </c>
      <c r="D557" s="1011">
        <v>43511</v>
      </c>
      <c r="E557" s="1011" t="s">
        <v>218</v>
      </c>
      <c r="F557" s="787" t="s">
        <v>519</v>
      </c>
      <c r="G557" s="996" t="s">
        <v>797</v>
      </c>
      <c r="H557" s="1012">
        <v>5931000</v>
      </c>
      <c r="I557" s="1012">
        <v>0</v>
      </c>
      <c r="J557" s="1012">
        <v>0</v>
      </c>
      <c r="K557" s="1012">
        <v>0</v>
      </c>
      <c r="L557" s="1013">
        <f t="shared" si="130"/>
        <v>5931000</v>
      </c>
      <c r="M557" s="1014">
        <v>23</v>
      </c>
      <c r="N557" s="1013">
        <f t="shared" si="131"/>
        <v>5246654</v>
      </c>
      <c r="O557" s="1015">
        <v>3</v>
      </c>
      <c r="P557" s="1013">
        <f t="shared" si="132"/>
        <v>684346</v>
      </c>
      <c r="Q557" s="1016">
        <v>0</v>
      </c>
      <c r="R557" s="1013">
        <f t="shared" si="133"/>
        <v>0</v>
      </c>
      <c r="S557" s="1013">
        <f t="shared" si="134"/>
        <v>5931000</v>
      </c>
      <c r="T557" s="1017">
        <v>0</v>
      </c>
      <c r="U557" s="785">
        <v>0</v>
      </c>
      <c r="V557" s="785">
        <v>200000</v>
      </c>
      <c r="W557" s="1017">
        <v>500000</v>
      </c>
      <c r="X557" s="1017">
        <v>0</v>
      </c>
      <c r="Y557" s="1017">
        <v>400000</v>
      </c>
      <c r="Z557" s="1017">
        <v>563540</v>
      </c>
      <c r="AA557" s="1018"/>
      <c r="AB557" s="1013"/>
      <c r="AC557" s="1017">
        <v>100000</v>
      </c>
      <c r="AD557" s="1017">
        <v>0</v>
      </c>
      <c r="AE557" s="1013">
        <v>42771.635869565216</v>
      </c>
      <c r="AF557" s="1019"/>
      <c r="AG557" s="1019">
        <f t="shared" si="129"/>
        <v>7737312</v>
      </c>
      <c r="AH557" s="1014">
        <v>36</v>
      </c>
      <c r="AI557" s="1014">
        <v>0</v>
      </c>
      <c r="AJ557" s="1014">
        <v>0</v>
      </c>
      <c r="AK557" s="1018">
        <v>0</v>
      </c>
      <c r="AL557" s="1020">
        <v>0</v>
      </c>
      <c r="AM557" s="1013">
        <f t="shared" si="128"/>
        <v>1539779</v>
      </c>
      <c r="AN557" s="1045">
        <f t="shared" si="118"/>
        <v>9277091</v>
      </c>
      <c r="AO557" s="1013">
        <v>622755</v>
      </c>
      <c r="AP557" s="1013">
        <v>44100</v>
      </c>
      <c r="AQ557" s="1013">
        <v>0</v>
      </c>
      <c r="AR557" s="1013">
        <v>0</v>
      </c>
      <c r="AS557" s="1013">
        <v>0</v>
      </c>
      <c r="AT557" s="1045">
        <f t="shared" ref="AT557:AT620" si="135">+ROUND(SUM(AN557:AN557)-SUM(AO557:AS557),0)</f>
        <v>8610236</v>
      </c>
      <c r="AU557" s="1004"/>
      <c r="AV557" s="870"/>
      <c r="AW557" s="782" t="s">
        <v>4385</v>
      </c>
      <c r="AX557" s="782" t="s">
        <v>4386</v>
      </c>
      <c r="AY557" s="1007" t="s">
        <v>288</v>
      </c>
      <c r="AZ557" s="1007">
        <v>622</v>
      </c>
      <c r="BA557" s="347" t="str">
        <f t="shared" si="127"/>
        <v>Bag</v>
      </c>
      <c r="BB557" s="1008"/>
      <c r="BC557" s="1009"/>
      <c r="BD557" s="1009"/>
    </row>
    <row r="558" spans="1:56" s="1010" customFormat="1" ht="36.75" customHeight="1">
      <c r="A558" s="661">
        <f>SUBTOTAL(3,B$6:B558)</f>
        <v>553</v>
      </c>
      <c r="B558" s="661" t="s">
        <v>1907</v>
      </c>
      <c r="C558" s="662" t="s">
        <v>1188</v>
      </c>
      <c r="D558" s="1011">
        <v>43517</v>
      </c>
      <c r="E558" s="1011" t="s">
        <v>218</v>
      </c>
      <c r="F558" s="787" t="s">
        <v>519</v>
      </c>
      <c r="G558" s="996" t="s">
        <v>1232</v>
      </c>
      <c r="H558" s="1012">
        <v>5931000</v>
      </c>
      <c r="I558" s="1012">
        <v>200000</v>
      </c>
      <c r="J558" s="1012">
        <v>0</v>
      </c>
      <c r="K558" s="1012">
        <v>0</v>
      </c>
      <c r="L558" s="1013">
        <f t="shared" si="130"/>
        <v>6131000</v>
      </c>
      <c r="M558" s="1014">
        <v>23</v>
      </c>
      <c r="N558" s="1013">
        <f t="shared" si="131"/>
        <v>5423577</v>
      </c>
      <c r="O558" s="1015">
        <v>3</v>
      </c>
      <c r="P558" s="1013">
        <f t="shared" si="132"/>
        <v>707423</v>
      </c>
      <c r="Q558" s="1016">
        <v>0</v>
      </c>
      <c r="R558" s="1013">
        <f t="shared" si="133"/>
        <v>0</v>
      </c>
      <c r="S558" s="1013">
        <f t="shared" si="134"/>
        <v>6131000</v>
      </c>
      <c r="T558" s="1017">
        <v>0</v>
      </c>
      <c r="U558" s="785">
        <v>0</v>
      </c>
      <c r="V558" s="785">
        <v>200000</v>
      </c>
      <c r="W558" s="1017">
        <v>500000</v>
      </c>
      <c r="X558" s="1017">
        <v>0</v>
      </c>
      <c r="Y558" s="1017">
        <v>400000</v>
      </c>
      <c r="Z558" s="1017">
        <v>453910</v>
      </c>
      <c r="AA558" s="1018"/>
      <c r="AB558" s="1013"/>
      <c r="AC558" s="1017">
        <v>0</v>
      </c>
      <c r="AD558" s="1017">
        <v>0</v>
      </c>
      <c r="AE558" s="1013">
        <v>44213.942934782608</v>
      </c>
      <c r="AF558" s="1019"/>
      <c r="AG558" s="1019">
        <f t="shared" si="129"/>
        <v>7729124</v>
      </c>
      <c r="AH558" s="1014">
        <v>36</v>
      </c>
      <c r="AI558" s="1014">
        <v>0</v>
      </c>
      <c r="AJ558" s="1014">
        <v>0</v>
      </c>
      <c r="AK558" s="1018">
        <v>0</v>
      </c>
      <c r="AL558" s="1020">
        <v>0</v>
      </c>
      <c r="AM558" s="1013">
        <f t="shared" si="128"/>
        <v>1591702</v>
      </c>
      <c r="AN558" s="1045">
        <f t="shared" si="118"/>
        <v>9320826</v>
      </c>
      <c r="AO558" s="1013">
        <v>643755</v>
      </c>
      <c r="AP558" s="1013">
        <v>44100</v>
      </c>
      <c r="AQ558" s="1013">
        <v>0</v>
      </c>
      <c r="AR558" s="1013">
        <v>0</v>
      </c>
      <c r="AS558" s="1013">
        <v>0</v>
      </c>
      <c r="AT558" s="1045">
        <f t="shared" si="135"/>
        <v>8632971</v>
      </c>
      <c r="AU558" s="1004"/>
      <c r="AV558" s="870"/>
      <c r="AW558" s="782" t="s">
        <v>3704</v>
      </c>
      <c r="AX558" s="782" t="s">
        <v>4387</v>
      </c>
      <c r="AY558" s="1007" t="s">
        <v>288</v>
      </c>
      <c r="AZ558" s="1007">
        <v>622</v>
      </c>
      <c r="BA558" s="347" t="str">
        <f t="shared" si="127"/>
        <v>Bag</v>
      </c>
      <c r="BB558" s="1008"/>
      <c r="BC558" s="1009"/>
      <c r="BD558" s="1009"/>
    </row>
    <row r="559" spans="1:56" s="1010" customFormat="1" ht="36.75" customHeight="1">
      <c r="A559" s="661">
        <f>SUBTOTAL(3,B$6:B559)</f>
        <v>554</v>
      </c>
      <c r="B559" s="661" t="s">
        <v>1908</v>
      </c>
      <c r="C559" s="662" t="s">
        <v>1909</v>
      </c>
      <c r="D559" s="1011">
        <v>43522</v>
      </c>
      <c r="E559" s="1011" t="s">
        <v>218</v>
      </c>
      <c r="F559" s="787" t="s">
        <v>519</v>
      </c>
      <c r="G559" s="996" t="s">
        <v>1232</v>
      </c>
      <c r="H559" s="1012">
        <v>5931000</v>
      </c>
      <c r="I559" s="1012">
        <v>200000</v>
      </c>
      <c r="J559" s="1012">
        <v>0</v>
      </c>
      <c r="K559" s="1012">
        <v>0</v>
      </c>
      <c r="L559" s="1013">
        <f t="shared" si="130"/>
        <v>6131000</v>
      </c>
      <c r="M559" s="1014">
        <v>23.8</v>
      </c>
      <c r="N559" s="1013">
        <f t="shared" si="131"/>
        <v>5612223</v>
      </c>
      <c r="O559" s="1015">
        <v>2</v>
      </c>
      <c r="P559" s="1013">
        <f t="shared" si="132"/>
        <v>471615</v>
      </c>
      <c r="Q559" s="1016">
        <v>0</v>
      </c>
      <c r="R559" s="1013">
        <f t="shared" si="133"/>
        <v>0</v>
      </c>
      <c r="S559" s="1013">
        <f t="shared" si="134"/>
        <v>6083838</v>
      </c>
      <c r="T559" s="1017">
        <v>0</v>
      </c>
      <c r="U559" s="785">
        <v>0</v>
      </c>
      <c r="V559" s="785">
        <v>200000</v>
      </c>
      <c r="W559" s="1017">
        <v>500000</v>
      </c>
      <c r="X559" s="1017">
        <v>0</v>
      </c>
      <c r="Y559" s="1017">
        <v>400000</v>
      </c>
      <c r="Z559" s="1017">
        <v>457058</v>
      </c>
      <c r="AA559" s="1018"/>
      <c r="AB559" s="1013"/>
      <c r="AC559" s="1017">
        <v>100000</v>
      </c>
      <c r="AD559" s="1017">
        <v>0</v>
      </c>
      <c r="AE559" s="1013">
        <v>0</v>
      </c>
      <c r="AF559" s="1019"/>
      <c r="AG559" s="1019">
        <f t="shared" si="129"/>
        <v>7740896</v>
      </c>
      <c r="AH559" s="1014">
        <v>36</v>
      </c>
      <c r="AI559" s="1014">
        <v>0</v>
      </c>
      <c r="AJ559" s="1014">
        <v>0</v>
      </c>
      <c r="AK559" s="1018">
        <v>0</v>
      </c>
      <c r="AL559" s="1020">
        <v>0</v>
      </c>
      <c r="AM559" s="1013">
        <f t="shared" si="128"/>
        <v>1591702</v>
      </c>
      <c r="AN559" s="1045">
        <f t="shared" si="118"/>
        <v>9332598</v>
      </c>
      <c r="AO559" s="1013">
        <v>643755</v>
      </c>
      <c r="AP559" s="1013">
        <v>44100</v>
      </c>
      <c r="AQ559" s="1013">
        <v>0</v>
      </c>
      <c r="AR559" s="1013">
        <v>0</v>
      </c>
      <c r="AS559" s="1013">
        <v>0</v>
      </c>
      <c r="AT559" s="1045">
        <f t="shared" si="135"/>
        <v>8644743</v>
      </c>
      <c r="AU559" s="1004"/>
      <c r="AV559" s="870"/>
      <c r="AW559" s="782" t="s">
        <v>4388</v>
      </c>
      <c r="AX559" s="782" t="s">
        <v>4389</v>
      </c>
      <c r="AY559" s="1007" t="s">
        <v>288</v>
      </c>
      <c r="AZ559" s="1007">
        <v>622</v>
      </c>
      <c r="BA559" s="347" t="str">
        <f t="shared" si="127"/>
        <v>Bag</v>
      </c>
      <c r="BB559" s="1008"/>
      <c r="BC559" s="1009"/>
      <c r="BD559" s="1009"/>
    </row>
    <row r="560" spans="1:56" s="1010" customFormat="1" ht="36.75" customHeight="1">
      <c r="A560" s="661">
        <f>SUBTOTAL(3,B$6:B560)</f>
        <v>555</v>
      </c>
      <c r="B560" s="661" t="s">
        <v>1910</v>
      </c>
      <c r="C560" s="662" t="s">
        <v>1911</v>
      </c>
      <c r="D560" s="1011">
        <v>43522</v>
      </c>
      <c r="E560" s="1011" t="s">
        <v>218</v>
      </c>
      <c r="F560" s="787" t="s">
        <v>519</v>
      </c>
      <c r="G560" s="996" t="s">
        <v>1232</v>
      </c>
      <c r="H560" s="1012">
        <v>5931000</v>
      </c>
      <c r="I560" s="1012">
        <v>200000</v>
      </c>
      <c r="J560" s="1012">
        <v>0</v>
      </c>
      <c r="K560" s="1012">
        <v>0</v>
      </c>
      <c r="L560" s="1013">
        <f t="shared" si="130"/>
        <v>6131000</v>
      </c>
      <c r="M560" s="1014">
        <v>23.8</v>
      </c>
      <c r="N560" s="1013">
        <f t="shared" si="131"/>
        <v>5612223</v>
      </c>
      <c r="O560" s="1015">
        <v>2</v>
      </c>
      <c r="P560" s="1013">
        <f t="shared" si="132"/>
        <v>471615</v>
      </c>
      <c r="Q560" s="1016">
        <v>0</v>
      </c>
      <c r="R560" s="1013">
        <f t="shared" si="133"/>
        <v>0</v>
      </c>
      <c r="S560" s="1013">
        <f t="shared" si="134"/>
        <v>6083838</v>
      </c>
      <c r="T560" s="1017">
        <v>0</v>
      </c>
      <c r="U560" s="785">
        <v>0</v>
      </c>
      <c r="V560" s="785">
        <v>200000</v>
      </c>
      <c r="W560" s="1017">
        <v>500000</v>
      </c>
      <c r="X560" s="1017">
        <v>0</v>
      </c>
      <c r="Y560" s="1017">
        <v>400000</v>
      </c>
      <c r="Z560" s="1017">
        <v>571506</v>
      </c>
      <c r="AA560" s="1018"/>
      <c r="AB560" s="1013"/>
      <c r="AC560" s="1017">
        <v>0</v>
      </c>
      <c r="AD560" s="1017">
        <v>0</v>
      </c>
      <c r="AE560" s="1013">
        <v>44213.941701680669</v>
      </c>
      <c r="AF560" s="1019"/>
      <c r="AG560" s="1019">
        <f t="shared" si="129"/>
        <v>7799558</v>
      </c>
      <c r="AH560" s="1014">
        <v>36</v>
      </c>
      <c r="AI560" s="1014">
        <v>0</v>
      </c>
      <c r="AJ560" s="1014">
        <v>0</v>
      </c>
      <c r="AK560" s="1018">
        <v>0</v>
      </c>
      <c r="AL560" s="1020">
        <v>0</v>
      </c>
      <c r="AM560" s="1013">
        <f t="shared" si="128"/>
        <v>1591702</v>
      </c>
      <c r="AN560" s="1045">
        <f t="shared" si="118"/>
        <v>9391260</v>
      </c>
      <c r="AO560" s="1013">
        <v>643755</v>
      </c>
      <c r="AP560" s="1013">
        <v>44100</v>
      </c>
      <c r="AQ560" s="1013">
        <v>0</v>
      </c>
      <c r="AR560" s="1013">
        <v>0</v>
      </c>
      <c r="AS560" s="1013">
        <v>0</v>
      </c>
      <c r="AT560" s="1045">
        <f t="shared" si="135"/>
        <v>8703405</v>
      </c>
      <c r="AU560" s="1004"/>
      <c r="AV560" s="870"/>
      <c r="AW560" s="782" t="s">
        <v>4390</v>
      </c>
      <c r="AX560" s="782" t="s">
        <v>4391</v>
      </c>
      <c r="AY560" s="1007" t="s">
        <v>288</v>
      </c>
      <c r="AZ560" s="1007">
        <v>622</v>
      </c>
      <c r="BA560" s="347" t="str">
        <f t="shared" si="127"/>
        <v>Bag</v>
      </c>
      <c r="BB560" s="1008"/>
      <c r="BC560" s="1009"/>
      <c r="BD560" s="1009"/>
    </row>
    <row r="561" spans="1:56" s="1010" customFormat="1" ht="36.75" customHeight="1">
      <c r="A561" s="661">
        <f>SUBTOTAL(3,B$6:B561)</f>
        <v>556</v>
      </c>
      <c r="B561" s="661" t="s">
        <v>1912</v>
      </c>
      <c r="C561" s="662" t="s">
        <v>1913</v>
      </c>
      <c r="D561" s="1011">
        <v>43532</v>
      </c>
      <c r="E561" s="1011" t="s">
        <v>218</v>
      </c>
      <c r="F561" s="787" t="s">
        <v>519</v>
      </c>
      <c r="G561" s="996" t="s">
        <v>797</v>
      </c>
      <c r="H561" s="1012">
        <v>5931000</v>
      </c>
      <c r="I561" s="1012">
        <v>0</v>
      </c>
      <c r="J561" s="1012">
        <v>0</v>
      </c>
      <c r="K561" s="1012">
        <v>0</v>
      </c>
      <c r="L561" s="1013">
        <f t="shared" si="130"/>
        <v>5931000</v>
      </c>
      <c r="M561" s="1014">
        <v>23</v>
      </c>
      <c r="N561" s="1013">
        <f t="shared" si="131"/>
        <v>5246654</v>
      </c>
      <c r="O561" s="1015">
        <v>3</v>
      </c>
      <c r="P561" s="1013">
        <f t="shared" si="132"/>
        <v>684346</v>
      </c>
      <c r="Q561" s="1016">
        <v>0</v>
      </c>
      <c r="R561" s="1013">
        <f t="shared" si="133"/>
        <v>0</v>
      </c>
      <c r="S561" s="1013">
        <f t="shared" si="134"/>
        <v>5931000</v>
      </c>
      <c r="T561" s="1017">
        <v>0</v>
      </c>
      <c r="U561" s="785">
        <v>0</v>
      </c>
      <c r="V561" s="785">
        <v>200000</v>
      </c>
      <c r="W561" s="1017">
        <v>500000</v>
      </c>
      <c r="X561" s="1017">
        <v>0</v>
      </c>
      <c r="Y561" s="1017">
        <v>400000</v>
      </c>
      <c r="Z561" s="1017">
        <v>480130</v>
      </c>
      <c r="AA561" s="1018"/>
      <c r="AB561" s="1013"/>
      <c r="AC561" s="1017">
        <v>0</v>
      </c>
      <c r="AD561" s="1017">
        <v>0</v>
      </c>
      <c r="AE561" s="1013">
        <v>0</v>
      </c>
      <c r="AF561" s="1019"/>
      <c r="AG561" s="1019">
        <f t="shared" si="129"/>
        <v>7511130</v>
      </c>
      <c r="AH561" s="1014">
        <v>36</v>
      </c>
      <c r="AI561" s="1014">
        <v>0</v>
      </c>
      <c r="AJ561" s="1014">
        <v>0</v>
      </c>
      <c r="AK561" s="1018">
        <v>0</v>
      </c>
      <c r="AL561" s="1020">
        <v>0</v>
      </c>
      <c r="AM561" s="1013">
        <f t="shared" si="128"/>
        <v>1539779</v>
      </c>
      <c r="AN561" s="1045">
        <f t="shared" si="118"/>
        <v>9050909</v>
      </c>
      <c r="AO561" s="1013">
        <v>622755</v>
      </c>
      <c r="AP561" s="1013">
        <v>44100</v>
      </c>
      <c r="AQ561" s="1013">
        <v>0</v>
      </c>
      <c r="AR561" s="1013">
        <v>0</v>
      </c>
      <c r="AS561" s="1013">
        <v>0</v>
      </c>
      <c r="AT561" s="1045">
        <f t="shared" si="135"/>
        <v>8384054</v>
      </c>
      <c r="AU561" s="1004"/>
      <c r="AV561" s="870"/>
      <c r="AW561" s="782" t="s">
        <v>4392</v>
      </c>
      <c r="AX561" s="782" t="s">
        <v>4393</v>
      </c>
      <c r="AY561" s="1007" t="s">
        <v>288</v>
      </c>
      <c r="AZ561" s="1007">
        <v>622</v>
      </c>
      <c r="BA561" s="347" t="str">
        <f t="shared" si="127"/>
        <v>Bag</v>
      </c>
      <c r="BB561" s="1008"/>
      <c r="BC561" s="1009"/>
      <c r="BD561" s="1009"/>
    </row>
    <row r="562" spans="1:56" s="1010" customFormat="1" ht="36.75" customHeight="1">
      <c r="A562" s="661">
        <f>SUBTOTAL(3,B$6:B562)</f>
        <v>557</v>
      </c>
      <c r="B562" s="661" t="s">
        <v>1914</v>
      </c>
      <c r="C562" s="662" t="s">
        <v>1915</v>
      </c>
      <c r="D562" s="1011">
        <v>43575</v>
      </c>
      <c r="E562" s="1011" t="s">
        <v>218</v>
      </c>
      <c r="F562" s="787" t="s">
        <v>520</v>
      </c>
      <c r="G562" s="996" t="s">
        <v>797</v>
      </c>
      <c r="H562" s="1012">
        <v>5931000</v>
      </c>
      <c r="I562" s="1012">
        <v>0</v>
      </c>
      <c r="J562" s="1012">
        <v>0</v>
      </c>
      <c r="K562" s="1012">
        <v>0</v>
      </c>
      <c r="L562" s="1013">
        <f t="shared" si="130"/>
        <v>5931000</v>
      </c>
      <c r="M562" s="1014">
        <v>22</v>
      </c>
      <c r="N562" s="1013">
        <f t="shared" si="131"/>
        <v>5018538</v>
      </c>
      <c r="O562" s="1015">
        <v>3</v>
      </c>
      <c r="P562" s="1013">
        <f t="shared" si="132"/>
        <v>684346</v>
      </c>
      <c r="Q562" s="1016">
        <v>0</v>
      </c>
      <c r="R562" s="1013">
        <f t="shared" si="133"/>
        <v>0</v>
      </c>
      <c r="S562" s="1013">
        <f t="shared" si="134"/>
        <v>5702884</v>
      </c>
      <c r="T562" s="1017">
        <v>0</v>
      </c>
      <c r="U562" s="785">
        <v>0</v>
      </c>
      <c r="V562" s="785">
        <v>200000</v>
      </c>
      <c r="W562" s="1017">
        <v>0</v>
      </c>
      <c r="X562" s="1017">
        <v>0</v>
      </c>
      <c r="Y562" s="1017">
        <v>300000</v>
      </c>
      <c r="Z562" s="1017">
        <v>553222</v>
      </c>
      <c r="AA562" s="1018"/>
      <c r="AB562" s="1013"/>
      <c r="AC562" s="1017">
        <v>0</v>
      </c>
      <c r="AD562" s="1017">
        <v>0</v>
      </c>
      <c r="AE562" s="1013">
        <v>0</v>
      </c>
      <c r="AF562" s="1019"/>
      <c r="AG562" s="1019">
        <f t="shared" si="129"/>
        <v>6756106</v>
      </c>
      <c r="AH562" s="1014">
        <v>28</v>
      </c>
      <c r="AI562" s="1014">
        <v>0</v>
      </c>
      <c r="AJ562" s="1014">
        <v>0</v>
      </c>
      <c r="AK562" s="1018">
        <v>0</v>
      </c>
      <c r="AL562" s="1020">
        <v>0</v>
      </c>
      <c r="AM562" s="1013">
        <f t="shared" si="128"/>
        <v>1197606</v>
      </c>
      <c r="AN562" s="1045">
        <f t="shared" si="118"/>
        <v>7953712</v>
      </c>
      <c r="AO562" s="1013">
        <v>622755</v>
      </c>
      <c r="AP562" s="1013">
        <v>44100</v>
      </c>
      <c r="AQ562" s="1013">
        <v>0</v>
      </c>
      <c r="AR562" s="1013">
        <v>0</v>
      </c>
      <c r="AS562" s="1013">
        <v>0</v>
      </c>
      <c r="AT562" s="1045">
        <f t="shared" si="135"/>
        <v>7286857</v>
      </c>
      <c r="AU562" s="1004"/>
      <c r="AV562" s="870"/>
      <c r="AW562" s="782" t="s">
        <v>4394</v>
      </c>
      <c r="AX562" s="782" t="s">
        <v>4395</v>
      </c>
      <c r="AY562" s="1007" t="s">
        <v>288</v>
      </c>
      <c r="AZ562" s="1007">
        <v>622</v>
      </c>
      <c r="BA562" s="347" t="str">
        <f t="shared" si="127"/>
        <v>Bag</v>
      </c>
      <c r="BB562" s="1008"/>
      <c r="BC562" s="1009"/>
      <c r="BD562" s="1009"/>
    </row>
    <row r="563" spans="1:56" s="1010" customFormat="1" ht="36.75" customHeight="1">
      <c r="A563" s="661">
        <f>SUBTOTAL(3,B$6:B563)</f>
        <v>558</v>
      </c>
      <c r="B563" s="661" t="s">
        <v>1916</v>
      </c>
      <c r="C563" s="662" t="s">
        <v>1917</v>
      </c>
      <c r="D563" s="1011">
        <v>44281</v>
      </c>
      <c r="E563" s="1011" t="s">
        <v>218</v>
      </c>
      <c r="F563" s="787" t="s">
        <v>520</v>
      </c>
      <c r="G563" s="996" t="s">
        <v>797</v>
      </c>
      <c r="H563" s="1012">
        <v>5931000</v>
      </c>
      <c r="I563" s="1012">
        <v>0</v>
      </c>
      <c r="J563" s="1012">
        <v>0</v>
      </c>
      <c r="K563" s="1012">
        <v>0</v>
      </c>
      <c r="L563" s="1013">
        <f t="shared" si="130"/>
        <v>5931000</v>
      </c>
      <c r="M563" s="1014">
        <v>23.9</v>
      </c>
      <c r="N563" s="1013">
        <f t="shared" si="131"/>
        <v>5451958</v>
      </c>
      <c r="O563" s="1015">
        <v>2</v>
      </c>
      <c r="P563" s="1013">
        <f t="shared" si="132"/>
        <v>456231</v>
      </c>
      <c r="Q563" s="1016">
        <v>0</v>
      </c>
      <c r="R563" s="1013">
        <f t="shared" si="133"/>
        <v>0</v>
      </c>
      <c r="S563" s="1013">
        <f t="shared" si="134"/>
        <v>5908189</v>
      </c>
      <c r="T563" s="1017">
        <v>0</v>
      </c>
      <c r="U563" s="785">
        <v>0</v>
      </c>
      <c r="V563" s="785">
        <v>200000</v>
      </c>
      <c r="W563" s="1017">
        <v>500000</v>
      </c>
      <c r="X563" s="1017">
        <v>0</v>
      </c>
      <c r="Y563" s="1017">
        <v>400000</v>
      </c>
      <c r="Z563" s="1017">
        <v>602158</v>
      </c>
      <c r="AA563" s="1018"/>
      <c r="AB563" s="1013"/>
      <c r="AC563" s="1017">
        <v>0</v>
      </c>
      <c r="AD563" s="1017">
        <v>0</v>
      </c>
      <c r="AE563" s="1013">
        <v>42771.6370292887</v>
      </c>
      <c r="AF563" s="1019"/>
      <c r="AG563" s="1019">
        <f t="shared" si="129"/>
        <v>7653119</v>
      </c>
      <c r="AH563" s="1014">
        <v>36</v>
      </c>
      <c r="AI563" s="1014">
        <v>0</v>
      </c>
      <c r="AJ563" s="1014">
        <v>0</v>
      </c>
      <c r="AK563" s="1018">
        <v>0</v>
      </c>
      <c r="AL563" s="1020">
        <v>0</v>
      </c>
      <c r="AM563" s="1013">
        <f t="shared" si="128"/>
        <v>1539779</v>
      </c>
      <c r="AN563" s="1045">
        <f t="shared" si="118"/>
        <v>9192898</v>
      </c>
      <c r="AO563" s="1013">
        <v>622755</v>
      </c>
      <c r="AP563" s="1013">
        <v>44100</v>
      </c>
      <c r="AQ563" s="1013">
        <v>0</v>
      </c>
      <c r="AR563" s="1013">
        <v>0</v>
      </c>
      <c r="AS563" s="1013">
        <v>0</v>
      </c>
      <c r="AT563" s="1045">
        <f t="shared" si="135"/>
        <v>8526043</v>
      </c>
      <c r="AU563" s="1004"/>
      <c r="AV563" s="870"/>
      <c r="AW563" s="782" t="s">
        <v>4396</v>
      </c>
      <c r="AX563" s="782" t="s">
        <v>4397</v>
      </c>
      <c r="AY563" s="1007" t="s">
        <v>288</v>
      </c>
      <c r="AZ563" s="1007">
        <v>622</v>
      </c>
      <c r="BA563" s="347" t="str">
        <f t="shared" si="127"/>
        <v>Bag</v>
      </c>
      <c r="BB563" s="1008"/>
      <c r="BC563" s="1009"/>
      <c r="BD563" s="1009"/>
    </row>
    <row r="564" spans="1:56" s="1010" customFormat="1" ht="36.75" customHeight="1">
      <c r="A564" s="661">
        <f>SUBTOTAL(3,B$6:B564)</f>
        <v>559</v>
      </c>
      <c r="B564" s="661" t="s">
        <v>1918</v>
      </c>
      <c r="C564" s="662" t="s">
        <v>1919</v>
      </c>
      <c r="D564" s="1011">
        <v>39792</v>
      </c>
      <c r="E564" s="1011" t="s">
        <v>218</v>
      </c>
      <c r="F564" s="787" t="s">
        <v>520</v>
      </c>
      <c r="G564" s="996" t="s">
        <v>797</v>
      </c>
      <c r="H564" s="1012">
        <v>5931000</v>
      </c>
      <c r="I564" s="1012">
        <v>0</v>
      </c>
      <c r="J564" s="1012">
        <v>0</v>
      </c>
      <c r="K564" s="1012">
        <v>0</v>
      </c>
      <c r="L564" s="1013">
        <f t="shared" si="130"/>
        <v>5931000</v>
      </c>
      <c r="M564" s="1014">
        <v>24</v>
      </c>
      <c r="N564" s="1013">
        <f t="shared" si="131"/>
        <v>5474769</v>
      </c>
      <c r="O564" s="1015">
        <v>2</v>
      </c>
      <c r="P564" s="1013">
        <f t="shared" si="132"/>
        <v>456231</v>
      </c>
      <c r="Q564" s="1016">
        <v>0</v>
      </c>
      <c r="R564" s="1013">
        <f t="shared" si="133"/>
        <v>0</v>
      </c>
      <c r="S564" s="1013">
        <f t="shared" si="134"/>
        <v>5931000</v>
      </c>
      <c r="T564" s="1017">
        <v>0</v>
      </c>
      <c r="U564" s="785">
        <v>0</v>
      </c>
      <c r="V564" s="785">
        <v>200000</v>
      </c>
      <c r="W564" s="1017">
        <v>500000</v>
      </c>
      <c r="X564" s="1017">
        <v>0</v>
      </c>
      <c r="Y564" s="1017">
        <v>400000</v>
      </c>
      <c r="Z564" s="1017">
        <v>602158</v>
      </c>
      <c r="AA564" s="1018"/>
      <c r="AB564" s="1013"/>
      <c r="AC564" s="1017">
        <v>0</v>
      </c>
      <c r="AD564" s="1017">
        <v>0</v>
      </c>
      <c r="AE564" s="1013">
        <v>42771.6328125</v>
      </c>
      <c r="AF564" s="1019"/>
      <c r="AG564" s="1019">
        <f t="shared" si="129"/>
        <v>7675930</v>
      </c>
      <c r="AH564" s="1014">
        <v>36</v>
      </c>
      <c r="AI564" s="1014">
        <v>0</v>
      </c>
      <c r="AJ564" s="1014">
        <v>0</v>
      </c>
      <c r="AK564" s="1018">
        <v>0</v>
      </c>
      <c r="AL564" s="1020">
        <v>0</v>
      </c>
      <c r="AM564" s="1013">
        <f t="shared" si="128"/>
        <v>1539779</v>
      </c>
      <c r="AN564" s="1045">
        <f t="shared" si="118"/>
        <v>9215709</v>
      </c>
      <c r="AO564" s="1013">
        <v>622755</v>
      </c>
      <c r="AP564" s="1013">
        <v>44100</v>
      </c>
      <c r="AQ564" s="1013">
        <v>0</v>
      </c>
      <c r="AR564" s="1013">
        <v>0</v>
      </c>
      <c r="AS564" s="1013">
        <v>0</v>
      </c>
      <c r="AT564" s="1045">
        <f t="shared" si="135"/>
        <v>8548854</v>
      </c>
      <c r="AU564" s="1004"/>
      <c r="AV564" s="870"/>
      <c r="AW564" s="782" t="s">
        <v>4398</v>
      </c>
      <c r="AX564" s="782" t="s">
        <v>4399</v>
      </c>
      <c r="AY564" s="1007" t="s">
        <v>288</v>
      </c>
      <c r="AZ564" s="1007">
        <v>622</v>
      </c>
      <c r="BA564" s="347" t="str">
        <f t="shared" si="127"/>
        <v>Bag</v>
      </c>
      <c r="BB564" s="1008"/>
      <c r="BC564" s="1009"/>
      <c r="BD564" s="1009"/>
    </row>
    <row r="565" spans="1:56" s="1010" customFormat="1" ht="36.75" customHeight="1">
      <c r="A565" s="661">
        <f>SUBTOTAL(3,B$6:B565)</f>
        <v>560</v>
      </c>
      <c r="B565" s="661" t="s">
        <v>1920</v>
      </c>
      <c r="C565" s="662" t="s">
        <v>1921</v>
      </c>
      <c r="D565" s="1011">
        <v>44628</v>
      </c>
      <c r="E565" s="1011" t="s">
        <v>218</v>
      </c>
      <c r="F565" s="787" t="s">
        <v>520</v>
      </c>
      <c r="G565" s="996" t="s">
        <v>797</v>
      </c>
      <c r="H565" s="1012">
        <v>5931000</v>
      </c>
      <c r="I565" s="1012">
        <v>0</v>
      </c>
      <c r="J565" s="1012">
        <v>0</v>
      </c>
      <c r="K565" s="1012">
        <v>0</v>
      </c>
      <c r="L565" s="1013">
        <f t="shared" si="130"/>
        <v>5931000</v>
      </c>
      <c r="M565" s="1014">
        <v>24</v>
      </c>
      <c r="N565" s="1013">
        <f t="shared" si="131"/>
        <v>5474769</v>
      </c>
      <c r="O565" s="1015">
        <v>2</v>
      </c>
      <c r="P565" s="1013">
        <f t="shared" si="132"/>
        <v>456231</v>
      </c>
      <c r="Q565" s="1016">
        <v>0</v>
      </c>
      <c r="R565" s="1013">
        <f t="shared" si="133"/>
        <v>0</v>
      </c>
      <c r="S565" s="1013">
        <f t="shared" si="134"/>
        <v>5931000</v>
      </c>
      <c r="T565" s="1017">
        <v>0</v>
      </c>
      <c r="U565" s="785">
        <v>0</v>
      </c>
      <c r="V565" s="785">
        <v>200000</v>
      </c>
      <c r="W565" s="1017">
        <v>500000</v>
      </c>
      <c r="X565" s="1017">
        <v>0</v>
      </c>
      <c r="Y565" s="1017">
        <v>400000</v>
      </c>
      <c r="Z565" s="1017">
        <v>669318</v>
      </c>
      <c r="AA565" s="1018"/>
      <c r="AB565" s="1013"/>
      <c r="AC565" s="1017">
        <v>0</v>
      </c>
      <c r="AD565" s="1017">
        <v>0</v>
      </c>
      <c r="AE565" s="1013">
        <v>0</v>
      </c>
      <c r="AF565" s="1019"/>
      <c r="AG565" s="1019">
        <f t="shared" si="129"/>
        <v>7700318</v>
      </c>
      <c r="AH565" s="1014">
        <v>36</v>
      </c>
      <c r="AI565" s="1014">
        <v>0</v>
      </c>
      <c r="AJ565" s="1014">
        <v>0</v>
      </c>
      <c r="AK565" s="1018">
        <v>0</v>
      </c>
      <c r="AL565" s="1020">
        <v>0</v>
      </c>
      <c r="AM565" s="1013">
        <f t="shared" si="128"/>
        <v>1539779</v>
      </c>
      <c r="AN565" s="1045">
        <f t="shared" si="118"/>
        <v>9240097</v>
      </c>
      <c r="AO565" s="1013">
        <v>622755</v>
      </c>
      <c r="AP565" s="1013">
        <v>44100</v>
      </c>
      <c r="AQ565" s="1013">
        <v>0</v>
      </c>
      <c r="AR565" s="1013">
        <v>0</v>
      </c>
      <c r="AS565" s="1013">
        <v>0</v>
      </c>
      <c r="AT565" s="1045">
        <f t="shared" si="135"/>
        <v>8573242</v>
      </c>
      <c r="AU565" s="1004"/>
      <c r="AV565" s="870"/>
      <c r="AW565" s="782" t="s">
        <v>4400</v>
      </c>
      <c r="AX565" s="782" t="s">
        <v>4401</v>
      </c>
      <c r="AY565" s="1007" t="s">
        <v>288</v>
      </c>
      <c r="AZ565" s="1007">
        <v>622</v>
      </c>
      <c r="BA565" s="347" t="str">
        <f t="shared" si="127"/>
        <v>Bag</v>
      </c>
      <c r="BB565" s="1008"/>
      <c r="BC565" s="1009"/>
      <c r="BD565" s="1009"/>
    </row>
    <row r="566" spans="1:56" s="1010" customFormat="1" ht="36.75" customHeight="1">
      <c r="A566" s="661">
        <f>SUBTOTAL(3,B$6:B566)</f>
        <v>561</v>
      </c>
      <c r="B566" s="661" t="s">
        <v>1922</v>
      </c>
      <c r="C566" s="662" t="s">
        <v>1923</v>
      </c>
      <c r="D566" s="1011">
        <v>44721</v>
      </c>
      <c r="E566" s="1011" t="s">
        <v>218</v>
      </c>
      <c r="F566" s="787" t="s">
        <v>520</v>
      </c>
      <c r="G566" s="996" t="s">
        <v>797</v>
      </c>
      <c r="H566" s="1012">
        <v>5815000</v>
      </c>
      <c r="I566" s="1012">
        <v>0</v>
      </c>
      <c r="J566" s="1012">
        <v>0</v>
      </c>
      <c r="K566" s="1012">
        <v>0</v>
      </c>
      <c r="L566" s="1013">
        <f t="shared" si="130"/>
        <v>5815000</v>
      </c>
      <c r="M566" s="1014">
        <v>23</v>
      </c>
      <c r="N566" s="1013">
        <f t="shared" si="131"/>
        <v>5144038</v>
      </c>
      <c r="O566" s="1015">
        <v>3</v>
      </c>
      <c r="P566" s="1013">
        <f t="shared" si="132"/>
        <v>670962</v>
      </c>
      <c r="Q566" s="1016">
        <v>0</v>
      </c>
      <c r="R566" s="1013">
        <f t="shared" si="133"/>
        <v>0</v>
      </c>
      <c r="S566" s="1013">
        <f t="shared" si="134"/>
        <v>5815000</v>
      </c>
      <c r="T566" s="1017">
        <v>0</v>
      </c>
      <c r="U566" s="785">
        <v>0</v>
      </c>
      <c r="V566" s="785">
        <v>200000</v>
      </c>
      <c r="W566" s="1017">
        <v>500000</v>
      </c>
      <c r="X566" s="1017">
        <v>0</v>
      </c>
      <c r="Y566" s="1017">
        <v>400000</v>
      </c>
      <c r="Z566" s="1017">
        <v>672210</v>
      </c>
      <c r="AA566" s="1018"/>
      <c r="AB566" s="1013"/>
      <c r="AC566" s="1017">
        <v>0</v>
      </c>
      <c r="AD566" s="1017">
        <v>0</v>
      </c>
      <c r="AE566" s="1013">
        <v>0</v>
      </c>
      <c r="AF566" s="1019"/>
      <c r="AG566" s="1019">
        <f t="shared" si="129"/>
        <v>7587210</v>
      </c>
      <c r="AH566" s="1014">
        <v>32</v>
      </c>
      <c r="AI566" s="1014">
        <v>0</v>
      </c>
      <c r="AJ566" s="1014">
        <v>0</v>
      </c>
      <c r="AK566" s="1018">
        <v>0</v>
      </c>
      <c r="AL566" s="1020">
        <v>0</v>
      </c>
      <c r="AM566" s="1013">
        <f t="shared" si="128"/>
        <v>1341923</v>
      </c>
      <c r="AN566" s="1045">
        <f t="shared" si="118"/>
        <v>8929133</v>
      </c>
      <c r="AO566" s="1013">
        <v>610575</v>
      </c>
      <c r="AP566" s="1013">
        <v>44100</v>
      </c>
      <c r="AQ566" s="1013">
        <v>0</v>
      </c>
      <c r="AR566" s="1013">
        <v>0</v>
      </c>
      <c r="AS566" s="1013">
        <v>0</v>
      </c>
      <c r="AT566" s="1045">
        <f t="shared" si="135"/>
        <v>8274458</v>
      </c>
      <c r="AU566" s="1004"/>
      <c r="AV566" s="870"/>
      <c r="AW566" s="782" t="s">
        <v>4402</v>
      </c>
      <c r="AX566" s="782" t="s">
        <v>4403</v>
      </c>
      <c r="AY566" s="1007" t="s">
        <v>288</v>
      </c>
      <c r="AZ566" s="1007">
        <v>622</v>
      </c>
      <c r="BA566" s="347" t="str">
        <f t="shared" si="127"/>
        <v>Bag</v>
      </c>
      <c r="BB566" s="1008"/>
      <c r="BC566" s="1009"/>
      <c r="BD566" s="1009"/>
    </row>
    <row r="567" spans="1:56" s="1010" customFormat="1" ht="36.75" customHeight="1">
      <c r="A567" s="661">
        <f>SUBTOTAL(3,B$6:B567)</f>
        <v>562</v>
      </c>
      <c r="B567" s="661" t="s">
        <v>1924</v>
      </c>
      <c r="C567" s="662" t="s">
        <v>1925</v>
      </c>
      <c r="D567" s="1011">
        <v>44784</v>
      </c>
      <c r="E567" s="1011" t="s">
        <v>218</v>
      </c>
      <c r="F567" s="787" t="s">
        <v>520</v>
      </c>
      <c r="G567" s="996" t="s">
        <v>797</v>
      </c>
      <c r="H567" s="1012">
        <v>5815000</v>
      </c>
      <c r="I567" s="1012">
        <v>0</v>
      </c>
      <c r="J567" s="1012">
        <v>0</v>
      </c>
      <c r="K567" s="1012">
        <v>0</v>
      </c>
      <c r="L567" s="1013">
        <f t="shared" si="130"/>
        <v>5815000</v>
      </c>
      <c r="M567" s="1014">
        <v>24</v>
      </c>
      <c r="N567" s="1013">
        <f t="shared" si="131"/>
        <v>5367692</v>
      </c>
      <c r="O567" s="1015">
        <v>2</v>
      </c>
      <c r="P567" s="1013">
        <f t="shared" si="132"/>
        <v>447308</v>
      </c>
      <c r="Q567" s="1016">
        <v>0</v>
      </c>
      <c r="R567" s="1013">
        <f t="shared" si="133"/>
        <v>0</v>
      </c>
      <c r="S567" s="1013">
        <f t="shared" si="134"/>
        <v>5815000</v>
      </c>
      <c r="T567" s="1017">
        <v>0</v>
      </c>
      <c r="U567" s="785">
        <v>0</v>
      </c>
      <c r="V567" s="785">
        <v>200000</v>
      </c>
      <c r="W567" s="1017">
        <v>500000</v>
      </c>
      <c r="X567" s="1017">
        <v>0</v>
      </c>
      <c r="Y567" s="1017">
        <v>400000</v>
      </c>
      <c r="Z567" s="1017">
        <v>693254</v>
      </c>
      <c r="AA567" s="1018"/>
      <c r="AB567" s="1013"/>
      <c r="AC567" s="1017">
        <v>0</v>
      </c>
      <c r="AD567" s="1017">
        <v>0</v>
      </c>
      <c r="AE567" s="1013">
        <v>41935.09375</v>
      </c>
      <c r="AF567" s="1019"/>
      <c r="AG567" s="1019">
        <f t="shared" si="129"/>
        <v>7650189</v>
      </c>
      <c r="AH567" s="1014">
        <v>36</v>
      </c>
      <c r="AI567" s="1014">
        <v>0</v>
      </c>
      <c r="AJ567" s="1014">
        <v>0</v>
      </c>
      <c r="AK567" s="1018">
        <v>0</v>
      </c>
      <c r="AL567" s="1020">
        <v>0</v>
      </c>
      <c r="AM567" s="1013">
        <f t="shared" si="128"/>
        <v>1509663</v>
      </c>
      <c r="AN567" s="1045">
        <f t="shared" si="118"/>
        <v>9159852</v>
      </c>
      <c r="AO567" s="1013">
        <v>610575</v>
      </c>
      <c r="AP567" s="1013">
        <v>44100</v>
      </c>
      <c r="AQ567" s="1013">
        <v>0</v>
      </c>
      <c r="AR567" s="1013">
        <v>0</v>
      </c>
      <c r="AS567" s="1013">
        <v>0</v>
      </c>
      <c r="AT567" s="1045">
        <f t="shared" si="135"/>
        <v>8505177</v>
      </c>
      <c r="AU567" s="1004"/>
      <c r="AV567" s="870"/>
      <c r="AW567" s="782" t="s">
        <v>4404</v>
      </c>
      <c r="AX567" s="782" t="s">
        <v>4405</v>
      </c>
      <c r="AY567" s="1007" t="s">
        <v>288</v>
      </c>
      <c r="AZ567" s="1007">
        <v>622</v>
      </c>
      <c r="BA567" s="347" t="str">
        <f t="shared" si="127"/>
        <v>Bag</v>
      </c>
      <c r="BB567" s="1008"/>
      <c r="BC567" s="1009"/>
      <c r="BD567" s="1009"/>
    </row>
    <row r="568" spans="1:56" s="1010" customFormat="1" ht="36.75" customHeight="1">
      <c r="A568" s="661">
        <f>SUBTOTAL(3,B$6:B568)</f>
        <v>563</v>
      </c>
      <c r="B568" s="661" t="s">
        <v>1926</v>
      </c>
      <c r="C568" s="662" t="s">
        <v>1927</v>
      </c>
      <c r="D568" s="1011">
        <v>44784</v>
      </c>
      <c r="E568" s="1011" t="s">
        <v>218</v>
      </c>
      <c r="F568" s="787" t="s">
        <v>520</v>
      </c>
      <c r="G568" s="996" t="s">
        <v>797</v>
      </c>
      <c r="H568" s="1012">
        <v>5815000</v>
      </c>
      <c r="I568" s="1012">
        <v>0</v>
      </c>
      <c r="J568" s="1012">
        <v>0</v>
      </c>
      <c r="K568" s="1012">
        <v>0</v>
      </c>
      <c r="L568" s="1013">
        <f t="shared" si="130"/>
        <v>5815000</v>
      </c>
      <c r="M568" s="1014">
        <v>23</v>
      </c>
      <c r="N568" s="1013">
        <f t="shared" si="131"/>
        <v>5144038</v>
      </c>
      <c r="O568" s="1015">
        <v>3</v>
      </c>
      <c r="P568" s="1013">
        <f t="shared" si="132"/>
        <v>670962</v>
      </c>
      <c r="Q568" s="1016">
        <v>0</v>
      </c>
      <c r="R568" s="1013">
        <f t="shared" si="133"/>
        <v>0</v>
      </c>
      <c r="S568" s="1013">
        <f t="shared" si="134"/>
        <v>5815000</v>
      </c>
      <c r="T568" s="1017">
        <v>0</v>
      </c>
      <c r="U568" s="785">
        <v>0</v>
      </c>
      <c r="V568" s="785">
        <v>200000</v>
      </c>
      <c r="W568" s="1017">
        <v>500000</v>
      </c>
      <c r="X568" s="1017">
        <v>0</v>
      </c>
      <c r="Y568" s="1017">
        <v>400000</v>
      </c>
      <c r="Z568" s="1017">
        <v>674897</v>
      </c>
      <c r="AA568" s="1018"/>
      <c r="AB568" s="1013"/>
      <c r="AC568" s="1017">
        <v>100000</v>
      </c>
      <c r="AD568" s="1017">
        <v>0</v>
      </c>
      <c r="AE568" s="1013">
        <v>41935.092391304344</v>
      </c>
      <c r="AF568" s="1019"/>
      <c r="AG568" s="1019">
        <f t="shared" si="129"/>
        <v>7731832</v>
      </c>
      <c r="AH568" s="1014">
        <v>36</v>
      </c>
      <c r="AI568" s="1014">
        <v>0</v>
      </c>
      <c r="AJ568" s="1014">
        <v>0</v>
      </c>
      <c r="AK568" s="1018">
        <v>0</v>
      </c>
      <c r="AL568" s="1020">
        <v>0</v>
      </c>
      <c r="AM568" s="1013">
        <f t="shared" si="128"/>
        <v>1509663</v>
      </c>
      <c r="AN568" s="1045">
        <f t="shared" si="118"/>
        <v>9241495</v>
      </c>
      <c r="AO568" s="1013">
        <v>610575</v>
      </c>
      <c r="AP568" s="1013">
        <v>44100</v>
      </c>
      <c r="AQ568" s="1013">
        <v>0</v>
      </c>
      <c r="AR568" s="1013">
        <v>0</v>
      </c>
      <c r="AS568" s="1013">
        <v>0</v>
      </c>
      <c r="AT568" s="1045">
        <f t="shared" si="135"/>
        <v>8586820</v>
      </c>
      <c r="AU568" s="1004"/>
      <c r="AV568" s="870"/>
      <c r="AW568" s="782" t="s">
        <v>4406</v>
      </c>
      <c r="AX568" s="782" t="s">
        <v>4407</v>
      </c>
      <c r="AY568" s="1007" t="s">
        <v>288</v>
      </c>
      <c r="AZ568" s="1007">
        <v>622</v>
      </c>
      <c r="BA568" s="347" t="str">
        <f t="shared" si="127"/>
        <v>Bag</v>
      </c>
      <c r="BB568" s="1008"/>
      <c r="BC568" s="1009"/>
      <c r="BD568" s="1009"/>
    </row>
    <row r="569" spans="1:56" s="1010" customFormat="1" ht="36.75" customHeight="1">
      <c r="A569" s="661">
        <f>SUBTOTAL(3,B$6:B569)</f>
        <v>564</v>
      </c>
      <c r="B569" s="661" t="s">
        <v>1928</v>
      </c>
      <c r="C569" s="662" t="s">
        <v>1929</v>
      </c>
      <c r="D569" s="1011">
        <v>45164</v>
      </c>
      <c r="E569" s="1011" t="s">
        <v>218</v>
      </c>
      <c r="F569" s="787" t="s">
        <v>520</v>
      </c>
      <c r="G569" s="996" t="s">
        <v>1232</v>
      </c>
      <c r="H569" s="1012">
        <v>5538000</v>
      </c>
      <c r="I569" s="1012">
        <v>200000</v>
      </c>
      <c r="J569" s="1012">
        <v>0</v>
      </c>
      <c r="K569" s="1012">
        <v>0</v>
      </c>
      <c r="L569" s="1013">
        <f t="shared" si="130"/>
        <v>5738000</v>
      </c>
      <c r="M569" s="1014">
        <v>24</v>
      </c>
      <c r="N569" s="1013">
        <f t="shared" si="131"/>
        <v>5296615</v>
      </c>
      <c r="O569" s="1015">
        <v>2</v>
      </c>
      <c r="P569" s="1013">
        <f t="shared" si="132"/>
        <v>441385</v>
      </c>
      <c r="Q569" s="1016">
        <v>0</v>
      </c>
      <c r="R569" s="1013">
        <f t="shared" si="133"/>
        <v>0</v>
      </c>
      <c r="S569" s="1013">
        <f t="shared" si="134"/>
        <v>5738000</v>
      </c>
      <c r="T569" s="1017">
        <v>0</v>
      </c>
      <c r="U569" s="785">
        <v>0</v>
      </c>
      <c r="V569" s="785">
        <v>200000</v>
      </c>
      <c r="W569" s="1017">
        <v>500000</v>
      </c>
      <c r="X569" s="1017">
        <v>0</v>
      </c>
      <c r="Y569" s="1017">
        <v>400000</v>
      </c>
      <c r="Z569" s="1017">
        <v>650791</v>
      </c>
      <c r="AA569" s="1018"/>
      <c r="AB569" s="1013"/>
      <c r="AC569" s="1017">
        <v>0</v>
      </c>
      <c r="AD569" s="1017">
        <v>0</v>
      </c>
      <c r="AE569" s="1013">
        <v>0</v>
      </c>
      <c r="AF569" s="1019"/>
      <c r="AG569" s="1019">
        <f t="shared" si="129"/>
        <v>7488791</v>
      </c>
      <c r="AH569" s="1014">
        <v>36</v>
      </c>
      <c r="AI569" s="1014">
        <v>0</v>
      </c>
      <c r="AJ569" s="1014">
        <v>0</v>
      </c>
      <c r="AK569" s="1018">
        <v>0</v>
      </c>
      <c r="AL569" s="1020">
        <v>0</v>
      </c>
      <c r="AM569" s="1013">
        <f t="shared" si="128"/>
        <v>1489673</v>
      </c>
      <c r="AN569" s="1045">
        <f t="shared" si="118"/>
        <v>8978464</v>
      </c>
      <c r="AO569" s="1013">
        <v>602490</v>
      </c>
      <c r="AP569" s="1013">
        <v>44100</v>
      </c>
      <c r="AQ569" s="1013">
        <v>0</v>
      </c>
      <c r="AR569" s="1013">
        <v>0</v>
      </c>
      <c r="AS569" s="1013">
        <v>0</v>
      </c>
      <c r="AT569" s="1045">
        <f t="shared" si="135"/>
        <v>8331874</v>
      </c>
      <c r="AU569" s="1004"/>
      <c r="AV569" s="870"/>
      <c r="AW569" s="782" t="s">
        <v>4408</v>
      </c>
      <c r="AX569" s="782" t="s">
        <v>4409</v>
      </c>
      <c r="AY569" s="1007" t="s">
        <v>288</v>
      </c>
      <c r="AZ569" s="1007">
        <v>622</v>
      </c>
      <c r="BA569" s="347" t="str">
        <f t="shared" si="127"/>
        <v>Bag</v>
      </c>
      <c r="BB569" s="1008"/>
      <c r="BC569" s="1009"/>
      <c r="BD569" s="1009"/>
    </row>
    <row r="570" spans="1:56" s="1010" customFormat="1" ht="36.75" customHeight="1">
      <c r="A570" s="661">
        <f>SUBTOTAL(3,B$6:B570)</f>
        <v>565</v>
      </c>
      <c r="B570" s="661" t="s">
        <v>1930</v>
      </c>
      <c r="C570" s="662" t="s">
        <v>1931</v>
      </c>
      <c r="D570" s="1011">
        <v>45166</v>
      </c>
      <c r="E570" s="1011" t="s">
        <v>218</v>
      </c>
      <c r="F570" s="787" t="s">
        <v>520</v>
      </c>
      <c r="G570" s="996" t="s">
        <v>797</v>
      </c>
      <c r="H570" s="1012">
        <v>5538000</v>
      </c>
      <c r="I570" s="1012">
        <v>0</v>
      </c>
      <c r="J570" s="1012">
        <v>0</v>
      </c>
      <c r="K570" s="1012">
        <v>0</v>
      </c>
      <c r="L570" s="1013">
        <f t="shared" si="130"/>
        <v>5538000</v>
      </c>
      <c r="M570" s="1014">
        <v>24</v>
      </c>
      <c r="N570" s="1013">
        <f t="shared" si="131"/>
        <v>5112000</v>
      </c>
      <c r="O570" s="1015">
        <v>2</v>
      </c>
      <c r="P570" s="1013">
        <f t="shared" si="132"/>
        <v>426000</v>
      </c>
      <c r="Q570" s="1016">
        <v>0</v>
      </c>
      <c r="R570" s="1013">
        <f t="shared" si="133"/>
        <v>0</v>
      </c>
      <c r="S570" s="1013">
        <f t="shared" si="134"/>
        <v>5538000</v>
      </c>
      <c r="T570" s="1017">
        <v>0</v>
      </c>
      <c r="U570" s="785">
        <v>0</v>
      </c>
      <c r="V570" s="785">
        <v>200000</v>
      </c>
      <c r="W570" s="1017">
        <v>500000</v>
      </c>
      <c r="X570" s="1017">
        <v>0</v>
      </c>
      <c r="Y570" s="1017">
        <v>400000</v>
      </c>
      <c r="Z570" s="1017">
        <v>693254</v>
      </c>
      <c r="AA570" s="1018"/>
      <c r="AB570" s="1013"/>
      <c r="AC570" s="1017">
        <v>0</v>
      </c>
      <c r="AD570" s="1017">
        <v>0</v>
      </c>
      <c r="AE570" s="1013">
        <v>39937.5</v>
      </c>
      <c r="AF570" s="1019"/>
      <c r="AG570" s="1019">
        <f t="shared" si="129"/>
        <v>7371192</v>
      </c>
      <c r="AH570" s="1014">
        <v>36</v>
      </c>
      <c r="AI570" s="1014">
        <v>0</v>
      </c>
      <c r="AJ570" s="1014">
        <v>0</v>
      </c>
      <c r="AK570" s="1018">
        <v>0</v>
      </c>
      <c r="AL570" s="1020">
        <v>0</v>
      </c>
      <c r="AM570" s="1013">
        <f t="shared" si="128"/>
        <v>1437750</v>
      </c>
      <c r="AN570" s="1045">
        <f t="shared" si="118"/>
        <v>8808942</v>
      </c>
      <c r="AO570" s="1013">
        <v>581490</v>
      </c>
      <c r="AP570" s="1013">
        <v>44100</v>
      </c>
      <c r="AQ570" s="1013">
        <v>0</v>
      </c>
      <c r="AR570" s="1013">
        <v>0</v>
      </c>
      <c r="AS570" s="1013">
        <v>0</v>
      </c>
      <c r="AT570" s="1045">
        <f t="shared" si="135"/>
        <v>8183352</v>
      </c>
      <c r="AU570" s="1004"/>
      <c r="AV570" s="870"/>
      <c r="AW570" s="782" t="s">
        <v>4410</v>
      </c>
      <c r="AX570" s="782" t="s">
        <v>4411</v>
      </c>
      <c r="AY570" s="1007" t="s">
        <v>288</v>
      </c>
      <c r="AZ570" s="1007">
        <v>622</v>
      </c>
      <c r="BA570" s="347" t="str">
        <f t="shared" si="127"/>
        <v>Bag</v>
      </c>
      <c r="BB570" s="1008"/>
      <c r="BC570" s="1009"/>
      <c r="BD570" s="1009"/>
    </row>
    <row r="571" spans="1:56" s="1010" customFormat="1" ht="36.75" customHeight="1">
      <c r="A571" s="661">
        <f>SUBTOTAL(3,B$6:B571)</f>
        <v>566</v>
      </c>
      <c r="B571" s="661" t="s">
        <v>1932</v>
      </c>
      <c r="C571" s="662" t="s">
        <v>1933</v>
      </c>
      <c r="D571" s="1011">
        <v>45173</v>
      </c>
      <c r="E571" s="1011" t="s">
        <v>218</v>
      </c>
      <c r="F571" s="787" t="s">
        <v>520</v>
      </c>
      <c r="G571" s="996" t="s">
        <v>797</v>
      </c>
      <c r="H571" s="1012">
        <v>5538000</v>
      </c>
      <c r="I571" s="1012">
        <v>0</v>
      </c>
      <c r="J571" s="1012">
        <v>0</v>
      </c>
      <c r="K571" s="1012">
        <v>0</v>
      </c>
      <c r="L571" s="1013">
        <f t="shared" ref="L571:L577" si="136">SUM(H571:K571)</f>
        <v>5538000</v>
      </c>
      <c r="M571" s="1014">
        <v>24</v>
      </c>
      <c r="N571" s="1013">
        <f t="shared" ref="N571:N739" si="137">ROUND((H571+I571+J571+K571)/IF($M$2&gt;26,26,$M$2)*M571,0)</f>
        <v>5112000</v>
      </c>
      <c r="O571" s="1015">
        <v>2</v>
      </c>
      <c r="P571" s="1013">
        <f t="shared" ref="P571:P739" si="138">ROUND((H571+I571+J571+K571)/IF($M$2&gt;26,26,$M$2)*O571,0)</f>
        <v>426000</v>
      </c>
      <c r="Q571" s="1016">
        <v>0</v>
      </c>
      <c r="R571" s="1013">
        <f t="shared" ref="R571:R739" si="139">IF(M571&gt;0,ROUND(N571/IF(M571&gt;26,26,M571)/8*Q571*30%,0),0)</f>
        <v>0</v>
      </c>
      <c r="S571" s="1013">
        <f t="shared" ref="S571:S739" si="140">N571+P571+R571</f>
        <v>5538000</v>
      </c>
      <c r="T571" s="1017">
        <v>0</v>
      </c>
      <c r="U571" s="785">
        <v>0</v>
      </c>
      <c r="V571" s="785">
        <v>200000</v>
      </c>
      <c r="W571" s="1017">
        <v>500000</v>
      </c>
      <c r="X571" s="1017">
        <v>0</v>
      </c>
      <c r="Y571" s="1017">
        <v>400000</v>
      </c>
      <c r="Z571" s="1017">
        <v>602158</v>
      </c>
      <c r="AA571" s="1018"/>
      <c r="AB571" s="1013"/>
      <c r="AC571" s="1017">
        <v>0</v>
      </c>
      <c r="AD571" s="1017">
        <v>0</v>
      </c>
      <c r="AE571" s="1013">
        <v>39937.5</v>
      </c>
      <c r="AF571" s="1019"/>
      <c r="AG571" s="1019">
        <f t="shared" si="129"/>
        <v>7280096</v>
      </c>
      <c r="AH571" s="1014">
        <v>36</v>
      </c>
      <c r="AI571" s="1014">
        <v>0</v>
      </c>
      <c r="AJ571" s="1014">
        <v>0</v>
      </c>
      <c r="AK571" s="1018">
        <v>0</v>
      </c>
      <c r="AL571" s="1020">
        <v>0</v>
      </c>
      <c r="AM571" s="1013">
        <f t="shared" si="128"/>
        <v>1437750</v>
      </c>
      <c r="AN571" s="1045">
        <f t="shared" ref="AN571:AN739" si="141">ROUND(AG571+AM571,0)</f>
        <v>8717846</v>
      </c>
      <c r="AO571" s="1013">
        <v>581490</v>
      </c>
      <c r="AP571" s="1013">
        <v>44100</v>
      </c>
      <c r="AQ571" s="1013">
        <v>0</v>
      </c>
      <c r="AR571" s="1013">
        <v>0</v>
      </c>
      <c r="AS571" s="1013">
        <v>0</v>
      </c>
      <c r="AT571" s="1045">
        <f t="shared" si="135"/>
        <v>8092256</v>
      </c>
      <c r="AU571" s="1004"/>
      <c r="AV571" s="870"/>
      <c r="AW571" s="782" t="s">
        <v>4412</v>
      </c>
      <c r="AX571" s="782" t="s">
        <v>4413</v>
      </c>
      <c r="AY571" s="1007" t="s">
        <v>288</v>
      </c>
      <c r="AZ571" s="1007">
        <v>622</v>
      </c>
      <c r="BA571" s="347" t="str">
        <f t="shared" si="127"/>
        <v>Bag</v>
      </c>
      <c r="BB571" s="1008"/>
      <c r="BC571" s="1009"/>
      <c r="BD571" s="1009"/>
    </row>
    <row r="572" spans="1:56" s="1010" customFormat="1" ht="36.75" customHeight="1">
      <c r="A572" s="661">
        <f>SUBTOTAL(3,B$6:B572)</f>
        <v>567</v>
      </c>
      <c r="B572" s="661" t="s">
        <v>1934</v>
      </c>
      <c r="C572" s="662" t="s">
        <v>1935</v>
      </c>
      <c r="D572" s="1011">
        <v>45346</v>
      </c>
      <c r="E572" s="1011" t="s">
        <v>218</v>
      </c>
      <c r="F572" s="787" t="s">
        <v>520</v>
      </c>
      <c r="G572" s="996" t="s">
        <v>797</v>
      </c>
      <c r="H572" s="1012">
        <v>5538000</v>
      </c>
      <c r="I572" s="1012">
        <v>0</v>
      </c>
      <c r="J572" s="1012">
        <v>0</v>
      </c>
      <c r="K572" s="1012">
        <v>0</v>
      </c>
      <c r="L572" s="1013">
        <f t="shared" si="136"/>
        <v>5538000</v>
      </c>
      <c r="M572" s="1014">
        <v>23</v>
      </c>
      <c r="N572" s="1013">
        <f t="shared" si="137"/>
        <v>4899000</v>
      </c>
      <c r="O572" s="1015">
        <v>3</v>
      </c>
      <c r="P572" s="1013">
        <f t="shared" si="138"/>
        <v>639000</v>
      </c>
      <c r="Q572" s="1016">
        <v>0</v>
      </c>
      <c r="R572" s="1013">
        <f t="shared" si="139"/>
        <v>0</v>
      </c>
      <c r="S572" s="1013">
        <f t="shared" si="140"/>
        <v>5538000</v>
      </c>
      <c r="T572" s="1017">
        <v>0</v>
      </c>
      <c r="U572" s="785">
        <v>0</v>
      </c>
      <c r="V572" s="785">
        <v>200000</v>
      </c>
      <c r="W572" s="1017">
        <v>500000</v>
      </c>
      <c r="X572" s="1017">
        <v>0</v>
      </c>
      <c r="Y572" s="1017">
        <v>400000</v>
      </c>
      <c r="Z572" s="1017">
        <v>560160</v>
      </c>
      <c r="AA572" s="1018"/>
      <c r="AB572" s="1013"/>
      <c r="AC572" s="1017">
        <v>0</v>
      </c>
      <c r="AD572" s="1017">
        <v>0</v>
      </c>
      <c r="AE572" s="1013">
        <v>0</v>
      </c>
      <c r="AF572" s="1019"/>
      <c r="AG572" s="1019">
        <f t="shared" si="129"/>
        <v>7198160</v>
      </c>
      <c r="AH572" s="1014">
        <v>32</v>
      </c>
      <c r="AI572" s="1014">
        <v>0</v>
      </c>
      <c r="AJ572" s="1014">
        <v>0</v>
      </c>
      <c r="AK572" s="1018">
        <v>0</v>
      </c>
      <c r="AL572" s="1020">
        <v>0</v>
      </c>
      <c r="AM572" s="1013">
        <f t="shared" si="128"/>
        <v>1278000</v>
      </c>
      <c r="AN572" s="1045">
        <f t="shared" si="141"/>
        <v>8476160</v>
      </c>
      <c r="AO572" s="1013">
        <v>581490</v>
      </c>
      <c r="AP572" s="1013">
        <v>44100</v>
      </c>
      <c r="AQ572" s="1013">
        <v>0</v>
      </c>
      <c r="AR572" s="1013">
        <v>0</v>
      </c>
      <c r="AS572" s="1013">
        <v>0</v>
      </c>
      <c r="AT572" s="1045">
        <f t="shared" si="135"/>
        <v>7850570</v>
      </c>
      <c r="AU572" s="1004"/>
      <c r="AV572" s="870"/>
      <c r="AW572" s="782" t="s">
        <v>4414</v>
      </c>
      <c r="AX572" s="782" t="s">
        <v>4415</v>
      </c>
      <c r="AY572" s="1007" t="s">
        <v>288</v>
      </c>
      <c r="AZ572" s="1007">
        <v>622</v>
      </c>
      <c r="BA572" s="347" t="str">
        <f t="shared" ref="BA572:BA635" si="142">+IF(AY572="SK1 Box","Box",IF(AY572="Seaman","Seaman","Bag"))</f>
        <v>Bag</v>
      </c>
      <c r="BB572" s="1008"/>
      <c r="BC572" s="1009"/>
      <c r="BD572" s="1009"/>
    </row>
    <row r="573" spans="1:56" s="1010" customFormat="1" ht="36.75" customHeight="1">
      <c r="A573" s="661">
        <f>SUBTOTAL(3,B$6:B573)</f>
        <v>568</v>
      </c>
      <c r="B573" s="661" t="s">
        <v>1936</v>
      </c>
      <c r="C573" s="662" t="s">
        <v>1937</v>
      </c>
      <c r="D573" s="1011">
        <v>45395</v>
      </c>
      <c r="E573" s="1011" t="s">
        <v>218</v>
      </c>
      <c r="F573" s="787" t="s">
        <v>520</v>
      </c>
      <c r="G573" s="996" t="s">
        <v>797</v>
      </c>
      <c r="H573" s="1012">
        <v>5538000</v>
      </c>
      <c r="I573" s="1012">
        <v>0</v>
      </c>
      <c r="J573" s="1012">
        <v>0</v>
      </c>
      <c r="K573" s="1012">
        <v>0</v>
      </c>
      <c r="L573" s="1013">
        <f t="shared" si="136"/>
        <v>5538000</v>
      </c>
      <c r="M573" s="1014">
        <v>23.6</v>
      </c>
      <c r="N573" s="1013">
        <f t="shared" si="137"/>
        <v>5026800</v>
      </c>
      <c r="O573" s="1015">
        <v>2</v>
      </c>
      <c r="P573" s="1013">
        <f t="shared" si="138"/>
        <v>426000</v>
      </c>
      <c r="Q573" s="1016">
        <v>0</v>
      </c>
      <c r="R573" s="1013">
        <f t="shared" si="139"/>
        <v>0</v>
      </c>
      <c r="S573" s="1013">
        <f t="shared" si="140"/>
        <v>5452800</v>
      </c>
      <c r="T573" s="1017">
        <v>0</v>
      </c>
      <c r="U573" s="785">
        <v>0</v>
      </c>
      <c r="V573" s="785">
        <v>200000</v>
      </c>
      <c r="W573" s="1017">
        <v>500000</v>
      </c>
      <c r="X573" s="1017">
        <v>0</v>
      </c>
      <c r="Y573" s="1017">
        <v>400000</v>
      </c>
      <c r="Z573" s="1017">
        <v>670338</v>
      </c>
      <c r="AA573" s="1018"/>
      <c r="AB573" s="1013"/>
      <c r="AC573" s="1017">
        <v>0</v>
      </c>
      <c r="AD573" s="1017">
        <v>0</v>
      </c>
      <c r="AE573" s="1013">
        <v>39937.5</v>
      </c>
      <c r="AF573" s="1019"/>
      <c r="AG573" s="1019">
        <f t="shared" si="129"/>
        <v>7263076</v>
      </c>
      <c r="AH573" s="1014">
        <v>36</v>
      </c>
      <c r="AI573" s="1014">
        <v>0</v>
      </c>
      <c r="AJ573" s="1014">
        <v>0</v>
      </c>
      <c r="AK573" s="1018">
        <v>0</v>
      </c>
      <c r="AL573" s="1020">
        <v>0</v>
      </c>
      <c r="AM573" s="1013">
        <f t="shared" si="128"/>
        <v>1437750</v>
      </c>
      <c r="AN573" s="1045">
        <f t="shared" si="141"/>
        <v>8700826</v>
      </c>
      <c r="AO573" s="1013">
        <v>581490</v>
      </c>
      <c r="AP573" s="1013">
        <v>44100</v>
      </c>
      <c r="AQ573" s="1013">
        <v>0</v>
      </c>
      <c r="AR573" s="1013">
        <v>0</v>
      </c>
      <c r="AS573" s="1013">
        <v>0</v>
      </c>
      <c r="AT573" s="1045">
        <f t="shared" si="135"/>
        <v>8075236</v>
      </c>
      <c r="AU573" s="1004"/>
      <c r="AV573" s="870"/>
      <c r="AW573" s="782" t="s">
        <v>4416</v>
      </c>
      <c r="AX573" s="782" t="s">
        <v>4417</v>
      </c>
      <c r="AY573" s="1007" t="s">
        <v>288</v>
      </c>
      <c r="AZ573" s="1007">
        <v>622</v>
      </c>
      <c r="BA573" s="347" t="str">
        <f t="shared" si="142"/>
        <v>Bag</v>
      </c>
      <c r="BB573" s="1008"/>
      <c r="BC573" s="1009"/>
      <c r="BD573" s="1009"/>
    </row>
    <row r="574" spans="1:56" s="1010" customFormat="1" ht="36.75" customHeight="1">
      <c r="A574" s="661">
        <f>SUBTOTAL(3,B$6:B574)</f>
        <v>569</v>
      </c>
      <c r="B574" s="661" t="s">
        <v>1938</v>
      </c>
      <c r="C574" s="662" t="s">
        <v>1939</v>
      </c>
      <c r="D574" s="1011">
        <v>45454</v>
      </c>
      <c r="E574" s="1011" t="s">
        <v>218</v>
      </c>
      <c r="F574" s="787" t="s">
        <v>520</v>
      </c>
      <c r="G574" s="996" t="s">
        <v>797</v>
      </c>
      <c r="H574" s="1012">
        <v>5274000</v>
      </c>
      <c r="I574" s="1012">
        <v>0</v>
      </c>
      <c r="J574" s="1012">
        <v>0</v>
      </c>
      <c r="K574" s="1012">
        <v>0</v>
      </c>
      <c r="L574" s="1013">
        <f t="shared" si="136"/>
        <v>5274000</v>
      </c>
      <c r="M574" s="1014">
        <v>24</v>
      </c>
      <c r="N574" s="1013">
        <f t="shared" si="137"/>
        <v>4868308</v>
      </c>
      <c r="O574" s="1015">
        <v>2</v>
      </c>
      <c r="P574" s="1013">
        <f t="shared" si="138"/>
        <v>405692</v>
      </c>
      <c r="Q574" s="1016">
        <v>0</v>
      </c>
      <c r="R574" s="1013">
        <f t="shared" si="139"/>
        <v>0</v>
      </c>
      <c r="S574" s="1013">
        <f t="shared" si="140"/>
        <v>5274000</v>
      </c>
      <c r="T574" s="1017">
        <v>0</v>
      </c>
      <c r="U574" s="785">
        <v>0</v>
      </c>
      <c r="V574" s="785">
        <v>200000</v>
      </c>
      <c r="W574" s="1017">
        <v>500000</v>
      </c>
      <c r="X574" s="1017">
        <v>0</v>
      </c>
      <c r="Y574" s="1017">
        <v>400000</v>
      </c>
      <c r="Z574" s="1017">
        <v>669318</v>
      </c>
      <c r="AA574" s="1018"/>
      <c r="AB574" s="1013"/>
      <c r="AC574" s="1017">
        <v>0</v>
      </c>
      <c r="AD574" s="1017">
        <v>0</v>
      </c>
      <c r="AE574" s="1013">
        <v>38033.65625</v>
      </c>
      <c r="AF574" s="1019"/>
      <c r="AG574" s="1019">
        <f t="shared" si="129"/>
        <v>7081352</v>
      </c>
      <c r="AH574" s="1014">
        <v>36</v>
      </c>
      <c r="AI574" s="1014">
        <v>0</v>
      </c>
      <c r="AJ574" s="1014">
        <v>0</v>
      </c>
      <c r="AK574" s="1018">
        <v>0</v>
      </c>
      <c r="AL574" s="1020">
        <v>0</v>
      </c>
      <c r="AM574" s="1013">
        <f t="shared" si="128"/>
        <v>1369212</v>
      </c>
      <c r="AN574" s="1045">
        <f t="shared" si="141"/>
        <v>8450564</v>
      </c>
      <c r="AO574" s="1013">
        <v>553770</v>
      </c>
      <c r="AP574" s="1013">
        <v>44100</v>
      </c>
      <c r="AQ574" s="1013">
        <v>0</v>
      </c>
      <c r="AR574" s="1013">
        <v>0</v>
      </c>
      <c r="AS574" s="1013">
        <v>0</v>
      </c>
      <c r="AT574" s="1045">
        <f t="shared" si="135"/>
        <v>7852694</v>
      </c>
      <c r="AU574" s="1004"/>
      <c r="AV574" s="870"/>
      <c r="AW574" s="782" t="s">
        <v>4418</v>
      </c>
      <c r="AX574" s="782" t="s">
        <v>4419</v>
      </c>
      <c r="AY574" s="1007" t="s">
        <v>288</v>
      </c>
      <c r="AZ574" s="1007">
        <v>622</v>
      </c>
      <c r="BA574" s="347" t="str">
        <f t="shared" si="142"/>
        <v>Bag</v>
      </c>
      <c r="BB574" s="1008"/>
      <c r="BC574" s="1009"/>
      <c r="BD574" s="1009"/>
    </row>
    <row r="575" spans="1:56" s="1010" customFormat="1" ht="36.75" customHeight="1">
      <c r="A575" s="661">
        <f>SUBTOTAL(3,B$6:B575)</f>
        <v>570</v>
      </c>
      <c r="B575" s="661" t="s">
        <v>1940</v>
      </c>
      <c r="C575" s="662" t="s">
        <v>1941</v>
      </c>
      <c r="D575" s="1011">
        <v>45603</v>
      </c>
      <c r="E575" s="1011" t="s">
        <v>218</v>
      </c>
      <c r="F575" s="787" t="s">
        <v>520</v>
      </c>
      <c r="G575" s="996" t="s">
        <v>797</v>
      </c>
      <c r="H575" s="1012">
        <v>5023000</v>
      </c>
      <c r="I575" s="1012">
        <v>0</v>
      </c>
      <c r="J575" s="1012">
        <v>0</v>
      </c>
      <c r="K575" s="1012">
        <v>0</v>
      </c>
      <c r="L575" s="1013">
        <f t="shared" si="136"/>
        <v>5023000</v>
      </c>
      <c r="M575" s="1014">
        <v>23</v>
      </c>
      <c r="N575" s="1013">
        <f t="shared" si="137"/>
        <v>4443423</v>
      </c>
      <c r="O575" s="1015">
        <v>3</v>
      </c>
      <c r="P575" s="1013">
        <f t="shared" si="138"/>
        <v>579577</v>
      </c>
      <c r="Q575" s="1016">
        <v>0</v>
      </c>
      <c r="R575" s="1013">
        <f t="shared" si="139"/>
        <v>0</v>
      </c>
      <c r="S575" s="1013">
        <f t="shared" si="140"/>
        <v>5023000</v>
      </c>
      <c r="T575" s="1017">
        <v>0</v>
      </c>
      <c r="U575" s="785">
        <v>0</v>
      </c>
      <c r="V575" s="785">
        <v>200000</v>
      </c>
      <c r="W575" s="1017">
        <v>500000</v>
      </c>
      <c r="X575" s="1017">
        <v>0</v>
      </c>
      <c r="Y575" s="1017">
        <v>400000</v>
      </c>
      <c r="Z575" s="1017">
        <v>685672</v>
      </c>
      <c r="AA575" s="1018"/>
      <c r="AB575" s="1013"/>
      <c r="AC575" s="1017">
        <v>0</v>
      </c>
      <c r="AD575" s="1017">
        <v>0</v>
      </c>
      <c r="AE575" s="1013">
        <v>0</v>
      </c>
      <c r="AF575" s="1019"/>
      <c r="AG575" s="1019">
        <f t="shared" si="129"/>
        <v>6808672</v>
      </c>
      <c r="AH575" s="1014">
        <v>36</v>
      </c>
      <c r="AI575" s="1014">
        <v>0</v>
      </c>
      <c r="AJ575" s="1014">
        <v>0</v>
      </c>
      <c r="AK575" s="1018">
        <v>0</v>
      </c>
      <c r="AL575" s="1020">
        <v>0</v>
      </c>
      <c r="AM575" s="1013">
        <f t="shared" si="128"/>
        <v>1304048</v>
      </c>
      <c r="AN575" s="1045">
        <f t="shared" si="141"/>
        <v>8112720</v>
      </c>
      <c r="AO575" s="1013">
        <v>527415</v>
      </c>
      <c r="AP575" s="1013">
        <v>44100</v>
      </c>
      <c r="AQ575" s="1013">
        <v>0</v>
      </c>
      <c r="AR575" s="1013">
        <v>0</v>
      </c>
      <c r="AS575" s="1013">
        <v>0</v>
      </c>
      <c r="AT575" s="1045">
        <f t="shared" si="135"/>
        <v>7541205</v>
      </c>
      <c r="AU575" s="1004"/>
      <c r="AV575" s="870"/>
      <c r="AW575" s="782" t="s">
        <v>4420</v>
      </c>
      <c r="AX575" s="782" t="s">
        <v>4421</v>
      </c>
      <c r="AY575" s="1007" t="s">
        <v>288</v>
      </c>
      <c r="AZ575" s="1007">
        <v>622</v>
      </c>
      <c r="BA575" s="347" t="str">
        <f t="shared" si="142"/>
        <v>Bag</v>
      </c>
      <c r="BB575" s="1008"/>
      <c r="BC575" s="1009"/>
      <c r="BD575" s="1009"/>
    </row>
    <row r="576" spans="1:56" s="1010" customFormat="1" ht="36.75" customHeight="1">
      <c r="A576" s="661">
        <f>SUBTOTAL(3,B$6:B576)</f>
        <v>571</v>
      </c>
      <c r="B576" s="661" t="s">
        <v>1942</v>
      </c>
      <c r="C576" s="662" t="s">
        <v>1943</v>
      </c>
      <c r="D576" s="1011">
        <v>45615</v>
      </c>
      <c r="E576" s="1011" t="s">
        <v>218</v>
      </c>
      <c r="F576" s="787" t="s">
        <v>520</v>
      </c>
      <c r="G576" s="996" t="s">
        <v>797</v>
      </c>
      <c r="H576" s="1012">
        <v>5023000</v>
      </c>
      <c r="I576" s="1012">
        <v>0</v>
      </c>
      <c r="J576" s="1012">
        <v>0</v>
      </c>
      <c r="K576" s="1012">
        <v>0</v>
      </c>
      <c r="L576" s="1013">
        <f t="shared" si="136"/>
        <v>5023000</v>
      </c>
      <c r="M576" s="1014">
        <v>24</v>
      </c>
      <c r="N576" s="1013">
        <f t="shared" si="137"/>
        <v>4636615</v>
      </c>
      <c r="O576" s="1015">
        <v>2</v>
      </c>
      <c r="P576" s="1013">
        <f t="shared" si="138"/>
        <v>386385</v>
      </c>
      <c r="Q576" s="1016">
        <v>0</v>
      </c>
      <c r="R576" s="1013">
        <f t="shared" si="139"/>
        <v>0</v>
      </c>
      <c r="S576" s="1013">
        <f t="shared" si="140"/>
        <v>5023000</v>
      </c>
      <c r="T576" s="1017">
        <v>0</v>
      </c>
      <c r="U576" s="785">
        <v>0</v>
      </c>
      <c r="V576" s="785">
        <v>200000</v>
      </c>
      <c r="W576" s="1017">
        <v>500000</v>
      </c>
      <c r="X576" s="1017">
        <v>0</v>
      </c>
      <c r="Y576" s="1017">
        <v>400000</v>
      </c>
      <c r="Z576" s="1017">
        <v>581598</v>
      </c>
      <c r="AA576" s="1018"/>
      <c r="AB576" s="1013"/>
      <c r="AC576" s="1017">
        <v>0</v>
      </c>
      <c r="AD576" s="1017">
        <v>0</v>
      </c>
      <c r="AE576" s="1013">
        <v>36223.5546875</v>
      </c>
      <c r="AF576" s="1019"/>
      <c r="AG576" s="1019">
        <f t="shared" si="129"/>
        <v>6740822</v>
      </c>
      <c r="AH576" s="1014">
        <v>36</v>
      </c>
      <c r="AI576" s="1014">
        <v>0</v>
      </c>
      <c r="AJ576" s="1014">
        <v>0</v>
      </c>
      <c r="AK576" s="1018">
        <v>0</v>
      </c>
      <c r="AL576" s="1020">
        <v>0</v>
      </c>
      <c r="AM576" s="1013">
        <f t="shared" si="128"/>
        <v>1304048</v>
      </c>
      <c r="AN576" s="1045">
        <f t="shared" si="141"/>
        <v>8044870</v>
      </c>
      <c r="AO576" s="1013">
        <v>527415</v>
      </c>
      <c r="AP576" s="1013">
        <v>44100</v>
      </c>
      <c r="AQ576" s="1013">
        <v>0</v>
      </c>
      <c r="AR576" s="1013">
        <v>0</v>
      </c>
      <c r="AS576" s="1013">
        <v>0</v>
      </c>
      <c r="AT576" s="1045">
        <f t="shared" si="135"/>
        <v>7473355</v>
      </c>
      <c r="AU576" s="1004"/>
      <c r="AV576" s="870"/>
      <c r="AW576" s="782" t="s">
        <v>4422</v>
      </c>
      <c r="AX576" s="782" t="s">
        <v>4423</v>
      </c>
      <c r="AY576" s="1007" t="s">
        <v>288</v>
      </c>
      <c r="AZ576" s="1007">
        <v>622</v>
      </c>
      <c r="BA576" s="347" t="str">
        <f t="shared" si="142"/>
        <v>Bag</v>
      </c>
      <c r="BB576" s="1008"/>
      <c r="BC576" s="1009"/>
      <c r="BD576" s="1009"/>
    </row>
    <row r="577" spans="1:56" s="1010" customFormat="1" ht="36.75" customHeight="1">
      <c r="A577" s="661">
        <f>SUBTOTAL(3,B$6:B577)</f>
        <v>572</v>
      </c>
      <c r="B577" s="661" t="s">
        <v>1944</v>
      </c>
      <c r="C577" s="662" t="s">
        <v>1945</v>
      </c>
      <c r="D577" s="1011">
        <v>45736</v>
      </c>
      <c r="E577" s="1011" t="s">
        <v>218</v>
      </c>
      <c r="F577" s="787" t="s">
        <v>520</v>
      </c>
      <c r="G577" s="996" t="s">
        <v>797</v>
      </c>
      <c r="H577" s="1012">
        <v>4694000</v>
      </c>
      <c r="I577" s="1012">
        <v>0</v>
      </c>
      <c r="J577" s="1012">
        <v>0</v>
      </c>
      <c r="K577" s="1012">
        <v>0</v>
      </c>
      <c r="L577" s="1013">
        <f t="shared" si="136"/>
        <v>4694000</v>
      </c>
      <c r="M577" s="1014">
        <v>21.8</v>
      </c>
      <c r="N577" s="1013">
        <f t="shared" si="137"/>
        <v>3935738</v>
      </c>
      <c r="O577" s="1015">
        <v>3</v>
      </c>
      <c r="P577" s="1013">
        <f t="shared" si="138"/>
        <v>541615</v>
      </c>
      <c r="Q577" s="1016">
        <v>0</v>
      </c>
      <c r="R577" s="1013">
        <f t="shared" si="139"/>
        <v>0</v>
      </c>
      <c r="S577" s="1013">
        <f t="shared" si="140"/>
        <v>4477353</v>
      </c>
      <c r="T577" s="1017">
        <v>0</v>
      </c>
      <c r="U577" s="785">
        <v>0</v>
      </c>
      <c r="V577" s="785">
        <v>200000</v>
      </c>
      <c r="W577" s="1017">
        <v>0</v>
      </c>
      <c r="X577" s="1017">
        <v>0</v>
      </c>
      <c r="Y577" s="1017">
        <v>300000</v>
      </c>
      <c r="Z577" s="1017">
        <v>215324</v>
      </c>
      <c r="AA577" s="1018"/>
      <c r="AB577" s="1013"/>
      <c r="AC577" s="1017">
        <v>0</v>
      </c>
      <c r="AD577" s="1017">
        <v>120211</v>
      </c>
      <c r="AE577" s="1013">
        <v>33850.957568807338</v>
      </c>
      <c r="AF577" s="1019"/>
      <c r="AG577" s="1019">
        <f t="shared" si="129"/>
        <v>5346739</v>
      </c>
      <c r="AH577" s="1014">
        <v>32</v>
      </c>
      <c r="AI577" s="1014">
        <v>0</v>
      </c>
      <c r="AJ577" s="1014">
        <v>0</v>
      </c>
      <c r="AK577" s="1018">
        <v>0</v>
      </c>
      <c r="AL577" s="1020">
        <v>0</v>
      </c>
      <c r="AM577" s="1013">
        <f t="shared" si="128"/>
        <v>1083231</v>
      </c>
      <c r="AN577" s="1045">
        <f t="shared" si="141"/>
        <v>6429970</v>
      </c>
      <c r="AO577" s="1013">
        <v>0</v>
      </c>
      <c r="AP577" s="1013">
        <v>0</v>
      </c>
      <c r="AQ577" s="1013">
        <v>0</v>
      </c>
      <c r="AR577" s="1013">
        <v>0</v>
      </c>
      <c r="AS577" s="1013">
        <v>0</v>
      </c>
      <c r="AT577" s="1045">
        <f t="shared" si="135"/>
        <v>6429970</v>
      </c>
      <c r="AU577" s="1004"/>
      <c r="AV577" s="870"/>
      <c r="AW577" s="782" t="s">
        <v>4424</v>
      </c>
      <c r="AX577" s="782" t="s">
        <v>4425</v>
      </c>
      <c r="AY577" s="1007" t="s">
        <v>288</v>
      </c>
      <c r="AZ577" s="1007">
        <v>622</v>
      </c>
      <c r="BA577" s="347" t="str">
        <f t="shared" si="142"/>
        <v>Bag</v>
      </c>
      <c r="BB577" s="1008"/>
      <c r="BC577" s="1009"/>
      <c r="BD577" s="1009"/>
    </row>
    <row r="578" spans="1:56" s="1010" customFormat="1" ht="36.75" customHeight="1">
      <c r="A578" s="661">
        <f>SUBTOTAL(3,B$6:B578)</f>
        <v>573</v>
      </c>
      <c r="B578" s="661" t="s">
        <v>1946</v>
      </c>
      <c r="C578" s="662" t="s">
        <v>1947</v>
      </c>
      <c r="D578" s="1011">
        <v>45745</v>
      </c>
      <c r="E578" s="1011" t="s">
        <v>218</v>
      </c>
      <c r="F578" s="787" t="s">
        <v>520</v>
      </c>
      <c r="G578" s="996" t="s">
        <v>554</v>
      </c>
      <c r="H578" s="1012">
        <v>4694000</v>
      </c>
      <c r="I578" s="1012">
        <v>0</v>
      </c>
      <c r="J578" s="1012">
        <v>0</v>
      </c>
      <c r="K578" s="1012">
        <v>0</v>
      </c>
      <c r="L578" s="1013">
        <f t="shared" ref="L578:L640" si="143">SUM(H578:K578)</f>
        <v>4694000</v>
      </c>
      <c r="M578" s="1014">
        <v>23.6</v>
      </c>
      <c r="N578" s="1013">
        <f t="shared" si="137"/>
        <v>4260708</v>
      </c>
      <c r="O578" s="1015">
        <v>2</v>
      </c>
      <c r="P578" s="1013">
        <f t="shared" si="138"/>
        <v>361077</v>
      </c>
      <c r="Q578" s="1016">
        <v>0</v>
      </c>
      <c r="R578" s="1013">
        <f t="shared" si="139"/>
        <v>0</v>
      </c>
      <c r="S578" s="1013">
        <f t="shared" si="140"/>
        <v>4621785</v>
      </c>
      <c r="T578" s="1017">
        <v>0</v>
      </c>
      <c r="U578" s="785">
        <v>0</v>
      </c>
      <c r="V578" s="785">
        <v>200000</v>
      </c>
      <c r="W578" s="1017">
        <v>500000</v>
      </c>
      <c r="X578" s="1017">
        <v>0</v>
      </c>
      <c r="Y578" s="1017">
        <v>400000</v>
      </c>
      <c r="Z578" s="1017">
        <v>17710</v>
      </c>
      <c r="AA578" s="1018"/>
      <c r="AB578" s="1013"/>
      <c r="AC578" s="1017">
        <v>0</v>
      </c>
      <c r="AD578" s="1017">
        <v>22776</v>
      </c>
      <c r="AE578" s="1013">
        <v>33850.963983050846</v>
      </c>
      <c r="AF578" s="1019"/>
      <c r="AG578" s="1019">
        <f t="shared" si="129"/>
        <v>5796122</v>
      </c>
      <c r="AH578" s="1014">
        <v>32</v>
      </c>
      <c r="AI578" s="1014">
        <v>0</v>
      </c>
      <c r="AJ578" s="1014">
        <v>0</v>
      </c>
      <c r="AK578" s="1018">
        <v>0</v>
      </c>
      <c r="AL578" s="1020">
        <v>0</v>
      </c>
      <c r="AM578" s="1013">
        <f t="shared" si="128"/>
        <v>1083231</v>
      </c>
      <c r="AN578" s="1045">
        <f t="shared" si="141"/>
        <v>6879353</v>
      </c>
      <c r="AO578" s="1013">
        <v>0</v>
      </c>
      <c r="AP578" s="1013">
        <v>0</v>
      </c>
      <c r="AQ578" s="1013">
        <v>0</v>
      </c>
      <c r="AR578" s="1013">
        <v>0</v>
      </c>
      <c r="AS578" s="1013">
        <v>0</v>
      </c>
      <c r="AT578" s="1045">
        <f t="shared" si="135"/>
        <v>6879353</v>
      </c>
      <c r="AU578" s="1004"/>
      <c r="AV578" s="870"/>
      <c r="AW578" s="782" t="s">
        <v>4426</v>
      </c>
      <c r="AX578" s="782" t="s">
        <v>4427</v>
      </c>
      <c r="AY578" s="1007" t="s">
        <v>288</v>
      </c>
      <c r="AZ578" s="1007">
        <v>622</v>
      </c>
      <c r="BA578" s="347" t="str">
        <f t="shared" si="142"/>
        <v>Bag</v>
      </c>
      <c r="BB578" s="1008"/>
      <c r="BC578" s="1009"/>
      <c r="BD578" s="1009"/>
    </row>
    <row r="579" spans="1:56" s="1010" customFormat="1" ht="36.75" customHeight="1">
      <c r="A579" s="661">
        <f>SUBTOTAL(3,B$6:B579)</f>
        <v>574</v>
      </c>
      <c r="B579" s="661" t="s">
        <v>1948</v>
      </c>
      <c r="C579" s="662" t="s">
        <v>1949</v>
      </c>
      <c r="D579" s="1011">
        <v>45745</v>
      </c>
      <c r="E579" s="1011" t="s">
        <v>218</v>
      </c>
      <c r="F579" s="787" t="s">
        <v>520</v>
      </c>
      <c r="G579" s="996" t="s">
        <v>554</v>
      </c>
      <c r="H579" s="1012">
        <v>4694000</v>
      </c>
      <c r="I579" s="1012">
        <v>0</v>
      </c>
      <c r="J579" s="1012">
        <v>0</v>
      </c>
      <c r="K579" s="1012">
        <v>0</v>
      </c>
      <c r="L579" s="1013">
        <f t="shared" si="143"/>
        <v>4694000</v>
      </c>
      <c r="M579" s="1014">
        <v>23.8</v>
      </c>
      <c r="N579" s="1013">
        <f t="shared" si="137"/>
        <v>4296815</v>
      </c>
      <c r="O579" s="1015">
        <v>2</v>
      </c>
      <c r="P579" s="1013">
        <f t="shared" si="138"/>
        <v>361077</v>
      </c>
      <c r="Q579" s="1016">
        <v>0</v>
      </c>
      <c r="R579" s="1013">
        <f t="shared" si="139"/>
        <v>0</v>
      </c>
      <c r="S579" s="1013">
        <f t="shared" si="140"/>
        <v>4657892</v>
      </c>
      <c r="T579" s="1017">
        <v>0</v>
      </c>
      <c r="U579" s="785">
        <v>0</v>
      </c>
      <c r="V579" s="785">
        <v>200000</v>
      </c>
      <c r="W579" s="1017">
        <v>500000</v>
      </c>
      <c r="X579" s="1017">
        <v>0</v>
      </c>
      <c r="Y579" s="1017">
        <v>300000</v>
      </c>
      <c r="Z579" s="1017">
        <v>14528</v>
      </c>
      <c r="AA579" s="1018"/>
      <c r="AB579" s="1013"/>
      <c r="AC579" s="1017">
        <v>0</v>
      </c>
      <c r="AD579" s="1017">
        <v>25307</v>
      </c>
      <c r="AE579" s="1013">
        <v>0</v>
      </c>
      <c r="AF579" s="1019"/>
      <c r="AG579" s="1019">
        <f t="shared" si="129"/>
        <v>5697727</v>
      </c>
      <c r="AH579" s="1014">
        <v>21</v>
      </c>
      <c r="AI579" s="1014">
        <v>0</v>
      </c>
      <c r="AJ579" s="1014">
        <v>0</v>
      </c>
      <c r="AK579" s="1018">
        <v>0</v>
      </c>
      <c r="AL579" s="1020">
        <v>0</v>
      </c>
      <c r="AM579" s="1013">
        <f t="shared" si="128"/>
        <v>710870</v>
      </c>
      <c r="AN579" s="1045">
        <f t="shared" si="141"/>
        <v>6408597</v>
      </c>
      <c r="AO579" s="1013">
        <v>0</v>
      </c>
      <c r="AP579" s="1013">
        <v>0</v>
      </c>
      <c r="AQ579" s="1013">
        <v>0</v>
      </c>
      <c r="AR579" s="1013">
        <v>0</v>
      </c>
      <c r="AS579" s="1013">
        <v>0</v>
      </c>
      <c r="AT579" s="1045">
        <f t="shared" si="135"/>
        <v>6408597</v>
      </c>
      <c r="AU579" s="1004"/>
      <c r="AV579" s="870"/>
      <c r="AW579" s="782" t="s">
        <v>4428</v>
      </c>
      <c r="AX579" s="782" t="s">
        <v>4429</v>
      </c>
      <c r="AY579" s="1007" t="s">
        <v>288</v>
      </c>
      <c r="AZ579" s="1007">
        <v>622</v>
      </c>
      <c r="BA579" s="347" t="str">
        <f t="shared" si="142"/>
        <v>Bag</v>
      </c>
      <c r="BB579" s="1008"/>
      <c r="BC579" s="1009"/>
      <c r="BD579" s="1009"/>
    </row>
    <row r="580" spans="1:56" s="1010" customFormat="1" ht="36.75" customHeight="1">
      <c r="A580" s="661">
        <f>SUBTOTAL(3,B$6:B580)</f>
        <v>575</v>
      </c>
      <c r="B580" s="661" t="s">
        <v>5759</v>
      </c>
      <c r="C580" s="662" t="s">
        <v>5760</v>
      </c>
      <c r="D580" s="1011">
        <v>45766</v>
      </c>
      <c r="E580" s="1011" t="s">
        <v>218</v>
      </c>
      <c r="F580" s="787" t="s">
        <v>520</v>
      </c>
      <c r="G580" s="996" t="s">
        <v>554</v>
      </c>
      <c r="H580" s="1012">
        <v>4694000</v>
      </c>
      <c r="I580" s="1012">
        <v>0</v>
      </c>
      <c r="J580" s="1012">
        <v>0</v>
      </c>
      <c r="K580" s="1012">
        <v>0</v>
      </c>
      <c r="L580" s="1013">
        <f t="shared" si="143"/>
        <v>4694000</v>
      </c>
      <c r="M580" s="1014">
        <v>9</v>
      </c>
      <c r="N580" s="1013">
        <f t="shared" si="137"/>
        <v>1624846</v>
      </c>
      <c r="O580" s="1015">
        <v>1</v>
      </c>
      <c r="P580" s="1013">
        <f t="shared" si="138"/>
        <v>180538</v>
      </c>
      <c r="Q580" s="1016">
        <v>0</v>
      </c>
      <c r="R580" s="1013">
        <f t="shared" si="139"/>
        <v>0</v>
      </c>
      <c r="S580" s="1013">
        <f t="shared" si="140"/>
        <v>1805384</v>
      </c>
      <c r="T580" s="1017">
        <v>0</v>
      </c>
      <c r="U580" s="785">
        <v>0</v>
      </c>
      <c r="V580" s="785">
        <v>77000</v>
      </c>
      <c r="W580" s="1017">
        <v>192000</v>
      </c>
      <c r="X580" s="1017">
        <v>0</v>
      </c>
      <c r="Y580" s="1017">
        <v>58000</v>
      </c>
      <c r="Z580" s="1017">
        <v>0</v>
      </c>
      <c r="AA580" s="1018"/>
      <c r="AB580" s="1013"/>
      <c r="AC580" s="1017">
        <v>0</v>
      </c>
      <c r="AD580" s="1017">
        <v>0</v>
      </c>
      <c r="AE580" s="1013">
        <v>0</v>
      </c>
      <c r="AF580" s="1019"/>
      <c r="AG580" s="1019">
        <f t="shared" si="129"/>
        <v>2132384</v>
      </c>
      <c r="AH580" s="1014">
        <v>8</v>
      </c>
      <c r="AI580" s="1014">
        <v>0</v>
      </c>
      <c r="AJ580" s="1014">
        <v>0</v>
      </c>
      <c r="AK580" s="1018">
        <v>0</v>
      </c>
      <c r="AL580" s="1020">
        <v>0</v>
      </c>
      <c r="AM580" s="1013">
        <f t="shared" si="128"/>
        <v>270808</v>
      </c>
      <c r="AN580" s="1045">
        <f t="shared" si="141"/>
        <v>2403192</v>
      </c>
      <c r="AO580" s="1013">
        <v>0</v>
      </c>
      <c r="AP580" s="1013">
        <v>0</v>
      </c>
      <c r="AQ580" s="1013">
        <v>0</v>
      </c>
      <c r="AR580" s="1013">
        <v>0</v>
      </c>
      <c r="AS580" s="1013">
        <v>0</v>
      </c>
      <c r="AT580" s="1045">
        <f t="shared" si="135"/>
        <v>2403192</v>
      </c>
      <c r="AU580" s="1004"/>
      <c r="AV580" s="870"/>
      <c r="AW580" s="782" t="s">
        <v>5862</v>
      </c>
      <c r="AX580" s="782" t="s">
        <v>5863</v>
      </c>
      <c r="AY580" s="1007" t="s">
        <v>288</v>
      </c>
      <c r="AZ580" s="1007">
        <v>622</v>
      </c>
      <c r="BA580" s="347" t="str">
        <f t="shared" si="142"/>
        <v>Bag</v>
      </c>
      <c r="BB580" s="1008"/>
      <c r="BC580" s="1009"/>
      <c r="BD580" s="1009"/>
    </row>
    <row r="581" spans="1:56" s="1010" customFormat="1" ht="36.75" customHeight="1">
      <c r="A581" s="661">
        <f>SUBTOTAL(3,B$6:B581)</f>
        <v>576</v>
      </c>
      <c r="B581" s="661" t="s">
        <v>5761</v>
      </c>
      <c r="C581" s="662" t="s">
        <v>5762</v>
      </c>
      <c r="D581" s="1011">
        <v>45766</v>
      </c>
      <c r="E581" s="1011" t="s">
        <v>218</v>
      </c>
      <c r="F581" s="787" t="s">
        <v>520</v>
      </c>
      <c r="G581" s="996" t="s">
        <v>554</v>
      </c>
      <c r="H581" s="1012">
        <v>4694000</v>
      </c>
      <c r="I581" s="1012">
        <v>0</v>
      </c>
      <c r="J581" s="1012">
        <v>0</v>
      </c>
      <c r="K581" s="1012">
        <v>0</v>
      </c>
      <c r="L581" s="1013">
        <f t="shared" si="143"/>
        <v>4694000</v>
      </c>
      <c r="M581" s="1014">
        <v>8.8000000000000007</v>
      </c>
      <c r="N581" s="1013">
        <f t="shared" si="137"/>
        <v>1588738</v>
      </c>
      <c r="O581" s="1015">
        <v>1</v>
      </c>
      <c r="P581" s="1013">
        <f t="shared" si="138"/>
        <v>180538</v>
      </c>
      <c r="Q581" s="1016">
        <v>0</v>
      </c>
      <c r="R581" s="1013">
        <f t="shared" si="139"/>
        <v>0</v>
      </c>
      <c r="S581" s="1013">
        <f t="shared" si="140"/>
        <v>1769276</v>
      </c>
      <c r="T581" s="1017">
        <v>0</v>
      </c>
      <c r="U581" s="785">
        <v>0</v>
      </c>
      <c r="V581" s="785">
        <v>75000</v>
      </c>
      <c r="W581" s="1017">
        <v>188000</v>
      </c>
      <c r="X581" s="1017">
        <v>0</v>
      </c>
      <c r="Y581" s="1017">
        <v>57000</v>
      </c>
      <c r="Z581" s="1017">
        <v>0</v>
      </c>
      <c r="AA581" s="1018"/>
      <c r="AB581" s="1013"/>
      <c r="AC581" s="1017">
        <v>0</v>
      </c>
      <c r="AD581" s="1017">
        <v>0</v>
      </c>
      <c r="AE581" s="1013">
        <v>0</v>
      </c>
      <c r="AF581" s="1019"/>
      <c r="AG581" s="1019">
        <f t="shared" si="129"/>
        <v>2089276</v>
      </c>
      <c r="AH581" s="1014">
        <v>8</v>
      </c>
      <c r="AI581" s="1014">
        <v>0</v>
      </c>
      <c r="AJ581" s="1014">
        <v>0</v>
      </c>
      <c r="AK581" s="1018">
        <v>0</v>
      </c>
      <c r="AL581" s="1020">
        <v>0</v>
      </c>
      <c r="AM581" s="1013">
        <f t="shared" si="128"/>
        <v>270808</v>
      </c>
      <c r="AN581" s="1045">
        <f t="shared" si="141"/>
        <v>2360084</v>
      </c>
      <c r="AO581" s="1013">
        <v>0</v>
      </c>
      <c r="AP581" s="1013">
        <v>0</v>
      </c>
      <c r="AQ581" s="1013">
        <v>0</v>
      </c>
      <c r="AR581" s="1013">
        <v>0</v>
      </c>
      <c r="AS581" s="1013">
        <v>0</v>
      </c>
      <c r="AT581" s="1045">
        <f t="shared" si="135"/>
        <v>2360084</v>
      </c>
      <c r="AU581" s="1004"/>
      <c r="AV581" s="870"/>
      <c r="AW581" s="782" t="s">
        <v>5864</v>
      </c>
      <c r="AX581" s="782" t="s">
        <v>5865</v>
      </c>
      <c r="AY581" s="1007" t="s">
        <v>288</v>
      </c>
      <c r="AZ581" s="1007">
        <v>622</v>
      </c>
      <c r="BA581" s="347" t="str">
        <f t="shared" si="142"/>
        <v>Bag</v>
      </c>
      <c r="BB581" s="1008"/>
      <c r="BC581" s="1009"/>
      <c r="BD581" s="1009"/>
    </row>
    <row r="582" spans="1:56" s="1010" customFormat="1" ht="36.75" customHeight="1">
      <c r="A582" s="661">
        <f>SUBTOTAL(3,B$6:B582)</f>
        <v>577</v>
      </c>
      <c r="B582" s="661" t="s">
        <v>1950</v>
      </c>
      <c r="C582" s="662" t="s">
        <v>1951</v>
      </c>
      <c r="D582" s="1011">
        <v>41166</v>
      </c>
      <c r="E582" s="1011" t="s">
        <v>218</v>
      </c>
      <c r="F582" s="787" t="s">
        <v>520</v>
      </c>
      <c r="G582" s="996" t="s">
        <v>797</v>
      </c>
      <c r="H582" s="1012">
        <v>5931000</v>
      </c>
      <c r="I582" s="1012">
        <v>0</v>
      </c>
      <c r="J582" s="1012">
        <v>0</v>
      </c>
      <c r="K582" s="1012">
        <v>100000</v>
      </c>
      <c r="L582" s="1013">
        <f t="shared" si="143"/>
        <v>6031000</v>
      </c>
      <c r="M582" s="1014">
        <v>24</v>
      </c>
      <c r="N582" s="1013">
        <f t="shared" si="137"/>
        <v>5567077</v>
      </c>
      <c r="O582" s="1015">
        <v>2</v>
      </c>
      <c r="P582" s="1013">
        <f t="shared" si="138"/>
        <v>463923</v>
      </c>
      <c r="Q582" s="1016">
        <v>0</v>
      </c>
      <c r="R582" s="1013">
        <f t="shared" si="139"/>
        <v>0</v>
      </c>
      <c r="S582" s="1013">
        <f t="shared" si="140"/>
        <v>6031000</v>
      </c>
      <c r="T582" s="1017">
        <v>0</v>
      </c>
      <c r="U582" s="785">
        <v>0</v>
      </c>
      <c r="V582" s="785">
        <v>200000</v>
      </c>
      <c r="W582" s="1017">
        <v>500000</v>
      </c>
      <c r="X582" s="1017">
        <v>0</v>
      </c>
      <c r="Y582" s="1017">
        <v>400000</v>
      </c>
      <c r="Z582" s="1017">
        <v>669318</v>
      </c>
      <c r="AA582" s="1018"/>
      <c r="AB582" s="1013"/>
      <c r="AC582" s="1017">
        <v>0</v>
      </c>
      <c r="AD582" s="1017">
        <v>0</v>
      </c>
      <c r="AE582" s="1013">
        <v>43492.7890625</v>
      </c>
      <c r="AF582" s="1019"/>
      <c r="AG582" s="1019">
        <f t="shared" si="129"/>
        <v>7843811</v>
      </c>
      <c r="AH582" s="1014">
        <v>36</v>
      </c>
      <c r="AI582" s="1014">
        <v>0</v>
      </c>
      <c r="AJ582" s="1014">
        <v>0</v>
      </c>
      <c r="AK582" s="1018">
        <v>0</v>
      </c>
      <c r="AL582" s="1020">
        <v>0</v>
      </c>
      <c r="AM582" s="1013">
        <f t="shared" si="128"/>
        <v>1565740</v>
      </c>
      <c r="AN582" s="1045">
        <f t="shared" si="141"/>
        <v>9409551</v>
      </c>
      <c r="AO582" s="1013">
        <v>633255</v>
      </c>
      <c r="AP582" s="1013">
        <v>44100</v>
      </c>
      <c r="AQ582" s="1013">
        <v>0</v>
      </c>
      <c r="AR582" s="1013">
        <v>0</v>
      </c>
      <c r="AS582" s="1013">
        <v>0</v>
      </c>
      <c r="AT582" s="1045">
        <f t="shared" si="135"/>
        <v>8732196</v>
      </c>
      <c r="AU582" s="1004"/>
      <c r="AV582" s="870"/>
      <c r="AW582" s="782" t="s">
        <v>4430</v>
      </c>
      <c r="AX582" s="782" t="s">
        <v>4431</v>
      </c>
      <c r="AY582" s="1007" t="s">
        <v>288</v>
      </c>
      <c r="AZ582" s="1007">
        <v>622</v>
      </c>
      <c r="BA582" s="347" t="str">
        <f t="shared" si="142"/>
        <v>Bag</v>
      </c>
      <c r="BB582" s="1008"/>
      <c r="BC582" s="1009"/>
      <c r="BD582" s="1009"/>
    </row>
    <row r="583" spans="1:56" s="1010" customFormat="1" ht="36.75" customHeight="1">
      <c r="A583" s="661">
        <f>SUBTOTAL(3,B$6:B583)</f>
        <v>578</v>
      </c>
      <c r="B583" s="661" t="s">
        <v>1952</v>
      </c>
      <c r="C583" s="662" t="s">
        <v>1953</v>
      </c>
      <c r="D583" s="1011">
        <v>41334</v>
      </c>
      <c r="E583" s="1011" t="s">
        <v>218</v>
      </c>
      <c r="F583" s="787" t="s">
        <v>520</v>
      </c>
      <c r="G583" s="996" t="s">
        <v>797</v>
      </c>
      <c r="H583" s="1012">
        <v>5931000</v>
      </c>
      <c r="I583" s="1012">
        <v>0</v>
      </c>
      <c r="J583" s="1012">
        <v>0</v>
      </c>
      <c r="K583" s="1012">
        <v>0</v>
      </c>
      <c r="L583" s="1013">
        <f t="shared" si="143"/>
        <v>5931000</v>
      </c>
      <c r="M583" s="1014">
        <v>22.5</v>
      </c>
      <c r="N583" s="1013">
        <f t="shared" si="137"/>
        <v>5132596</v>
      </c>
      <c r="O583" s="1015">
        <v>3</v>
      </c>
      <c r="P583" s="1013">
        <f t="shared" si="138"/>
        <v>684346</v>
      </c>
      <c r="Q583" s="1016">
        <v>0</v>
      </c>
      <c r="R583" s="1013">
        <f t="shared" si="139"/>
        <v>0</v>
      </c>
      <c r="S583" s="1013">
        <f t="shared" si="140"/>
        <v>5816942</v>
      </c>
      <c r="T583" s="1017">
        <v>0</v>
      </c>
      <c r="U583" s="785">
        <v>0</v>
      </c>
      <c r="V583" s="785">
        <v>200000</v>
      </c>
      <c r="W583" s="1017">
        <v>500000</v>
      </c>
      <c r="X583" s="1017">
        <v>0</v>
      </c>
      <c r="Y583" s="1017">
        <v>400000</v>
      </c>
      <c r="Z583" s="1017">
        <v>619540</v>
      </c>
      <c r="AA583" s="1018"/>
      <c r="AB583" s="1013"/>
      <c r="AC583" s="1017">
        <v>0</v>
      </c>
      <c r="AD583" s="1017">
        <v>0</v>
      </c>
      <c r="AE583" s="1013">
        <v>42771.633333333331</v>
      </c>
      <c r="AF583" s="1019"/>
      <c r="AG583" s="1019">
        <f t="shared" si="129"/>
        <v>7579254</v>
      </c>
      <c r="AH583" s="1014">
        <v>32</v>
      </c>
      <c r="AI583" s="1014">
        <v>0</v>
      </c>
      <c r="AJ583" s="1014">
        <v>0</v>
      </c>
      <c r="AK583" s="1018">
        <v>0</v>
      </c>
      <c r="AL583" s="1020">
        <v>0</v>
      </c>
      <c r="AM583" s="1013">
        <f t="shared" ref="AM583:AM646" si="144">ROUND((N583/IF(M583&gt;26,26,M583)/8*(AH583*$AH$5+AI583*$AI$5+AJ583*$AJ$5+AK583*$AK$5+AL583*$AL$5)),0)</f>
        <v>1368692</v>
      </c>
      <c r="AN583" s="1045">
        <f t="shared" si="141"/>
        <v>8947946</v>
      </c>
      <c r="AO583" s="1013">
        <v>622755</v>
      </c>
      <c r="AP583" s="1013">
        <v>44100</v>
      </c>
      <c r="AQ583" s="1013">
        <v>0</v>
      </c>
      <c r="AR583" s="1013">
        <v>0</v>
      </c>
      <c r="AS583" s="1013">
        <v>0</v>
      </c>
      <c r="AT583" s="1045">
        <f t="shared" si="135"/>
        <v>8281091</v>
      </c>
      <c r="AU583" s="1004"/>
      <c r="AV583" s="870"/>
      <c r="AW583" s="782" t="s">
        <v>4432</v>
      </c>
      <c r="AX583" s="782" t="s">
        <v>4433</v>
      </c>
      <c r="AY583" s="1007" t="s">
        <v>288</v>
      </c>
      <c r="AZ583" s="1007">
        <v>622</v>
      </c>
      <c r="BA583" s="347" t="str">
        <f t="shared" si="142"/>
        <v>Bag</v>
      </c>
      <c r="BB583" s="1008"/>
      <c r="BC583" s="1009"/>
      <c r="BD583" s="1009"/>
    </row>
    <row r="584" spans="1:56" s="1010" customFormat="1" ht="36.75" customHeight="1">
      <c r="A584" s="661">
        <f>SUBTOTAL(3,B$6:B584)</f>
        <v>579</v>
      </c>
      <c r="B584" s="661" t="s">
        <v>1954</v>
      </c>
      <c r="C584" s="662" t="s">
        <v>1955</v>
      </c>
      <c r="D584" s="1011">
        <v>41550</v>
      </c>
      <c r="E584" s="1011" t="s">
        <v>218</v>
      </c>
      <c r="F584" s="787" t="s">
        <v>520</v>
      </c>
      <c r="G584" s="996" t="s">
        <v>1747</v>
      </c>
      <c r="H584" s="1012">
        <v>5931000</v>
      </c>
      <c r="I584" s="1012">
        <v>700000</v>
      </c>
      <c r="J584" s="1012">
        <v>0</v>
      </c>
      <c r="K584" s="1012">
        <v>0</v>
      </c>
      <c r="L584" s="1013">
        <f t="shared" si="143"/>
        <v>6631000</v>
      </c>
      <c r="M584" s="1014">
        <v>24</v>
      </c>
      <c r="N584" s="1013">
        <f t="shared" si="137"/>
        <v>6120923</v>
      </c>
      <c r="O584" s="1015">
        <v>2</v>
      </c>
      <c r="P584" s="1013">
        <f t="shared" si="138"/>
        <v>510077</v>
      </c>
      <c r="Q584" s="1016">
        <v>0</v>
      </c>
      <c r="R584" s="1013">
        <f t="shared" si="139"/>
        <v>0</v>
      </c>
      <c r="S584" s="1013">
        <f t="shared" si="140"/>
        <v>6631000</v>
      </c>
      <c r="T584" s="1017">
        <v>0</v>
      </c>
      <c r="U584" s="785">
        <v>0</v>
      </c>
      <c r="V584" s="785">
        <v>200000</v>
      </c>
      <c r="W584" s="1017">
        <v>500000</v>
      </c>
      <c r="X584" s="1017">
        <v>0</v>
      </c>
      <c r="Y584" s="1017">
        <v>400000</v>
      </c>
      <c r="Z584" s="1017">
        <v>589196</v>
      </c>
      <c r="AA584" s="1018"/>
      <c r="AB584" s="1013"/>
      <c r="AC584" s="1017">
        <v>100000</v>
      </c>
      <c r="AD584" s="1017">
        <v>0</v>
      </c>
      <c r="AE584" s="1013">
        <v>47819.7109375</v>
      </c>
      <c r="AF584" s="1019"/>
      <c r="AG584" s="1019">
        <f t="shared" si="129"/>
        <v>8468016</v>
      </c>
      <c r="AH584" s="1014">
        <v>36</v>
      </c>
      <c r="AI584" s="1014">
        <v>0</v>
      </c>
      <c r="AJ584" s="1014">
        <v>0</v>
      </c>
      <c r="AK584" s="1018">
        <v>0</v>
      </c>
      <c r="AL584" s="1020">
        <v>0</v>
      </c>
      <c r="AM584" s="1013">
        <f t="shared" si="144"/>
        <v>1721510</v>
      </c>
      <c r="AN584" s="1045">
        <f t="shared" si="141"/>
        <v>10189526</v>
      </c>
      <c r="AO584" s="1013">
        <v>696255</v>
      </c>
      <c r="AP584" s="1013">
        <v>44100</v>
      </c>
      <c r="AQ584" s="1013">
        <v>0</v>
      </c>
      <c r="AR584" s="1013">
        <v>0</v>
      </c>
      <c r="AS584" s="1013">
        <v>0</v>
      </c>
      <c r="AT584" s="1045">
        <f t="shared" si="135"/>
        <v>9449171</v>
      </c>
      <c r="AU584" s="1004"/>
      <c r="AV584" s="870"/>
      <c r="AW584" s="782" t="s">
        <v>4434</v>
      </c>
      <c r="AX584" s="782" t="s">
        <v>4435</v>
      </c>
      <c r="AY584" s="1007" t="s">
        <v>288</v>
      </c>
      <c r="AZ584" s="1007">
        <v>622</v>
      </c>
      <c r="BA584" s="347" t="str">
        <f t="shared" si="142"/>
        <v>Bag</v>
      </c>
      <c r="BB584" s="1008"/>
      <c r="BC584" s="1009"/>
      <c r="BD584" s="1009"/>
    </row>
    <row r="585" spans="1:56" s="1010" customFormat="1" ht="36.75" customHeight="1">
      <c r="A585" s="661">
        <f>SUBTOTAL(3,B$6:B585)</f>
        <v>580</v>
      </c>
      <c r="B585" s="661" t="s">
        <v>1956</v>
      </c>
      <c r="C585" s="662" t="s">
        <v>1957</v>
      </c>
      <c r="D585" s="1011">
        <v>43514</v>
      </c>
      <c r="E585" s="1011" t="s">
        <v>218</v>
      </c>
      <c r="F585" s="787" t="s">
        <v>520</v>
      </c>
      <c r="G585" s="996" t="s">
        <v>1232</v>
      </c>
      <c r="H585" s="1012">
        <v>5931000</v>
      </c>
      <c r="I585" s="1012">
        <v>200000</v>
      </c>
      <c r="J585" s="1012">
        <v>0</v>
      </c>
      <c r="K585" s="1012">
        <v>0</v>
      </c>
      <c r="L585" s="1013">
        <f t="shared" si="143"/>
        <v>6131000</v>
      </c>
      <c r="M585" s="1014">
        <v>23.6</v>
      </c>
      <c r="N585" s="1013">
        <f t="shared" si="137"/>
        <v>5565062</v>
      </c>
      <c r="O585" s="1015">
        <v>2</v>
      </c>
      <c r="P585" s="1013">
        <f t="shared" si="138"/>
        <v>471615</v>
      </c>
      <c r="Q585" s="1016">
        <v>0</v>
      </c>
      <c r="R585" s="1013">
        <f t="shared" si="139"/>
        <v>0</v>
      </c>
      <c r="S585" s="1013">
        <f t="shared" si="140"/>
        <v>6036677</v>
      </c>
      <c r="T585" s="1017">
        <v>0</v>
      </c>
      <c r="U585" s="785">
        <v>0</v>
      </c>
      <c r="V585" s="785">
        <v>200000</v>
      </c>
      <c r="W585" s="1017">
        <v>500000</v>
      </c>
      <c r="X585" s="1017">
        <v>0</v>
      </c>
      <c r="Y585" s="1017">
        <v>400000</v>
      </c>
      <c r="Z585" s="1017">
        <v>623316</v>
      </c>
      <c r="AA585" s="1018"/>
      <c r="AB585" s="1013"/>
      <c r="AC585" s="1017">
        <v>0</v>
      </c>
      <c r="AD585" s="1017">
        <v>0</v>
      </c>
      <c r="AE585" s="1013">
        <v>0</v>
      </c>
      <c r="AF585" s="1019"/>
      <c r="AG585" s="1019">
        <f t="shared" si="129"/>
        <v>7759993</v>
      </c>
      <c r="AH585" s="1014">
        <v>36</v>
      </c>
      <c r="AI585" s="1014">
        <v>0</v>
      </c>
      <c r="AJ585" s="1014">
        <v>0</v>
      </c>
      <c r="AK585" s="1018">
        <v>0</v>
      </c>
      <c r="AL585" s="1020">
        <v>0</v>
      </c>
      <c r="AM585" s="1013">
        <f t="shared" si="144"/>
        <v>1591702</v>
      </c>
      <c r="AN585" s="1045">
        <f t="shared" si="141"/>
        <v>9351695</v>
      </c>
      <c r="AO585" s="1013">
        <v>643755</v>
      </c>
      <c r="AP585" s="1013">
        <v>44100</v>
      </c>
      <c r="AQ585" s="1013">
        <v>0</v>
      </c>
      <c r="AR585" s="1013">
        <v>0</v>
      </c>
      <c r="AS585" s="1013">
        <v>0</v>
      </c>
      <c r="AT585" s="1045">
        <f t="shared" si="135"/>
        <v>8663840</v>
      </c>
      <c r="AU585" s="1004"/>
      <c r="AV585" s="870"/>
      <c r="AW585" s="782" t="s">
        <v>4436</v>
      </c>
      <c r="AX585" s="782" t="s">
        <v>5866</v>
      </c>
      <c r="AY585" s="1007" t="s">
        <v>288</v>
      </c>
      <c r="AZ585" s="1007">
        <v>622</v>
      </c>
      <c r="BA585" s="347" t="str">
        <f t="shared" si="142"/>
        <v>Bag</v>
      </c>
      <c r="BB585" s="1008"/>
      <c r="BC585" s="1009"/>
      <c r="BD585" s="1009"/>
    </row>
    <row r="586" spans="1:56" s="1010" customFormat="1" ht="36.75" customHeight="1">
      <c r="A586" s="661">
        <f>SUBTOTAL(3,B$6:B586)</f>
        <v>581</v>
      </c>
      <c r="B586" s="661" t="s">
        <v>1958</v>
      </c>
      <c r="C586" s="662" t="s">
        <v>1959</v>
      </c>
      <c r="D586" s="1011">
        <v>42614</v>
      </c>
      <c r="E586" s="1011" t="s">
        <v>218</v>
      </c>
      <c r="F586" s="787" t="s">
        <v>520</v>
      </c>
      <c r="G586" s="996" t="s">
        <v>797</v>
      </c>
      <c r="H586" s="1012">
        <v>5931000</v>
      </c>
      <c r="I586" s="1012">
        <v>0</v>
      </c>
      <c r="J586" s="1012">
        <v>0</v>
      </c>
      <c r="K586" s="1012">
        <v>0</v>
      </c>
      <c r="L586" s="1013">
        <f t="shared" si="143"/>
        <v>5931000</v>
      </c>
      <c r="M586" s="1014">
        <v>24</v>
      </c>
      <c r="N586" s="1013">
        <f t="shared" si="137"/>
        <v>5474769</v>
      </c>
      <c r="O586" s="1015">
        <v>2</v>
      </c>
      <c r="P586" s="1013">
        <f t="shared" si="138"/>
        <v>456231</v>
      </c>
      <c r="Q586" s="1016">
        <v>0</v>
      </c>
      <c r="R586" s="1013">
        <f t="shared" si="139"/>
        <v>0</v>
      </c>
      <c r="S586" s="1013">
        <f t="shared" si="140"/>
        <v>5931000</v>
      </c>
      <c r="T586" s="1017">
        <v>0</v>
      </c>
      <c r="U586" s="785">
        <v>0</v>
      </c>
      <c r="V586" s="785">
        <v>200000</v>
      </c>
      <c r="W586" s="1017">
        <v>500000</v>
      </c>
      <c r="X586" s="1017">
        <v>0</v>
      </c>
      <c r="Y586" s="1017">
        <v>400000</v>
      </c>
      <c r="Z586" s="1017">
        <v>608173</v>
      </c>
      <c r="AA586" s="1018"/>
      <c r="AB586" s="1013"/>
      <c r="AC586" s="1017">
        <v>0</v>
      </c>
      <c r="AD586" s="1017">
        <v>0</v>
      </c>
      <c r="AE586" s="1013">
        <v>42771.6328125</v>
      </c>
      <c r="AF586" s="1019"/>
      <c r="AG586" s="1019">
        <f t="shared" si="129"/>
        <v>7681945</v>
      </c>
      <c r="AH586" s="1014">
        <v>32</v>
      </c>
      <c r="AI586" s="1014">
        <v>0</v>
      </c>
      <c r="AJ586" s="1014">
        <v>0</v>
      </c>
      <c r="AK586" s="1018">
        <v>0</v>
      </c>
      <c r="AL586" s="1020">
        <v>0</v>
      </c>
      <c r="AM586" s="1013">
        <f t="shared" si="144"/>
        <v>1368692</v>
      </c>
      <c r="AN586" s="1045">
        <f t="shared" si="141"/>
        <v>9050637</v>
      </c>
      <c r="AO586" s="1013">
        <v>622755</v>
      </c>
      <c r="AP586" s="1013">
        <v>44100</v>
      </c>
      <c r="AQ586" s="1013">
        <v>0</v>
      </c>
      <c r="AR586" s="1013">
        <v>0</v>
      </c>
      <c r="AS586" s="1013">
        <v>0</v>
      </c>
      <c r="AT586" s="1045">
        <f t="shared" si="135"/>
        <v>8383782</v>
      </c>
      <c r="AU586" s="1004"/>
      <c r="AV586" s="870"/>
      <c r="AW586" s="782" t="s">
        <v>4437</v>
      </c>
      <c r="AX586" s="782" t="s">
        <v>4438</v>
      </c>
      <c r="AY586" s="1007" t="s">
        <v>288</v>
      </c>
      <c r="AZ586" s="1007">
        <v>622</v>
      </c>
      <c r="BA586" s="347" t="str">
        <f t="shared" si="142"/>
        <v>Bag</v>
      </c>
      <c r="BB586" s="1008"/>
      <c r="BC586" s="1009"/>
      <c r="BD586" s="1009"/>
    </row>
    <row r="587" spans="1:56" s="1010" customFormat="1" ht="36.75" customHeight="1">
      <c r="A587" s="661">
        <f>SUBTOTAL(3,B$6:B587)</f>
        <v>582</v>
      </c>
      <c r="B587" s="661" t="s">
        <v>1960</v>
      </c>
      <c r="C587" s="662" t="s">
        <v>1961</v>
      </c>
      <c r="D587" s="1011">
        <v>43579</v>
      </c>
      <c r="E587" s="1011" t="s">
        <v>218</v>
      </c>
      <c r="F587" s="787" t="s">
        <v>521</v>
      </c>
      <c r="G587" s="996" t="s">
        <v>1232</v>
      </c>
      <c r="H587" s="1012">
        <v>5931000</v>
      </c>
      <c r="I587" s="1012">
        <v>200000</v>
      </c>
      <c r="J587" s="1012">
        <v>0</v>
      </c>
      <c r="K587" s="1012">
        <v>0</v>
      </c>
      <c r="L587" s="1013">
        <f t="shared" si="143"/>
        <v>6131000</v>
      </c>
      <c r="M587" s="1014">
        <v>23</v>
      </c>
      <c r="N587" s="1013">
        <f t="shared" si="137"/>
        <v>5423577</v>
      </c>
      <c r="O587" s="1015">
        <v>3</v>
      </c>
      <c r="P587" s="1013">
        <f t="shared" si="138"/>
        <v>707423</v>
      </c>
      <c r="Q587" s="1016">
        <v>0</v>
      </c>
      <c r="R587" s="1013">
        <f t="shared" si="139"/>
        <v>0</v>
      </c>
      <c r="S587" s="1013">
        <f t="shared" si="140"/>
        <v>6131000</v>
      </c>
      <c r="T587" s="1017">
        <v>0</v>
      </c>
      <c r="U587" s="785">
        <v>0</v>
      </c>
      <c r="V587" s="785">
        <v>200000</v>
      </c>
      <c r="W587" s="1017">
        <v>500000</v>
      </c>
      <c r="X587" s="1017">
        <v>0</v>
      </c>
      <c r="Y587" s="1017">
        <v>400000</v>
      </c>
      <c r="Z587" s="1017">
        <v>706459</v>
      </c>
      <c r="AA587" s="1018"/>
      <c r="AB587" s="1013"/>
      <c r="AC587" s="1017">
        <v>0</v>
      </c>
      <c r="AD587" s="1017">
        <v>0</v>
      </c>
      <c r="AE587" s="1013">
        <v>0</v>
      </c>
      <c r="AF587" s="1019"/>
      <c r="AG587" s="1019">
        <f t="shared" si="129"/>
        <v>7937459</v>
      </c>
      <c r="AH587" s="1014">
        <v>32</v>
      </c>
      <c r="AI587" s="1014">
        <v>0</v>
      </c>
      <c r="AJ587" s="1014">
        <v>0</v>
      </c>
      <c r="AK587" s="1018">
        <v>0</v>
      </c>
      <c r="AL587" s="1020">
        <v>0</v>
      </c>
      <c r="AM587" s="1013">
        <f t="shared" si="144"/>
        <v>1414846</v>
      </c>
      <c r="AN587" s="1045">
        <f t="shared" si="141"/>
        <v>9352305</v>
      </c>
      <c r="AO587" s="1013">
        <v>643755</v>
      </c>
      <c r="AP587" s="1013">
        <v>44100</v>
      </c>
      <c r="AQ587" s="1013">
        <v>0</v>
      </c>
      <c r="AR587" s="1013">
        <v>0</v>
      </c>
      <c r="AS587" s="1013">
        <v>0</v>
      </c>
      <c r="AT587" s="1045">
        <f t="shared" si="135"/>
        <v>8664450</v>
      </c>
      <c r="AU587" s="1004"/>
      <c r="AV587" s="870"/>
      <c r="AW587" s="782" t="s">
        <v>4439</v>
      </c>
      <c r="AX587" s="782" t="s">
        <v>4440</v>
      </c>
      <c r="AY587" s="1007" t="s">
        <v>288</v>
      </c>
      <c r="AZ587" s="1007">
        <v>622</v>
      </c>
      <c r="BA587" s="347" t="str">
        <f t="shared" si="142"/>
        <v>Bag</v>
      </c>
      <c r="BB587" s="1008"/>
      <c r="BC587" s="1009"/>
      <c r="BD587" s="1009"/>
    </row>
    <row r="588" spans="1:56" s="1010" customFormat="1" ht="36.75" customHeight="1">
      <c r="A588" s="661">
        <f>SUBTOTAL(3,B$6:B588)</f>
        <v>583</v>
      </c>
      <c r="B588" s="661" t="s">
        <v>1962</v>
      </c>
      <c r="C588" s="662" t="s">
        <v>1963</v>
      </c>
      <c r="D588" s="1011">
        <v>43628</v>
      </c>
      <c r="E588" s="1011" t="s">
        <v>218</v>
      </c>
      <c r="F588" s="787" t="s">
        <v>521</v>
      </c>
      <c r="G588" s="996" t="s">
        <v>797</v>
      </c>
      <c r="H588" s="1012">
        <v>5931000</v>
      </c>
      <c r="I588" s="1012">
        <v>0</v>
      </c>
      <c r="J588" s="1012">
        <v>0</v>
      </c>
      <c r="K588" s="1012">
        <v>0</v>
      </c>
      <c r="L588" s="1013">
        <f t="shared" si="143"/>
        <v>5931000</v>
      </c>
      <c r="M588" s="1014">
        <v>24</v>
      </c>
      <c r="N588" s="1013">
        <f t="shared" si="137"/>
        <v>5474769</v>
      </c>
      <c r="O588" s="1015">
        <v>2</v>
      </c>
      <c r="P588" s="1013">
        <f t="shared" si="138"/>
        <v>456231</v>
      </c>
      <c r="Q588" s="1016">
        <v>0</v>
      </c>
      <c r="R588" s="1013">
        <f t="shared" si="139"/>
        <v>0</v>
      </c>
      <c r="S588" s="1013">
        <f t="shared" si="140"/>
        <v>5931000</v>
      </c>
      <c r="T588" s="1017">
        <v>0</v>
      </c>
      <c r="U588" s="785">
        <v>0</v>
      </c>
      <c r="V588" s="785">
        <v>200000</v>
      </c>
      <c r="W588" s="1017">
        <v>500000</v>
      </c>
      <c r="X588" s="1017">
        <v>0</v>
      </c>
      <c r="Y588" s="1017">
        <v>400000</v>
      </c>
      <c r="Z588" s="1017">
        <v>710596</v>
      </c>
      <c r="AA588" s="1018"/>
      <c r="AB588" s="1013"/>
      <c r="AC588" s="1017">
        <v>0</v>
      </c>
      <c r="AD588" s="1017">
        <v>0</v>
      </c>
      <c r="AE588" s="1013">
        <v>42771.6328125</v>
      </c>
      <c r="AF588" s="1019"/>
      <c r="AG588" s="1019">
        <f t="shared" si="129"/>
        <v>7784368</v>
      </c>
      <c r="AH588" s="1014">
        <v>37</v>
      </c>
      <c r="AI588" s="1014">
        <v>0</v>
      </c>
      <c r="AJ588" s="1014">
        <v>0</v>
      </c>
      <c r="AK588" s="1018">
        <v>0</v>
      </c>
      <c r="AL588" s="1020">
        <v>0</v>
      </c>
      <c r="AM588" s="1013">
        <f t="shared" si="144"/>
        <v>1582550</v>
      </c>
      <c r="AN588" s="1045">
        <f t="shared" si="141"/>
        <v>9366918</v>
      </c>
      <c r="AO588" s="1013">
        <v>622755</v>
      </c>
      <c r="AP588" s="1013">
        <v>44100</v>
      </c>
      <c r="AQ588" s="1013">
        <v>0</v>
      </c>
      <c r="AR588" s="1013">
        <v>0</v>
      </c>
      <c r="AS588" s="1013">
        <v>0</v>
      </c>
      <c r="AT588" s="1045">
        <f t="shared" si="135"/>
        <v>8700063</v>
      </c>
      <c r="AU588" s="1004"/>
      <c r="AV588" s="870"/>
      <c r="AW588" s="782" t="s">
        <v>4441</v>
      </c>
      <c r="AX588" s="782" t="s">
        <v>4442</v>
      </c>
      <c r="AY588" s="1007" t="s">
        <v>288</v>
      </c>
      <c r="AZ588" s="1007">
        <v>622</v>
      </c>
      <c r="BA588" s="347" t="str">
        <f t="shared" si="142"/>
        <v>Bag</v>
      </c>
      <c r="BB588" s="1008"/>
      <c r="BC588" s="1009"/>
      <c r="BD588" s="1009"/>
    </row>
    <row r="589" spans="1:56" s="1010" customFormat="1" ht="36.75" customHeight="1">
      <c r="A589" s="661">
        <f>SUBTOTAL(3,B$6:B589)</f>
        <v>584</v>
      </c>
      <c r="B589" s="661" t="s">
        <v>1964</v>
      </c>
      <c r="C589" s="662" t="s">
        <v>1965</v>
      </c>
      <c r="D589" s="1011">
        <v>43628</v>
      </c>
      <c r="E589" s="1011" t="s">
        <v>218</v>
      </c>
      <c r="F589" s="787" t="s">
        <v>521</v>
      </c>
      <c r="G589" s="996" t="s">
        <v>797</v>
      </c>
      <c r="H589" s="1012">
        <v>5931000</v>
      </c>
      <c r="I589" s="1012">
        <v>0</v>
      </c>
      <c r="J589" s="1012">
        <v>0</v>
      </c>
      <c r="K589" s="1012">
        <v>0</v>
      </c>
      <c r="L589" s="1013">
        <f t="shared" si="143"/>
        <v>5931000</v>
      </c>
      <c r="M589" s="1014">
        <v>24</v>
      </c>
      <c r="N589" s="1013">
        <f t="shared" si="137"/>
        <v>5474769</v>
      </c>
      <c r="O589" s="1015">
        <v>2</v>
      </c>
      <c r="P589" s="1013">
        <f t="shared" si="138"/>
        <v>456231</v>
      </c>
      <c r="Q589" s="1016">
        <v>0</v>
      </c>
      <c r="R589" s="1013">
        <f t="shared" si="139"/>
        <v>0</v>
      </c>
      <c r="S589" s="1013">
        <f t="shared" si="140"/>
        <v>5931000</v>
      </c>
      <c r="T589" s="1017">
        <v>0</v>
      </c>
      <c r="U589" s="785">
        <v>0</v>
      </c>
      <c r="V589" s="785">
        <v>200000</v>
      </c>
      <c r="W589" s="1017">
        <v>500000</v>
      </c>
      <c r="X589" s="1017">
        <v>0</v>
      </c>
      <c r="Y589" s="1017">
        <v>400000</v>
      </c>
      <c r="Z589" s="1017">
        <v>710596</v>
      </c>
      <c r="AA589" s="1018"/>
      <c r="AB589" s="1013"/>
      <c r="AC589" s="1017">
        <v>0</v>
      </c>
      <c r="AD589" s="1017">
        <v>0</v>
      </c>
      <c r="AE589" s="1013">
        <v>0</v>
      </c>
      <c r="AF589" s="1019"/>
      <c r="AG589" s="1019">
        <f t="shared" si="129"/>
        <v>7741596</v>
      </c>
      <c r="AH589" s="1014">
        <v>37</v>
      </c>
      <c r="AI589" s="1014">
        <v>0</v>
      </c>
      <c r="AJ589" s="1014">
        <v>0</v>
      </c>
      <c r="AK589" s="1018">
        <v>0</v>
      </c>
      <c r="AL589" s="1020">
        <v>0</v>
      </c>
      <c r="AM589" s="1013">
        <f t="shared" si="144"/>
        <v>1582550</v>
      </c>
      <c r="AN589" s="1045">
        <f t="shared" si="141"/>
        <v>9324146</v>
      </c>
      <c r="AO589" s="1013">
        <v>622755</v>
      </c>
      <c r="AP589" s="1013">
        <v>44100</v>
      </c>
      <c r="AQ589" s="1013">
        <v>0</v>
      </c>
      <c r="AR589" s="1013">
        <v>0</v>
      </c>
      <c r="AS589" s="1013">
        <v>0</v>
      </c>
      <c r="AT589" s="1045">
        <f t="shared" si="135"/>
        <v>8657291</v>
      </c>
      <c r="AU589" s="1004"/>
      <c r="AV589" s="870"/>
      <c r="AW589" s="782" t="s">
        <v>4443</v>
      </c>
      <c r="AX589" s="782" t="s">
        <v>4444</v>
      </c>
      <c r="AY589" s="1007" t="s">
        <v>288</v>
      </c>
      <c r="AZ589" s="1007">
        <v>622</v>
      </c>
      <c r="BA589" s="347" t="str">
        <f t="shared" si="142"/>
        <v>Bag</v>
      </c>
      <c r="BB589" s="1008"/>
      <c r="BC589" s="1009"/>
      <c r="BD589" s="1009"/>
    </row>
    <row r="590" spans="1:56" s="1010" customFormat="1" ht="36.75" customHeight="1">
      <c r="A590" s="661">
        <f>SUBTOTAL(3,B$6:B590)</f>
        <v>585</v>
      </c>
      <c r="B590" s="661" t="s">
        <v>1966</v>
      </c>
      <c r="C590" s="662" t="s">
        <v>1967</v>
      </c>
      <c r="D590" s="1011">
        <v>39797</v>
      </c>
      <c r="E590" s="1011" t="s">
        <v>218</v>
      </c>
      <c r="F590" s="787" t="s">
        <v>521</v>
      </c>
      <c r="G590" s="996" t="s">
        <v>797</v>
      </c>
      <c r="H590" s="1012">
        <v>5931000</v>
      </c>
      <c r="I590" s="1012">
        <v>0</v>
      </c>
      <c r="J590" s="1012">
        <v>0</v>
      </c>
      <c r="K590" s="1012">
        <v>0</v>
      </c>
      <c r="L590" s="1013">
        <f t="shared" si="143"/>
        <v>5931000</v>
      </c>
      <c r="M590" s="1014">
        <v>24</v>
      </c>
      <c r="N590" s="1013">
        <f t="shared" si="137"/>
        <v>5474769</v>
      </c>
      <c r="O590" s="1015">
        <v>2</v>
      </c>
      <c r="P590" s="1013">
        <f t="shared" si="138"/>
        <v>456231</v>
      </c>
      <c r="Q590" s="1016">
        <v>0</v>
      </c>
      <c r="R590" s="1013">
        <f t="shared" si="139"/>
        <v>0</v>
      </c>
      <c r="S590" s="1013">
        <f t="shared" si="140"/>
        <v>5931000</v>
      </c>
      <c r="T590" s="1017">
        <v>0</v>
      </c>
      <c r="U590" s="785">
        <v>0</v>
      </c>
      <c r="V590" s="785">
        <v>200000</v>
      </c>
      <c r="W590" s="1017">
        <v>500000</v>
      </c>
      <c r="X590" s="1017">
        <v>0</v>
      </c>
      <c r="Y590" s="1017">
        <v>400000</v>
      </c>
      <c r="Z590" s="1017">
        <v>710596</v>
      </c>
      <c r="AA590" s="1018"/>
      <c r="AB590" s="1013"/>
      <c r="AC590" s="1017">
        <v>0</v>
      </c>
      <c r="AD590" s="1017">
        <v>0</v>
      </c>
      <c r="AE590" s="1013">
        <v>42771.6328125</v>
      </c>
      <c r="AF590" s="1019"/>
      <c r="AG590" s="1019">
        <f t="shared" si="129"/>
        <v>7784368</v>
      </c>
      <c r="AH590" s="1014">
        <v>36</v>
      </c>
      <c r="AI590" s="1014">
        <v>0</v>
      </c>
      <c r="AJ590" s="1014">
        <v>0</v>
      </c>
      <c r="AK590" s="1018">
        <v>0</v>
      </c>
      <c r="AL590" s="1020">
        <v>0</v>
      </c>
      <c r="AM590" s="1013">
        <f t="shared" si="144"/>
        <v>1539779</v>
      </c>
      <c r="AN590" s="1045">
        <f t="shared" si="141"/>
        <v>9324147</v>
      </c>
      <c r="AO590" s="1013">
        <v>622755</v>
      </c>
      <c r="AP590" s="1013">
        <v>44100</v>
      </c>
      <c r="AQ590" s="1013">
        <v>0</v>
      </c>
      <c r="AR590" s="1013">
        <v>0</v>
      </c>
      <c r="AS590" s="1013">
        <v>0</v>
      </c>
      <c r="AT590" s="1045">
        <f t="shared" si="135"/>
        <v>8657292</v>
      </c>
      <c r="AU590" s="1004"/>
      <c r="AV590" s="870"/>
      <c r="AW590" s="782" t="s">
        <v>4445</v>
      </c>
      <c r="AX590" s="782" t="s">
        <v>4446</v>
      </c>
      <c r="AY590" s="1007" t="s">
        <v>288</v>
      </c>
      <c r="AZ590" s="1007">
        <v>622</v>
      </c>
      <c r="BA590" s="347" t="str">
        <f t="shared" si="142"/>
        <v>Bag</v>
      </c>
      <c r="BB590" s="1008"/>
      <c r="BC590" s="1009"/>
      <c r="BD590" s="1009"/>
    </row>
    <row r="591" spans="1:56" s="1010" customFormat="1" ht="36.75" customHeight="1">
      <c r="A591" s="661">
        <f>SUBTOTAL(3,B$6:B591)</f>
        <v>586</v>
      </c>
      <c r="B591" s="661" t="s">
        <v>1968</v>
      </c>
      <c r="C591" s="662" t="s">
        <v>1969</v>
      </c>
      <c r="D591" s="1011">
        <v>44721</v>
      </c>
      <c r="E591" s="1011" t="s">
        <v>218</v>
      </c>
      <c r="F591" s="787" t="s">
        <v>521</v>
      </c>
      <c r="G591" s="996" t="s">
        <v>797</v>
      </c>
      <c r="H591" s="1012">
        <v>5815000</v>
      </c>
      <c r="I591" s="1012">
        <v>0</v>
      </c>
      <c r="J591" s="1012">
        <v>0</v>
      </c>
      <c r="K591" s="1012">
        <v>0</v>
      </c>
      <c r="L591" s="1013">
        <f t="shared" si="143"/>
        <v>5815000</v>
      </c>
      <c r="M591" s="1014">
        <v>24</v>
      </c>
      <c r="N591" s="1013">
        <f t="shared" si="137"/>
        <v>5367692</v>
      </c>
      <c r="O591" s="1015">
        <v>2</v>
      </c>
      <c r="P591" s="1013">
        <f t="shared" si="138"/>
        <v>447308</v>
      </c>
      <c r="Q591" s="1016">
        <v>0</v>
      </c>
      <c r="R591" s="1013">
        <f t="shared" si="139"/>
        <v>0</v>
      </c>
      <c r="S591" s="1013">
        <f t="shared" si="140"/>
        <v>5815000</v>
      </c>
      <c r="T591" s="1017">
        <v>0</v>
      </c>
      <c r="U591" s="785">
        <v>0</v>
      </c>
      <c r="V591" s="785">
        <v>200000</v>
      </c>
      <c r="W591" s="1017">
        <v>500000</v>
      </c>
      <c r="X591" s="1017">
        <v>0</v>
      </c>
      <c r="Y591" s="1017">
        <v>400000</v>
      </c>
      <c r="Z591" s="1017">
        <v>1223271</v>
      </c>
      <c r="AA591" s="1018"/>
      <c r="AB591" s="1013"/>
      <c r="AC591" s="1017">
        <v>0</v>
      </c>
      <c r="AD591" s="1017">
        <v>0</v>
      </c>
      <c r="AE591" s="1013">
        <v>0</v>
      </c>
      <c r="AF591" s="1019"/>
      <c r="AG591" s="1019">
        <f t="shared" si="129"/>
        <v>8138271</v>
      </c>
      <c r="AH591" s="1014">
        <v>36</v>
      </c>
      <c r="AI591" s="1014">
        <v>0</v>
      </c>
      <c r="AJ591" s="1014">
        <v>0</v>
      </c>
      <c r="AK591" s="1018">
        <v>0</v>
      </c>
      <c r="AL591" s="1020">
        <v>0</v>
      </c>
      <c r="AM591" s="1013">
        <f t="shared" si="144"/>
        <v>1509663</v>
      </c>
      <c r="AN591" s="1045">
        <f t="shared" si="141"/>
        <v>9647934</v>
      </c>
      <c r="AO591" s="1013">
        <v>610575</v>
      </c>
      <c r="AP591" s="1013">
        <v>44100</v>
      </c>
      <c r="AQ591" s="1013">
        <v>0</v>
      </c>
      <c r="AR591" s="1013">
        <v>0</v>
      </c>
      <c r="AS591" s="1013">
        <v>0</v>
      </c>
      <c r="AT591" s="1045">
        <f t="shared" si="135"/>
        <v>8993259</v>
      </c>
      <c r="AU591" s="1004"/>
      <c r="AV591" s="870"/>
      <c r="AW591" s="782" t="s">
        <v>4447</v>
      </c>
      <c r="AX591" s="782" t="s">
        <v>4448</v>
      </c>
      <c r="AY591" s="1007" t="s">
        <v>288</v>
      </c>
      <c r="AZ591" s="1007">
        <v>622</v>
      </c>
      <c r="BA591" s="347" t="str">
        <f t="shared" si="142"/>
        <v>Bag</v>
      </c>
      <c r="BB591" s="1008"/>
      <c r="BC591" s="1009"/>
      <c r="BD591" s="1009"/>
    </row>
    <row r="592" spans="1:56" s="1010" customFormat="1" ht="36.75" customHeight="1">
      <c r="A592" s="661">
        <f>SUBTOTAL(3,B$6:B592)</f>
        <v>587</v>
      </c>
      <c r="B592" s="661" t="s">
        <v>1970</v>
      </c>
      <c r="C592" s="662" t="s">
        <v>1971</v>
      </c>
      <c r="D592" s="1011">
        <v>44728</v>
      </c>
      <c r="E592" s="1011" t="s">
        <v>218</v>
      </c>
      <c r="F592" s="787" t="s">
        <v>521</v>
      </c>
      <c r="G592" s="996" t="s">
        <v>797</v>
      </c>
      <c r="H592" s="1012">
        <v>5815000</v>
      </c>
      <c r="I592" s="1012">
        <v>0</v>
      </c>
      <c r="J592" s="1012">
        <v>0</v>
      </c>
      <c r="K592" s="1012">
        <v>0</v>
      </c>
      <c r="L592" s="1013">
        <f t="shared" si="143"/>
        <v>5815000</v>
      </c>
      <c r="M592" s="1014">
        <v>23</v>
      </c>
      <c r="N592" s="1013">
        <f t="shared" si="137"/>
        <v>5144038</v>
      </c>
      <c r="O592" s="1015">
        <v>3</v>
      </c>
      <c r="P592" s="1013">
        <f t="shared" si="138"/>
        <v>670962</v>
      </c>
      <c r="Q592" s="1016">
        <v>0</v>
      </c>
      <c r="R592" s="1013">
        <f t="shared" si="139"/>
        <v>0</v>
      </c>
      <c r="S592" s="1013">
        <f t="shared" si="140"/>
        <v>5815000</v>
      </c>
      <c r="T592" s="1017">
        <v>0</v>
      </c>
      <c r="U592" s="785">
        <v>0</v>
      </c>
      <c r="V592" s="785">
        <v>200000</v>
      </c>
      <c r="W592" s="1017">
        <v>500000</v>
      </c>
      <c r="X592" s="1017">
        <v>0</v>
      </c>
      <c r="Y592" s="1017">
        <v>400000</v>
      </c>
      <c r="Z592" s="1017">
        <v>848204</v>
      </c>
      <c r="AA592" s="1018"/>
      <c r="AB592" s="1013"/>
      <c r="AC592" s="1017">
        <v>0</v>
      </c>
      <c r="AD592" s="1017">
        <v>0</v>
      </c>
      <c r="AE592" s="1013">
        <v>41935.092391304344</v>
      </c>
      <c r="AF592" s="1019"/>
      <c r="AG592" s="1019">
        <f t="shared" si="129"/>
        <v>7805139</v>
      </c>
      <c r="AH592" s="1014">
        <v>36</v>
      </c>
      <c r="AI592" s="1014">
        <v>0</v>
      </c>
      <c r="AJ592" s="1014">
        <v>0</v>
      </c>
      <c r="AK592" s="1018">
        <v>0</v>
      </c>
      <c r="AL592" s="1020">
        <v>0</v>
      </c>
      <c r="AM592" s="1013">
        <f t="shared" si="144"/>
        <v>1509663</v>
      </c>
      <c r="AN592" s="1045">
        <f t="shared" si="141"/>
        <v>9314802</v>
      </c>
      <c r="AO592" s="1013">
        <v>610575</v>
      </c>
      <c r="AP592" s="1013">
        <v>44100</v>
      </c>
      <c r="AQ592" s="1013">
        <v>0</v>
      </c>
      <c r="AR592" s="1013">
        <v>0</v>
      </c>
      <c r="AS592" s="1013">
        <v>0</v>
      </c>
      <c r="AT592" s="1045">
        <f t="shared" si="135"/>
        <v>8660127</v>
      </c>
      <c r="AU592" s="1004"/>
      <c r="AV592" s="870"/>
      <c r="AW592" s="782" t="s">
        <v>4449</v>
      </c>
      <c r="AX592" s="782" t="s">
        <v>4450</v>
      </c>
      <c r="AY592" s="1007" t="s">
        <v>288</v>
      </c>
      <c r="AZ592" s="1007">
        <v>622</v>
      </c>
      <c r="BA592" s="347" t="str">
        <f t="shared" si="142"/>
        <v>Bag</v>
      </c>
      <c r="BB592" s="1008"/>
      <c r="BC592" s="1009"/>
      <c r="BD592" s="1009"/>
    </row>
    <row r="593" spans="1:56" s="1010" customFormat="1" ht="36.75" customHeight="1">
      <c r="A593" s="661">
        <f>SUBTOTAL(3,B$6:B593)</f>
        <v>588</v>
      </c>
      <c r="B593" s="661" t="s">
        <v>1972</v>
      </c>
      <c r="C593" s="662" t="s">
        <v>1973</v>
      </c>
      <c r="D593" s="1011">
        <v>45372</v>
      </c>
      <c r="E593" s="1011" t="s">
        <v>218</v>
      </c>
      <c r="F593" s="787" t="s">
        <v>521</v>
      </c>
      <c r="G593" s="996" t="s">
        <v>797</v>
      </c>
      <c r="H593" s="1012">
        <v>5538000</v>
      </c>
      <c r="I593" s="1012">
        <v>0</v>
      </c>
      <c r="J593" s="1012">
        <v>0</v>
      </c>
      <c r="K593" s="1012">
        <v>0</v>
      </c>
      <c r="L593" s="1013">
        <f t="shared" si="143"/>
        <v>5538000</v>
      </c>
      <c r="M593" s="1014">
        <v>23</v>
      </c>
      <c r="N593" s="1013">
        <f t="shared" si="137"/>
        <v>4899000</v>
      </c>
      <c r="O593" s="1015">
        <v>3</v>
      </c>
      <c r="P593" s="1013">
        <f t="shared" si="138"/>
        <v>639000</v>
      </c>
      <c r="Q593" s="1016">
        <v>0</v>
      </c>
      <c r="R593" s="1013">
        <f t="shared" si="139"/>
        <v>0</v>
      </c>
      <c r="S593" s="1013">
        <f t="shared" si="140"/>
        <v>5538000</v>
      </c>
      <c r="T593" s="1017">
        <v>0</v>
      </c>
      <c r="U593" s="785">
        <v>0</v>
      </c>
      <c r="V593" s="785">
        <v>200000</v>
      </c>
      <c r="W593" s="1017">
        <v>500000</v>
      </c>
      <c r="X593" s="1017">
        <v>0</v>
      </c>
      <c r="Y593" s="1017">
        <v>400000</v>
      </c>
      <c r="Z593" s="1017">
        <v>665047</v>
      </c>
      <c r="AA593" s="1018"/>
      <c r="AB593" s="1013"/>
      <c r="AC593" s="1017">
        <v>200000</v>
      </c>
      <c r="AD593" s="1017">
        <v>0</v>
      </c>
      <c r="AE593" s="1013">
        <v>39937.5</v>
      </c>
      <c r="AF593" s="1019"/>
      <c r="AG593" s="1019">
        <f t="shared" ref="AG593:AG656" si="145">ROUND(SUM(S593:AF593)-AA593,0)</f>
        <v>7542985</v>
      </c>
      <c r="AH593" s="1014">
        <v>33</v>
      </c>
      <c r="AI593" s="1014">
        <v>0</v>
      </c>
      <c r="AJ593" s="1014">
        <v>0</v>
      </c>
      <c r="AK593" s="1018">
        <v>0</v>
      </c>
      <c r="AL593" s="1020">
        <v>0</v>
      </c>
      <c r="AM593" s="1013">
        <f t="shared" si="144"/>
        <v>1317938</v>
      </c>
      <c r="AN593" s="1045">
        <f t="shared" si="141"/>
        <v>8860923</v>
      </c>
      <c r="AO593" s="1013">
        <v>581490</v>
      </c>
      <c r="AP593" s="1013">
        <v>44100</v>
      </c>
      <c r="AQ593" s="1013">
        <v>0</v>
      </c>
      <c r="AR593" s="1013">
        <v>0</v>
      </c>
      <c r="AS593" s="1013">
        <v>0</v>
      </c>
      <c r="AT593" s="1045">
        <f t="shared" si="135"/>
        <v>8235333</v>
      </c>
      <c r="AU593" s="1004"/>
      <c r="AV593" s="870"/>
      <c r="AW593" s="782" t="s">
        <v>4451</v>
      </c>
      <c r="AX593" s="782" t="s">
        <v>4452</v>
      </c>
      <c r="AY593" s="1007" t="s">
        <v>288</v>
      </c>
      <c r="AZ593" s="1007">
        <v>622</v>
      </c>
      <c r="BA593" s="347" t="str">
        <f t="shared" si="142"/>
        <v>Bag</v>
      </c>
      <c r="BB593" s="1008"/>
      <c r="BC593" s="1009"/>
      <c r="BD593" s="1009"/>
    </row>
    <row r="594" spans="1:56" s="1010" customFormat="1" ht="36.75" customHeight="1">
      <c r="A594" s="661">
        <f>SUBTOTAL(3,B$6:B594)</f>
        <v>589</v>
      </c>
      <c r="B594" s="661" t="s">
        <v>1974</v>
      </c>
      <c r="C594" s="662" t="s">
        <v>1975</v>
      </c>
      <c r="D594" s="1011">
        <v>39860</v>
      </c>
      <c r="E594" s="1011" t="s">
        <v>218</v>
      </c>
      <c r="F594" s="787" t="s">
        <v>521</v>
      </c>
      <c r="G594" s="996" t="s">
        <v>797</v>
      </c>
      <c r="H594" s="1012">
        <v>5931000</v>
      </c>
      <c r="I594" s="1012">
        <v>0</v>
      </c>
      <c r="J594" s="1012">
        <v>0</v>
      </c>
      <c r="K594" s="1012">
        <v>0</v>
      </c>
      <c r="L594" s="1013">
        <f t="shared" si="143"/>
        <v>5931000</v>
      </c>
      <c r="M594" s="1014">
        <v>24</v>
      </c>
      <c r="N594" s="1013">
        <f t="shared" si="137"/>
        <v>5474769</v>
      </c>
      <c r="O594" s="1015">
        <v>2</v>
      </c>
      <c r="P594" s="1013">
        <f t="shared" si="138"/>
        <v>456231</v>
      </c>
      <c r="Q594" s="1016">
        <v>0</v>
      </c>
      <c r="R594" s="1013">
        <f t="shared" si="139"/>
        <v>0</v>
      </c>
      <c r="S594" s="1013">
        <f t="shared" si="140"/>
        <v>5931000</v>
      </c>
      <c r="T594" s="1017">
        <v>0</v>
      </c>
      <c r="U594" s="785">
        <v>0</v>
      </c>
      <c r="V594" s="785">
        <v>200000</v>
      </c>
      <c r="W594" s="1017">
        <v>500000</v>
      </c>
      <c r="X594" s="1017">
        <v>0</v>
      </c>
      <c r="Y594" s="1017">
        <v>400000</v>
      </c>
      <c r="Z594" s="1017">
        <v>688835</v>
      </c>
      <c r="AA594" s="1018"/>
      <c r="AB594" s="1013"/>
      <c r="AC594" s="1017">
        <v>100000</v>
      </c>
      <c r="AD594" s="1017">
        <v>0</v>
      </c>
      <c r="AE594" s="1013">
        <v>42771.6328125</v>
      </c>
      <c r="AF594" s="1019"/>
      <c r="AG594" s="1019">
        <f t="shared" si="145"/>
        <v>7862607</v>
      </c>
      <c r="AH594" s="1014">
        <v>36</v>
      </c>
      <c r="AI594" s="1014">
        <v>0</v>
      </c>
      <c r="AJ594" s="1014">
        <v>0</v>
      </c>
      <c r="AK594" s="1018">
        <v>0</v>
      </c>
      <c r="AL594" s="1020">
        <v>0</v>
      </c>
      <c r="AM594" s="1013">
        <f t="shared" si="144"/>
        <v>1539779</v>
      </c>
      <c r="AN594" s="1045">
        <f t="shared" si="141"/>
        <v>9402386</v>
      </c>
      <c r="AO594" s="1013">
        <v>622755</v>
      </c>
      <c r="AP594" s="1013">
        <v>44100</v>
      </c>
      <c r="AQ594" s="1013">
        <v>0</v>
      </c>
      <c r="AR594" s="1013">
        <v>0</v>
      </c>
      <c r="AS594" s="1013">
        <v>0</v>
      </c>
      <c r="AT594" s="1045">
        <f t="shared" si="135"/>
        <v>8735531</v>
      </c>
      <c r="AU594" s="1004"/>
      <c r="AV594" s="870"/>
      <c r="AW594" s="782" t="s">
        <v>4453</v>
      </c>
      <c r="AX594" s="782" t="s">
        <v>4454</v>
      </c>
      <c r="AY594" s="1007" t="s">
        <v>288</v>
      </c>
      <c r="AZ594" s="1007">
        <v>622</v>
      </c>
      <c r="BA594" s="347" t="str">
        <f t="shared" si="142"/>
        <v>Bag</v>
      </c>
      <c r="BB594" s="1008"/>
      <c r="BC594" s="1009"/>
      <c r="BD594" s="1009"/>
    </row>
    <row r="595" spans="1:56" s="1010" customFormat="1" ht="36.75" customHeight="1">
      <c r="A595" s="661">
        <f>SUBTOTAL(3,B$6:B595)</f>
        <v>590</v>
      </c>
      <c r="B595" s="661" t="s">
        <v>1976</v>
      </c>
      <c r="C595" s="662" t="s">
        <v>1977</v>
      </c>
      <c r="D595" s="1011">
        <v>45551</v>
      </c>
      <c r="E595" s="1011" t="s">
        <v>218</v>
      </c>
      <c r="F595" s="787" t="s">
        <v>521</v>
      </c>
      <c r="G595" s="996" t="s">
        <v>797</v>
      </c>
      <c r="H595" s="1012">
        <v>5274000</v>
      </c>
      <c r="I595" s="1012">
        <v>0</v>
      </c>
      <c r="J595" s="1012">
        <v>0</v>
      </c>
      <c r="K595" s="1012">
        <v>0</v>
      </c>
      <c r="L595" s="1013">
        <f t="shared" si="143"/>
        <v>5274000</v>
      </c>
      <c r="M595" s="1014">
        <v>24</v>
      </c>
      <c r="N595" s="1013">
        <f t="shared" si="137"/>
        <v>4868308</v>
      </c>
      <c r="O595" s="1015">
        <v>2</v>
      </c>
      <c r="P595" s="1013">
        <f t="shared" si="138"/>
        <v>405692</v>
      </c>
      <c r="Q595" s="1016">
        <v>0</v>
      </c>
      <c r="R595" s="1013">
        <f t="shared" si="139"/>
        <v>0</v>
      </c>
      <c r="S595" s="1013">
        <f t="shared" si="140"/>
        <v>5274000</v>
      </c>
      <c r="T595" s="1017">
        <v>0</v>
      </c>
      <c r="U595" s="785">
        <v>0</v>
      </c>
      <c r="V595" s="785">
        <v>200000</v>
      </c>
      <c r="W595" s="1017">
        <v>500000</v>
      </c>
      <c r="X595" s="1017">
        <v>0</v>
      </c>
      <c r="Y595" s="1017">
        <v>400000</v>
      </c>
      <c r="Z595" s="1017">
        <v>1223271</v>
      </c>
      <c r="AA595" s="1018"/>
      <c r="AB595" s="1013"/>
      <c r="AC595" s="1017">
        <v>100000</v>
      </c>
      <c r="AD595" s="1017">
        <v>0</v>
      </c>
      <c r="AE595" s="1013">
        <v>38033.65625</v>
      </c>
      <c r="AF595" s="1019"/>
      <c r="AG595" s="1019">
        <f t="shared" si="145"/>
        <v>7735305</v>
      </c>
      <c r="AH595" s="1014">
        <v>36</v>
      </c>
      <c r="AI595" s="1014">
        <v>0</v>
      </c>
      <c r="AJ595" s="1014">
        <v>0</v>
      </c>
      <c r="AK595" s="1018">
        <v>0</v>
      </c>
      <c r="AL595" s="1020">
        <v>0</v>
      </c>
      <c r="AM595" s="1013">
        <f t="shared" si="144"/>
        <v>1369212</v>
      </c>
      <c r="AN595" s="1045">
        <f t="shared" si="141"/>
        <v>9104517</v>
      </c>
      <c r="AO595" s="1013">
        <v>553770</v>
      </c>
      <c r="AP595" s="1013">
        <v>44100</v>
      </c>
      <c r="AQ595" s="1013">
        <v>0</v>
      </c>
      <c r="AR595" s="1013">
        <v>0</v>
      </c>
      <c r="AS595" s="1013">
        <v>0</v>
      </c>
      <c r="AT595" s="1045">
        <f t="shared" si="135"/>
        <v>8506647</v>
      </c>
      <c r="AU595" s="1004"/>
      <c r="AV595" s="870"/>
      <c r="AW595" s="782" t="s">
        <v>4455</v>
      </c>
      <c r="AX595" s="782" t="s">
        <v>4456</v>
      </c>
      <c r="AY595" s="1007" t="s">
        <v>288</v>
      </c>
      <c r="AZ595" s="1007">
        <v>622</v>
      </c>
      <c r="BA595" s="347" t="str">
        <f t="shared" si="142"/>
        <v>Bag</v>
      </c>
      <c r="BB595" s="1008"/>
      <c r="BC595" s="1009"/>
      <c r="BD595" s="1009"/>
    </row>
    <row r="596" spans="1:56" s="1010" customFormat="1" ht="36.75" customHeight="1">
      <c r="A596" s="661">
        <f>SUBTOTAL(3,B$6:B596)</f>
        <v>591</v>
      </c>
      <c r="B596" s="661" t="s">
        <v>1978</v>
      </c>
      <c r="C596" s="662" t="s">
        <v>1979</v>
      </c>
      <c r="D596" s="1011">
        <v>45561</v>
      </c>
      <c r="E596" s="1011" t="s">
        <v>218</v>
      </c>
      <c r="F596" s="787" t="s">
        <v>521</v>
      </c>
      <c r="G596" s="996" t="s">
        <v>797</v>
      </c>
      <c r="H596" s="1012">
        <v>5274000</v>
      </c>
      <c r="I596" s="1012">
        <v>0</v>
      </c>
      <c r="J596" s="1012">
        <v>0</v>
      </c>
      <c r="K596" s="1012">
        <v>0</v>
      </c>
      <c r="L596" s="1013">
        <f t="shared" si="143"/>
        <v>5274000</v>
      </c>
      <c r="M596" s="1014">
        <v>21.9</v>
      </c>
      <c r="N596" s="1013">
        <f t="shared" si="137"/>
        <v>4442331</v>
      </c>
      <c r="O596" s="1015">
        <v>2</v>
      </c>
      <c r="P596" s="1013">
        <f t="shared" si="138"/>
        <v>405692</v>
      </c>
      <c r="Q596" s="1016">
        <v>0</v>
      </c>
      <c r="R596" s="1013">
        <f t="shared" si="139"/>
        <v>0</v>
      </c>
      <c r="S596" s="1013">
        <f t="shared" si="140"/>
        <v>4848023</v>
      </c>
      <c r="T596" s="1017">
        <v>0</v>
      </c>
      <c r="U596" s="785">
        <v>0</v>
      </c>
      <c r="V596" s="785">
        <v>200000</v>
      </c>
      <c r="W596" s="1017">
        <v>0</v>
      </c>
      <c r="X596" s="1017">
        <v>0</v>
      </c>
      <c r="Y596" s="1017">
        <v>300000</v>
      </c>
      <c r="Z596" s="1017">
        <v>579470</v>
      </c>
      <c r="AA596" s="1018"/>
      <c r="AB596" s="1013"/>
      <c r="AC596" s="1017">
        <v>100000</v>
      </c>
      <c r="AD596" s="1017">
        <v>0</v>
      </c>
      <c r="AE596" s="1013">
        <v>38033.655821917811</v>
      </c>
      <c r="AF596" s="1019"/>
      <c r="AG596" s="1019">
        <f t="shared" si="145"/>
        <v>6065527</v>
      </c>
      <c r="AH596" s="1014">
        <v>37</v>
      </c>
      <c r="AI596" s="1014">
        <v>0</v>
      </c>
      <c r="AJ596" s="1014">
        <v>0</v>
      </c>
      <c r="AK596" s="1018">
        <v>0</v>
      </c>
      <c r="AL596" s="1020">
        <v>0</v>
      </c>
      <c r="AM596" s="1013">
        <f t="shared" si="144"/>
        <v>1407245</v>
      </c>
      <c r="AN596" s="1045">
        <f t="shared" si="141"/>
        <v>7472772</v>
      </c>
      <c r="AO596" s="1013">
        <v>553770</v>
      </c>
      <c r="AP596" s="1013">
        <v>44100</v>
      </c>
      <c r="AQ596" s="1013">
        <v>0</v>
      </c>
      <c r="AR596" s="1013">
        <v>0</v>
      </c>
      <c r="AS596" s="1013">
        <v>0</v>
      </c>
      <c r="AT596" s="1045">
        <f t="shared" si="135"/>
        <v>6874902</v>
      </c>
      <c r="AU596" s="1004"/>
      <c r="AV596" s="870"/>
      <c r="AW596" s="782" t="s">
        <v>4457</v>
      </c>
      <c r="AX596" s="782" t="s">
        <v>4458</v>
      </c>
      <c r="AY596" s="1007" t="s">
        <v>288</v>
      </c>
      <c r="AZ596" s="1007">
        <v>622</v>
      </c>
      <c r="BA596" s="347" t="str">
        <f t="shared" si="142"/>
        <v>Bag</v>
      </c>
      <c r="BB596" s="1008"/>
      <c r="BC596" s="1009"/>
      <c r="BD596" s="1009"/>
    </row>
    <row r="597" spans="1:56" s="1010" customFormat="1" ht="36.75" customHeight="1">
      <c r="A597" s="661">
        <f>SUBTOTAL(3,B$6:B597)</f>
        <v>592</v>
      </c>
      <c r="B597" s="661" t="s">
        <v>1980</v>
      </c>
      <c r="C597" s="662" t="s">
        <v>1313</v>
      </c>
      <c r="D597" s="1011">
        <v>45624</v>
      </c>
      <c r="E597" s="1011" t="s">
        <v>218</v>
      </c>
      <c r="F597" s="787" t="s">
        <v>521</v>
      </c>
      <c r="G597" s="996" t="s">
        <v>797</v>
      </c>
      <c r="H597" s="1012">
        <v>5023000</v>
      </c>
      <c r="I597" s="1012">
        <v>0</v>
      </c>
      <c r="J597" s="1012">
        <v>0</v>
      </c>
      <c r="K597" s="1012">
        <v>0</v>
      </c>
      <c r="L597" s="1013">
        <f t="shared" si="143"/>
        <v>5023000</v>
      </c>
      <c r="M597" s="1014">
        <v>24</v>
      </c>
      <c r="N597" s="1013">
        <f t="shared" si="137"/>
        <v>4636615</v>
      </c>
      <c r="O597" s="1015">
        <v>2</v>
      </c>
      <c r="P597" s="1013">
        <f t="shared" si="138"/>
        <v>386385</v>
      </c>
      <c r="Q597" s="1016">
        <v>0</v>
      </c>
      <c r="R597" s="1013">
        <f t="shared" si="139"/>
        <v>0</v>
      </c>
      <c r="S597" s="1013">
        <f t="shared" si="140"/>
        <v>5023000</v>
      </c>
      <c r="T597" s="1017">
        <v>0</v>
      </c>
      <c r="U597" s="785">
        <v>0</v>
      </c>
      <c r="V597" s="785">
        <v>200000</v>
      </c>
      <c r="W597" s="1017">
        <v>500000</v>
      </c>
      <c r="X597" s="1017">
        <v>0</v>
      </c>
      <c r="Y597" s="1017">
        <v>400000</v>
      </c>
      <c r="Z597" s="1017">
        <v>915417.33333333337</v>
      </c>
      <c r="AA597" s="1018"/>
      <c r="AB597" s="1013"/>
      <c r="AC597" s="1017">
        <v>0</v>
      </c>
      <c r="AD597" s="1017">
        <v>0</v>
      </c>
      <c r="AE597" s="1013">
        <v>36223.5546875</v>
      </c>
      <c r="AF597" s="1019"/>
      <c r="AG597" s="1019">
        <f t="shared" si="145"/>
        <v>7074641</v>
      </c>
      <c r="AH597" s="1014">
        <v>36</v>
      </c>
      <c r="AI597" s="1014">
        <v>0</v>
      </c>
      <c r="AJ597" s="1014">
        <v>0</v>
      </c>
      <c r="AK597" s="1018">
        <v>0</v>
      </c>
      <c r="AL597" s="1020">
        <v>0</v>
      </c>
      <c r="AM597" s="1013">
        <f t="shared" si="144"/>
        <v>1304048</v>
      </c>
      <c r="AN597" s="1045">
        <f t="shared" si="141"/>
        <v>8378689</v>
      </c>
      <c r="AO597" s="1013">
        <v>527415</v>
      </c>
      <c r="AP597" s="1013">
        <v>44100</v>
      </c>
      <c r="AQ597" s="1013">
        <v>0</v>
      </c>
      <c r="AR597" s="1013">
        <v>0</v>
      </c>
      <c r="AS597" s="1013">
        <v>0</v>
      </c>
      <c r="AT597" s="1045">
        <f t="shared" si="135"/>
        <v>7807174</v>
      </c>
      <c r="AU597" s="1004"/>
      <c r="AV597" s="870"/>
      <c r="AW597" s="782" t="s">
        <v>3825</v>
      </c>
      <c r="AX597" s="782" t="s">
        <v>4459</v>
      </c>
      <c r="AY597" s="1007" t="s">
        <v>288</v>
      </c>
      <c r="AZ597" s="1007">
        <v>622</v>
      </c>
      <c r="BA597" s="347" t="str">
        <f t="shared" si="142"/>
        <v>Bag</v>
      </c>
      <c r="BB597" s="1008"/>
      <c r="BC597" s="1009"/>
      <c r="BD597" s="1009"/>
    </row>
    <row r="598" spans="1:56" s="1010" customFormat="1" ht="36.75" customHeight="1">
      <c r="A598" s="661">
        <f>SUBTOTAL(3,B$6:B598)</f>
        <v>593</v>
      </c>
      <c r="B598" s="661" t="s">
        <v>1981</v>
      </c>
      <c r="C598" s="662" t="s">
        <v>1982</v>
      </c>
      <c r="D598" s="1011">
        <v>45629</v>
      </c>
      <c r="E598" s="1011" t="s">
        <v>218</v>
      </c>
      <c r="F598" s="787" t="s">
        <v>521</v>
      </c>
      <c r="G598" s="996" t="s">
        <v>797</v>
      </c>
      <c r="H598" s="1012">
        <v>5023000</v>
      </c>
      <c r="I598" s="1012">
        <v>0</v>
      </c>
      <c r="J598" s="1012">
        <v>0</v>
      </c>
      <c r="K598" s="1012">
        <v>0</v>
      </c>
      <c r="L598" s="1013">
        <f t="shared" si="143"/>
        <v>5023000</v>
      </c>
      <c r="M598" s="1014">
        <v>24</v>
      </c>
      <c r="N598" s="1013">
        <f t="shared" si="137"/>
        <v>4636615</v>
      </c>
      <c r="O598" s="1015">
        <v>2</v>
      </c>
      <c r="P598" s="1013">
        <f t="shared" si="138"/>
        <v>386385</v>
      </c>
      <c r="Q598" s="1016">
        <v>0</v>
      </c>
      <c r="R598" s="1013">
        <f t="shared" si="139"/>
        <v>0</v>
      </c>
      <c r="S598" s="1013">
        <f t="shared" si="140"/>
        <v>5023000</v>
      </c>
      <c r="T598" s="1017">
        <v>0</v>
      </c>
      <c r="U598" s="785">
        <v>0</v>
      </c>
      <c r="V598" s="785">
        <v>200000</v>
      </c>
      <c r="W598" s="1017">
        <v>500000</v>
      </c>
      <c r="X598" s="1017">
        <v>0</v>
      </c>
      <c r="Y598" s="1017">
        <v>400000</v>
      </c>
      <c r="Z598" s="1017">
        <v>791043</v>
      </c>
      <c r="AA598" s="1018"/>
      <c r="AB598" s="1013"/>
      <c r="AC598" s="1017">
        <v>0</v>
      </c>
      <c r="AD598" s="1017">
        <v>0</v>
      </c>
      <c r="AE598" s="1013">
        <v>36223.5546875</v>
      </c>
      <c r="AF598" s="1019"/>
      <c r="AG598" s="1019">
        <f t="shared" si="145"/>
        <v>6950267</v>
      </c>
      <c r="AH598" s="1014">
        <v>36</v>
      </c>
      <c r="AI598" s="1014">
        <v>0</v>
      </c>
      <c r="AJ598" s="1014">
        <v>0</v>
      </c>
      <c r="AK598" s="1018">
        <v>0</v>
      </c>
      <c r="AL598" s="1020">
        <v>0</v>
      </c>
      <c r="AM598" s="1013">
        <f t="shared" si="144"/>
        <v>1304048</v>
      </c>
      <c r="AN598" s="1045">
        <f t="shared" si="141"/>
        <v>8254315</v>
      </c>
      <c r="AO598" s="1013">
        <v>527415</v>
      </c>
      <c r="AP598" s="1013">
        <v>44100</v>
      </c>
      <c r="AQ598" s="1013">
        <v>0</v>
      </c>
      <c r="AR598" s="1013">
        <v>0</v>
      </c>
      <c r="AS598" s="1013">
        <v>0</v>
      </c>
      <c r="AT598" s="1045">
        <f t="shared" si="135"/>
        <v>7682800</v>
      </c>
      <c r="AU598" s="1004"/>
      <c r="AV598" s="870"/>
      <c r="AW598" s="782" t="s">
        <v>4460</v>
      </c>
      <c r="AX598" s="782" t="s">
        <v>4461</v>
      </c>
      <c r="AY598" s="1007" t="s">
        <v>288</v>
      </c>
      <c r="AZ598" s="1007">
        <v>622</v>
      </c>
      <c r="BA598" s="347" t="str">
        <f t="shared" si="142"/>
        <v>Bag</v>
      </c>
      <c r="BB598" s="1008"/>
      <c r="BC598" s="1009"/>
      <c r="BD598" s="1009"/>
    </row>
    <row r="599" spans="1:56" s="1010" customFormat="1" ht="36.75" customHeight="1">
      <c r="A599" s="661">
        <f>SUBTOTAL(3,B$6:B599)</f>
        <v>594</v>
      </c>
      <c r="B599" s="661" t="s">
        <v>1983</v>
      </c>
      <c r="C599" s="662" t="s">
        <v>1984</v>
      </c>
      <c r="D599" s="1011">
        <v>45745</v>
      </c>
      <c r="E599" s="1011" t="s">
        <v>218</v>
      </c>
      <c r="F599" s="787" t="s">
        <v>521</v>
      </c>
      <c r="G599" s="996" t="s">
        <v>554</v>
      </c>
      <c r="H599" s="1012">
        <v>4694000</v>
      </c>
      <c r="I599" s="1012">
        <v>0</v>
      </c>
      <c r="J599" s="1012">
        <v>0</v>
      </c>
      <c r="K599" s="1012">
        <v>0</v>
      </c>
      <c r="L599" s="1013">
        <f t="shared" si="143"/>
        <v>4694000</v>
      </c>
      <c r="M599" s="1014">
        <v>23.8</v>
      </c>
      <c r="N599" s="1013">
        <f t="shared" si="137"/>
        <v>4296815</v>
      </c>
      <c r="O599" s="1015">
        <v>2</v>
      </c>
      <c r="P599" s="1013">
        <f t="shared" si="138"/>
        <v>361077</v>
      </c>
      <c r="Q599" s="1016">
        <v>0</v>
      </c>
      <c r="R599" s="1013">
        <f t="shared" si="139"/>
        <v>0</v>
      </c>
      <c r="S599" s="1013">
        <f t="shared" si="140"/>
        <v>4657892</v>
      </c>
      <c r="T599" s="1017">
        <v>0</v>
      </c>
      <c r="U599" s="785">
        <v>0</v>
      </c>
      <c r="V599" s="785">
        <v>200000</v>
      </c>
      <c r="W599" s="1017">
        <v>500000</v>
      </c>
      <c r="X599" s="1017">
        <v>0</v>
      </c>
      <c r="Y599" s="1017">
        <v>400000</v>
      </c>
      <c r="Z599" s="1017">
        <v>24374</v>
      </c>
      <c r="AA599" s="1018"/>
      <c r="AB599" s="1013"/>
      <c r="AC599" s="1017">
        <v>0</v>
      </c>
      <c r="AD599" s="1017">
        <v>25307</v>
      </c>
      <c r="AE599" s="1013">
        <v>0</v>
      </c>
      <c r="AF599" s="1019"/>
      <c r="AG599" s="1019">
        <f t="shared" si="145"/>
        <v>5807573</v>
      </c>
      <c r="AH599" s="1014">
        <v>36</v>
      </c>
      <c r="AI599" s="1014">
        <v>0</v>
      </c>
      <c r="AJ599" s="1014">
        <v>0</v>
      </c>
      <c r="AK599" s="1018">
        <v>0</v>
      </c>
      <c r="AL599" s="1020">
        <v>0</v>
      </c>
      <c r="AM599" s="1013">
        <f t="shared" si="144"/>
        <v>1218635</v>
      </c>
      <c r="AN599" s="1045">
        <f t="shared" si="141"/>
        <v>7026208</v>
      </c>
      <c r="AO599" s="1013">
        <v>0</v>
      </c>
      <c r="AP599" s="1013">
        <v>0</v>
      </c>
      <c r="AQ599" s="1013">
        <v>0</v>
      </c>
      <c r="AR599" s="1013">
        <v>0</v>
      </c>
      <c r="AS599" s="1013">
        <v>0</v>
      </c>
      <c r="AT599" s="1045">
        <f t="shared" si="135"/>
        <v>7026208</v>
      </c>
      <c r="AU599" s="1004"/>
      <c r="AV599" s="870"/>
      <c r="AW599" s="782" t="s">
        <v>4462</v>
      </c>
      <c r="AX599" s="782" t="s">
        <v>4463</v>
      </c>
      <c r="AY599" s="1007" t="s">
        <v>288</v>
      </c>
      <c r="AZ599" s="1007">
        <v>622</v>
      </c>
      <c r="BA599" s="347" t="str">
        <f t="shared" si="142"/>
        <v>Bag</v>
      </c>
      <c r="BB599" s="1008"/>
      <c r="BC599" s="1009"/>
      <c r="BD599" s="1009"/>
    </row>
    <row r="600" spans="1:56" s="1010" customFormat="1" ht="36.75" customHeight="1">
      <c r="A600" s="661">
        <f>SUBTOTAL(3,B$6:B600)</f>
        <v>595</v>
      </c>
      <c r="B600" s="661" t="s">
        <v>5763</v>
      </c>
      <c r="C600" s="662" t="s">
        <v>5764</v>
      </c>
      <c r="D600" s="1011">
        <v>45762</v>
      </c>
      <c r="E600" s="1011" t="s">
        <v>218</v>
      </c>
      <c r="F600" s="787" t="s">
        <v>521</v>
      </c>
      <c r="G600" s="996" t="s">
        <v>554</v>
      </c>
      <c r="H600" s="1012">
        <v>4694000</v>
      </c>
      <c r="I600" s="1012">
        <v>0</v>
      </c>
      <c r="J600" s="1012">
        <v>0</v>
      </c>
      <c r="K600" s="1012">
        <v>0</v>
      </c>
      <c r="L600" s="1013">
        <f t="shared" si="143"/>
        <v>4694000</v>
      </c>
      <c r="M600" s="1014">
        <v>11.8</v>
      </c>
      <c r="N600" s="1013">
        <f t="shared" si="137"/>
        <v>2130354</v>
      </c>
      <c r="O600" s="1015">
        <v>1</v>
      </c>
      <c r="P600" s="1013">
        <f t="shared" si="138"/>
        <v>180538</v>
      </c>
      <c r="Q600" s="1016">
        <v>0</v>
      </c>
      <c r="R600" s="1013">
        <f t="shared" si="139"/>
        <v>0</v>
      </c>
      <c r="S600" s="1013">
        <f t="shared" si="140"/>
        <v>2310892</v>
      </c>
      <c r="T600" s="1017">
        <v>0</v>
      </c>
      <c r="U600" s="785">
        <v>0</v>
      </c>
      <c r="V600" s="785">
        <v>98000</v>
      </c>
      <c r="W600" s="1017">
        <v>246000</v>
      </c>
      <c r="X600" s="1017">
        <v>0</v>
      </c>
      <c r="Y600" s="1017">
        <v>74000</v>
      </c>
      <c r="Z600" s="1017">
        <v>0</v>
      </c>
      <c r="AA600" s="1018"/>
      <c r="AB600" s="1013"/>
      <c r="AC600" s="1017">
        <v>0</v>
      </c>
      <c r="AD600" s="1017">
        <v>0</v>
      </c>
      <c r="AE600" s="1013">
        <v>0</v>
      </c>
      <c r="AF600" s="1019"/>
      <c r="AG600" s="1019">
        <f t="shared" si="145"/>
        <v>2728892</v>
      </c>
      <c r="AH600" s="1014">
        <v>12</v>
      </c>
      <c r="AI600" s="1014">
        <v>0</v>
      </c>
      <c r="AJ600" s="1014">
        <v>0</v>
      </c>
      <c r="AK600" s="1018">
        <v>0</v>
      </c>
      <c r="AL600" s="1020">
        <v>0</v>
      </c>
      <c r="AM600" s="1013">
        <f t="shared" si="144"/>
        <v>406212</v>
      </c>
      <c r="AN600" s="1045">
        <f t="shared" si="141"/>
        <v>3135104</v>
      </c>
      <c r="AO600" s="1013">
        <v>0</v>
      </c>
      <c r="AP600" s="1013">
        <v>0</v>
      </c>
      <c r="AQ600" s="1013">
        <v>0</v>
      </c>
      <c r="AR600" s="1013">
        <v>0</v>
      </c>
      <c r="AS600" s="1013">
        <v>0</v>
      </c>
      <c r="AT600" s="1045">
        <f t="shared" si="135"/>
        <v>3135104</v>
      </c>
      <c r="AU600" s="1004"/>
      <c r="AV600" s="870"/>
      <c r="AW600" s="782" t="s">
        <v>5867</v>
      </c>
      <c r="AX600" s="782" t="s">
        <v>5868</v>
      </c>
      <c r="AY600" s="1007" t="s">
        <v>288</v>
      </c>
      <c r="AZ600" s="1007">
        <v>622</v>
      </c>
      <c r="BA600" s="347" t="str">
        <f t="shared" si="142"/>
        <v>Bag</v>
      </c>
      <c r="BB600" s="1008"/>
      <c r="BC600" s="1009"/>
      <c r="BD600" s="1009"/>
    </row>
    <row r="601" spans="1:56" s="1010" customFormat="1" ht="36.75" customHeight="1">
      <c r="A601" s="661">
        <f>SUBTOTAL(3,B$6:B601)</f>
        <v>596</v>
      </c>
      <c r="B601" s="661" t="s">
        <v>1987</v>
      </c>
      <c r="C601" s="662" t="s">
        <v>1988</v>
      </c>
      <c r="D601" s="1011">
        <v>40290</v>
      </c>
      <c r="E601" s="1011" t="s">
        <v>218</v>
      </c>
      <c r="F601" s="787" t="s">
        <v>521</v>
      </c>
      <c r="G601" s="996" t="s">
        <v>797</v>
      </c>
      <c r="H601" s="1012">
        <v>5931000</v>
      </c>
      <c r="I601" s="1012">
        <v>0</v>
      </c>
      <c r="J601" s="1012">
        <v>0</v>
      </c>
      <c r="K601" s="1012">
        <v>0</v>
      </c>
      <c r="L601" s="1013">
        <f t="shared" si="143"/>
        <v>5931000</v>
      </c>
      <c r="M601" s="1014">
        <v>24</v>
      </c>
      <c r="N601" s="1013">
        <f t="shared" si="137"/>
        <v>5474769</v>
      </c>
      <c r="O601" s="1015">
        <v>2</v>
      </c>
      <c r="P601" s="1013">
        <f t="shared" si="138"/>
        <v>456231</v>
      </c>
      <c r="Q601" s="1016">
        <v>0</v>
      </c>
      <c r="R601" s="1013">
        <f t="shared" si="139"/>
        <v>0</v>
      </c>
      <c r="S601" s="1013">
        <f t="shared" si="140"/>
        <v>5931000</v>
      </c>
      <c r="T601" s="1017">
        <v>0</v>
      </c>
      <c r="U601" s="785">
        <v>0</v>
      </c>
      <c r="V601" s="785">
        <v>200000</v>
      </c>
      <c r="W601" s="1017">
        <v>500000</v>
      </c>
      <c r="X601" s="1017">
        <v>0</v>
      </c>
      <c r="Y601" s="1017">
        <v>400000</v>
      </c>
      <c r="Z601" s="1017">
        <v>1223271</v>
      </c>
      <c r="AA601" s="1018"/>
      <c r="AB601" s="1013"/>
      <c r="AC601" s="1017">
        <v>100000</v>
      </c>
      <c r="AD601" s="1017">
        <v>0</v>
      </c>
      <c r="AE601" s="1013">
        <v>42771.6328125</v>
      </c>
      <c r="AF601" s="1019"/>
      <c r="AG601" s="1019">
        <f t="shared" si="145"/>
        <v>8397043</v>
      </c>
      <c r="AH601" s="1014">
        <v>36</v>
      </c>
      <c r="AI601" s="1014">
        <v>0</v>
      </c>
      <c r="AJ601" s="1014">
        <v>0</v>
      </c>
      <c r="AK601" s="1018">
        <v>0</v>
      </c>
      <c r="AL601" s="1020">
        <v>0</v>
      </c>
      <c r="AM601" s="1013">
        <f t="shared" si="144"/>
        <v>1539779</v>
      </c>
      <c r="AN601" s="1045">
        <f t="shared" si="141"/>
        <v>9936822</v>
      </c>
      <c r="AO601" s="1013">
        <v>622755</v>
      </c>
      <c r="AP601" s="1013">
        <v>44100</v>
      </c>
      <c r="AQ601" s="1013">
        <v>0</v>
      </c>
      <c r="AR601" s="1013">
        <v>0</v>
      </c>
      <c r="AS601" s="1013">
        <v>0</v>
      </c>
      <c r="AT601" s="1045">
        <f t="shared" si="135"/>
        <v>9269967</v>
      </c>
      <c r="AU601" s="1004"/>
      <c r="AV601" s="870"/>
      <c r="AW601" s="782" t="s">
        <v>4466</v>
      </c>
      <c r="AX601" s="782" t="s">
        <v>4467</v>
      </c>
      <c r="AY601" s="1007" t="s">
        <v>288</v>
      </c>
      <c r="AZ601" s="1007">
        <v>622</v>
      </c>
      <c r="BA601" s="347" t="str">
        <f t="shared" si="142"/>
        <v>Bag</v>
      </c>
      <c r="BB601" s="1008"/>
      <c r="BC601" s="1009"/>
      <c r="BD601" s="1009"/>
    </row>
    <row r="602" spans="1:56" s="1010" customFormat="1" ht="36.75" customHeight="1">
      <c r="A602" s="661">
        <f>SUBTOTAL(3,B$6:B602)</f>
        <v>597</v>
      </c>
      <c r="B602" s="661" t="s">
        <v>1989</v>
      </c>
      <c r="C602" s="662" t="s">
        <v>1990</v>
      </c>
      <c r="D602" s="1011">
        <v>40331</v>
      </c>
      <c r="E602" s="1011" t="s">
        <v>218</v>
      </c>
      <c r="F602" s="787" t="s">
        <v>521</v>
      </c>
      <c r="G602" s="996" t="s">
        <v>797</v>
      </c>
      <c r="H602" s="1012">
        <v>5931000</v>
      </c>
      <c r="I602" s="1012">
        <v>0</v>
      </c>
      <c r="J602" s="1012">
        <v>0</v>
      </c>
      <c r="K602" s="1012">
        <v>0</v>
      </c>
      <c r="L602" s="1013">
        <f t="shared" si="143"/>
        <v>5931000</v>
      </c>
      <c r="M602" s="1014">
        <v>24</v>
      </c>
      <c r="N602" s="1013">
        <f t="shared" si="137"/>
        <v>5474769</v>
      </c>
      <c r="O602" s="1015">
        <v>2</v>
      </c>
      <c r="P602" s="1013">
        <f t="shared" si="138"/>
        <v>456231</v>
      </c>
      <c r="Q602" s="1016">
        <v>0</v>
      </c>
      <c r="R602" s="1013">
        <f t="shared" si="139"/>
        <v>0</v>
      </c>
      <c r="S602" s="1013">
        <f t="shared" si="140"/>
        <v>5931000</v>
      </c>
      <c r="T602" s="1017">
        <v>0</v>
      </c>
      <c r="U602" s="785">
        <v>0</v>
      </c>
      <c r="V602" s="785">
        <v>200000</v>
      </c>
      <c r="W602" s="1017">
        <v>500000</v>
      </c>
      <c r="X602" s="1017">
        <v>0</v>
      </c>
      <c r="Y602" s="1017">
        <v>400000</v>
      </c>
      <c r="Z602" s="1017">
        <v>688835</v>
      </c>
      <c r="AA602" s="1018"/>
      <c r="AB602" s="1013"/>
      <c r="AC602" s="1017">
        <v>0</v>
      </c>
      <c r="AD602" s="1017">
        <v>0</v>
      </c>
      <c r="AE602" s="1013">
        <v>42771.6328125</v>
      </c>
      <c r="AF602" s="1019"/>
      <c r="AG602" s="1019">
        <f t="shared" si="145"/>
        <v>7762607</v>
      </c>
      <c r="AH602" s="1014">
        <v>36</v>
      </c>
      <c r="AI602" s="1014">
        <v>0</v>
      </c>
      <c r="AJ602" s="1014">
        <v>0</v>
      </c>
      <c r="AK602" s="1018">
        <v>0</v>
      </c>
      <c r="AL602" s="1020">
        <v>0</v>
      </c>
      <c r="AM602" s="1013">
        <f t="shared" si="144"/>
        <v>1539779</v>
      </c>
      <c r="AN602" s="1045">
        <f t="shared" si="141"/>
        <v>9302386</v>
      </c>
      <c r="AO602" s="1013">
        <v>622755</v>
      </c>
      <c r="AP602" s="1013">
        <v>44100</v>
      </c>
      <c r="AQ602" s="1013">
        <v>0</v>
      </c>
      <c r="AR602" s="1013">
        <v>0</v>
      </c>
      <c r="AS602" s="1013">
        <v>0</v>
      </c>
      <c r="AT602" s="1045">
        <f t="shared" si="135"/>
        <v>8635531</v>
      </c>
      <c r="AU602" s="1004"/>
      <c r="AV602" s="870"/>
      <c r="AW602" s="782" t="s">
        <v>4468</v>
      </c>
      <c r="AX602" s="782" t="s">
        <v>4469</v>
      </c>
      <c r="AY602" s="1007" t="s">
        <v>288</v>
      </c>
      <c r="AZ602" s="1007">
        <v>622</v>
      </c>
      <c r="BA602" s="347" t="str">
        <f t="shared" si="142"/>
        <v>Bag</v>
      </c>
      <c r="BB602" s="1008"/>
      <c r="BC602" s="1009"/>
      <c r="BD602" s="1009"/>
    </row>
    <row r="603" spans="1:56" s="1010" customFormat="1" ht="36.75" customHeight="1">
      <c r="A603" s="661">
        <f>SUBTOTAL(3,B$6:B603)</f>
        <v>598</v>
      </c>
      <c r="B603" s="661" t="s">
        <v>1991</v>
      </c>
      <c r="C603" s="662" t="s">
        <v>1992</v>
      </c>
      <c r="D603" s="1011">
        <v>40394</v>
      </c>
      <c r="E603" s="1011" t="s">
        <v>218</v>
      </c>
      <c r="F603" s="787" t="s">
        <v>521</v>
      </c>
      <c r="G603" s="996" t="s">
        <v>797</v>
      </c>
      <c r="H603" s="1012">
        <v>5931000</v>
      </c>
      <c r="I603" s="1012">
        <v>0</v>
      </c>
      <c r="J603" s="1012">
        <v>0</v>
      </c>
      <c r="K603" s="1012">
        <v>0</v>
      </c>
      <c r="L603" s="1013">
        <f t="shared" si="143"/>
        <v>5931000</v>
      </c>
      <c r="M603" s="1014">
        <v>24</v>
      </c>
      <c r="N603" s="1013">
        <f t="shared" si="137"/>
        <v>5474769</v>
      </c>
      <c r="O603" s="1015">
        <v>2</v>
      </c>
      <c r="P603" s="1013">
        <f t="shared" si="138"/>
        <v>456231</v>
      </c>
      <c r="Q603" s="1016">
        <v>0</v>
      </c>
      <c r="R603" s="1013">
        <f t="shared" si="139"/>
        <v>0</v>
      </c>
      <c r="S603" s="1013">
        <f t="shared" si="140"/>
        <v>5931000</v>
      </c>
      <c r="T603" s="1017">
        <v>0</v>
      </c>
      <c r="U603" s="785">
        <v>0</v>
      </c>
      <c r="V603" s="785">
        <v>200000</v>
      </c>
      <c r="W603" s="1017">
        <v>500000</v>
      </c>
      <c r="X603" s="1017">
        <v>0</v>
      </c>
      <c r="Y603" s="1017">
        <v>400000</v>
      </c>
      <c r="Z603" s="1017">
        <v>1223271</v>
      </c>
      <c r="AA603" s="1018"/>
      <c r="AB603" s="1013"/>
      <c r="AC603" s="1017">
        <v>0</v>
      </c>
      <c r="AD603" s="1017">
        <v>0</v>
      </c>
      <c r="AE603" s="1013">
        <v>42771.6328125</v>
      </c>
      <c r="AF603" s="1019"/>
      <c r="AG603" s="1019">
        <f t="shared" si="145"/>
        <v>8297043</v>
      </c>
      <c r="AH603" s="1014">
        <v>36</v>
      </c>
      <c r="AI603" s="1014">
        <v>0</v>
      </c>
      <c r="AJ603" s="1014">
        <v>0</v>
      </c>
      <c r="AK603" s="1018">
        <v>0</v>
      </c>
      <c r="AL603" s="1020">
        <v>0</v>
      </c>
      <c r="AM603" s="1013">
        <f t="shared" si="144"/>
        <v>1539779</v>
      </c>
      <c r="AN603" s="1045">
        <f t="shared" si="141"/>
        <v>9836822</v>
      </c>
      <c r="AO603" s="1013">
        <v>622755</v>
      </c>
      <c r="AP603" s="1013">
        <v>44100</v>
      </c>
      <c r="AQ603" s="1013">
        <v>0</v>
      </c>
      <c r="AR603" s="1013">
        <v>0</v>
      </c>
      <c r="AS603" s="1013">
        <v>0</v>
      </c>
      <c r="AT603" s="1045">
        <f t="shared" si="135"/>
        <v>9169967</v>
      </c>
      <c r="AU603" s="1004"/>
      <c r="AV603" s="870"/>
      <c r="AW603" s="782" t="s">
        <v>4470</v>
      </c>
      <c r="AX603" s="782" t="s">
        <v>4471</v>
      </c>
      <c r="AY603" s="1007" t="s">
        <v>288</v>
      </c>
      <c r="AZ603" s="1007">
        <v>622</v>
      </c>
      <c r="BA603" s="347" t="str">
        <f t="shared" si="142"/>
        <v>Bag</v>
      </c>
      <c r="BB603" s="1008"/>
      <c r="BC603" s="1009"/>
      <c r="BD603" s="1009"/>
    </row>
    <row r="604" spans="1:56" s="1010" customFormat="1" ht="36.75" customHeight="1">
      <c r="A604" s="661">
        <f>SUBTOTAL(3,B$6:B604)</f>
        <v>599</v>
      </c>
      <c r="B604" s="661" t="s">
        <v>1993</v>
      </c>
      <c r="C604" s="662" t="s">
        <v>1994</v>
      </c>
      <c r="D604" s="1011">
        <v>41485</v>
      </c>
      <c r="E604" s="1011" t="s">
        <v>218</v>
      </c>
      <c r="F604" s="787" t="s">
        <v>521</v>
      </c>
      <c r="G604" s="996" t="s">
        <v>1747</v>
      </c>
      <c r="H604" s="1012">
        <v>5931000</v>
      </c>
      <c r="I604" s="1012">
        <v>700000</v>
      </c>
      <c r="J604" s="1012">
        <v>0</v>
      </c>
      <c r="K604" s="1012">
        <v>300000</v>
      </c>
      <c r="L604" s="1013">
        <f t="shared" si="143"/>
        <v>6931000</v>
      </c>
      <c r="M604" s="1014">
        <v>23.8</v>
      </c>
      <c r="N604" s="1013">
        <f t="shared" si="137"/>
        <v>6344531</v>
      </c>
      <c r="O604" s="1015">
        <v>2</v>
      </c>
      <c r="P604" s="1013">
        <f t="shared" si="138"/>
        <v>533154</v>
      </c>
      <c r="Q604" s="1016">
        <v>0</v>
      </c>
      <c r="R604" s="1013">
        <f t="shared" si="139"/>
        <v>0</v>
      </c>
      <c r="S604" s="1013">
        <f t="shared" si="140"/>
        <v>6877685</v>
      </c>
      <c r="T604" s="1017">
        <v>0</v>
      </c>
      <c r="U604" s="785">
        <v>0</v>
      </c>
      <c r="V604" s="785">
        <v>200000</v>
      </c>
      <c r="W604" s="1017">
        <v>500000</v>
      </c>
      <c r="X604" s="1017">
        <v>0</v>
      </c>
      <c r="Y604" s="1017">
        <v>400000</v>
      </c>
      <c r="Z604" s="1017">
        <v>1115783</v>
      </c>
      <c r="AA604" s="1018"/>
      <c r="AB604" s="1013"/>
      <c r="AC604" s="1017">
        <v>100000</v>
      </c>
      <c r="AD604" s="1017">
        <v>0</v>
      </c>
      <c r="AE604" s="1013">
        <v>49983.174894957978</v>
      </c>
      <c r="AF604" s="1019"/>
      <c r="AG604" s="1019">
        <f t="shared" si="145"/>
        <v>9243451</v>
      </c>
      <c r="AH604" s="1014">
        <v>37</v>
      </c>
      <c r="AI604" s="1014">
        <v>0</v>
      </c>
      <c r="AJ604" s="1014">
        <v>0</v>
      </c>
      <c r="AK604" s="1018">
        <v>0</v>
      </c>
      <c r="AL604" s="1020">
        <v>0</v>
      </c>
      <c r="AM604" s="1013">
        <f t="shared" si="144"/>
        <v>1849377</v>
      </c>
      <c r="AN604" s="1045">
        <f t="shared" si="141"/>
        <v>11092828</v>
      </c>
      <c r="AO604" s="1013">
        <v>727755</v>
      </c>
      <c r="AP604" s="1013">
        <v>44100</v>
      </c>
      <c r="AQ604" s="1013">
        <v>0</v>
      </c>
      <c r="AR604" s="1013">
        <v>0</v>
      </c>
      <c r="AS604" s="1013">
        <v>0</v>
      </c>
      <c r="AT604" s="1045">
        <f t="shared" si="135"/>
        <v>10320973</v>
      </c>
      <c r="AU604" s="1004"/>
      <c r="AV604" s="870"/>
      <c r="AW604" s="782" t="s">
        <v>4472</v>
      </c>
      <c r="AX604" s="782" t="s">
        <v>4473</v>
      </c>
      <c r="AY604" s="1007" t="s">
        <v>288</v>
      </c>
      <c r="AZ604" s="1007">
        <v>622</v>
      </c>
      <c r="BA604" s="347" t="str">
        <f t="shared" si="142"/>
        <v>Bag</v>
      </c>
      <c r="BB604" s="1008"/>
      <c r="BC604" s="1009"/>
      <c r="BD604" s="1009"/>
    </row>
    <row r="605" spans="1:56" s="1010" customFormat="1" ht="36.75" customHeight="1">
      <c r="A605" s="661">
        <f>SUBTOTAL(3,B$6:B605)</f>
        <v>600</v>
      </c>
      <c r="B605" s="661" t="s">
        <v>1995</v>
      </c>
      <c r="C605" s="662" t="s">
        <v>1996</v>
      </c>
      <c r="D605" s="1011">
        <v>41775</v>
      </c>
      <c r="E605" s="1011" t="s">
        <v>218</v>
      </c>
      <c r="F605" s="787" t="s">
        <v>521</v>
      </c>
      <c r="G605" s="996" t="s">
        <v>797</v>
      </c>
      <c r="H605" s="1012">
        <v>5931000</v>
      </c>
      <c r="I605" s="1012">
        <v>0</v>
      </c>
      <c r="J605" s="1012">
        <v>0</v>
      </c>
      <c r="K605" s="1012">
        <v>0</v>
      </c>
      <c r="L605" s="1013">
        <f t="shared" si="143"/>
        <v>5931000</v>
      </c>
      <c r="M605" s="1014">
        <v>23.6</v>
      </c>
      <c r="N605" s="1013">
        <f t="shared" si="137"/>
        <v>5383523</v>
      </c>
      <c r="O605" s="1015">
        <v>2</v>
      </c>
      <c r="P605" s="1013">
        <f t="shared" si="138"/>
        <v>456231</v>
      </c>
      <c r="Q605" s="1016">
        <v>0</v>
      </c>
      <c r="R605" s="1013">
        <f t="shared" si="139"/>
        <v>0</v>
      </c>
      <c r="S605" s="1013">
        <f t="shared" si="140"/>
        <v>5839754</v>
      </c>
      <c r="T605" s="1017">
        <v>0</v>
      </c>
      <c r="U605" s="785">
        <v>0</v>
      </c>
      <c r="V605" s="785">
        <v>200000</v>
      </c>
      <c r="W605" s="1017">
        <v>500000</v>
      </c>
      <c r="X605" s="1017">
        <v>0</v>
      </c>
      <c r="Y605" s="1017">
        <v>400000</v>
      </c>
      <c r="Z605" s="1017">
        <v>871209</v>
      </c>
      <c r="AA605" s="1018"/>
      <c r="AB605" s="1013"/>
      <c r="AC605" s="1017">
        <v>0</v>
      </c>
      <c r="AD605" s="1017">
        <v>0</v>
      </c>
      <c r="AE605" s="1013">
        <v>42771.634004237283</v>
      </c>
      <c r="AF605" s="1019"/>
      <c r="AG605" s="1019">
        <f t="shared" si="145"/>
        <v>7853735</v>
      </c>
      <c r="AH605" s="1014">
        <v>36</v>
      </c>
      <c r="AI605" s="1014">
        <v>0</v>
      </c>
      <c r="AJ605" s="1014">
        <v>0</v>
      </c>
      <c r="AK605" s="1018">
        <v>0</v>
      </c>
      <c r="AL605" s="1020">
        <v>0</v>
      </c>
      <c r="AM605" s="1013">
        <f t="shared" si="144"/>
        <v>1539779</v>
      </c>
      <c r="AN605" s="1045">
        <f t="shared" si="141"/>
        <v>9393514</v>
      </c>
      <c r="AO605" s="1013">
        <v>622755</v>
      </c>
      <c r="AP605" s="1013">
        <v>44100</v>
      </c>
      <c r="AQ605" s="1013">
        <v>0</v>
      </c>
      <c r="AR605" s="1013">
        <v>0</v>
      </c>
      <c r="AS605" s="1013">
        <v>0</v>
      </c>
      <c r="AT605" s="1045">
        <f t="shared" si="135"/>
        <v>8726659</v>
      </c>
      <c r="AU605" s="1004"/>
      <c r="AV605" s="870"/>
      <c r="AW605" s="782" t="s">
        <v>4474</v>
      </c>
      <c r="AX605" s="782" t="s">
        <v>4475</v>
      </c>
      <c r="AY605" s="1007" t="s">
        <v>288</v>
      </c>
      <c r="AZ605" s="1007">
        <v>622</v>
      </c>
      <c r="BA605" s="347" t="str">
        <f t="shared" si="142"/>
        <v>Bag</v>
      </c>
      <c r="BB605" s="1008"/>
      <c r="BC605" s="1009"/>
      <c r="BD605" s="1009"/>
    </row>
    <row r="606" spans="1:56" s="1010" customFormat="1" ht="36.75" customHeight="1">
      <c r="A606" s="661">
        <f>SUBTOTAL(3,B$6:B606)</f>
        <v>601</v>
      </c>
      <c r="B606" s="661" t="s">
        <v>1997</v>
      </c>
      <c r="C606" s="662" t="s">
        <v>1998</v>
      </c>
      <c r="D606" s="1011">
        <v>42628</v>
      </c>
      <c r="E606" s="1011" t="s">
        <v>218</v>
      </c>
      <c r="F606" s="787" t="s">
        <v>521</v>
      </c>
      <c r="G606" s="996" t="s">
        <v>797</v>
      </c>
      <c r="H606" s="1012">
        <v>5931000</v>
      </c>
      <c r="I606" s="1012">
        <v>0</v>
      </c>
      <c r="J606" s="1012">
        <v>0</v>
      </c>
      <c r="K606" s="1012">
        <v>0</v>
      </c>
      <c r="L606" s="1013">
        <f t="shared" si="143"/>
        <v>5931000</v>
      </c>
      <c r="M606" s="1014">
        <v>24</v>
      </c>
      <c r="N606" s="1013">
        <f t="shared" si="137"/>
        <v>5474769</v>
      </c>
      <c r="O606" s="1015">
        <v>2</v>
      </c>
      <c r="P606" s="1013">
        <f t="shared" si="138"/>
        <v>456231</v>
      </c>
      <c r="Q606" s="1016">
        <v>0</v>
      </c>
      <c r="R606" s="1013">
        <f t="shared" si="139"/>
        <v>0</v>
      </c>
      <c r="S606" s="1013">
        <f t="shared" si="140"/>
        <v>5931000</v>
      </c>
      <c r="T606" s="1017">
        <v>0</v>
      </c>
      <c r="U606" s="785">
        <v>0</v>
      </c>
      <c r="V606" s="785">
        <v>200000</v>
      </c>
      <c r="W606" s="1017">
        <v>500000</v>
      </c>
      <c r="X606" s="1017">
        <v>0</v>
      </c>
      <c r="Y606" s="1017">
        <v>400000</v>
      </c>
      <c r="Z606" s="1017">
        <v>688835</v>
      </c>
      <c r="AA606" s="1018"/>
      <c r="AB606" s="1013"/>
      <c r="AC606" s="1017">
        <v>0</v>
      </c>
      <c r="AD606" s="1017">
        <v>0</v>
      </c>
      <c r="AE606" s="1013">
        <v>42771.6328125</v>
      </c>
      <c r="AF606" s="1019"/>
      <c r="AG606" s="1019">
        <f t="shared" si="145"/>
        <v>7762607</v>
      </c>
      <c r="AH606" s="1014">
        <v>36</v>
      </c>
      <c r="AI606" s="1014">
        <v>0</v>
      </c>
      <c r="AJ606" s="1014">
        <v>0</v>
      </c>
      <c r="AK606" s="1018">
        <v>0</v>
      </c>
      <c r="AL606" s="1020">
        <v>0</v>
      </c>
      <c r="AM606" s="1013">
        <f t="shared" si="144"/>
        <v>1539779</v>
      </c>
      <c r="AN606" s="1045">
        <f t="shared" si="141"/>
        <v>9302386</v>
      </c>
      <c r="AO606" s="1013">
        <v>622755</v>
      </c>
      <c r="AP606" s="1013">
        <v>44100</v>
      </c>
      <c r="AQ606" s="1013">
        <v>0</v>
      </c>
      <c r="AR606" s="1013">
        <v>0</v>
      </c>
      <c r="AS606" s="1013">
        <v>0</v>
      </c>
      <c r="AT606" s="1045">
        <f t="shared" si="135"/>
        <v>8635531</v>
      </c>
      <c r="AU606" s="1004"/>
      <c r="AV606" s="870"/>
      <c r="AW606" s="782" t="s">
        <v>4476</v>
      </c>
      <c r="AX606" s="782" t="s">
        <v>4477</v>
      </c>
      <c r="AY606" s="1007" t="s">
        <v>288</v>
      </c>
      <c r="AZ606" s="1007">
        <v>622</v>
      </c>
      <c r="BA606" s="347" t="str">
        <f t="shared" si="142"/>
        <v>Bag</v>
      </c>
      <c r="BB606" s="1008"/>
      <c r="BC606" s="1009"/>
      <c r="BD606" s="1009"/>
    </row>
    <row r="607" spans="1:56" s="1010" customFormat="1" ht="36.75" customHeight="1">
      <c r="A607" s="661">
        <f>SUBTOTAL(3,B$6:B607)</f>
        <v>602</v>
      </c>
      <c r="B607" s="661" t="s">
        <v>1999</v>
      </c>
      <c r="C607" s="662" t="s">
        <v>2000</v>
      </c>
      <c r="D607" s="1011">
        <v>42783</v>
      </c>
      <c r="E607" s="1011" t="s">
        <v>218</v>
      </c>
      <c r="F607" s="787" t="s">
        <v>521</v>
      </c>
      <c r="G607" s="996" t="s">
        <v>797</v>
      </c>
      <c r="H607" s="1012">
        <v>5931000</v>
      </c>
      <c r="I607" s="1012">
        <v>0</v>
      </c>
      <c r="J607" s="1012">
        <v>0</v>
      </c>
      <c r="K607" s="1012">
        <v>0</v>
      </c>
      <c r="L607" s="1013">
        <f t="shared" si="143"/>
        <v>5931000</v>
      </c>
      <c r="M607" s="1014">
        <v>24</v>
      </c>
      <c r="N607" s="1013">
        <f t="shared" si="137"/>
        <v>5474769</v>
      </c>
      <c r="O607" s="1015">
        <v>2</v>
      </c>
      <c r="P607" s="1013">
        <f t="shared" si="138"/>
        <v>456231</v>
      </c>
      <c r="Q607" s="1016">
        <v>0</v>
      </c>
      <c r="R607" s="1013">
        <f t="shared" si="139"/>
        <v>0</v>
      </c>
      <c r="S607" s="1013">
        <f t="shared" si="140"/>
        <v>5931000</v>
      </c>
      <c r="T607" s="1017">
        <v>0</v>
      </c>
      <c r="U607" s="785">
        <v>0</v>
      </c>
      <c r="V607" s="785">
        <v>200000</v>
      </c>
      <c r="W607" s="1017">
        <v>500000</v>
      </c>
      <c r="X607" s="1017">
        <v>0</v>
      </c>
      <c r="Y607" s="1017">
        <v>400000</v>
      </c>
      <c r="Z607" s="1017">
        <v>915417.33333333337</v>
      </c>
      <c r="AA607" s="1018"/>
      <c r="AB607" s="1013"/>
      <c r="AC607" s="1017">
        <v>0</v>
      </c>
      <c r="AD607" s="1017">
        <v>0</v>
      </c>
      <c r="AE607" s="1013">
        <v>42771.6328125</v>
      </c>
      <c r="AF607" s="1019"/>
      <c r="AG607" s="1019">
        <f t="shared" si="145"/>
        <v>7989189</v>
      </c>
      <c r="AH607" s="1014">
        <v>36</v>
      </c>
      <c r="AI607" s="1014">
        <v>0</v>
      </c>
      <c r="AJ607" s="1014">
        <v>0</v>
      </c>
      <c r="AK607" s="1018">
        <v>0</v>
      </c>
      <c r="AL607" s="1020">
        <v>0</v>
      </c>
      <c r="AM607" s="1013">
        <f t="shared" si="144"/>
        <v>1539779</v>
      </c>
      <c r="AN607" s="1045">
        <f t="shared" si="141"/>
        <v>9528968</v>
      </c>
      <c r="AO607" s="1013">
        <v>622755</v>
      </c>
      <c r="AP607" s="1013">
        <v>44100</v>
      </c>
      <c r="AQ607" s="1013">
        <v>0</v>
      </c>
      <c r="AR607" s="1013">
        <v>0</v>
      </c>
      <c r="AS607" s="1013">
        <v>0</v>
      </c>
      <c r="AT607" s="1045">
        <f t="shared" si="135"/>
        <v>8862113</v>
      </c>
      <c r="AU607" s="1004"/>
      <c r="AV607" s="870"/>
      <c r="AW607" s="782" t="s">
        <v>4478</v>
      </c>
      <c r="AX607" s="782" t="s">
        <v>4479</v>
      </c>
      <c r="AY607" s="1007" t="s">
        <v>288</v>
      </c>
      <c r="AZ607" s="1007">
        <v>622</v>
      </c>
      <c r="BA607" s="347" t="str">
        <f t="shared" si="142"/>
        <v>Bag</v>
      </c>
      <c r="BB607" s="1008"/>
      <c r="BC607" s="1009"/>
      <c r="BD607" s="1009"/>
    </row>
    <row r="608" spans="1:56" s="1010" customFormat="1" ht="36.75" customHeight="1">
      <c r="A608" s="661">
        <f>SUBTOTAL(3,B$6:B608)</f>
        <v>603</v>
      </c>
      <c r="B608" s="661" t="s">
        <v>2001</v>
      </c>
      <c r="C608" s="662" t="s">
        <v>2002</v>
      </c>
      <c r="D608" s="1011">
        <v>43172</v>
      </c>
      <c r="E608" s="1011" t="s">
        <v>218</v>
      </c>
      <c r="F608" s="787" t="s">
        <v>521</v>
      </c>
      <c r="G608" s="996" t="s">
        <v>797</v>
      </c>
      <c r="H608" s="1012">
        <v>5931000</v>
      </c>
      <c r="I608" s="1012">
        <v>0</v>
      </c>
      <c r="J608" s="1012">
        <v>0</v>
      </c>
      <c r="K608" s="1012">
        <v>0</v>
      </c>
      <c r="L608" s="1013">
        <f t="shared" si="143"/>
        <v>5931000</v>
      </c>
      <c r="M608" s="1014">
        <v>23</v>
      </c>
      <c r="N608" s="1013">
        <f t="shared" si="137"/>
        <v>5246654</v>
      </c>
      <c r="O608" s="1015">
        <v>3</v>
      </c>
      <c r="P608" s="1013">
        <f t="shared" si="138"/>
        <v>684346</v>
      </c>
      <c r="Q608" s="1016">
        <v>0</v>
      </c>
      <c r="R608" s="1013">
        <f t="shared" si="139"/>
        <v>0</v>
      </c>
      <c r="S608" s="1013">
        <f t="shared" si="140"/>
        <v>5931000</v>
      </c>
      <c r="T608" s="1017">
        <v>0</v>
      </c>
      <c r="U608" s="785">
        <v>0</v>
      </c>
      <c r="V608" s="785">
        <v>200000</v>
      </c>
      <c r="W608" s="1017">
        <v>500000</v>
      </c>
      <c r="X608" s="1017">
        <v>0</v>
      </c>
      <c r="Y608" s="1017">
        <v>400000</v>
      </c>
      <c r="Z608" s="1017">
        <v>676566</v>
      </c>
      <c r="AA608" s="1018"/>
      <c r="AB608" s="1013"/>
      <c r="AC608" s="1017">
        <v>100000</v>
      </c>
      <c r="AD608" s="1017">
        <v>0</v>
      </c>
      <c r="AE608" s="1013">
        <v>42771.635869565216</v>
      </c>
      <c r="AF608" s="1019"/>
      <c r="AG608" s="1019">
        <f t="shared" si="145"/>
        <v>7850338</v>
      </c>
      <c r="AH608" s="1014">
        <v>33</v>
      </c>
      <c r="AI608" s="1014">
        <v>0</v>
      </c>
      <c r="AJ608" s="1014">
        <v>0</v>
      </c>
      <c r="AK608" s="1018">
        <v>0</v>
      </c>
      <c r="AL608" s="1020">
        <v>0</v>
      </c>
      <c r="AM608" s="1013">
        <f t="shared" si="144"/>
        <v>1411464</v>
      </c>
      <c r="AN608" s="1045">
        <f t="shared" si="141"/>
        <v>9261802</v>
      </c>
      <c r="AO608" s="1013">
        <v>622755</v>
      </c>
      <c r="AP608" s="1013">
        <v>44100</v>
      </c>
      <c r="AQ608" s="1013">
        <v>0</v>
      </c>
      <c r="AR608" s="1013">
        <v>0</v>
      </c>
      <c r="AS608" s="1013">
        <v>0</v>
      </c>
      <c r="AT608" s="1045">
        <f t="shared" si="135"/>
        <v>8594947</v>
      </c>
      <c r="AU608" s="1004"/>
      <c r="AV608" s="870"/>
      <c r="AW608" s="782" t="s">
        <v>4480</v>
      </c>
      <c r="AX608" s="782" t="s">
        <v>4481</v>
      </c>
      <c r="AY608" s="1007" t="s">
        <v>288</v>
      </c>
      <c r="AZ608" s="1007">
        <v>622</v>
      </c>
      <c r="BA608" s="347" t="str">
        <f t="shared" si="142"/>
        <v>Bag</v>
      </c>
      <c r="BB608" s="1008"/>
      <c r="BC608" s="1009"/>
      <c r="BD608" s="1009"/>
    </row>
    <row r="609" spans="1:56" s="1010" customFormat="1" ht="36.75" customHeight="1">
      <c r="A609" s="661">
        <f>SUBTOTAL(3,B$6:B609)</f>
        <v>604</v>
      </c>
      <c r="B609" s="661" t="s">
        <v>2003</v>
      </c>
      <c r="C609" s="662" t="s">
        <v>1236</v>
      </c>
      <c r="D609" s="1011">
        <v>43315</v>
      </c>
      <c r="E609" s="1011" t="s">
        <v>218</v>
      </c>
      <c r="F609" s="787" t="s">
        <v>521</v>
      </c>
      <c r="G609" s="996" t="s">
        <v>797</v>
      </c>
      <c r="H609" s="1012">
        <v>5931000</v>
      </c>
      <c r="I609" s="1012">
        <v>0</v>
      </c>
      <c r="J609" s="1012">
        <v>0</v>
      </c>
      <c r="K609" s="1012">
        <v>0</v>
      </c>
      <c r="L609" s="1013">
        <f t="shared" si="143"/>
        <v>5931000</v>
      </c>
      <c r="M609" s="1014">
        <v>24</v>
      </c>
      <c r="N609" s="1013">
        <f t="shared" si="137"/>
        <v>5474769</v>
      </c>
      <c r="O609" s="1015">
        <v>2</v>
      </c>
      <c r="P609" s="1013">
        <f t="shared" si="138"/>
        <v>456231</v>
      </c>
      <c r="Q609" s="1016">
        <v>0</v>
      </c>
      <c r="R609" s="1013">
        <f t="shared" si="139"/>
        <v>0</v>
      </c>
      <c r="S609" s="1013">
        <f t="shared" si="140"/>
        <v>5931000</v>
      </c>
      <c r="T609" s="1017">
        <v>0</v>
      </c>
      <c r="U609" s="785">
        <v>0</v>
      </c>
      <c r="V609" s="785">
        <v>200000</v>
      </c>
      <c r="W609" s="1017">
        <v>500000</v>
      </c>
      <c r="X609" s="1017">
        <v>0</v>
      </c>
      <c r="Y609" s="1017">
        <v>400000</v>
      </c>
      <c r="Z609" s="1017">
        <v>688835</v>
      </c>
      <c r="AA609" s="1018"/>
      <c r="AB609" s="1013"/>
      <c r="AC609" s="1017">
        <v>0</v>
      </c>
      <c r="AD609" s="1017">
        <v>0</v>
      </c>
      <c r="AE609" s="1013">
        <v>42771.6328125</v>
      </c>
      <c r="AF609" s="1019"/>
      <c r="AG609" s="1019">
        <f t="shared" si="145"/>
        <v>7762607</v>
      </c>
      <c r="AH609" s="1014">
        <v>36</v>
      </c>
      <c r="AI609" s="1014">
        <v>0</v>
      </c>
      <c r="AJ609" s="1014">
        <v>0</v>
      </c>
      <c r="AK609" s="1018">
        <v>0</v>
      </c>
      <c r="AL609" s="1020">
        <v>0</v>
      </c>
      <c r="AM609" s="1013">
        <f t="shared" si="144"/>
        <v>1539779</v>
      </c>
      <c r="AN609" s="1045">
        <f t="shared" si="141"/>
        <v>9302386</v>
      </c>
      <c r="AO609" s="1013">
        <v>622755</v>
      </c>
      <c r="AP609" s="1013">
        <v>44100</v>
      </c>
      <c r="AQ609" s="1013">
        <v>0</v>
      </c>
      <c r="AR609" s="1013">
        <v>0</v>
      </c>
      <c r="AS609" s="1013">
        <v>0</v>
      </c>
      <c r="AT609" s="1045">
        <f t="shared" si="135"/>
        <v>8635531</v>
      </c>
      <c r="AU609" s="1004"/>
      <c r="AV609" s="870"/>
      <c r="AW609" s="782" t="s">
        <v>3749</v>
      </c>
      <c r="AX609" s="782" t="s">
        <v>4482</v>
      </c>
      <c r="AY609" s="1007" t="s">
        <v>288</v>
      </c>
      <c r="AZ609" s="1007">
        <v>622</v>
      </c>
      <c r="BA609" s="347" t="str">
        <f t="shared" si="142"/>
        <v>Bag</v>
      </c>
      <c r="BB609" s="1008"/>
      <c r="BC609" s="1009"/>
      <c r="BD609" s="1009"/>
    </row>
    <row r="610" spans="1:56" s="1010" customFormat="1" ht="36.75" customHeight="1">
      <c r="A610" s="661">
        <f>SUBTOTAL(3,B$6:B610)</f>
        <v>605</v>
      </c>
      <c r="B610" s="661" t="s">
        <v>2004</v>
      </c>
      <c r="C610" s="662" t="s">
        <v>2005</v>
      </c>
      <c r="D610" s="1011">
        <v>43414</v>
      </c>
      <c r="E610" s="1011" t="s">
        <v>218</v>
      </c>
      <c r="F610" s="787" t="s">
        <v>521</v>
      </c>
      <c r="G610" s="996" t="s">
        <v>797</v>
      </c>
      <c r="H610" s="1012">
        <v>5931000</v>
      </c>
      <c r="I610" s="1012">
        <v>0</v>
      </c>
      <c r="J610" s="1012">
        <v>0</v>
      </c>
      <c r="K610" s="1012">
        <v>0</v>
      </c>
      <c r="L610" s="1013">
        <f t="shared" si="143"/>
        <v>5931000</v>
      </c>
      <c r="M610" s="1014">
        <v>24</v>
      </c>
      <c r="N610" s="1013">
        <f t="shared" si="137"/>
        <v>5474769</v>
      </c>
      <c r="O610" s="1015">
        <v>2</v>
      </c>
      <c r="P610" s="1013">
        <f t="shared" si="138"/>
        <v>456231</v>
      </c>
      <c r="Q610" s="1016">
        <v>0</v>
      </c>
      <c r="R610" s="1013">
        <f t="shared" si="139"/>
        <v>0</v>
      </c>
      <c r="S610" s="1013">
        <f t="shared" si="140"/>
        <v>5931000</v>
      </c>
      <c r="T610" s="1017">
        <v>0</v>
      </c>
      <c r="U610" s="785">
        <v>0</v>
      </c>
      <c r="V610" s="785">
        <v>200000</v>
      </c>
      <c r="W610" s="1017">
        <v>500000</v>
      </c>
      <c r="X610" s="1017">
        <v>0</v>
      </c>
      <c r="Y610" s="1017">
        <v>400000</v>
      </c>
      <c r="Z610" s="1017">
        <v>915417.33333333337</v>
      </c>
      <c r="AA610" s="1018"/>
      <c r="AB610" s="1013"/>
      <c r="AC610" s="1017">
        <v>0</v>
      </c>
      <c r="AD610" s="1017">
        <v>0</v>
      </c>
      <c r="AE610" s="1013">
        <v>42771.6328125</v>
      </c>
      <c r="AF610" s="1019"/>
      <c r="AG610" s="1019">
        <f t="shared" si="145"/>
        <v>7989189</v>
      </c>
      <c r="AH610" s="1014">
        <v>36</v>
      </c>
      <c r="AI610" s="1014">
        <v>0</v>
      </c>
      <c r="AJ610" s="1014">
        <v>0</v>
      </c>
      <c r="AK610" s="1018">
        <v>0</v>
      </c>
      <c r="AL610" s="1020">
        <v>0</v>
      </c>
      <c r="AM610" s="1013">
        <f t="shared" si="144"/>
        <v>1539779</v>
      </c>
      <c r="AN610" s="1045">
        <f t="shared" si="141"/>
        <v>9528968</v>
      </c>
      <c r="AO610" s="1013">
        <v>622755</v>
      </c>
      <c r="AP610" s="1013">
        <v>44100</v>
      </c>
      <c r="AQ610" s="1013">
        <v>0</v>
      </c>
      <c r="AR610" s="1013">
        <v>0</v>
      </c>
      <c r="AS610" s="1013">
        <v>0</v>
      </c>
      <c r="AT610" s="1045">
        <f t="shared" si="135"/>
        <v>8862113</v>
      </c>
      <c r="AU610" s="1004"/>
      <c r="AV610" s="870"/>
      <c r="AW610" s="782" t="s">
        <v>4483</v>
      </c>
      <c r="AX610" s="782" t="s">
        <v>4484</v>
      </c>
      <c r="AY610" s="1007" t="s">
        <v>288</v>
      </c>
      <c r="AZ610" s="1007">
        <v>622</v>
      </c>
      <c r="BA610" s="347" t="str">
        <f t="shared" si="142"/>
        <v>Bag</v>
      </c>
      <c r="BB610" s="1008"/>
      <c r="BC610" s="1009"/>
      <c r="BD610" s="1009"/>
    </row>
    <row r="611" spans="1:56" s="1010" customFormat="1" ht="36.75" customHeight="1">
      <c r="A611" s="661">
        <f>SUBTOTAL(3,B$6:B611)</f>
        <v>606</v>
      </c>
      <c r="B611" s="661" t="s">
        <v>2006</v>
      </c>
      <c r="C611" s="662" t="s">
        <v>2007</v>
      </c>
      <c r="D611" s="1011">
        <v>42583</v>
      </c>
      <c r="E611" s="1011" t="s">
        <v>218</v>
      </c>
      <c r="F611" s="787" t="s">
        <v>521</v>
      </c>
      <c r="G611" s="996" t="s">
        <v>1232</v>
      </c>
      <c r="H611" s="1012">
        <v>5931000</v>
      </c>
      <c r="I611" s="1012">
        <v>200000</v>
      </c>
      <c r="J611" s="1012">
        <v>0</v>
      </c>
      <c r="K611" s="1012">
        <v>0</v>
      </c>
      <c r="L611" s="1013">
        <f t="shared" si="143"/>
        <v>6131000</v>
      </c>
      <c r="M611" s="1014">
        <v>24</v>
      </c>
      <c r="N611" s="1013">
        <f t="shared" si="137"/>
        <v>5659385</v>
      </c>
      <c r="O611" s="1015">
        <v>2</v>
      </c>
      <c r="P611" s="1013">
        <f t="shared" si="138"/>
        <v>471615</v>
      </c>
      <c r="Q611" s="1016">
        <v>0</v>
      </c>
      <c r="R611" s="1013">
        <f t="shared" si="139"/>
        <v>0</v>
      </c>
      <c r="S611" s="1013">
        <f t="shared" si="140"/>
        <v>6131000</v>
      </c>
      <c r="T611" s="1017">
        <v>0</v>
      </c>
      <c r="U611" s="785">
        <v>0</v>
      </c>
      <c r="V611" s="785">
        <v>200000</v>
      </c>
      <c r="W611" s="1017">
        <v>500000</v>
      </c>
      <c r="X611" s="1017">
        <v>200000</v>
      </c>
      <c r="Y611" s="1017">
        <v>400000</v>
      </c>
      <c r="Z611" s="1017">
        <v>878155</v>
      </c>
      <c r="AA611" s="1018"/>
      <c r="AB611" s="1013"/>
      <c r="AC611" s="1017">
        <v>0</v>
      </c>
      <c r="AD611" s="1017">
        <v>0</v>
      </c>
      <c r="AE611" s="1013">
        <v>0</v>
      </c>
      <c r="AF611" s="1019"/>
      <c r="AG611" s="1019">
        <f t="shared" si="145"/>
        <v>8309155</v>
      </c>
      <c r="AH611" s="1014">
        <v>36</v>
      </c>
      <c r="AI611" s="1014">
        <v>0</v>
      </c>
      <c r="AJ611" s="1014">
        <v>0</v>
      </c>
      <c r="AK611" s="1018">
        <v>0</v>
      </c>
      <c r="AL611" s="1020">
        <v>0</v>
      </c>
      <c r="AM611" s="1013">
        <f t="shared" si="144"/>
        <v>1591702</v>
      </c>
      <c r="AN611" s="1045">
        <f t="shared" si="141"/>
        <v>9900857</v>
      </c>
      <c r="AO611" s="1013">
        <v>643755</v>
      </c>
      <c r="AP611" s="1013">
        <v>44100</v>
      </c>
      <c r="AQ611" s="1013">
        <v>0</v>
      </c>
      <c r="AR611" s="1013">
        <v>0</v>
      </c>
      <c r="AS611" s="1013">
        <v>0</v>
      </c>
      <c r="AT611" s="1045">
        <f t="shared" si="135"/>
        <v>9213002</v>
      </c>
      <c r="AU611" s="1004"/>
      <c r="AV611" s="870"/>
      <c r="AW611" s="782" t="s">
        <v>4485</v>
      </c>
      <c r="AX611" s="782" t="s">
        <v>4486</v>
      </c>
      <c r="AY611" s="1007" t="s">
        <v>288</v>
      </c>
      <c r="AZ611" s="1007">
        <v>622</v>
      </c>
      <c r="BA611" s="347" t="str">
        <f t="shared" si="142"/>
        <v>Bag</v>
      </c>
      <c r="BB611" s="1008"/>
      <c r="BC611" s="1009"/>
      <c r="BD611" s="1009"/>
    </row>
    <row r="612" spans="1:56" s="1010" customFormat="1" ht="36.75" customHeight="1">
      <c r="A612" s="661">
        <f>SUBTOTAL(3,B$6:B612)</f>
        <v>607</v>
      </c>
      <c r="B612" s="661" t="s">
        <v>2008</v>
      </c>
      <c r="C612" s="662" t="s">
        <v>2009</v>
      </c>
      <c r="D612" s="1011">
        <v>43659</v>
      </c>
      <c r="E612" s="1011" t="s">
        <v>218</v>
      </c>
      <c r="F612" s="787" t="s">
        <v>522</v>
      </c>
      <c r="G612" s="996" t="s">
        <v>1081</v>
      </c>
      <c r="H612" s="1012">
        <v>5931000</v>
      </c>
      <c r="I612" s="1012">
        <v>700000</v>
      </c>
      <c r="J612" s="1012">
        <v>0</v>
      </c>
      <c r="K612" s="1012">
        <v>0</v>
      </c>
      <c r="L612" s="1013">
        <f t="shared" si="143"/>
        <v>6631000</v>
      </c>
      <c r="M612" s="1014">
        <v>23.8</v>
      </c>
      <c r="N612" s="1013">
        <f t="shared" si="137"/>
        <v>6069915</v>
      </c>
      <c r="O612" s="1015">
        <v>2</v>
      </c>
      <c r="P612" s="1013">
        <f t="shared" si="138"/>
        <v>510077</v>
      </c>
      <c r="Q612" s="1016">
        <v>0</v>
      </c>
      <c r="R612" s="1013">
        <f t="shared" si="139"/>
        <v>0</v>
      </c>
      <c r="S612" s="1013">
        <f t="shared" si="140"/>
        <v>6579992</v>
      </c>
      <c r="T612" s="1017">
        <v>0</v>
      </c>
      <c r="U612" s="785">
        <v>0</v>
      </c>
      <c r="V612" s="785">
        <v>200000</v>
      </c>
      <c r="W612" s="1017">
        <v>500000</v>
      </c>
      <c r="X612" s="1017">
        <v>0</v>
      </c>
      <c r="Y612" s="1017">
        <v>400000</v>
      </c>
      <c r="Z612" s="1017">
        <v>494117</v>
      </c>
      <c r="AA612" s="1018"/>
      <c r="AB612" s="1013"/>
      <c r="AC612" s="1017">
        <v>0</v>
      </c>
      <c r="AD612" s="1017">
        <v>0</v>
      </c>
      <c r="AE612" s="1013">
        <v>47819.708508403361</v>
      </c>
      <c r="AF612" s="1019"/>
      <c r="AG612" s="1019">
        <f t="shared" si="145"/>
        <v>8221929</v>
      </c>
      <c r="AH612" s="1014">
        <v>38</v>
      </c>
      <c r="AI612" s="1014">
        <v>0</v>
      </c>
      <c r="AJ612" s="1014">
        <v>0</v>
      </c>
      <c r="AK612" s="1018">
        <v>0</v>
      </c>
      <c r="AL612" s="1020">
        <v>0</v>
      </c>
      <c r="AM612" s="1013">
        <f t="shared" si="144"/>
        <v>1817149</v>
      </c>
      <c r="AN612" s="1045">
        <f t="shared" si="141"/>
        <v>10039078</v>
      </c>
      <c r="AO612" s="1013">
        <v>696255</v>
      </c>
      <c r="AP612" s="1013">
        <v>44100</v>
      </c>
      <c r="AQ612" s="1013">
        <v>0</v>
      </c>
      <c r="AR612" s="1013">
        <v>0</v>
      </c>
      <c r="AS612" s="1013">
        <v>0</v>
      </c>
      <c r="AT612" s="1045">
        <f t="shared" si="135"/>
        <v>9298723</v>
      </c>
      <c r="AU612" s="1004"/>
      <c r="AV612" s="870"/>
      <c r="AW612" s="782" t="s">
        <v>4487</v>
      </c>
      <c r="AX612" s="782" t="s">
        <v>4488</v>
      </c>
      <c r="AY612" s="1007" t="s">
        <v>288</v>
      </c>
      <c r="AZ612" s="1007">
        <v>622</v>
      </c>
      <c r="BA612" s="347" t="str">
        <f t="shared" si="142"/>
        <v>Bag</v>
      </c>
      <c r="BB612" s="1008"/>
      <c r="BC612" s="1009"/>
      <c r="BD612" s="1009"/>
    </row>
    <row r="613" spans="1:56" s="1010" customFormat="1" ht="36.75" customHeight="1">
      <c r="A613" s="661">
        <f>SUBTOTAL(3,B$6:B613)</f>
        <v>608</v>
      </c>
      <c r="B613" s="661" t="s">
        <v>2010</v>
      </c>
      <c r="C613" s="662" t="s">
        <v>2011</v>
      </c>
      <c r="D613" s="1011">
        <v>43684</v>
      </c>
      <c r="E613" s="1011" t="s">
        <v>218</v>
      </c>
      <c r="F613" s="787" t="s">
        <v>522</v>
      </c>
      <c r="G613" s="996" t="s">
        <v>1081</v>
      </c>
      <c r="H613" s="1012">
        <v>5931000</v>
      </c>
      <c r="I613" s="1012">
        <v>700000</v>
      </c>
      <c r="J613" s="1012">
        <v>0</v>
      </c>
      <c r="K613" s="1012">
        <v>0</v>
      </c>
      <c r="L613" s="1013">
        <f t="shared" si="143"/>
        <v>6631000</v>
      </c>
      <c r="M613" s="1014">
        <v>23.8</v>
      </c>
      <c r="N613" s="1013">
        <f t="shared" si="137"/>
        <v>6069915</v>
      </c>
      <c r="O613" s="1015">
        <v>2</v>
      </c>
      <c r="P613" s="1013">
        <f t="shared" si="138"/>
        <v>510077</v>
      </c>
      <c r="Q613" s="1016">
        <v>0</v>
      </c>
      <c r="R613" s="1013">
        <f t="shared" si="139"/>
        <v>0</v>
      </c>
      <c r="S613" s="1013">
        <f t="shared" si="140"/>
        <v>6579992</v>
      </c>
      <c r="T613" s="1017">
        <v>0</v>
      </c>
      <c r="U613" s="785">
        <v>0</v>
      </c>
      <c r="V613" s="785">
        <v>200000</v>
      </c>
      <c r="W613" s="1017">
        <v>500000</v>
      </c>
      <c r="X613" s="1017">
        <v>0</v>
      </c>
      <c r="Y613" s="1017">
        <v>400000</v>
      </c>
      <c r="Z613" s="1017">
        <v>404786</v>
      </c>
      <c r="AA613" s="1018"/>
      <c r="AB613" s="1013"/>
      <c r="AC613" s="1017">
        <v>0</v>
      </c>
      <c r="AD613" s="1017">
        <v>0</v>
      </c>
      <c r="AE613" s="1013">
        <v>47819.708508403361</v>
      </c>
      <c r="AF613" s="1019"/>
      <c r="AG613" s="1019">
        <f t="shared" si="145"/>
        <v>8132598</v>
      </c>
      <c r="AH613" s="1014">
        <v>27</v>
      </c>
      <c r="AI613" s="1014">
        <v>0</v>
      </c>
      <c r="AJ613" s="1014">
        <v>0</v>
      </c>
      <c r="AK613" s="1018">
        <v>0</v>
      </c>
      <c r="AL613" s="1020">
        <v>0</v>
      </c>
      <c r="AM613" s="1013">
        <f t="shared" si="144"/>
        <v>1291132</v>
      </c>
      <c r="AN613" s="1045">
        <f t="shared" si="141"/>
        <v>9423730</v>
      </c>
      <c r="AO613" s="1013">
        <v>696255</v>
      </c>
      <c r="AP613" s="1013">
        <v>44100</v>
      </c>
      <c r="AQ613" s="1013">
        <v>0</v>
      </c>
      <c r="AR613" s="1013">
        <v>0</v>
      </c>
      <c r="AS613" s="1013">
        <v>0</v>
      </c>
      <c r="AT613" s="1045">
        <f t="shared" si="135"/>
        <v>8683375</v>
      </c>
      <c r="AU613" s="1004"/>
      <c r="AV613" s="870"/>
      <c r="AW613" s="782" t="s">
        <v>4489</v>
      </c>
      <c r="AX613" s="782" t="s">
        <v>4490</v>
      </c>
      <c r="AY613" s="1007" t="s">
        <v>288</v>
      </c>
      <c r="AZ613" s="1007">
        <v>622</v>
      </c>
      <c r="BA613" s="347" t="str">
        <f t="shared" si="142"/>
        <v>Bag</v>
      </c>
      <c r="BB613" s="1008"/>
      <c r="BC613" s="1009"/>
      <c r="BD613" s="1009"/>
    </row>
    <row r="614" spans="1:56" s="1010" customFormat="1" ht="36.75" customHeight="1">
      <c r="A614" s="661">
        <f>SUBTOTAL(3,B$6:B614)</f>
        <v>609</v>
      </c>
      <c r="B614" s="661" t="s">
        <v>2012</v>
      </c>
      <c r="C614" s="662" t="s">
        <v>2013</v>
      </c>
      <c r="D614" s="1011">
        <v>44272</v>
      </c>
      <c r="E614" s="1011" t="s">
        <v>218</v>
      </c>
      <c r="F614" s="787" t="s">
        <v>522</v>
      </c>
      <c r="G614" s="996" t="s">
        <v>1081</v>
      </c>
      <c r="H614" s="1012">
        <v>5931000</v>
      </c>
      <c r="I614" s="1012">
        <v>700000</v>
      </c>
      <c r="J614" s="1012">
        <v>0</v>
      </c>
      <c r="K614" s="1012">
        <v>0</v>
      </c>
      <c r="L614" s="1013">
        <f t="shared" si="143"/>
        <v>6631000</v>
      </c>
      <c r="M614" s="1014">
        <v>23.6</v>
      </c>
      <c r="N614" s="1013">
        <f t="shared" si="137"/>
        <v>6018908</v>
      </c>
      <c r="O614" s="1015">
        <v>2</v>
      </c>
      <c r="P614" s="1013">
        <f t="shared" si="138"/>
        <v>510077</v>
      </c>
      <c r="Q614" s="1016">
        <v>0</v>
      </c>
      <c r="R614" s="1013">
        <f t="shared" si="139"/>
        <v>0</v>
      </c>
      <c r="S614" s="1013">
        <f t="shared" si="140"/>
        <v>6528985</v>
      </c>
      <c r="T614" s="1017">
        <v>0</v>
      </c>
      <c r="U614" s="785">
        <v>0</v>
      </c>
      <c r="V614" s="785">
        <v>200000</v>
      </c>
      <c r="W614" s="1017">
        <v>500000</v>
      </c>
      <c r="X614" s="1017">
        <v>0</v>
      </c>
      <c r="Y614" s="1017">
        <v>400000</v>
      </c>
      <c r="Z614" s="1017">
        <v>444309</v>
      </c>
      <c r="AA614" s="1018"/>
      <c r="AB614" s="1013"/>
      <c r="AC614" s="1017">
        <v>0</v>
      </c>
      <c r="AD614" s="1017">
        <v>0</v>
      </c>
      <c r="AE614" s="1013">
        <v>47819.713983050846</v>
      </c>
      <c r="AF614" s="1019"/>
      <c r="AG614" s="1019">
        <f t="shared" si="145"/>
        <v>8121114</v>
      </c>
      <c r="AH614" s="1014">
        <v>27</v>
      </c>
      <c r="AI614" s="1014">
        <v>0</v>
      </c>
      <c r="AJ614" s="1014">
        <v>0</v>
      </c>
      <c r="AK614" s="1018">
        <v>0</v>
      </c>
      <c r="AL614" s="1020">
        <v>0</v>
      </c>
      <c r="AM614" s="1013">
        <f t="shared" si="144"/>
        <v>1291132</v>
      </c>
      <c r="AN614" s="1045">
        <f t="shared" si="141"/>
        <v>9412246</v>
      </c>
      <c r="AO614" s="1013">
        <v>696255</v>
      </c>
      <c r="AP614" s="1013">
        <v>44100</v>
      </c>
      <c r="AQ614" s="1013">
        <v>0</v>
      </c>
      <c r="AR614" s="1013">
        <v>0</v>
      </c>
      <c r="AS614" s="1013">
        <v>0</v>
      </c>
      <c r="AT614" s="1045">
        <f t="shared" si="135"/>
        <v>8671891</v>
      </c>
      <c r="AU614" s="1004"/>
      <c r="AV614" s="870"/>
      <c r="AW614" s="782" t="s">
        <v>4491</v>
      </c>
      <c r="AX614" s="782" t="s">
        <v>4492</v>
      </c>
      <c r="AY614" s="1007" t="s">
        <v>288</v>
      </c>
      <c r="AZ614" s="1007">
        <v>622</v>
      </c>
      <c r="BA614" s="347" t="str">
        <f t="shared" si="142"/>
        <v>Bag</v>
      </c>
      <c r="BB614" s="1008"/>
      <c r="BC614" s="1009"/>
      <c r="BD614" s="1009"/>
    </row>
    <row r="615" spans="1:56" s="1010" customFormat="1" ht="36.75" customHeight="1">
      <c r="A615" s="661">
        <f>SUBTOTAL(3,B$6:B615)</f>
        <v>610</v>
      </c>
      <c r="B615" s="661" t="s">
        <v>5765</v>
      </c>
      <c r="C615" s="662" t="s">
        <v>5766</v>
      </c>
      <c r="D615" s="1011">
        <v>44298</v>
      </c>
      <c r="E615" s="1011" t="s">
        <v>218</v>
      </c>
      <c r="F615" s="787" t="s">
        <v>522</v>
      </c>
      <c r="G615" s="996" t="s">
        <v>1081</v>
      </c>
      <c r="H615" s="1012">
        <v>5931000</v>
      </c>
      <c r="I615" s="1012">
        <v>700000</v>
      </c>
      <c r="J615" s="1012">
        <v>0</v>
      </c>
      <c r="K615" s="1012">
        <v>0</v>
      </c>
      <c r="L615" s="1013">
        <f t="shared" si="143"/>
        <v>6631000</v>
      </c>
      <c r="M615" s="1014">
        <v>14</v>
      </c>
      <c r="N615" s="1013">
        <f t="shared" si="137"/>
        <v>3570538</v>
      </c>
      <c r="O615" s="1015">
        <v>1</v>
      </c>
      <c r="P615" s="1013">
        <f t="shared" si="138"/>
        <v>255038</v>
      </c>
      <c r="Q615" s="1016">
        <v>0</v>
      </c>
      <c r="R615" s="1013">
        <f t="shared" si="139"/>
        <v>0</v>
      </c>
      <c r="S615" s="1013">
        <f t="shared" si="140"/>
        <v>3825576</v>
      </c>
      <c r="T615" s="1017">
        <v>0</v>
      </c>
      <c r="U615" s="785">
        <v>0</v>
      </c>
      <c r="V615" s="785">
        <v>200000</v>
      </c>
      <c r="W615" s="1017">
        <v>0</v>
      </c>
      <c r="X615" s="1017">
        <v>0</v>
      </c>
      <c r="Y615" s="1017">
        <v>0</v>
      </c>
      <c r="Z615" s="1017">
        <v>299419</v>
      </c>
      <c r="AA615" s="1018"/>
      <c r="AB615" s="1013"/>
      <c r="AC615" s="1017">
        <v>100000</v>
      </c>
      <c r="AD615" s="1017">
        <v>0</v>
      </c>
      <c r="AE615" s="1013">
        <v>47819.705357142855</v>
      </c>
      <c r="AF615" s="1019"/>
      <c r="AG615" s="1019">
        <f t="shared" si="145"/>
        <v>4472815</v>
      </c>
      <c r="AH615" s="1014">
        <v>0</v>
      </c>
      <c r="AI615" s="1014">
        <v>0</v>
      </c>
      <c r="AJ615" s="1014">
        <v>0</v>
      </c>
      <c r="AK615" s="1018">
        <v>0</v>
      </c>
      <c r="AL615" s="1020">
        <v>0</v>
      </c>
      <c r="AM615" s="1013">
        <f t="shared" si="144"/>
        <v>0</v>
      </c>
      <c r="AN615" s="1045">
        <f t="shared" si="141"/>
        <v>4472815</v>
      </c>
      <c r="AO615" s="1013">
        <v>696255</v>
      </c>
      <c r="AP615" s="1013">
        <v>44100</v>
      </c>
      <c r="AQ615" s="1013">
        <v>0</v>
      </c>
      <c r="AR615" s="1013">
        <v>65000</v>
      </c>
      <c r="AS615" s="1013">
        <v>0</v>
      </c>
      <c r="AT615" s="1045">
        <f t="shared" si="135"/>
        <v>3667460</v>
      </c>
      <c r="AU615" s="1004"/>
      <c r="AV615" s="870"/>
      <c r="AW615" s="782" t="s">
        <v>5869</v>
      </c>
      <c r="AX615" s="782" t="s">
        <v>5870</v>
      </c>
      <c r="AY615" s="1007" t="s">
        <v>288</v>
      </c>
      <c r="AZ615" s="1007">
        <v>622</v>
      </c>
      <c r="BA615" s="347" t="str">
        <f t="shared" si="142"/>
        <v>Bag</v>
      </c>
      <c r="BB615" s="1008"/>
      <c r="BC615" s="1009"/>
      <c r="BD615" s="1009"/>
    </row>
    <row r="616" spans="1:56" s="1010" customFormat="1" ht="36.75" customHeight="1">
      <c r="A616" s="661">
        <f>SUBTOTAL(3,B$6:B616)</f>
        <v>611</v>
      </c>
      <c r="B616" s="661" t="s">
        <v>2014</v>
      </c>
      <c r="C616" s="662" t="s">
        <v>2015</v>
      </c>
      <c r="D616" s="1011">
        <v>44665</v>
      </c>
      <c r="E616" s="1011" t="s">
        <v>218</v>
      </c>
      <c r="F616" s="787" t="s">
        <v>522</v>
      </c>
      <c r="G616" s="996" t="s">
        <v>1081</v>
      </c>
      <c r="H616" s="1012">
        <v>5931000</v>
      </c>
      <c r="I616" s="1012">
        <v>700000</v>
      </c>
      <c r="J616" s="1012">
        <v>0</v>
      </c>
      <c r="K616" s="1012">
        <v>0</v>
      </c>
      <c r="L616" s="1013">
        <f t="shared" si="143"/>
        <v>6631000</v>
      </c>
      <c r="M616" s="1014">
        <v>23.6</v>
      </c>
      <c r="N616" s="1013">
        <f t="shared" si="137"/>
        <v>6018908</v>
      </c>
      <c r="O616" s="1015">
        <v>2</v>
      </c>
      <c r="P616" s="1013">
        <f t="shared" si="138"/>
        <v>510077</v>
      </c>
      <c r="Q616" s="1016">
        <v>0</v>
      </c>
      <c r="R616" s="1013">
        <f t="shared" si="139"/>
        <v>0</v>
      </c>
      <c r="S616" s="1013">
        <f t="shared" si="140"/>
        <v>6528985</v>
      </c>
      <c r="T616" s="1017">
        <v>0</v>
      </c>
      <c r="U616" s="785">
        <v>0</v>
      </c>
      <c r="V616" s="785">
        <v>200000</v>
      </c>
      <c r="W616" s="1017">
        <v>500000</v>
      </c>
      <c r="X616" s="1017">
        <v>0</v>
      </c>
      <c r="Y616" s="1017">
        <v>400000</v>
      </c>
      <c r="Z616" s="1017">
        <v>446448</v>
      </c>
      <c r="AA616" s="1018"/>
      <c r="AB616" s="1013"/>
      <c r="AC616" s="1017">
        <v>0</v>
      </c>
      <c r="AD616" s="1017">
        <v>0</v>
      </c>
      <c r="AE616" s="1013">
        <v>47819.713983050846</v>
      </c>
      <c r="AF616" s="1019"/>
      <c r="AG616" s="1019">
        <f t="shared" si="145"/>
        <v>8123253</v>
      </c>
      <c r="AH616" s="1014">
        <v>38</v>
      </c>
      <c r="AI616" s="1014">
        <v>0</v>
      </c>
      <c r="AJ616" s="1014">
        <v>0</v>
      </c>
      <c r="AK616" s="1018">
        <v>0</v>
      </c>
      <c r="AL616" s="1020">
        <v>0</v>
      </c>
      <c r="AM616" s="1013">
        <f t="shared" si="144"/>
        <v>1817149</v>
      </c>
      <c r="AN616" s="1045">
        <f t="shared" si="141"/>
        <v>9940402</v>
      </c>
      <c r="AO616" s="1013">
        <v>696255</v>
      </c>
      <c r="AP616" s="1013">
        <v>44100</v>
      </c>
      <c r="AQ616" s="1013">
        <v>0</v>
      </c>
      <c r="AR616" s="1013">
        <v>0</v>
      </c>
      <c r="AS616" s="1013">
        <v>0</v>
      </c>
      <c r="AT616" s="1045">
        <f t="shared" si="135"/>
        <v>9200047</v>
      </c>
      <c r="AU616" s="1004"/>
      <c r="AV616" s="870"/>
      <c r="AW616" s="782" t="s">
        <v>4493</v>
      </c>
      <c r="AX616" s="782" t="s">
        <v>4494</v>
      </c>
      <c r="AY616" s="1007" t="s">
        <v>288</v>
      </c>
      <c r="AZ616" s="1007">
        <v>622</v>
      </c>
      <c r="BA616" s="347" t="str">
        <f t="shared" si="142"/>
        <v>Bag</v>
      </c>
      <c r="BB616" s="1008"/>
      <c r="BC616" s="1009"/>
      <c r="BD616" s="1009"/>
    </row>
    <row r="617" spans="1:56" s="1010" customFormat="1" ht="36.75" customHeight="1">
      <c r="A617" s="661">
        <f>SUBTOTAL(3,B$6:B617)</f>
        <v>612</v>
      </c>
      <c r="B617" s="661" t="s">
        <v>2016</v>
      </c>
      <c r="C617" s="662" t="s">
        <v>2017</v>
      </c>
      <c r="D617" s="1011">
        <v>44714</v>
      </c>
      <c r="E617" s="1011" t="s">
        <v>218</v>
      </c>
      <c r="F617" s="787" t="s">
        <v>522</v>
      </c>
      <c r="G617" s="996" t="s">
        <v>1081</v>
      </c>
      <c r="H617" s="1012">
        <v>5815000</v>
      </c>
      <c r="I617" s="1012">
        <v>700000</v>
      </c>
      <c r="J617" s="1012">
        <v>0</v>
      </c>
      <c r="K617" s="1012">
        <v>0</v>
      </c>
      <c r="L617" s="1013">
        <f t="shared" si="143"/>
        <v>6515000</v>
      </c>
      <c r="M617" s="1014">
        <v>8</v>
      </c>
      <c r="N617" s="1013">
        <f t="shared" si="137"/>
        <v>2004615</v>
      </c>
      <c r="O617" s="1015">
        <v>1</v>
      </c>
      <c r="P617" s="1013">
        <f t="shared" si="138"/>
        <v>250577</v>
      </c>
      <c r="Q617" s="1016">
        <v>0</v>
      </c>
      <c r="R617" s="1013">
        <f t="shared" si="139"/>
        <v>0</v>
      </c>
      <c r="S617" s="1013">
        <f t="shared" si="140"/>
        <v>2255192</v>
      </c>
      <c r="T617" s="1017">
        <v>0</v>
      </c>
      <c r="U617" s="785">
        <v>0</v>
      </c>
      <c r="V617" s="785">
        <v>0</v>
      </c>
      <c r="W617" s="1017">
        <v>0</v>
      </c>
      <c r="X617" s="1017">
        <v>0</v>
      </c>
      <c r="Y617" s="1017">
        <v>0</v>
      </c>
      <c r="Z617" s="1017">
        <v>0</v>
      </c>
      <c r="AA617" s="1018"/>
      <c r="AB617" s="1013"/>
      <c r="AC617" s="1017">
        <v>0</v>
      </c>
      <c r="AD617" s="1017">
        <v>0</v>
      </c>
      <c r="AE617" s="1013">
        <v>0</v>
      </c>
      <c r="AF617" s="1019"/>
      <c r="AG617" s="1019">
        <f t="shared" si="145"/>
        <v>2255192</v>
      </c>
      <c r="AH617" s="1014">
        <v>0</v>
      </c>
      <c r="AI617" s="1014">
        <v>0</v>
      </c>
      <c r="AJ617" s="1014">
        <v>0</v>
      </c>
      <c r="AK617" s="1018">
        <v>0</v>
      </c>
      <c r="AL617" s="1020">
        <v>0</v>
      </c>
      <c r="AM617" s="1013">
        <f t="shared" si="144"/>
        <v>0</v>
      </c>
      <c r="AN617" s="1045">
        <f t="shared" si="141"/>
        <v>2255192</v>
      </c>
      <c r="AO617" s="1013">
        <v>0</v>
      </c>
      <c r="AP617" s="1013">
        <v>44100</v>
      </c>
      <c r="AQ617" s="1013">
        <v>0</v>
      </c>
      <c r="AR617" s="1013">
        <v>0</v>
      </c>
      <c r="AS617" s="1013">
        <v>0</v>
      </c>
      <c r="AT617" s="1045">
        <f t="shared" si="135"/>
        <v>2211092</v>
      </c>
      <c r="AU617" s="1004"/>
      <c r="AV617" s="870"/>
      <c r="AW617" s="782" t="s">
        <v>4495</v>
      </c>
      <c r="AX617" s="782" t="s">
        <v>4496</v>
      </c>
      <c r="AY617" s="1007" t="s">
        <v>288</v>
      </c>
      <c r="AZ617" s="1007">
        <v>622</v>
      </c>
      <c r="BA617" s="347" t="str">
        <f t="shared" si="142"/>
        <v>Bag</v>
      </c>
      <c r="BB617" s="1008"/>
      <c r="BC617" s="1009"/>
      <c r="BD617" s="1009"/>
    </row>
    <row r="618" spans="1:56" s="1010" customFormat="1" ht="36.75" customHeight="1">
      <c r="A618" s="661">
        <f>SUBTOTAL(3,B$6:B618)</f>
        <v>613</v>
      </c>
      <c r="B618" s="661" t="s">
        <v>2018</v>
      </c>
      <c r="C618" s="662" t="s">
        <v>2019</v>
      </c>
      <c r="D618" s="1011">
        <v>45444</v>
      </c>
      <c r="E618" s="1011" t="s">
        <v>218</v>
      </c>
      <c r="F618" s="787" t="s">
        <v>522</v>
      </c>
      <c r="G618" s="996" t="s">
        <v>1081</v>
      </c>
      <c r="H618" s="1012">
        <v>5274000</v>
      </c>
      <c r="I618" s="1012">
        <v>300000</v>
      </c>
      <c r="J618" s="1012">
        <v>0</v>
      </c>
      <c r="K618" s="1012">
        <v>0</v>
      </c>
      <c r="L618" s="1013">
        <f t="shared" si="143"/>
        <v>5574000</v>
      </c>
      <c r="M618" s="1014">
        <v>22</v>
      </c>
      <c r="N618" s="1013">
        <f t="shared" si="137"/>
        <v>4716462</v>
      </c>
      <c r="O618" s="1015">
        <v>2</v>
      </c>
      <c r="P618" s="1013">
        <f t="shared" si="138"/>
        <v>428769</v>
      </c>
      <c r="Q618" s="1016">
        <v>0</v>
      </c>
      <c r="R618" s="1013">
        <f t="shared" si="139"/>
        <v>0</v>
      </c>
      <c r="S618" s="1013">
        <f t="shared" si="140"/>
        <v>5145231</v>
      </c>
      <c r="T618" s="1017">
        <v>0</v>
      </c>
      <c r="U618" s="785">
        <v>0</v>
      </c>
      <c r="V618" s="785">
        <v>200000</v>
      </c>
      <c r="W618" s="1017">
        <v>500000</v>
      </c>
      <c r="X618" s="1017">
        <v>0</v>
      </c>
      <c r="Y618" s="1017">
        <v>300000</v>
      </c>
      <c r="Z618" s="1017">
        <v>450959</v>
      </c>
      <c r="AA618" s="1018"/>
      <c r="AB618" s="1013"/>
      <c r="AC618" s="1017">
        <v>0</v>
      </c>
      <c r="AD618" s="1017">
        <v>0</v>
      </c>
      <c r="AE618" s="1013">
        <v>40197.119318181816</v>
      </c>
      <c r="AF618" s="1019"/>
      <c r="AG618" s="1019">
        <f t="shared" si="145"/>
        <v>6636387</v>
      </c>
      <c r="AH618" s="1014">
        <v>19</v>
      </c>
      <c r="AI618" s="1014">
        <v>0</v>
      </c>
      <c r="AJ618" s="1014">
        <v>0</v>
      </c>
      <c r="AK618" s="1018">
        <v>0</v>
      </c>
      <c r="AL618" s="1020">
        <v>0</v>
      </c>
      <c r="AM618" s="1013">
        <f t="shared" si="144"/>
        <v>763745</v>
      </c>
      <c r="AN618" s="1045">
        <f t="shared" si="141"/>
        <v>7400132</v>
      </c>
      <c r="AO618" s="1013">
        <v>585270</v>
      </c>
      <c r="AP618" s="1013">
        <v>44100</v>
      </c>
      <c r="AQ618" s="1013">
        <v>0</v>
      </c>
      <c r="AR618" s="1013">
        <v>0</v>
      </c>
      <c r="AS618" s="1013">
        <v>0</v>
      </c>
      <c r="AT618" s="1045">
        <f t="shared" si="135"/>
        <v>6770762</v>
      </c>
      <c r="AU618" s="1004"/>
      <c r="AV618" s="870"/>
      <c r="AW618" s="782" t="s">
        <v>4497</v>
      </c>
      <c r="AX618" s="782" t="s">
        <v>4498</v>
      </c>
      <c r="AY618" s="1007" t="s">
        <v>288</v>
      </c>
      <c r="AZ618" s="1007">
        <v>622</v>
      </c>
      <c r="BA618" s="347" t="str">
        <f t="shared" si="142"/>
        <v>Bag</v>
      </c>
      <c r="BB618" s="1008"/>
      <c r="BC618" s="1009"/>
      <c r="BD618" s="1009"/>
    </row>
    <row r="619" spans="1:56" s="1010" customFormat="1" ht="36.75" customHeight="1">
      <c r="A619" s="661">
        <f>SUBTOTAL(3,B$6:B619)</f>
        <v>614</v>
      </c>
      <c r="B619" s="661" t="s">
        <v>2020</v>
      </c>
      <c r="C619" s="662" t="s">
        <v>2021</v>
      </c>
      <c r="D619" s="1011">
        <v>45710</v>
      </c>
      <c r="E619" s="1011" t="s">
        <v>218</v>
      </c>
      <c r="F619" s="787" t="s">
        <v>522</v>
      </c>
      <c r="G619" s="996" t="s">
        <v>1081</v>
      </c>
      <c r="H619" s="1012">
        <v>5023000</v>
      </c>
      <c r="I619" s="1012">
        <v>300000</v>
      </c>
      <c r="J619" s="1012">
        <v>0</v>
      </c>
      <c r="K619" s="1012">
        <v>0</v>
      </c>
      <c r="L619" s="1013">
        <f t="shared" si="143"/>
        <v>5323000</v>
      </c>
      <c r="M619" s="1014">
        <v>24</v>
      </c>
      <c r="N619" s="1013">
        <f t="shared" si="137"/>
        <v>4913538</v>
      </c>
      <c r="O619" s="1015">
        <v>2</v>
      </c>
      <c r="P619" s="1013">
        <f t="shared" si="138"/>
        <v>409462</v>
      </c>
      <c r="Q619" s="1016">
        <v>0</v>
      </c>
      <c r="R619" s="1013">
        <f t="shared" si="139"/>
        <v>0</v>
      </c>
      <c r="S619" s="1013">
        <f t="shared" si="140"/>
        <v>5323000</v>
      </c>
      <c r="T619" s="1017">
        <v>0</v>
      </c>
      <c r="U619" s="785">
        <v>0</v>
      </c>
      <c r="V619" s="785">
        <v>200000</v>
      </c>
      <c r="W619" s="1017">
        <v>500000</v>
      </c>
      <c r="X619" s="1017">
        <v>0</v>
      </c>
      <c r="Y619" s="1017">
        <v>400000</v>
      </c>
      <c r="Z619" s="1017">
        <v>545844</v>
      </c>
      <c r="AA619" s="1018"/>
      <c r="AB619" s="1013"/>
      <c r="AC619" s="1017">
        <v>0</v>
      </c>
      <c r="AD619" s="1017">
        <v>0</v>
      </c>
      <c r="AE619" s="1013">
        <v>38387.015625</v>
      </c>
      <c r="AF619" s="1019"/>
      <c r="AG619" s="1019">
        <f t="shared" si="145"/>
        <v>7007231</v>
      </c>
      <c r="AH619" s="1014">
        <v>38</v>
      </c>
      <c r="AI619" s="1014">
        <v>0</v>
      </c>
      <c r="AJ619" s="1014">
        <v>0</v>
      </c>
      <c r="AK619" s="1018">
        <v>0</v>
      </c>
      <c r="AL619" s="1020">
        <v>0</v>
      </c>
      <c r="AM619" s="1013">
        <f t="shared" si="144"/>
        <v>1458707</v>
      </c>
      <c r="AN619" s="1045">
        <f t="shared" si="141"/>
        <v>8465938</v>
      </c>
      <c r="AO619" s="1013">
        <v>558915</v>
      </c>
      <c r="AP619" s="1013">
        <v>44100</v>
      </c>
      <c r="AQ619" s="1013">
        <v>0</v>
      </c>
      <c r="AR619" s="1013">
        <v>0</v>
      </c>
      <c r="AS619" s="1013">
        <v>0</v>
      </c>
      <c r="AT619" s="1045">
        <f t="shared" si="135"/>
        <v>7862923</v>
      </c>
      <c r="AU619" s="1004"/>
      <c r="AV619" s="870"/>
      <c r="AW619" s="782" t="s">
        <v>4499</v>
      </c>
      <c r="AX619" s="782" t="s">
        <v>4500</v>
      </c>
      <c r="AY619" s="1007" t="s">
        <v>288</v>
      </c>
      <c r="AZ619" s="1007">
        <v>622</v>
      </c>
      <c r="BA619" s="347" t="str">
        <f t="shared" si="142"/>
        <v>Bag</v>
      </c>
      <c r="BB619" s="1008"/>
      <c r="BC619" s="1009"/>
      <c r="BD619" s="1009"/>
    </row>
    <row r="620" spans="1:56" s="1010" customFormat="1" ht="36.75" customHeight="1">
      <c r="A620" s="661">
        <f>SUBTOTAL(3,B$6:B620)</f>
        <v>615</v>
      </c>
      <c r="B620" s="661" t="s">
        <v>5767</v>
      </c>
      <c r="C620" s="662" t="s">
        <v>5768</v>
      </c>
      <c r="D620" s="1011">
        <v>45762</v>
      </c>
      <c r="E620" s="1011" t="s">
        <v>218</v>
      </c>
      <c r="F620" s="787" t="s">
        <v>522</v>
      </c>
      <c r="G620" s="996" t="s">
        <v>554</v>
      </c>
      <c r="H620" s="1012">
        <v>4694000</v>
      </c>
      <c r="I620" s="1012">
        <v>0</v>
      </c>
      <c r="J620" s="1012">
        <v>0</v>
      </c>
      <c r="K620" s="1012">
        <v>0</v>
      </c>
      <c r="L620" s="1013">
        <f t="shared" si="143"/>
        <v>4694000</v>
      </c>
      <c r="M620" s="1014">
        <v>13</v>
      </c>
      <c r="N620" s="1013">
        <f t="shared" si="137"/>
        <v>2347000</v>
      </c>
      <c r="O620" s="1015">
        <v>1</v>
      </c>
      <c r="P620" s="1013">
        <f t="shared" si="138"/>
        <v>180538</v>
      </c>
      <c r="Q620" s="1016">
        <v>0</v>
      </c>
      <c r="R620" s="1013">
        <f t="shared" si="139"/>
        <v>0</v>
      </c>
      <c r="S620" s="1013">
        <f t="shared" si="140"/>
        <v>2527538</v>
      </c>
      <c r="T620" s="1017">
        <v>0</v>
      </c>
      <c r="U620" s="785">
        <v>0</v>
      </c>
      <c r="V620" s="785">
        <v>108000</v>
      </c>
      <c r="W620" s="1017">
        <v>269000</v>
      </c>
      <c r="X620" s="1017">
        <v>0</v>
      </c>
      <c r="Y620" s="1017">
        <v>81000</v>
      </c>
      <c r="Z620" s="1017">
        <v>354797</v>
      </c>
      <c r="AA620" s="1018"/>
      <c r="AB620" s="1013"/>
      <c r="AC620" s="1017">
        <v>0</v>
      </c>
      <c r="AD620" s="1017">
        <v>0</v>
      </c>
      <c r="AE620" s="1013">
        <v>33850.961538461539</v>
      </c>
      <c r="AF620" s="1019"/>
      <c r="AG620" s="1019">
        <f t="shared" si="145"/>
        <v>3374186</v>
      </c>
      <c r="AH620" s="1014">
        <v>12</v>
      </c>
      <c r="AI620" s="1014">
        <v>0</v>
      </c>
      <c r="AJ620" s="1014">
        <v>0</v>
      </c>
      <c r="AK620" s="1018">
        <v>0</v>
      </c>
      <c r="AL620" s="1020">
        <v>0</v>
      </c>
      <c r="AM620" s="1013">
        <f t="shared" si="144"/>
        <v>406212</v>
      </c>
      <c r="AN620" s="1045">
        <f t="shared" si="141"/>
        <v>3780398</v>
      </c>
      <c r="AO620" s="1013">
        <v>0</v>
      </c>
      <c r="AP620" s="1013">
        <v>0</v>
      </c>
      <c r="AQ620" s="1013">
        <v>0</v>
      </c>
      <c r="AR620" s="1013">
        <v>0</v>
      </c>
      <c r="AS620" s="1013">
        <v>0</v>
      </c>
      <c r="AT620" s="1045">
        <f t="shared" si="135"/>
        <v>3780398</v>
      </c>
      <c r="AU620" s="1004"/>
      <c r="AV620" s="870"/>
      <c r="AW620" s="782"/>
      <c r="AX620" s="782" t="s">
        <v>3644</v>
      </c>
      <c r="AY620" s="1007" t="s">
        <v>288</v>
      </c>
      <c r="AZ620" s="1007">
        <v>622</v>
      </c>
      <c r="BA620" s="347" t="str">
        <f t="shared" si="142"/>
        <v>Bag</v>
      </c>
      <c r="BB620" s="1008"/>
      <c r="BC620" s="1009"/>
      <c r="BD620" s="1009"/>
    </row>
    <row r="621" spans="1:56" s="1010" customFormat="1" ht="36.75" customHeight="1">
      <c r="A621" s="661">
        <f>SUBTOTAL(3,B$6:B621)</f>
        <v>616</v>
      </c>
      <c r="B621" s="661" t="s">
        <v>2022</v>
      </c>
      <c r="C621" s="662" t="s">
        <v>2023</v>
      </c>
      <c r="D621" s="1011">
        <v>40672</v>
      </c>
      <c r="E621" s="1011" t="s">
        <v>218</v>
      </c>
      <c r="F621" s="787" t="s">
        <v>522</v>
      </c>
      <c r="G621" s="996" t="s">
        <v>2024</v>
      </c>
      <c r="H621" s="1012">
        <v>5931000</v>
      </c>
      <c r="I621" s="1012">
        <v>2600000</v>
      </c>
      <c r="J621" s="1012">
        <v>0</v>
      </c>
      <c r="K621" s="1012">
        <v>500000</v>
      </c>
      <c r="L621" s="1013">
        <f t="shared" si="143"/>
        <v>9031000</v>
      </c>
      <c r="M621" s="1014">
        <v>24</v>
      </c>
      <c r="N621" s="1013">
        <f t="shared" si="137"/>
        <v>8336308</v>
      </c>
      <c r="O621" s="1015">
        <v>2</v>
      </c>
      <c r="P621" s="1013">
        <f t="shared" si="138"/>
        <v>694692</v>
      </c>
      <c r="Q621" s="1016">
        <v>0</v>
      </c>
      <c r="R621" s="1013">
        <f t="shared" si="139"/>
        <v>0</v>
      </c>
      <c r="S621" s="1013">
        <f t="shared" si="140"/>
        <v>9031000</v>
      </c>
      <c r="T621" s="1017">
        <v>0</v>
      </c>
      <c r="U621" s="785">
        <v>0</v>
      </c>
      <c r="V621" s="785">
        <v>200000</v>
      </c>
      <c r="W621" s="1017">
        <v>500000</v>
      </c>
      <c r="X621" s="1017">
        <v>0</v>
      </c>
      <c r="Y621" s="1017">
        <v>400000</v>
      </c>
      <c r="Z621" s="1017">
        <v>546757</v>
      </c>
      <c r="AA621" s="1018"/>
      <c r="AB621" s="1013"/>
      <c r="AC621" s="1017">
        <v>0</v>
      </c>
      <c r="AD621" s="1017">
        <v>0</v>
      </c>
      <c r="AE621" s="1013">
        <v>65127.40625</v>
      </c>
      <c r="AF621" s="1019"/>
      <c r="AG621" s="1019">
        <f t="shared" si="145"/>
        <v>10742884</v>
      </c>
      <c r="AH621" s="1014">
        <v>38</v>
      </c>
      <c r="AI621" s="1014">
        <v>0</v>
      </c>
      <c r="AJ621" s="1014">
        <v>0</v>
      </c>
      <c r="AK621" s="1018">
        <v>0</v>
      </c>
      <c r="AL621" s="1020">
        <v>0</v>
      </c>
      <c r="AM621" s="1013">
        <f t="shared" si="144"/>
        <v>2474841</v>
      </c>
      <c r="AN621" s="1045">
        <f t="shared" si="141"/>
        <v>13217725</v>
      </c>
      <c r="AO621" s="1013">
        <v>948255</v>
      </c>
      <c r="AP621" s="1013">
        <v>44100</v>
      </c>
      <c r="AQ621" s="1013">
        <v>0</v>
      </c>
      <c r="AR621" s="1013">
        <v>0</v>
      </c>
      <c r="AS621" s="1013">
        <v>0</v>
      </c>
      <c r="AT621" s="1045">
        <f t="shared" ref="AT621:AT684" si="146">+ROUND(SUM(AN621:AN621)-SUM(AO621:AS621),0)</f>
        <v>12225370</v>
      </c>
      <c r="AU621" s="1004"/>
      <c r="AV621" s="870"/>
      <c r="AW621" s="782" t="s">
        <v>4501</v>
      </c>
      <c r="AX621" s="782" t="s">
        <v>4502</v>
      </c>
      <c r="AY621" s="1007" t="s">
        <v>288</v>
      </c>
      <c r="AZ621" s="1007">
        <v>622</v>
      </c>
      <c r="BA621" s="347" t="str">
        <f t="shared" si="142"/>
        <v>Bag</v>
      </c>
      <c r="BB621" s="1008"/>
      <c r="BC621" s="1009"/>
      <c r="BD621" s="1009"/>
    </row>
    <row r="622" spans="1:56" s="1010" customFormat="1" ht="36.75" customHeight="1">
      <c r="A622" s="661">
        <f>SUBTOTAL(3,B$6:B622)</f>
        <v>617</v>
      </c>
      <c r="B622" s="661" t="s">
        <v>2025</v>
      </c>
      <c r="C622" s="662" t="s">
        <v>2026</v>
      </c>
      <c r="D622" s="1011">
        <v>42621</v>
      </c>
      <c r="E622" s="1011" t="s">
        <v>218</v>
      </c>
      <c r="F622" s="787" t="s">
        <v>522</v>
      </c>
      <c r="G622" s="996" t="s">
        <v>1081</v>
      </c>
      <c r="H622" s="1012">
        <v>5931000</v>
      </c>
      <c r="I622" s="1012">
        <v>700000</v>
      </c>
      <c r="J622" s="1012">
        <v>0</v>
      </c>
      <c r="K622" s="1012">
        <v>0</v>
      </c>
      <c r="L622" s="1013">
        <f t="shared" si="143"/>
        <v>6631000</v>
      </c>
      <c r="M622" s="1014">
        <v>24</v>
      </c>
      <c r="N622" s="1013">
        <f t="shared" si="137"/>
        <v>6120923</v>
      </c>
      <c r="O622" s="1015">
        <v>2</v>
      </c>
      <c r="P622" s="1013">
        <f t="shared" si="138"/>
        <v>510077</v>
      </c>
      <c r="Q622" s="1016">
        <v>0</v>
      </c>
      <c r="R622" s="1013">
        <f t="shared" si="139"/>
        <v>0</v>
      </c>
      <c r="S622" s="1013">
        <f t="shared" si="140"/>
        <v>6631000</v>
      </c>
      <c r="T622" s="1017">
        <v>0</v>
      </c>
      <c r="U622" s="785">
        <v>0</v>
      </c>
      <c r="V622" s="785">
        <v>200000</v>
      </c>
      <c r="W622" s="1017">
        <v>500000</v>
      </c>
      <c r="X622" s="1017">
        <v>0</v>
      </c>
      <c r="Y622" s="1017">
        <v>400000</v>
      </c>
      <c r="Z622" s="1017">
        <v>564550</v>
      </c>
      <c r="AA622" s="1018"/>
      <c r="AB622" s="1013"/>
      <c r="AC622" s="1017">
        <v>0</v>
      </c>
      <c r="AD622" s="1017">
        <v>0</v>
      </c>
      <c r="AE622" s="1013">
        <v>47819.7109375</v>
      </c>
      <c r="AF622" s="1019"/>
      <c r="AG622" s="1019">
        <f t="shared" si="145"/>
        <v>8343370</v>
      </c>
      <c r="AH622" s="1014">
        <v>23</v>
      </c>
      <c r="AI622" s="1014">
        <v>0</v>
      </c>
      <c r="AJ622" s="1014">
        <v>0</v>
      </c>
      <c r="AK622" s="1018">
        <v>0</v>
      </c>
      <c r="AL622" s="1020">
        <v>0</v>
      </c>
      <c r="AM622" s="1013">
        <f t="shared" si="144"/>
        <v>1099853</v>
      </c>
      <c r="AN622" s="1045">
        <f t="shared" si="141"/>
        <v>9443223</v>
      </c>
      <c r="AO622" s="1013">
        <v>696255</v>
      </c>
      <c r="AP622" s="1013">
        <v>44100</v>
      </c>
      <c r="AQ622" s="1013">
        <v>0</v>
      </c>
      <c r="AR622" s="1013">
        <v>0</v>
      </c>
      <c r="AS622" s="1013">
        <v>0</v>
      </c>
      <c r="AT622" s="1045">
        <f t="shared" si="146"/>
        <v>8702868</v>
      </c>
      <c r="AU622" s="1004"/>
      <c r="AV622" s="870"/>
      <c r="AW622" s="782" t="s">
        <v>4503</v>
      </c>
      <c r="AX622" s="782" t="s">
        <v>4504</v>
      </c>
      <c r="AY622" s="1007" t="s">
        <v>288</v>
      </c>
      <c r="AZ622" s="1007">
        <v>622</v>
      </c>
      <c r="BA622" s="347" t="str">
        <f t="shared" si="142"/>
        <v>Bag</v>
      </c>
      <c r="BB622" s="1008"/>
      <c r="BC622" s="1009"/>
      <c r="BD622" s="1009"/>
    </row>
    <row r="623" spans="1:56" s="1010" customFormat="1" ht="36.75" customHeight="1">
      <c r="A623" s="661">
        <f>SUBTOTAL(3,B$6:B623)</f>
        <v>618</v>
      </c>
      <c r="B623" s="661" t="s">
        <v>2027</v>
      </c>
      <c r="C623" s="662" t="s">
        <v>2028</v>
      </c>
      <c r="D623" s="1011">
        <v>43200</v>
      </c>
      <c r="E623" s="1011" t="s">
        <v>218</v>
      </c>
      <c r="F623" s="787" t="s">
        <v>522</v>
      </c>
      <c r="G623" s="996" t="s">
        <v>1081</v>
      </c>
      <c r="H623" s="1012">
        <v>5931000</v>
      </c>
      <c r="I623" s="1012">
        <v>700000</v>
      </c>
      <c r="J623" s="1012">
        <v>0</v>
      </c>
      <c r="K623" s="1012">
        <v>0</v>
      </c>
      <c r="L623" s="1013">
        <f t="shared" si="143"/>
        <v>6631000</v>
      </c>
      <c r="M623" s="1014">
        <v>24</v>
      </c>
      <c r="N623" s="1013">
        <f t="shared" si="137"/>
        <v>6120923</v>
      </c>
      <c r="O623" s="1015">
        <v>2</v>
      </c>
      <c r="P623" s="1013">
        <f t="shared" si="138"/>
        <v>510077</v>
      </c>
      <c r="Q623" s="1016">
        <v>0</v>
      </c>
      <c r="R623" s="1013">
        <f t="shared" si="139"/>
        <v>0</v>
      </c>
      <c r="S623" s="1013">
        <f t="shared" si="140"/>
        <v>6631000</v>
      </c>
      <c r="T623" s="1017">
        <v>0</v>
      </c>
      <c r="U623" s="785">
        <v>0</v>
      </c>
      <c r="V623" s="785">
        <v>200000</v>
      </c>
      <c r="W623" s="1017">
        <v>500000</v>
      </c>
      <c r="X623" s="1017">
        <v>0</v>
      </c>
      <c r="Y623" s="1017">
        <v>400000</v>
      </c>
      <c r="Z623" s="1017">
        <v>445046</v>
      </c>
      <c r="AA623" s="1018"/>
      <c r="AB623" s="1013"/>
      <c r="AC623" s="1017">
        <v>0</v>
      </c>
      <c r="AD623" s="1017">
        <v>0</v>
      </c>
      <c r="AE623" s="1013">
        <v>47819.7109375</v>
      </c>
      <c r="AF623" s="1019"/>
      <c r="AG623" s="1019">
        <f t="shared" si="145"/>
        <v>8223866</v>
      </c>
      <c r="AH623" s="1014">
        <v>23</v>
      </c>
      <c r="AI623" s="1014">
        <v>0</v>
      </c>
      <c r="AJ623" s="1014">
        <v>0</v>
      </c>
      <c r="AK623" s="1018">
        <v>0</v>
      </c>
      <c r="AL623" s="1020">
        <v>0</v>
      </c>
      <c r="AM623" s="1013">
        <f t="shared" si="144"/>
        <v>1099853</v>
      </c>
      <c r="AN623" s="1045">
        <f t="shared" si="141"/>
        <v>9323719</v>
      </c>
      <c r="AO623" s="1013">
        <v>696255</v>
      </c>
      <c r="AP623" s="1013">
        <v>44100</v>
      </c>
      <c r="AQ623" s="1013">
        <v>0</v>
      </c>
      <c r="AR623" s="1013">
        <v>0</v>
      </c>
      <c r="AS623" s="1013">
        <v>0</v>
      </c>
      <c r="AT623" s="1045">
        <f t="shared" si="146"/>
        <v>8583364</v>
      </c>
      <c r="AU623" s="1004"/>
      <c r="AV623" s="870"/>
      <c r="AW623" s="782" t="s">
        <v>4505</v>
      </c>
      <c r="AX623" s="782" t="s">
        <v>4506</v>
      </c>
      <c r="AY623" s="1007" t="s">
        <v>288</v>
      </c>
      <c r="AZ623" s="1007">
        <v>622</v>
      </c>
      <c r="BA623" s="347" t="str">
        <f t="shared" si="142"/>
        <v>Bag</v>
      </c>
      <c r="BB623" s="1008"/>
      <c r="BC623" s="1009"/>
      <c r="BD623" s="1009"/>
    </row>
    <row r="624" spans="1:56" s="1010" customFormat="1" ht="36.75" customHeight="1">
      <c r="A624" s="661">
        <f>SUBTOTAL(3,B$6:B624)</f>
        <v>619</v>
      </c>
      <c r="B624" s="661" t="s">
        <v>2029</v>
      </c>
      <c r="C624" s="662" t="s">
        <v>2030</v>
      </c>
      <c r="D624" s="1011">
        <v>43517</v>
      </c>
      <c r="E624" s="1011" t="s">
        <v>218</v>
      </c>
      <c r="F624" s="787" t="s">
        <v>522</v>
      </c>
      <c r="G624" s="996" t="s">
        <v>1081</v>
      </c>
      <c r="H624" s="1012">
        <v>5931000</v>
      </c>
      <c r="I624" s="1012">
        <v>700000</v>
      </c>
      <c r="J624" s="1012">
        <v>0</v>
      </c>
      <c r="K624" s="1012">
        <v>0</v>
      </c>
      <c r="L624" s="1013">
        <f t="shared" si="143"/>
        <v>6631000</v>
      </c>
      <c r="M624" s="1014">
        <v>22.8</v>
      </c>
      <c r="N624" s="1013">
        <f t="shared" si="137"/>
        <v>5814877</v>
      </c>
      <c r="O624" s="1015">
        <v>3</v>
      </c>
      <c r="P624" s="1013">
        <f t="shared" si="138"/>
        <v>765115</v>
      </c>
      <c r="Q624" s="1016">
        <v>0</v>
      </c>
      <c r="R624" s="1013">
        <f t="shared" si="139"/>
        <v>0</v>
      </c>
      <c r="S624" s="1013">
        <f t="shared" si="140"/>
        <v>6579992</v>
      </c>
      <c r="T624" s="1017">
        <v>0</v>
      </c>
      <c r="U624" s="785">
        <v>0</v>
      </c>
      <c r="V624" s="785">
        <v>200000</v>
      </c>
      <c r="W624" s="1017">
        <v>500000</v>
      </c>
      <c r="X624" s="1017">
        <v>0</v>
      </c>
      <c r="Y624" s="1017">
        <v>400000</v>
      </c>
      <c r="Z624" s="1017">
        <v>819745</v>
      </c>
      <c r="AA624" s="1018"/>
      <c r="AB624" s="1013"/>
      <c r="AC624" s="1017">
        <v>200000</v>
      </c>
      <c r="AD624" s="1017">
        <v>0</v>
      </c>
      <c r="AE624" s="1013">
        <v>47819.712171052633</v>
      </c>
      <c r="AF624" s="1019"/>
      <c r="AG624" s="1019">
        <f t="shared" si="145"/>
        <v>8747557</v>
      </c>
      <c r="AH624" s="1014">
        <v>38</v>
      </c>
      <c r="AI624" s="1014">
        <v>0</v>
      </c>
      <c r="AJ624" s="1014">
        <v>0</v>
      </c>
      <c r="AK624" s="1018">
        <v>0</v>
      </c>
      <c r="AL624" s="1020">
        <v>0</v>
      </c>
      <c r="AM624" s="1013">
        <f t="shared" si="144"/>
        <v>1817149</v>
      </c>
      <c r="AN624" s="1045">
        <f t="shared" si="141"/>
        <v>10564706</v>
      </c>
      <c r="AO624" s="1013">
        <v>696255</v>
      </c>
      <c r="AP624" s="1013">
        <v>44100</v>
      </c>
      <c r="AQ624" s="1013">
        <v>0</v>
      </c>
      <c r="AR624" s="1013">
        <v>0</v>
      </c>
      <c r="AS624" s="1013">
        <v>0</v>
      </c>
      <c r="AT624" s="1045">
        <f t="shared" si="146"/>
        <v>9824351</v>
      </c>
      <c r="AU624" s="1004"/>
      <c r="AV624" s="870"/>
      <c r="AW624" s="782" t="s">
        <v>4507</v>
      </c>
      <c r="AX624" s="782" t="s">
        <v>4508</v>
      </c>
      <c r="AY624" s="1007" t="s">
        <v>288</v>
      </c>
      <c r="AZ624" s="1007">
        <v>622</v>
      </c>
      <c r="BA624" s="347" t="str">
        <f t="shared" si="142"/>
        <v>Bag</v>
      </c>
      <c r="BB624" s="1008"/>
      <c r="BC624" s="1009"/>
      <c r="BD624" s="1009"/>
    </row>
    <row r="625" spans="1:56" s="1010" customFormat="1" ht="36.75" customHeight="1">
      <c r="A625" s="661">
        <f>SUBTOTAL(3,B$6:B625)</f>
        <v>620</v>
      </c>
      <c r="B625" s="661" t="s">
        <v>2031</v>
      </c>
      <c r="C625" s="662" t="s">
        <v>2032</v>
      </c>
      <c r="D625" s="1011">
        <v>43543</v>
      </c>
      <c r="E625" s="1011" t="s">
        <v>218</v>
      </c>
      <c r="F625" s="787" t="s">
        <v>522</v>
      </c>
      <c r="G625" s="996" t="s">
        <v>1081</v>
      </c>
      <c r="H625" s="1012">
        <v>5931000</v>
      </c>
      <c r="I625" s="1012">
        <v>700000</v>
      </c>
      <c r="J625" s="1012">
        <v>0</v>
      </c>
      <c r="K625" s="1012">
        <v>0</v>
      </c>
      <c r="L625" s="1013">
        <f t="shared" si="143"/>
        <v>6631000</v>
      </c>
      <c r="M625" s="1014">
        <v>24</v>
      </c>
      <c r="N625" s="1013">
        <f t="shared" si="137"/>
        <v>6120923</v>
      </c>
      <c r="O625" s="1015">
        <v>2</v>
      </c>
      <c r="P625" s="1013">
        <f t="shared" si="138"/>
        <v>510077</v>
      </c>
      <c r="Q625" s="1016">
        <v>0</v>
      </c>
      <c r="R625" s="1013">
        <f t="shared" si="139"/>
        <v>0</v>
      </c>
      <c r="S625" s="1013">
        <f t="shared" si="140"/>
        <v>6631000</v>
      </c>
      <c r="T625" s="1017">
        <v>0</v>
      </c>
      <c r="U625" s="785">
        <v>0</v>
      </c>
      <c r="V625" s="785">
        <v>200000</v>
      </c>
      <c r="W625" s="1017">
        <v>500000</v>
      </c>
      <c r="X625" s="1017">
        <v>0</v>
      </c>
      <c r="Y625" s="1017">
        <v>400000</v>
      </c>
      <c r="Z625" s="1017">
        <v>681546</v>
      </c>
      <c r="AA625" s="1018"/>
      <c r="AB625" s="1013"/>
      <c r="AC625" s="1017">
        <v>0</v>
      </c>
      <c r="AD625" s="1017">
        <v>0</v>
      </c>
      <c r="AE625" s="1013">
        <v>47819.7109375</v>
      </c>
      <c r="AF625" s="1019"/>
      <c r="AG625" s="1019">
        <f t="shared" si="145"/>
        <v>8460366</v>
      </c>
      <c r="AH625" s="1014">
        <v>38</v>
      </c>
      <c r="AI625" s="1014">
        <v>0</v>
      </c>
      <c r="AJ625" s="1014">
        <v>0</v>
      </c>
      <c r="AK625" s="1018">
        <v>0</v>
      </c>
      <c r="AL625" s="1020">
        <v>0</v>
      </c>
      <c r="AM625" s="1013">
        <f t="shared" si="144"/>
        <v>1817149</v>
      </c>
      <c r="AN625" s="1045">
        <f t="shared" si="141"/>
        <v>10277515</v>
      </c>
      <c r="AO625" s="1013">
        <v>696255</v>
      </c>
      <c r="AP625" s="1013">
        <v>44100</v>
      </c>
      <c r="AQ625" s="1013">
        <v>0</v>
      </c>
      <c r="AR625" s="1013">
        <v>0</v>
      </c>
      <c r="AS625" s="1013">
        <v>0</v>
      </c>
      <c r="AT625" s="1045">
        <f t="shared" si="146"/>
        <v>9537160</v>
      </c>
      <c r="AU625" s="1004"/>
      <c r="AV625" s="870"/>
      <c r="AW625" s="782" t="s">
        <v>4509</v>
      </c>
      <c r="AX625" s="782" t="s">
        <v>4510</v>
      </c>
      <c r="AY625" s="1007" t="s">
        <v>288</v>
      </c>
      <c r="AZ625" s="1007">
        <v>622</v>
      </c>
      <c r="BA625" s="347" t="str">
        <f t="shared" si="142"/>
        <v>Bag</v>
      </c>
      <c r="BB625" s="1008"/>
      <c r="BC625" s="1009"/>
      <c r="BD625" s="1009"/>
    </row>
    <row r="626" spans="1:56" s="1010" customFormat="1" ht="36.75" customHeight="1">
      <c r="A626" s="661">
        <f>SUBTOTAL(3,B$6:B626)</f>
        <v>621</v>
      </c>
      <c r="B626" s="661" t="s">
        <v>2033</v>
      </c>
      <c r="C626" s="662" t="s">
        <v>2034</v>
      </c>
      <c r="D626" s="1011">
        <v>45367</v>
      </c>
      <c r="E626" s="1011" t="s">
        <v>218</v>
      </c>
      <c r="F626" s="787" t="s">
        <v>523</v>
      </c>
      <c r="G626" s="996" t="s">
        <v>1172</v>
      </c>
      <c r="H626" s="1012">
        <v>5538000</v>
      </c>
      <c r="I626" s="1012">
        <v>200000</v>
      </c>
      <c r="J626" s="1012">
        <v>0</v>
      </c>
      <c r="K626" s="1012">
        <v>0</v>
      </c>
      <c r="L626" s="1013">
        <f t="shared" si="143"/>
        <v>5738000</v>
      </c>
      <c r="M626" s="1014">
        <v>22.5</v>
      </c>
      <c r="N626" s="1013">
        <f t="shared" si="137"/>
        <v>4965577</v>
      </c>
      <c r="O626" s="1015">
        <v>3</v>
      </c>
      <c r="P626" s="1013">
        <f t="shared" si="138"/>
        <v>662077</v>
      </c>
      <c r="Q626" s="1016">
        <v>0</v>
      </c>
      <c r="R626" s="1013">
        <f t="shared" si="139"/>
        <v>0</v>
      </c>
      <c r="S626" s="1013">
        <f t="shared" si="140"/>
        <v>5627654</v>
      </c>
      <c r="T626" s="1017">
        <v>0</v>
      </c>
      <c r="U626" s="785">
        <v>0</v>
      </c>
      <c r="V626" s="785">
        <v>200000</v>
      </c>
      <c r="W626" s="1017">
        <v>500000</v>
      </c>
      <c r="X626" s="1017">
        <v>0</v>
      </c>
      <c r="Y626" s="1017">
        <v>400000</v>
      </c>
      <c r="Z626" s="1017">
        <v>552371</v>
      </c>
      <c r="AA626" s="1018"/>
      <c r="AB626" s="1013"/>
      <c r="AC626" s="1017">
        <v>0</v>
      </c>
      <c r="AD626" s="1017">
        <v>0</v>
      </c>
      <c r="AE626" s="1013">
        <v>0</v>
      </c>
      <c r="AF626" s="1019"/>
      <c r="AG626" s="1019">
        <f t="shared" si="145"/>
        <v>7280025</v>
      </c>
      <c r="AH626" s="1014">
        <v>34</v>
      </c>
      <c r="AI626" s="1014">
        <v>0</v>
      </c>
      <c r="AJ626" s="1014">
        <v>0</v>
      </c>
      <c r="AK626" s="1018">
        <v>0</v>
      </c>
      <c r="AL626" s="1020">
        <v>0</v>
      </c>
      <c r="AM626" s="1013">
        <f t="shared" si="144"/>
        <v>1406913</v>
      </c>
      <c r="AN626" s="1045">
        <f t="shared" si="141"/>
        <v>8686938</v>
      </c>
      <c r="AO626" s="1013">
        <v>602490</v>
      </c>
      <c r="AP626" s="1013">
        <v>44100</v>
      </c>
      <c r="AQ626" s="1013">
        <v>0</v>
      </c>
      <c r="AR626" s="1013">
        <v>0</v>
      </c>
      <c r="AS626" s="1013">
        <v>0</v>
      </c>
      <c r="AT626" s="1045">
        <f t="shared" si="146"/>
        <v>8040348</v>
      </c>
      <c r="AU626" s="1004"/>
      <c r="AV626" s="870"/>
      <c r="AW626" s="782" t="s">
        <v>4511</v>
      </c>
      <c r="AX626" s="782" t="s">
        <v>4512</v>
      </c>
      <c r="AY626" s="1007" t="s">
        <v>288</v>
      </c>
      <c r="AZ626" s="1007">
        <v>622</v>
      </c>
      <c r="BA626" s="347" t="str">
        <f t="shared" si="142"/>
        <v>Bag</v>
      </c>
      <c r="BB626" s="1008"/>
      <c r="BC626" s="1009"/>
      <c r="BD626" s="1009"/>
    </row>
    <row r="627" spans="1:56" s="1010" customFormat="1" ht="36.75" customHeight="1">
      <c r="A627" s="661">
        <f>SUBTOTAL(3,B$6:B627)</f>
        <v>622</v>
      </c>
      <c r="B627" s="661" t="s">
        <v>2035</v>
      </c>
      <c r="C627" s="662" t="s">
        <v>2036</v>
      </c>
      <c r="D627" s="1011">
        <v>40420</v>
      </c>
      <c r="E627" s="1011" t="s">
        <v>218</v>
      </c>
      <c r="F627" s="787" t="s">
        <v>523</v>
      </c>
      <c r="G627" s="996" t="s">
        <v>2037</v>
      </c>
      <c r="H627" s="1012">
        <v>5931000</v>
      </c>
      <c r="I627" s="1012">
        <v>2300000</v>
      </c>
      <c r="J627" s="1012">
        <v>0</v>
      </c>
      <c r="K627" s="1012">
        <v>500000</v>
      </c>
      <c r="L627" s="1013">
        <f t="shared" si="143"/>
        <v>8731000</v>
      </c>
      <c r="M627" s="1014">
        <v>23.8</v>
      </c>
      <c r="N627" s="1013">
        <f t="shared" si="137"/>
        <v>7992223</v>
      </c>
      <c r="O627" s="1015">
        <v>2</v>
      </c>
      <c r="P627" s="1013">
        <f t="shared" si="138"/>
        <v>671615</v>
      </c>
      <c r="Q627" s="1016">
        <v>0</v>
      </c>
      <c r="R627" s="1013">
        <f t="shared" si="139"/>
        <v>0</v>
      </c>
      <c r="S627" s="1013">
        <f t="shared" si="140"/>
        <v>8663838</v>
      </c>
      <c r="T627" s="1017">
        <v>0</v>
      </c>
      <c r="U627" s="785">
        <v>0</v>
      </c>
      <c r="V627" s="785">
        <v>200000</v>
      </c>
      <c r="W627" s="1017">
        <v>500000</v>
      </c>
      <c r="X627" s="1017">
        <v>0</v>
      </c>
      <c r="Y627" s="1017">
        <v>400000</v>
      </c>
      <c r="Z627" s="1017">
        <v>542201</v>
      </c>
      <c r="AA627" s="1018"/>
      <c r="AB627" s="1013"/>
      <c r="AC627" s="1017">
        <v>0</v>
      </c>
      <c r="AD627" s="1017">
        <v>0</v>
      </c>
      <c r="AE627" s="1013">
        <v>0</v>
      </c>
      <c r="AF627" s="1019"/>
      <c r="AG627" s="1019">
        <f t="shared" si="145"/>
        <v>10306039</v>
      </c>
      <c r="AH627" s="1014">
        <v>28</v>
      </c>
      <c r="AI627" s="1014">
        <v>0</v>
      </c>
      <c r="AJ627" s="1014">
        <v>0</v>
      </c>
      <c r="AK627" s="1018">
        <v>0</v>
      </c>
      <c r="AL627" s="1020">
        <v>0</v>
      </c>
      <c r="AM627" s="1013">
        <f t="shared" si="144"/>
        <v>1762990</v>
      </c>
      <c r="AN627" s="1045">
        <f t="shared" si="141"/>
        <v>12069029</v>
      </c>
      <c r="AO627" s="1013">
        <v>916755</v>
      </c>
      <c r="AP627" s="1013">
        <v>44100</v>
      </c>
      <c r="AQ627" s="1013">
        <v>0</v>
      </c>
      <c r="AR627" s="1013">
        <v>0</v>
      </c>
      <c r="AS627" s="1013">
        <v>0</v>
      </c>
      <c r="AT627" s="1045">
        <f t="shared" si="146"/>
        <v>11108174</v>
      </c>
      <c r="AU627" s="1004"/>
      <c r="AV627" s="870"/>
      <c r="AW627" s="782" t="s">
        <v>4513</v>
      </c>
      <c r="AX627" s="782" t="s">
        <v>4514</v>
      </c>
      <c r="AY627" s="1007" t="s">
        <v>288</v>
      </c>
      <c r="AZ627" s="1007">
        <v>622</v>
      </c>
      <c r="BA627" s="347" t="str">
        <f t="shared" si="142"/>
        <v>Bag</v>
      </c>
      <c r="BB627" s="1008"/>
      <c r="BC627" s="1009"/>
      <c r="BD627" s="1009"/>
    </row>
    <row r="628" spans="1:56" s="1010" customFormat="1" ht="36.75" customHeight="1">
      <c r="A628" s="661">
        <f>SUBTOTAL(3,B$6:B628)</f>
        <v>623</v>
      </c>
      <c r="B628" s="661" t="s">
        <v>2038</v>
      </c>
      <c r="C628" s="662" t="s">
        <v>2039</v>
      </c>
      <c r="D628" s="1011">
        <v>43167</v>
      </c>
      <c r="E628" s="1011" t="s">
        <v>218</v>
      </c>
      <c r="F628" s="787" t="s">
        <v>523</v>
      </c>
      <c r="G628" s="996" t="s">
        <v>1172</v>
      </c>
      <c r="H628" s="1012">
        <v>5931000</v>
      </c>
      <c r="I628" s="1012">
        <v>600000</v>
      </c>
      <c r="J628" s="1012">
        <v>0</v>
      </c>
      <c r="K628" s="1012">
        <v>0</v>
      </c>
      <c r="L628" s="1013">
        <f t="shared" si="143"/>
        <v>6531000</v>
      </c>
      <c r="M628" s="1014">
        <v>23</v>
      </c>
      <c r="N628" s="1013">
        <f t="shared" si="137"/>
        <v>5777423</v>
      </c>
      <c r="O628" s="1015">
        <v>3</v>
      </c>
      <c r="P628" s="1013">
        <f t="shared" si="138"/>
        <v>753577</v>
      </c>
      <c r="Q628" s="1016">
        <v>0</v>
      </c>
      <c r="R628" s="1013">
        <f t="shared" si="139"/>
        <v>0</v>
      </c>
      <c r="S628" s="1013">
        <f t="shared" si="140"/>
        <v>6531000</v>
      </c>
      <c r="T628" s="1017">
        <v>0</v>
      </c>
      <c r="U628" s="785">
        <v>0</v>
      </c>
      <c r="V628" s="785">
        <v>200000</v>
      </c>
      <c r="W628" s="1017">
        <v>500000</v>
      </c>
      <c r="X628" s="1017">
        <v>0</v>
      </c>
      <c r="Y628" s="1017">
        <v>400000</v>
      </c>
      <c r="Z628" s="1017">
        <v>653148</v>
      </c>
      <c r="AA628" s="1018"/>
      <c r="AB628" s="1013"/>
      <c r="AC628" s="1017">
        <v>0</v>
      </c>
      <c r="AD628" s="1017">
        <v>0</v>
      </c>
      <c r="AE628" s="1013">
        <v>0</v>
      </c>
      <c r="AF628" s="1019"/>
      <c r="AG628" s="1019">
        <f t="shared" si="145"/>
        <v>8284148</v>
      </c>
      <c r="AH628" s="1014">
        <v>34</v>
      </c>
      <c r="AI628" s="1014">
        <v>0</v>
      </c>
      <c r="AJ628" s="1014">
        <v>0</v>
      </c>
      <c r="AK628" s="1018">
        <v>0</v>
      </c>
      <c r="AL628" s="1020">
        <v>0</v>
      </c>
      <c r="AM628" s="1013">
        <f t="shared" si="144"/>
        <v>1601351</v>
      </c>
      <c r="AN628" s="1045">
        <f t="shared" si="141"/>
        <v>9885499</v>
      </c>
      <c r="AO628" s="1013">
        <v>685755</v>
      </c>
      <c r="AP628" s="1013">
        <v>44100</v>
      </c>
      <c r="AQ628" s="1013">
        <v>0</v>
      </c>
      <c r="AR628" s="1013">
        <v>0</v>
      </c>
      <c r="AS628" s="1013">
        <v>0</v>
      </c>
      <c r="AT628" s="1045">
        <f t="shared" si="146"/>
        <v>9155644</v>
      </c>
      <c r="AU628" s="1004"/>
      <c r="AV628" s="870"/>
      <c r="AW628" s="782" t="s">
        <v>4515</v>
      </c>
      <c r="AX628" s="782" t="s">
        <v>4516</v>
      </c>
      <c r="AY628" s="1007" t="s">
        <v>288</v>
      </c>
      <c r="AZ628" s="1007">
        <v>622</v>
      </c>
      <c r="BA628" s="347" t="str">
        <f t="shared" si="142"/>
        <v>Bag</v>
      </c>
      <c r="BB628" s="1008"/>
      <c r="BC628" s="1009"/>
      <c r="BD628" s="1009"/>
    </row>
    <row r="629" spans="1:56" s="1010" customFormat="1" ht="36.75" customHeight="1">
      <c r="A629" s="661">
        <f>SUBTOTAL(3,B$6:B629)</f>
        <v>624</v>
      </c>
      <c r="B629" s="661" t="s">
        <v>2040</v>
      </c>
      <c r="C629" s="662" t="s">
        <v>2041</v>
      </c>
      <c r="D629" s="1011">
        <v>43173</v>
      </c>
      <c r="E629" s="1011" t="s">
        <v>218</v>
      </c>
      <c r="F629" s="787" t="s">
        <v>523</v>
      </c>
      <c r="G629" s="996" t="s">
        <v>1172</v>
      </c>
      <c r="H629" s="1012">
        <v>5931000</v>
      </c>
      <c r="I629" s="1012">
        <v>600000</v>
      </c>
      <c r="J629" s="1012">
        <v>0</v>
      </c>
      <c r="K629" s="1012">
        <v>0</v>
      </c>
      <c r="L629" s="1013">
        <f t="shared" si="143"/>
        <v>6531000</v>
      </c>
      <c r="M629" s="1014">
        <v>24</v>
      </c>
      <c r="N629" s="1013">
        <f t="shared" si="137"/>
        <v>6028615</v>
      </c>
      <c r="O629" s="1015">
        <v>2</v>
      </c>
      <c r="P629" s="1013">
        <f t="shared" si="138"/>
        <v>502385</v>
      </c>
      <c r="Q629" s="1016">
        <v>0</v>
      </c>
      <c r="R629" s="1013">
        <f t="shared" si="139"/>
        <v>0</v>
      </c>
      <c r="S629" s="1013">
        <f t="shared" si="140"/>
        <v>6531000</v>
      </c>
      <c r="T629" s="1017">
        <v>0</v>
      </c>
      <c r="U629" s="785">
        <v>0</v>
      </c>
      <c r="V629" s="785">
        <v>200000</v>
      </c>
      <c r="W629" s="1017">
        <v>500000</v>
      </c>
      <c r="X629" s="1017">
        <v>0</v>
      </c>
      <c r="Y629" s="1017">
        <v>400000</v>
      </c>
      <c r="Z629" s="1017">
        <v>468899</v>
      </c>
      <c r="AA629" s="1018"/>
      <c r="AB629" s="1013"/>
      <c r="AC629" s="1017">
        <v>100000</v>
      </c>
      <c r="AD629" s="1017">
        <v>0</v>
      </c>
      <c r="AE629" s="1013">
        <v>0</v>
      </c>
      <c r="AF629" s="1019"/>
      <c r="AG629" s="1019">
        <f t="shared" si="145"/>
        <v>8199899</v>
      </c>
      <c r="AH629" s="1014">
        <v>21</v>
      </c>
      <c r="AI629" s="1014">
        <v>0</v>
      </c>
      <c r="AJ629" s="1014">
        <v>0</v>
      </c>
      <c r="AK629" s="1018">
        <v>0</v>
      </c>
      <c r="AL629" s="1020">
        <v>0</v>
      </c>
      <c r="AM629" s="1013">
        <f t="shared" si="144"/>
        <v>989070</v>
      </c>
      <c r="AN629" s="1045">
        <f t="shared" si="141"/>
        <v>9188969</v>
      </c>
      <c r="AO629" s="1013">
        <v>685755</v>
      </c>
      <c r="AP629" s="1013">
        <v>44100</v>
      </c>
      <c r="AQ629" s="1013">
        <v>0</v>
      </c>
      <c r="AR629" s="1013">
        <v>0</v>
      </c>
      <c r="AS629" s="1013">
        <v>0</v>
      </c>
      <c r="AT629" s="1045">
        <f t="shared" si="146"/>
        <v>8459114</v>
      </c>
      <c r="AU629" s="1004"/>
      <c r="AV629" s="870"/>
      <c r="AW629" s="782" t="s">
        <v>4517</v>
      </c>
      <c r="AX629" s="782" t="s">
        <v>4518</v>
      </c>
      <c r="AY629" s="1007" t="s">
        <v>288</v>
      </c>
      <c r="AZ629" s="1007">
        <v>622</v>
      </c>
      <c r="BA629" s="347" t="str">
        <f t="shared" si="142"/>
        <v>Bag</v>
      </c>
      <c r="BB629" s="1008"/>
      <c r="BC629" s="1009"/>
      <c r="BD629" s="1009"/>
    </row>
    <row r="630" spans="1:56" s="1010" customFormat="1" ht="36.75" customHeight="1">
      <c r="A630" s="661">
        <f>SUBTOTAL(3,B$6:B630)</f>
        <v>625</v>
      </c>
      <c r="B630" s="661" t="s">
        <v>2042</v>
      </c>
      <c r="C630" s="662" t="s">
        <v>2043</v>
      </c>
      <c r="D630" s="1011">
        <v>43173</v>
      </c>
      <c r="E630" s="1011" t="s">
        <v>218</v>
      </c>
      <c r="F630" s="787" t="s">
        <v>523</v>
      </c>
      <c r="G630" s="996" t="s">
        <v>1172</v>
      </c>
      <c r="H630" s="1012">
        <v>5931000</v>
      </c>
      <c r="I630" s="1012">
        <v>600000</v>
      </c>
      <c r="J630" s="1012">
        <v>0</v>
      </c>
      <c r="K630" s="1012">
        <v>0</v>
      </c>
      <c r="L630" s="1013">
        <f t="shared" si="143"/>
        <v>6531000</v>
      </c>
      <c r="M630" s="1014">
        <v>22.8</v>
      </c>
      <c r="N630" s="1013">
        <f t="shared" si="137"/>
        <v>5727185</v>
      </c>
      <c r="O630" s="1015">
        <v>3</v>
      </c>
      <c r="P630" s="1013">
        <f t="shared" si="138"/>
        <v>753577</v>
      </c>
      <c r="Q630" s="1016">
        <v>0</v>
      </c>
      <c r="R630" s="1013">
        <f t="shared" si="139"/>
        <v>0</v>
      </c>
      <c r="S630" s="1013">
        <f t="shared" si="140"/>
        <v>6480762</v>
      </c>
      <c r="T630" s="1017">
        <v>0</v>
      </c>
      <c r="U630" s="785">
        <v>0</v>
      </c>
      <c r="V630" s="785">
        <v>200000</v>
      </c>
      <c r="W630" s="1017">
        <v>500000</v>
      </c>
      <c r="X630" s="1017">
        <v>0</v>
      </c>
      <c r="Y630" s="1017">
        <v>400000</v>
      </c>
      <c r="Z630" s="1017">
        <v>410802</v>
      </c>
      <c r="AA630" s="1018"/>
      <c r="AB630" s="1013"/>
      <c r="AC630" s="1017">
        <v>100000</v>
      </c>
      <c r="AD630" s="1017">
        <v>0</v>
      </c>
      <c r="AE630" s="1013">
        <v>0</v>
      </c>
      <c r="AF630" s="1019"/>
      <c r="AG630" s="1019">
        <f t="shared" si="145"/>
        <v>8091564</v>
      </c>
      <c r="AH630" s="1014">
        <v>25</v>
      </c>
      <c r="AI630" s="1014">
        <v>0</v>
      </c>
      <c r="AJ630" s="1014">
        <v>0</v>
      </c>
      <c r="AK630" s="1018">
        <v>0</v>
      </c>
      <c r="AL630" s="1020">
        <v>0</v>
      </c>
      <c r="AM630" s="1013">
        <f t="shared" si="144"/>
        <v>1177464</v>
      </c>
      <c r="AN630" s="1045">
        <f t="shared" si="141"/>
        <v>9269028</v>
      </c>
      <c r="AO630" s="1013">
        <v>685755</v>
      </c>
      <c r="AP630" s="1013">
        <v>44100</v>
      </c>
      <c r="AQ630" s="1013">
        <v>0</v>
      </c>
      <c r="AR630" s="1013">
        <v>0</v>
      </c>
      <c r="AS630" s="1013">
        <v>0</v>
      </c>
      <c r="AT630" s="1045">
        <f t="shared" si="146"/>
        <v>8539173</v>
      </c>
      <c r="AU630" s="1004"/>
      <c r="AV630" s="870"/>
      <c r="AW630" s="782" t="s">
        <v>4519</v>
      </c>
      <c r="AX630" s="782" t="s">
        <v>4520</v>
      </c>
      <c r="AY630" s="1007" t="s">
        <v>288</v>
      </c>
      <c r="AZ630" s="1007">
        <v>622</v>
      </c>
      <c r="BA630" s="347" t="str">
        <f t="shared" si="142"/>
        <v>Bag</v>
      </c>
      <c r="BB630" s="1008"/>
      <c r="BC630" s="1009"/>
      <c r="BD630" s="1009"/>
    </row>
    <row r="631" spans="1:56" s="1010" customFormat="1" ht="36.75" customHeight="1">
      <c r="A631" s="661">
        <f>SUBTOTAL(3,B$6:B631)</f>
        <v>626</v>
      </c>
      <c r="B631" s="661" t="s">
        <v>2044</v>
      </c>
      <c r="C631" s="662" t="s">
        <v>2045</v>
      </c>
      <c r="D631" s="1011">
        <v>43262</v>
      </c>
      <c r="E631" s="1011" t="s">
        <v>218</v>
      </c>
      <c r="F631" s="787" t="s">
        <v>523</v>
      </c>
      <c r="G631" s="996" t="s">
        <v>1172</v>
      </c>
      <c r="H631" s="1012">
        <v>5931000</v>
      </c>
      <c r="I631" s="1012">
        <v>600000</v>
      </c>
      <c r="J631" s="1012">
        <v>0</v>
      </c>
      <c r="K631" s="1012">
        <v>0</v>
      </c>
      <c r="L631" s="1013">
        <f t="shared" si="143"/>
        <v>6531000</v>
      </c>
      <c r="M631" s="1014">
        <v>19.600000000000001</v>
      </c>
      <c r="N631" s="1013">
        <f t="shared" si="137"/>
        <v>4923369</v>
      </c>
      <c r="O631" s="1015">
        <v>2</v>
      </c>
      <c r="P631" s="1013">
        <f t="shared" si="138"/>
        <v>502385</v>
      </c>
      <c r="Q631" s="1016">
        <v>0</v>
      </c>
      <c r="R631" s="1013">
        <f t="shared" si="139"/>
        <v>0</v>
      </c>
      <c r="S631" s="1013">
        <f t="shared" si="140"/>
        <v>5425754</v>
      </c>
      <c r="T631" s="1017">
        <v>0</v>
      </c>
      <c r="U631" s="785">
        <v>0</v>
      </c>
      <c r="V631" s="785">
        <v>200000</v>
      </c>
      <c r="W631" s="1017">
        <v>0</v>
      </c>
      <c r="X631" s="1017">
        <v>0</v>
      </c>
      <c r="Y631" s="1017">
        <v>0</v>
      </c>
      <c r="Z631" s="1017">
        <v>704693</v>
      </c>
      <c r="AA631" s="1018"/>
      <c r="AB631" s="1013"/>
      <c r="AC631" s="1017">
        <v>0</v>
      </c>
      <c r="AD631" s="1017">
        <v>0</v>
      </c>
      <c r="AE631" s="1013">
        <v>0</v>
      </c>
      <c r="AF631" s="1019"/>
      <c r="AG631" s="1019">
        <f t="shared" si="145"/>
        <v>6330447</v>
      </c>
      <c r="AH631" s="1014">
        <v>25</v>
      </c>
      <c r="AI631" s="1014">
        <v>0</v>
      </c>
      <c r="AJ631" s="1014">
        <v>0</v>
      </c>
      <c r="AK631" s="1018">
        <v>0</v>
      </c>
      <c r="AL631" s="1020">
        <v>0</v>
      </c>
      <c r="AM631" s="1013">
        <f t="shared" si="144"/>
        <v>1177464</v>
      </c>
      <c r="AN631" s="1045">
        <f t="shared" si="141"/>
        <v>7507911</v>
      </c>
      <c r="AO631" s="1013">
        <v>685755</v>
      </c>
      <c r="AP631" s="1013">
        <v>44100</v>
      </c>
      <c r="AQ631" s="1013">
        <v>0</v>
      </c>
      <c r="AR631" s="1013">
        <v>0</v>
      </c>
      <c r="AS631" s="1013">
        <v>0</v>
      </c>
      <c r="AT631" s="1045">
        <f t="shared" si="146"/>
        <v>6778056</v>
      </c>
      <c r="AU631" s="1004"/>
      <c r="AV631" s="870"/>
      <c r="AW631" s="782" t="s">
        <v>4521</v>
      </c>
      <c r="AX631" s="782" t="s">
        <v>4522</v>
      </c>
      <c r="AY631" s="1007" t="s">
        <v>288</v>
      </c>
      <c r="AZ631" s="1007">
        <v>622</v>
      </c>
      <c r="BA631" s="347" t="str">
        <f t="shared" si="142"/>
        <v>Bag</v>
      </c>
      <c r="BB631" s="1008"/>
      <c r="BC631" s="1009"/>
      <c r="BD631" s="1009"/>
    </row>
    <row r="632" spans="1:56" s="1010" customFormat="1" ht="36.75" customHeight="1">
      <c r="A632" s="661">
        <f>SUBTOTAL(3,B$6:B632)</f>
        <v>627</v>
      </c>
      <c r="B632" s="661" t="s">
        <v>2046</v>
      </c>
      <c r="C632" s="662" t="s">
        <v>2047</v>
      </c>
      <c r="D632" s="1011">
        <v>43398</v>
      </c>
      <c r="E632" s="1011" t="s">
        <v>218</v>
      </c>
      <c r="F632" s="787" t="s">
        <v>523</v>
      </c>
      <c r="G632" s="996" t="s">
        <v>2048</v>
      </c>
      <c r="H632" s="1012">
        <v>5931000</v>
      </c>
      <c r="I632" s="1012">
        <v>1400000</v>
      </c>
      <c r="J632" s="1012">
        <v>0</v>
      </c>
      <c r="K632" s="1012">
        <v>500000</v>
      </c>
      <c r="L632" s="1013">
        <f t="shared" si="143"/>
        <v>7831000</v>
      </c>
      <c r="M632" s="1014">
        <v>22.6</v>
      </c>
      <c r="N632" s="1013">
        <f t="shared" si="137"/>
        <v>6806946</v>
      </c>
      <c r="O632" s="1015">
        <v>3</v>
      </c>
      <c r="P632" s="1013">
        <f t="shared" si="138"/>
        <v>903577</v>
      </c>
      <c r="Q632" s="1016">
        <v>0</v>
      </c>
      <c r="R632" s="1013">
        <f t="shared" si="139"/>
        <v>0</v>
      </c>
      <c r="S632" s="1013">
        <f t="shared" si="140"/>
        <v>7710523</v>
      </c>
      <c r="T632" s="1017">
        <v>0</v>
      </c>
      <c r="U632" s="785">
        <v>0</v>
      </c>
      <c r="V632" s="785">
        <v>200000</v>
      </c>
      <c r="W632" s="1017">
        <v>500000</v>
      </c>
      <c r="X632" s="1017">
        <v>0</v>
      </c>
      <c r="Y632" s="1017">
        <v>400000</v>
      </c>
      <c r="Z632" s="1017">
        <v>514863</v>
      </c>
      <c r="AA632" s="1018"/>
      <c r="AB632" s="1013"/>
      <c r="AC632" s="1017">
        <v>0</v>
      </c>
      <c r="AD632" s="1017">
        <v>0</v>
      </c>
      <c r="AE632" s="1013">
        <v>0</v>
      </c>
      <c r="AF632" s="1019"/>
      <c r="AG632" s="1019">
        <f t="shared" si="145"/>
        <v>9325386</v>
      </c>
      <c r="AH632" s="1014">
        <v>25</v>
      </c>
      <c r="AI632" s="1014">
        <v>0</v>
      </c>
      <c r="AJ632" s="1014">
        <v>0</v>
      </c>
      <c r="AK632" s="1018">
        <v>0</v>
      </c>
      <c r="AL632" s="1020">
        <v>0</v>
      </c>
      <c r="AM632" s="1013">
        <f t="shared" si="144"/>
        <v>1411839</v>
      </c>
      <c r="AN632" s="1045">
        <f t="shared" si="141"/>
        <v>10737225</v>
      </c>
      <c r="AO632" s="1013">
        <v>822255</v>
      </c>
      <c r="AP632" s="1013">
        <v>44100</v>
      </c>
      <c r="AQ632" s="1013">
        <v>0</v>
      </c>
      <c r="AR632" s="1013">
        <v>0</v>
      </c>
      <c r="AS632" s="1013">
        <v>0</v>
      </c>
      <c r="AT632" s="1045">
        <f t="shared" si="146"/>
        <v>9870870</v>
      </c>
      <c r="AU632" s="1004"/>
      <c r="AV632" s="870"/>
      <c r="AW632" s="782" t="s">
        <v>4523</v>
      </c>
      <c r="AX632" s="782" t="s">
        <v>4524</v>
      </c>
      <c r="AY632" s="1007" t="s">
        <v>288</v>
      </c>
      <c r="AZ632" s="1007">
        <v>622</v>
      </c>
      <c r="BA632" s="347" t="str">
        <f t="shared" si="142"/>
        <v>Bag</v>
      </c>
      <c r="BB632" s="1008"/>
      <c r="BC632" s="1009"/>
      <c r="BD632" s="1009"/>
    </row>
    <row r="633" spans="1:56" s="1010" customFormat="1" ht="36.75" customHeight="1">
      <c r="A633" s="661">
        <f>SUBTOTAL(3,B$6:B633)</f>
        <v>628</v>
      </c>
      <c r="B633" s="661" t="s">
        <v>2049</v>
      </c>
      <c r="C633" s="662" t="s">
        <v>2050</v>
      </c>
      <c r="D633" s="1011">
        <v>43456</v>
      </c>
      <c r="E633" s="1011" t="s">
        <v>218</v>
      </c>
      <c r="F633" s="787" t="s">
        <v>523</v>
      </c>
      <c r="G633" s="996" t="s">
        <v>1172</v>
      </c>
      <c r="H633" s="1012">
        <v>5931000</v>
      </c>
      <c r="I633" s="1012">
        <v>600000</v>
      </c>
      <c r="J633" s="1012">
        <v>0</v>
      </c>
      <c r="K633" s="1012">
        <v>0</v>
      </c>
      <c r="L633" s="1013">
        <f t="shared" si="143"/>
        <v>6531000</v>
      </c>
      <c r="M633" s="1014">
        <v>24</v>
      </c>
      <c r="N633" s="1013">
        <f t="shared" si="137"/>
        <v>6028615</v>
      </c>
      <c r="O633" s="1015">
        <v>2</v>
      </c>
      <c r="P633" s="1013">
        <f t="shared" si="138"/>
        <v>502385</v>
      </c>
      <c r="Q633" s="1016">
        <v>0</v>
      </c>
      <c r="R633" s="1013">
        <f t="shared" si="139"/>
        <v>0</v>
      </c>
      <c r="S633" s="1013">
        <f t="shared" si="140"/>
        <v>6531000</v>
      </c>
      <c r="T633" s="1017">
        <v>0</v>
      </c>
      <c r="U633" s="785">
        <v>0</v>
      </c>
      <c r="V633" s="785">
        <v>200000</v>
      </c>
      <c r="W633" s="1017">
        <v>500000</v>
      </c>
      <c r="X633" s="1017">
        <v>0</v>
      </c>
      <c r="Y633" s="1017">
        <v>400000</v>
      </c>
      <c r="Z633" s="1017">
        <v>546757</v>
      </c>
      <c r="AA633" s="1018"/>
      <c r="AB633" s="1013"/>
      <c r="AC633" s="1017">
        <v>0</v>
      </c>
      <c r="AD633" s="1017">
        <v>0</v>
      </c>
      <c r="AE633" s="1013">
        <v>0</v>
      </c>
      <c r="AF633" s="1019"/>
      <c r="AG633" s="1019">
        <f t="shared" si="145"/>
        <v>8177757</v>
      </c>
      <c r="AH633" s="1014">
        <v>36</v>
      </c>
      <c r="AI633" s="1014">
        <v>0</v>
      </c>
      <c r="AJ633" s="1014">
        <v>0</v>
      </c>
      <c r="AK633" s="1018">
        <v>0</v>
      </c>
      <c r="AL633" s="1020">
        <v>0</v>
      </c>
      <c r="AM633" s="1013">
        <f t="shared" si="144"/>
        <v>1695548</v>
      </c>
      <c r="AN633" s="1045">
        <f t="shared" si="141"/>
        <v>9873305</v>
      </c>
      <c r="AO633" s="1013">
        <v>685755</v>
      </c>
      <c r="AP633" s="1013">
        <v>44100</v>
      </c>
      <c r="AQ633" s="1013">
        <v>0</v>
      </c>
      <c r="AR633" s="1013">
        <v>0</v>
      </c>
      <c r="AS633" s="1013">
        <v>0</v>
      </c>
      <c r="AT633" s="1045">
        <f t="shared" si="146"/>
        <v>9143450</v>
      </c>
      <c r="AU633" s="1004"/>
      <c r="AV633" s="870"/>
      <c r="AW633" s="782" t="s">
        <v>4525</v>
      </c>
      <c r="AX633" s="782" t="s">
        <v>4526</v>
      </c>
      <c r="AY633" s="1007" t="s">
        <v>288</v>
      </c>
      <c r="AZ633" s="1007">
        <v>622</v>
      </c>
      <c r="BA633" s="347" t="str">
        <f t="shared" si="142"/>
        <v>Bag</v>
      </c>
      <c r="BB633" s="1008"/>
      <c r="BC633" s="1009"/>
      <c r="BD633" s="1009"/>
    </row>
    <row r="634" spans="1:56" s="1010" customFormat="1" ht="36.75" customHeight="1">
      <c r="A634" s="661">
        <f>SUBTOTAL(3,B$6:B634)</f>
        <v>629</v>
      </c>
      <c r="B634" s="661" t="s">
        <v>2051</v>
      </c>
      <c r="C634" s="662" t="s">
        <v>2052</v>
      </c>
      <c r="D634" s="1011">
        <v>43517</v>
      </c>
      <c r="E634" s="1011" t="s">
        <v>218</v>
      </c>
      <c r="F634" s="787" t="s">
        <v>523</v>
      </c>
      <c r="G634" s="996" t="s">
        <v>1172</v>
      </c>
      <c r="H634" s="1012">
        <v>5931000</v>
      </c>
      <c r="I634" s="1012">
        <v>600000</v>
      </c>
      <c r="J634" s="1012">
        <v>0</v>
      </c>
      <c r="K634" s="1012">
        <v>0</v>
      </c>
      <c r="L634" s="1013">
        <f t="shared" si="143"/>
        <v>6531000</v>
      </c>
      <c r="M634" s="1014">
        <v>23</v>
      </c>
      <c r="N634" s="1013">
        <f t="shared" si="137"/>
        <v>5777423</v>
      </c>
      <c r="O634" s="1015">
        <v>3</v>
      </c>
      <c r="P634" s="1013">
        <f t="shared" si="138"/>
        <v>753577</v>
      </c>
      <c r="Q634" s="1016">
        <v>0</v>
      </c>
      <c r="R634" s="1013">
        <f t="shared" si="139"/>
        <v>0</v>
      </c>
      <c r="S634" s="1013">
        <f t="shared" si="140"/>
        <v>6531000</v>
      </c>
      <c r="T634" s="1017">
        <v>0</v>
      </c>
      <c r="U634" s="785">
        <v>0</v>
      </c>
      <c r="V634" s="785">
        <v>200000</v>
      </c>
      <c r="W634" s="1017">
        <v>500000</v>
      </c>
      <c r="X634" s="1017">
        <v>0</v>
      </c>
      <c r="Y634" s="1017">
        <v>400000</v>
      </c>
      <c r="Z634" s="1017">
        <v>450440</v>
      </c>
      <c r="AA634" s="1018"/>
      <c r="AB634" s="1013"/>
      <c r="AC634" s="1017">
        <v>0</v>
      </c>
      <c r="AD634" s="1017">
        <v>0</v>
      </c>
      <c r="AE634" s="1013">
        <v>0</v>
      </c>
      <c r="AF634" s="1019"/>
      <c r="AG634" s="1019">
        <f t="shared" si="145"/>
        <v>8081440</v>
      </c>
      <c r="AH634" s="1014">
        <v>38</v>
      </c>
      <c r="AI634" s="1014">
        <v>0</v>
      </c>
      <c r="AJ634" s="1014">
        <v>0</v>
      </c>
      <c r="AK634" s="1018">
        <v>0</v>
      </c>
      <c r="AL634" s="1020">
        <v>0</v>
      </c>
      <c r="AM634" s="1013">
        <f t="shared" si="144"/>
        <v>1789745</v>
      </c>
      <c r="AN634" s="1045">
        <f t="shared" si="141"/>
        <v>9871185</v>
      </c>
      <c r="AO634" s="1013">
        <v>685755</v>
      </c>
      <c r="AP634" s="1013">
        <v>44100</v>
      </c>
      <c r="AQ634" s="1013">
        <v>0</v>
      </c>
      <c r="AR634" s="1013">
        <v>0</v>
      </c>
      <c r="AS634" s="1013">
        <v>0</v>
      </c>
      <c r="AT634" s="1045">
        <f t="shared" si="146"/>
        <v>9141330</v>
      </c>
      <c r="AU634" s="1004"/>
      <c r="AV634" s="870"/>
      <c r="AW634" s="782" t="s">
        <v>4527</v>
      </c>
      <c r="AX634" s="782" t="s">
        <v>4528</v>
      </c>
      <c r="AY634" s="1007" t="s">
        <v>288</v>
      </c>
      <c r="AZ634" s="1007">
        <v>622</v>
      </c>
      <c r="BA634" s="347" t="str">
        <f t="shared" si="142"/>
        <v>Bag</v>
      </c>
      <c r="BB634" s="1008"/>
      <c r="BC634" s="1009"/>
      <c r="BD634" s="1009"/>
    </row>
    <row r="635" spans="1:56" s="1010" customFormat="1" ht="36.75" customHeight="1">
      <c r="A635" s="661">
        <f>SUBTOTAL(3,B$6:B635)</f>
        <v>630</v>
      </c>
      <c r="B635" s="661" t="s">
        <v>2053</v>
      </c>
      <c r="C635" s="662" t="s">
        <v>2054</v>
      </c>
      <c r="D635" s="1011">
        <v>43529</v>
      </c>
      <c r="E635" s="1011" t="s">
        <v>218</v>
      </c>
      <c r="F635" s="787" t="s">
        <v>523</v>
      </c>
      <c r="G635" s="996" t="s">
        <v>1172</v>
      </c>
      <c r="H635" s="1012">
        <v>5931000</v>
      </c>
      <c r="I635" s="1012">
        <v>600000</v>
      </c>
      <c r="J635" s="1012">
        <v>0</v>
      </c>
      <c r="K635" s="1012">
        <v>0</v>
      </c>
      <c r="L635" s="1013">
        <f t="shared" si="143"/>
        <v>6531000</v>
      </c>
      <c r="M635" s="1014">
        <v>23.8</v>
      </c>
      <c r="N635" s="1013">
        <f t="shared" si="137"/>
        <v>5978377</v>
      </c>
      <c r="O635" s="1015">
        <v>2</v>
      </c>
      <c r="P635" s="1013">
        <f t="shared" si="138"/>
        <v>502385</v>
      </c>
      <c r="Q635" s="1016">
        <v>0</v>
      </c>
      <c r="R635" s="1013">
        <f t="shared" si="139"/>
        <v>0</v>
      </c>
      <c r="S635" s="1013">
        <f t="shared" si="140"/>
        <v>6480762</v>
      </c>
      <c r="T635" s="1017">
        <v>0</v>
      </c>
      <c r="U635" s="785">
        <v>0</v>
      </c>
      <c r="V635" s="785">
        <v>200000</v>
      </c>
      <c r="W635" s="1017">
        <v>500000</v>
      </c>
      <c r="X635" s="1017">
        <v>0</v>
      </c>
      <c r="Y635" s="1017">
        <v>400000</v>
      </c>
      <c r="Z635" s="1017">
        <v>553250</v>
      </c>
      <c r="AA635" s="1018"/>
      <c r="AB635" s="1013"/>
      <c r="AC635" s="1017">
        <v>0</v>
      </c>
      <c r="AD635" s="1017">
        <v>0</v>
      </c>
      <c r="AE635" s="1013">
        <v>0</v>
      </c>
      <c r="AF635" s="1019"/>
      <c r="AG635" s="1019">
        <f t="shared" si="145"/>
        <v>8134012</v>
      </c>
      <c r="AH635" s="1014">
        <v>25</v>
      </c>
      <c r="AI635" s="1014">
        <v>0</v>
      </c>
      <c r="AJ635" s="1014">
        <v>0</v>
      </c>
      <c r="AK635" s="1018">
        <v>0</v>
      </c>
      <c r="AL635" s="1020">
        <v>0</v>
      </c>
      <c r="AM635" s="1013">
        <f t="shared" si="144"/>
        <v>1177464</v>
      </c>
      <c r="AN635" s="1045">
        <f t="shared" si="141"/>
        <v>9311476</v>
      </c>
      <c r="AO635" s="1013">
        <v>685755</v>
      </c>
      <c r="AP635" s="1013">
        <v>44100</v>
      </c>
      <c r="AQ635" s="1013">
        <v>0</v>
      </c>
      <c r="AR635" s="1013">
        <v>0</v>
      </c>
      <c r="AS635" s="1013">
        <v>0</v>
      </c>
      <c r="AT635" s="1045">
        <f t="shared" si="146"/>
        <v>8581621</v>
      </c>
      <c r="AU635" s="1004"/>
      <c r="AV635" s="870"/>
      <c r="AW635" s="782" t="s">
        <v>4529</v>
      </c>
      <c r="AX635" s="782" t="s">
        <v>4530</v>
      </c>
      <c r="AY635" s="1007" t="s">
        <v>288</v>
      </c>
      <c r="AZ635" s="1007">
        <v>622</v>
      </c>
      <c r="BA635" s="347" t="str">
        <f t="shared" si="142"/>
        <v>Bag</v>
      </c>
      <c r="BB635" s="1008"/>
      <c r="BC635" s="1009"/>
      <c r="BD635" s="1009"/>
    </row>
    <row r="636" spans="1:56" s="1010" customFormat="1" ht="36.75" customHeight="1">
      <c r="A636" s="661">
        <f>SUBTOTAL(3,B$6:B636)</f>
        <v>631</v>
      </c>
      <c r="B636" s="661" t="s">
        <v>2055</v>
      </c>
      <c r="C636" s="662" t="s">
        <v>2056</v>
      </c>
      <c r="D636" s="1011">
        <v>42583</v>
      </c>
      <c r="E636" s="1011" t="s">
        <v>218</v>
      </c>
      <c r="F636" s="787" t="s">
        <v>523</v>
      </c>
      <c r="G636" s="996" t="s">
        <v>1172</v>
      </c>
      <c r="H636" s="1012">
        <v>5931000</v>
      </c>
      <c r="I636" s="1012">
        <v>600000</v>
      </c>
      <c r="J636" s="1012">
        <v>0</v>
      </c>
      <c r="K636" s="1012">
        <v>0</v>
      </c>
      <c r="L636" s="1013">
        <f t="shared" si="143"/>
        <v>6531000</v>
      </c>
      <c r="M636" s="1014">
        <v>22.8</v>
      </c>
      <c r="N636" s="1013">
        <f t="shared" si="137"/>
        <v>5727185</v>
      </c>
      <c r="O636" s="1015">
        <v>3</v>
      </c>
      <c r="P636" s="1013">
        <f t="shared" si="138"/>
        <v>753577</v>
      </c>
      <c r="Q636" s="1016">
        <v>0</v>
      </c>
      <c r="R636" s="1013">
        <f t="shared" si="139"/>
        <v>0</v>
      </c>
      <c r="S636" s="1013">
        <f t="shared" si="140"/>
        <v>6480762</v>
      </c>
      <c r="T636" s="1017">
        <v>0</v>
      </c>
      <c r="U636" s="785">
        <v>0</v>
      </c>
      <c r="V636" s="785">
        <v>200000</v>
      </c>
      <c r="W636" s="1017">
        <v>500000</v>
      </c>
      <c r="X636" s="1017">
        <v>0</v>
      </c>
      <c r="Y636" s="1017">
        <v>400000</v>
      </c>
      <c r="Z636" s="1017">
        <v>424977</v>
      </c>
      <c r="AA636" s="1018"/>
      <c r="AB636" s="1013"/>
      <c r="AC636" s="1017">
        <v>0</v>
      </c>
      <c r="AD636" s="1017">
        <v>0</v>
      </c>
      <c r="AE636" s="1013">
        <v>0</v>
      </c>
      <c r="AF636" s="1019"/>
      <c r="AG636" s="1019">
        <f t="shared" si="145"/>
        <v>8005739</v>
      </c>
      <c r="AH636" s="1014">
        <v>29</v>
      </c>
      <c r="AI636" s="1014">
        <v>0</v>
      </c>
      <c r="AJ636" s="1014">
        <v>0</v>
      </c>
      <c r="AK636" s="1018">
        <v>0</v>
      </c>
      <c r="AL636" s="1020">
        <v>0</v>
      </c>
      <c r="AM636" s="1013">
        <f t="shared" si="144"/>
        <v>1365858</v>
      </c>
      <c r="AN636" s="1045">
        <f t="shared" si="141"/>
        <v>9371597</v>
      </c>
      <c r="AO636" s="1013">
        <v>685755</v>
      </c>
      <c r="AP636" s="1013">
        <v>44100</v>
      </c>
      <c r="AQ636" s="1013">
        <v>0</v>
      </c>
      <c r="AR636" s="1013">
        <v>0</v>
      </c>
      <c r="AS636" s="1013">
        <v>0</v>
      </c>
      <c r="AT636" s="1045">
        <f t="shared" si="146"/>
        <v>8641742</v>
      </c>
      <c r="AU636" s="1004"/>
      <c r="AV636" s="870"/>
      <c r="AW636" s="782" t="s">
        <v>4531</v>
      </c>
      <c r="AX636" s="782" t="s">
        <v>4532</v>
      </c>
      <c r="AY636" s="1007" t="s">
        <v>288</v>
      </c>
      <c r="AZ636" s="1007">
        <v>622</v>
      </c>
      <c r="BA636" s="347" t="str">
        <f t="shared" ref="BA636:BA638" si="147">+IF(AY636="SK1 Box","Box",IF(AY636="Seaman","Seaman","Bag"))</f>
        <v>Bag</v>
      </c>
      <c r="BB636" s="1008"/>
      <c r="BC636" s="1009"/>
      <c r="BD636" s="1009"/>
    </row>
    <row r="637" spans="1:56" s="1010" customFormat="1" ht="36.75" customHeight="1">
      <c r="A637" s="661">
        <f>SUBTOTAL(3,B$6:B637)</f>
        <v>632</v>
      </c>
      <c r="B637" s="661" t="s">
        <v>2057</v>
      </c>
      <c r="C637" s="662" t="s">
        <v>2058</v>
      </c>
      <c r="D637" s="1011">
        <v>41334</v>
      </c>
      <c r="E637" s="1011" t="s">
        <v>218</v>
      </c>
      <c r="F637" s="787" t="s">
        <v>524</v>
      </c>
      <c r="G637" s="996" t="s">
        <v>1310</v>
      </c>
      <c r="H637" s="1012">
        <v>9819000</v>
      </c>
      <c r="I637" s="1012">
        <v>7300000</v>
      </c>
      <c r="J637" s="1012">
        <v>0</v>
      </c>
      <c r="K637" s="1012">
        <v>1500000</v>
      </c>
      <c r="L637" s="1013">
        <f t="shared" si="143"/>
        <v>18619000</v>
      </c>
      <c r="M637" s="1014">
        <v>23.2</v>
      </c>
      <c r="N637" s="1013">
        <f t="shared" si="137"/>
        <v>16613877</v>
      </c>
      <c r="O637" s="1015">
        <v>2</v>
      </c>
      <c r="P637" s="1013">
        <f t="shared" si="138"/>
        <v>1432231</v>
      </c>
      <c r="Q637" s="1016">
        <v>0</v>
      </c>
      <c r="R637" s="1013">
        <f t="shared" si="139"/>
        <v>0</v>
      </c>
      <c r="S637" s="1013">
        <f t="shared" si="140"/>
        <v>18046108</v>
      </c>
      <c r="T637" s="1017">
        <v>0</v>
      </c>
      <c r="U637" s="785">
        <v>0</v>
      </c>
      <c r="V637" s="785">
        <v>200000</v>
      </c>
      <c r="W637" s="1017">
        <v>0</v>
      </c>
      <c r="X637" s="1017">
        <v>0</v>
      </c>
      <c r="Y637" s="1017">
        <v>400000</v>
      </c>
      <c r="Z637" s="1017">
        <v>0</v>
      </c>
      <c r="AA637" s="1018"/>
      <c r="AB637" s="1013"/>
      <c r="AC637" s="1017">
        <v>0</v>
      </c>
      <c r="AD637" s="1017">
        <v>0</v>
      </c>
      <c r="AE637" s="1013">
        <v>134271.63523706899</v>
      </c>
      <c r="AF637" s="1019"/>
      <c r="AG637" s="1019">
        <f t="shared" si="145"/>
        <v>18780380</v>
      </c>
      <c r="AH637" s="1014">
        <v>38</v>
      </c>
      <c r="AI637" s="1014">
        <v>0</v>
      </c>
      <c r="AJ637" s="1014">
        <v>0</v>
      </c>
      <c r="AK637" s="1018">
        <v>0</v>
      </c>
      <c r="AL637" s="1020">
        <v>0</v>
      </c>
      <c r="AM637" s="1013">
        <f t="shared" si="144"/>
        <v>5102322</v>
      </c>
      <c r="AN637" s="1045">
        <f t="shared" si="141"/>
        <v>23882702</v>
      </c>
      <c r="AO637" s="1013">
        <v>1954995</v>
      </c>
      <c r="AP637" s="1013">
        <v>44100</v>
      </c>
      <c r="AQ637" s="1013">
        <v>246347</v>
      </c>
      <c r="AR637" s="1013">
        <v>0</v>
      </c>
      <c r="AS637" s="1013">
        <v>0</v>
      </c>
      <c r="AT637" s="1045">
        <f t="shared" si="146"/>
        <v>21637260</v>
      </c>
      <c r="AU637" s="1004"/>
      <c r="AV637" s="870"/>
      <c r="AW637" s="782" t="s">
        <v>4533</v>
      </c>
      <c r="AX637" s="782" t="s">
        <v>4534</v>
      </c>
      <c r="AY637" s="1007" t="s">
        <v>288</v>
      </c>
      <c r="AZ637" s="1007">
        <v>627</v>
      </c>
      <c r="BA637" s="347" t="str">
        <f t="shared" si="147"/>
        <v>Bag</v>
      </c>
      <c r="BB637" s="1008"/>
      <c r="BC637" s="1009"/>
      <c r="BD637" s="1009"/>
    </row>
    <row r="638" spans="1:56" s="1010" customFormat="1" ht="36.75" customHeight="1">
      <c r="A638" s="661">
        <f>SUBTOTAL(3,B$6:B638)</f>
        <v>633</v>
      </c>
      <c r="B638" s="661" t="s">
        <v>2059</v>
      </c>
      <c r="C638" s="662" t="s">
        <v>2060</v>
      </c>
      <c r="D638" s="1011">
        <v>41478</v>
      </c>
      <c r="E638" s="1011" t="s">
        <v>218</v>
      </c>
      <c r="F638" s="787" t="s">
        <v>524</v>
      </c>
      <c r="G638" s="996" t="s">
        <v>1310</v>
      </c>
      <c r="H638" s="1012">
        <v>9319000</v>
      </c>
      <c r="I638" s="1012">
        <v>7300000</v>
      </c>
      <c r="J638" s="1012">
        <v>0</v>
      </c>
      <c r="K638" s="1012">
        <v>1500000</v>
      </c>
      <c r="L638" s="1013">
        <f t="shared" si="143"/>
        <v>18119000</v>
      </c>
      <c r="M638" s="1014">
        <v>23.9</v>
      </c>
      <c r="N638" s="1013">
        <f t="shared" si="137"/>
        <v>16655542</v>
      </c>
      <c r="O638" s="1015">
        <v>2</v>
      </c>
      <c r="P638" s="1013">
        <f t="shared" si="138"/>
        <v>1393769</v>
      </c>
      <c r="Q638" s="1016">
        <v>0</v>
      </c>
      <c r="R638" s="1013">
        <f t="shared" si="139"/>
        <v>0</v>
      </c>
      <c r="S638" s="1013">
        <f t="shared" si="140"/>
        <v>18049311</v>
      </c>
      <c r="T638" s="1017">
        <v>0</v>
      </c>
      <c r="U638" s="785">
        <v>0</v>
      </c>
      <c r="V638" s="785">
        <v>200000</v>
      </c>
      <c r="W638" s="1017">
        <v>500000</v>
      </c>
      <c r="X638" s="1017">
        <v>0</v>
      </c>
      <c r="Y638" s="1017">
        <v>400000</v>
      </c>
      <c r="Z638" s="1017">
        <v>0</v>
      </c>
      <c r="AA638" s="1018"/>
      <c r="AB638" s="1013"/>
      <c r="AC638" s="1017">
        <v>100000</v>
      </c>
      <c r="AD638" s="1017">
        <v>0</v>
      </c>
      <c r="AE638" s="1013">
        <v>130665.86297071131</v>
      </c>
      <c r="AF638" s="1019"/>
      <c r="AG638" s="1019">
        <f t="shared" si="145"/>
        <v>19379977</v>
      </c>
      <c r="AH638" s="1014">
        <v>23</v>
      </c>
      <c r="AI638" s="1014">
        <v>0</v>
      </c>
      <c r="AJ638" s="1014">
        <v>0</v>
      </c>
      <c r="AK638" s="1018">
        <v>0</v>
      </c>
      <c r="AL638" s="1020">
        <v>0</v>
      </c>
      <c r="AM638" s="1013">
        <f t="shared" si="144"/>
        <v>3005315</v>
      </c>
      <c r="AN638" s="1045">
        <f t="shared" si="141"/>
        <v>22385292</v>
      </c>
      <c r="AO638" s="1013">
        <v>1902495</v>
      </c>
      <c r="AP638" s="1013">
        <v>44100</v>
      </c>
      <c r="AQ638" s="1013">
        <v>0</v>
      </c>
      <c r="AR638" s="1013">
        <v>70000</v>
      </c>
      <c r="AS638" s="1013">
        <v>0</v>
      </c>
      <c r="AT638" s="1045">
        <f t="shared" si="146"/>
        <v>20368697</v>
      </c>
      <c r="AU638" s="1004"/>
      <c r="AV638" s="870"/>
      <c r="AW638" s="782" t="s">
        <v>4535</v>
      </c>
      <c r="AX638" s="782" t="s">
        <v>4536</v>
      </c>
      <c r="AY638" s="1007" t="s">
        <v>288</v>
      </c>
      <c r="AZ638" s="1007">
        <v>627</v>
      </c>
      <c r="BA638" s="347" t="str">
        <f t="shared" si="147"/>
        <v>Bag</v>
      </c>
      <c r="BB638" s="1008"/>
      <c r="BC638" s="1009"/>
      <c r="BD638" s="1009"/>
    </row>
    <row r="639" spans="1:56" s="1010" customFormat="1" ht="36.75" customHeight="1">
      <c r="A639" s="661">
        <f>SUBTOTAL(3,B$6:B639)</f>
        <v>634</v>
      </c>
      <c r="B639" s="661" t="s">
        <v>58</v>
      </c>
      <c r="C639" s="662" t="s">
        <v>168</v>
      </c>
      <c r="D639" s="1011">
        <v>41678</v>
      </c>
      <c r="E639" s="1011" t="s">
        <v>218</v>
      </c>
      <c r="F639" s="787" t="s">
        <v>524</v>
      </c>
      <c r="G639" s="996" t="s">
        <v>1311</v>
      </c>
      <c r="H639" s="1012">
        <v>17900000</v>
      </c>
      <c r="I639" s="1012">
        <v>11000000</v>
      </c>
      <c r="J639" s="1012">
        <v>0</v>
      </c>
      <c r="K639" s="1012">
        <v>0</v>
      </c>
      <c r="L639" s="1013">
        <f t="shared" si="143"/>
        <v>28900000</v>
      </c>
      <c r="M639" s="1014">
        <v>22.6</v>
      </c>
      <c r="N639" s="1013">
        <f t="shared" si="137"/>
        <v>25120769</v>
      </c>
      <c r="O639" s="1015">
        <v>2</v>
      </c>
      <c r="P639" s="1013">
        <f t="shared" si="138"/>
        <v>2223077</v>
      </c>
      <c r="Q639" s="1016">
        <v>0</v>
      </c>
      <c r="R639" s="1013">
        <f t="shared" si="139"/>
        <v>0</v>
      </c>
      <c r="S639" s="1013">
        <f t="shared" si="140"/>
        <v>27343846</v>
      </c>
      <c r="T639" s="1017">
        <v>662308</v>
      </c>
      <c r="U639" s="785">
        <v>0</v>
      </c>
      <c r="V639" s="785">
        <v>0</v>
      </c>
      <c r="W639" s="1017">
        <v>0</v>
      </c>
      <c r="X639" s="1017">
        <v>0</v>
      </c>
      <c r="Y639" s="1017">
        <v>0</v>
      </c>
      <c r="Z639" s="1017">
        <v>0</v>
      </c>
      <c r="AA639" s="1018"/>
      <c r="AB639" s="1013"/>
      <c r="AC639" s="1017">
        <v>0</v>
      </c>
      <c r="AD639" s="1017">
        <v>0</v>
      </c>
      <c r="AE639" s="1013">
        <v>208413.45962389378</v>
      </c>
      <c r="AF639" s="1019"/>
      <c r="AG639" s="1019">
        <f t="shared" si="145"/>
        <v>28214567</v>
      </c>
      <c r="AH639" s="1014">
        <v>0</v>
      </c>
      <c r="AI639" s="1014">
        <v>0</v>
      </c>
      <c r="AJ639" s="1014">
        <v>0</v>
      </c>
      <c r="AK639" s="1018">
        <v>0</v>
      </c>
      <c r="AL639" s="1020">
        <v>0</v>
      </c>
      <c r="AM639" s="1013">
        <f t="shared" si="144"/>
        <v>0</v>
      </c>
      <c r="AN639" s="1045">
        <f t="shared" si="141"/>
        <v>28214567</v>
      </c>
      <c r="AO639" s="1013">
        <v>3034500</v>
      </c>
      <c r="AP639" s="1013">
        <v>44100</v>
      </c>
      <c r="AQ639" s="1013">
        <v>240888</v>
      </c>
      <c r="AR639" s="1013">
        <v>0</v>
      </c>
      <c r="AS639" s="1013">
        <v>0</v>
      </c>
      <c r="AT639" s="1045">
        <f t="shared" si="146"/>
        <v>24895079</v>
      </c>
      <c r="AU639" s="1004"/>
      <c r="AV639" s="870"/>
      <c r="AW639" s="782" t="s">
        <v>4537</v>
      </c>
      <c r="AX639" s="782" t="s">
        <v>4538</v>
      </c>
      <c r="AY639" s="1007" t="s">
        <v>288</v>
      </c>
      <c r="AZ639" s="1007">
        <v>627</v>
      </c>
      <c r="BA639" s="347" t="s">
        <v>78</v>
      </c>
      <c r="BB639" s="1008"/>
      <c r="BC639" s="1009"/>
      <c r="BD639" s="1009"/>
    </row>
    <row r="640" spans="1:56" s="1010" customFormat="1" ht="36.75" customHeight="1">
      <c r="A640" s="661">
        <f>SUBTOTAL(3,B$6:B640)</f>
        <v>635</v>
      </c>
      <c r="B640" s="661" t="s">
        <v>2061</v>
      </c>
      <c r="C640" s="662" t="s">
        <v>2062</v>
      </c>
      <c r="D640" s="1011">
        <v>42173</v>
      </c>
      <c r="E640" s="1011" t="s">
        <v>218</v>
      </c>
      <c r="F640" s="787" t="s">
        <v>524</v>
      </c>
      <c r="G640" s="996" t="s">
        <v>1314</v>
      </c>
      <c r="H640" s="1012">
        <v>7019000</v>
      </c>
      <c r="I640" s="1012">
        <v>2500000</v>
      </c>
      <c r="J640" s="1012">
        <v>0</v>
      </c>
      <c r="K640" s="1012">
        <v>0</v>
      </c>
      <c r="L640" s="1013">
        <f t="shared" si="143"/>
        <v>9519000</v>
      </c>
      <c r="M640" s="1014">
        <v>24</v>
      </c>
      <c r="N640" s="1013">
        <f t="shared" si="137"/>
        <v>8786769</v>
      </c>
      <c r="O640" s="1015">
        <v>2</v>
      </c>
      <c r="P640" s="1013">
        <f t="shared" si="138"/>
        <v>732231</v>
      </c>
      <c r="Q640" s="1016">
        <v>0</v>
      </c>
      <c r="R640" s="1013">
        <f t="shared" si="139"/>
        <v>0</v>
      </c>
      <c r="S640" s="1013">
        <f t="shared" si="140"/>
        <v>9519000</v>
      </c>
      <c r="T640" s="1017">
        <v>0</v>
      </c>
      <c r="U640" s="785">
        <v>0</v>
      </c>
      <c r="V640" s="785">
        <v>200000</v>
      </c>
      <c r="W640" s="1017">
        <v>500000</v>
      </c>
      <c r="X640" s="1017">
        <v>0</v>
      </c>
      <c r="Y640" s="1017">
        <v>400000</v>
      </c>
      <c r="Z640" s="1017">
        <v>546757</v>
      </c>
      <c r="AA640" s="1018"/>
      <c r="AB640" s="1013"/>
      <c r="AC640" s="1017">
        <v>0</v>
      </c>
      <c r="AD640" s="1017">
        <v>0</v>
      </c>
      <c r="AE640" s="1013">
        <v>68646.6328125</v>
      </c>
      <c r="AF640" s="1019"/>
      <c r="AG640" s="1019">
        <f t="shared" si="145"/>
        <v>11234404</v>
      </c>
      <c r="AH640" s="1014">
        <v>17</v>
      </c>
      <c r="AI640" s="1014">
        <v>0</v>
      </c>
      <c r="AJ640" s="1014">
        <v>0</v>
      </c>
      <c r="AK640" s="1018">
        <v>0</v>
      </c>
      <c r="AL640" s="1020">
        <v>0</v>
      </c>
      <c r="AM640" s="1013">
        <f t="shared" si="144"/>
        <v>1166993</v>
      </c>
      <c r="AN640" s="1045">
        <f t="shared" si="141"/>
        <v>12401397</v>
      </c>
      <c r="AO640" s="1013">
        <v>999495</v>
      </c>
      <c r="AP640" s="1013">
        <v>44100</v>
      </c>
      <c r="AQ640" s="1013">
        <v>0</v>
      </c>
      <c r="AR640" s="1013">
        <v>0</v>
      </c>
      <c r="AS640" s="1013">
        <v>0</v>
      </c>
      <c r="AT640" s="1045">
        <f t="shared" si="146"/>
        <v>11357802</v>
      </c>
      <c r="AU640" s="1004"/>
      <c r="AV640" s="870"/>
      <c r="AW640" s="782" t="s">
        <v>4539</v>
      </c>
      <c r="AX640" s="782" t="s">
        <v>4540</v>
      </c>
      <c r="AY640" s="1007" t="s">
        <v>288</v>
      </c>
      <c r="AZ640" s="1007">
        <v>627</v>
      </c>
      <c r="BA640" s="347" t="str">
        <f t="shared" ref="BA640:BA652" si="148">+IF(AY640="SK1 Box","Box",IF(AY640="Seaman","Seaman","Bag"))</f>
        <v>Bag</v>
      </c>
      <c r="BB640" s="1008"/>
      <c r="BC640" s="1009"/>
      <c r="BD640" s="1009"/>
    </row>
    <row r="641" spans="1:56" s="1010" customFormat="1" ht="36.75" customHeight="1">
      <c r="A641" s="661">
        <f>SUBTOTAL(3,B$6:B641)</f>
        <v>636</v>
      </c>
      <c r="B641" s="661" t="s">
        <v>2063</v>
      </c>
      <c r="C641" s="662" t="s">
        <v>2064</v>
      </c>
      <c r="D641" s="1011">
        <v>44272</v>
      </c>
      <c r="E641" s="1011" t="s">
        <v>218</v>
      </c>
      <c r="F641" s="787" t="s">
        <v>525</v>
      </c>
      <c r="G641" s="996" t="s">
        <v>1322</v>
      </c>
      <c r="H641" s="1012">
        <v>5931000</v>
      </c>
      <c r="I641" s="1012">
        <v>1100000</v>
      </c>
      <c r="J641" s="1012">
        <v>0</v>
      </c>
      <c r="K641" s="1012">
        <v>0</v>
      </c>
      <c r="L641" s="1013">
        <f t="shared" ref="L641:L704" si="149">SUM(H641:K641)</f>
        <v>7031000</v>
      </c>
      <c r="M641" s="1014">
        <v>23.8</v>
      </c>
      <c r="N641" s="1013">
        <f t="shared" si="137"/>
        <v>6436069</v>
      </c>
      <c r="O641" s="1015">
        <v>2</v>
      </c>
      <c r="P641" s="1013">
        <f t="shared" si="138"/>
        <v>540846</v>
      </c>
      <c r="Q641" s="1016">
        <v>0</v>
      </c>
      <c r="R641" s="1013">
        <f t="shared" si="139"/>
        <v>0</v>
      </c>
      <c r="S641" s="1013">
        <f t="shared" si="140"/>
        <v>6976915</v>
      </c>
      <c r="T641" s="1017">
        <v>0</v>
      </c>
      <c r="U641" s="785">
        <v>0</v>
      </c>
      <c r="V641" s="785">
        <v>200000</v>
      </c>
      <c r="W641" s="1017">
        <v>500000</v>
      </c>
      <c r="X641" s="1017">
        <v>0</v>
      </c>
      <c r="Y641" s="1017">
        <v>400000</v>
      </c>
      <c r="Z641" s="1017">
        <v>396700</v>
      </c>
      <c r="AA641" s="1018"/>
      <c r="AB641" s="1013"/>
      <c r="AC641" s="1017">
        <v>0</v>
      </c>
      <c r="AD641" s="1017">
        <v>0</v>
      </c>
      <c r="AE641" s="1013">
        <v>50704.325105042022</v>
      </c>
      <c r="AF641" s="1019"/>
      <c r="AG641" s="1019">
        <f t="shared" si="145"/>
        <v>8524319</v>
      </c>
      <c r="AH641" s="1014">
        <v>37</v>
      </c>
      <c r="AI641" s="1014">
        <v>0</v>
      </c>
      <c r="AJ641" s="1014">
        <v>0</v>
      </c>
      <c r="AK641" s="1018">
        <v>0</v>
      </c>
      <c r="AL641" s="1020">
        <v>0</v>
      </c>
      <c r="AM641" s="1013">
        <f t="shared" si="144"/>
        <v>1876060</v>
      </c>
      <c r="AN641" s="1045">
        <f t="shared" si="141"/>
        <v>10400379</v>
      </c>
      <c r="AO641" s="1013">
        <v>738255</v>
      </c>
      <c r="AP641" s="1013">
        <v>44100</v>
      </c>
      <c r="AQ641" s="1013">
        <v>0</v>
      </c>
      <c r="AR641" s="1013">
        <v>0</v>
      </c>
      <c r="AS641" s="1013">
        <v>0</v>
      </c>
      <c r="AT641" s="1045">
        <f t="shared" si="146"/>
        <v>9618024</v>
      </c>
      <c r="AU641" s="1004"/>
      <c r="AV641" s="870"/>
      <c r="AW641" s="782" t="s">
        <v>4541</v>
      </c>
      <c r="AX641" s="782" t="s">
        <v>4542</v>
      </c>
      <c r="AY641" s="1007" t="s">
        <v>288</v>
      </c>
      <c r="AZ641" s="1007">
        <v>622</v>
      </c>
      <c r="BA641" s="347" t="str">
        <f t="shared" si="148"/>
        <v>Bag</v>
      </c>
      <c r="BB641" s="1008"/>
      <c r="BC641" s="1009"/>
      <c r="BD641" s="1009"/>
    </row>
    <row r="642" spans="1:56" s="1010" customFormat="1" ht="36.75" customHeight="1">
      <c r="A642" s="661">
        <f>SUBTOTAL(3,B$6:B642)</f>
        <v>637</v>
      </c>
      <c r="B642" s="661" t="s">
        <v>2065</v>
      </c>
      <c r="C642" s="662" t="s">
        <v>2066</v>
      </c>
      <c r="D642" s="1011">
        <v>44329</v>
      </c>
      <c r="E642" s="1011" t="s">
        <v>218</v>
      </c>
      <c r="F642" s="787" t="s">
        <v>525</v>
      </c>
      <c r="G642" s="996" t="s">
        <v>1322</v>
      </c>
      <c r="H642" s="1012">
        <v>5931000</v>
      </c>
      <c r="I642" s="1012">
        <v>1100000</v>
      </c>
      <c r="J642" s="1012">
        <v>0</v>
      </c>
      <c r="K642" s="1012">
        <v>0</v>
      </c>
      <c r="L642" s="1013">
        <f t="shared" si="149"/>
        <v>7031000</v>
      </c>
      <c r="M642" s="1014">
        <v>23.6</v>
      </c>
      <c r="N642" s="1013">
        <f t="shared" si="137"/>
        <v>6381985</v>
      </c>
      <c r="O642" s="1015">
        <v>2</v>
      </c>
      <c r="P642" s="1013">
        <f t="shared" si="138"/>
        <v>540846</v>
      </c>
      <c r="Q642" s="1016">
        <v>0</v>
      </c>
      <c r="R642" s="1013">
        <f t="shared" si="139"/>
        <v>0</v>
      </c>
      <c r="S642" s="1013">
        <f t="shared" si="140"/>
        <v>6922831</v>
      </c>
      <c r="T642" s="1017">
        <v>0</v>
      </c>
      <c r="U642" s="785">
        <v>0</v>
      </c>
      <c r="V642" s="785">
        <v>200000</v>
      </c>
      <c r="W642" s="1017">
        <v>500000</v>
      </c>
      <c r="X642" s="1017">
        <v>0</v>
      </c>
      <c r="Y642" s="1017">
        <v>400000</v>
      </c>
      <c r="Z642" s="1017">
        <v>393300</v>
      </c>
      <c r="AA642" s="1018"/>
      <c r="AB642" s="1013"/>
      <c r="AC642" s="1017">
        <v>200000</v>
      </c>
      <c r="AD642" s="1017">
        <v>0</v>
      </c>
      <c r="AE642" s="1013">
        <v>50704.329978813563</v>
      </c>
      <c r="AF642" s="1019"/>
      <c r="AG642" s="1019">
        <f t="shared" si="145"/>
        <v>8666835</v>
      </c>
      <c r="AH642" s="1014">
        <v>37</v>
      </c>
      <c r="AI642" s="1014">
        <v>0</v>
      </c>
      <c r="AJ642" s="1014">
        <v>0</v>
      </c>
      <c r="AK642" s="1018">
        <v>0</v>
      </c>
      <c r="AL642" s="1020">
        <v>0</v>
      </c>
      <c r="AM642" s="1013">
        <f t="shared" si="144"/>
        <v>1876060</v>
      </c>
      <c r="AN642" s="1045">
        <f t="shared" si="141"/>
        <v>10542895</v>
      </c>
      <c r="AO642" s="1013">
        <v>738255</v>
      </c>
      <c r="AP642" s="1013">
        <v>44100</v>
      </c>
      <c r="AQ642" s="1013">
        <v>0</v>
      </c>
      <c r="AR642" s="1013">
        <v>0</v>
      </c>
      <c r="AS642" s="1013">
        <v>0</v>
      </c>
      <c r="AT642" s="1045">
        <f t="shared" si="146"/>
        <v>9760540</v>
      </c>
      <c r="AU642" s="1004"/>
      <c r="AV642" s="870"/>
      <c r="AW642" s="782" t="s">
        <v>4543</v>
      </c>
      <c r="AX642" s="782" t="s">
        <v>4544</v>
      </c>
      <c r="AY642" s="1007" t="s">
        <v>288</v>
      </c>
      <c r="AZ642" s="1007">
        <v>622</v>
      </c>
      <c r="BA642" s="347" t="str">
        <f t="shared" si="148"/>
        <v>Bag</v>
      </c>
      <c r="BB642" s="1008"/>
      <c r="BC642" s="1009"/>
      <c r="BD642" s="1009"/>
    </row>
    <row r="643" spans="1:56" s="1010" customFormat="1" ht="36.75" customHeight="1">
      <c r="A643" s="661">
        <f>SUBTOTAL(3,B$6:B643)</f>
        <v>638</v>
      </c>
      <c r="B643" s="661" t="s">
        <v>2067</v>
      </c>
      <c r="C643" s="662" t="s">
        <v>2068</v>
      </c>
      <c r="D643" s="1011">
        <v>44330</v>
      </c>
      <c r="E643" s="1011" t="s">
        <v>218</v>
      </c>
      <c r="F643" s="787" t="s">
        <v>525</v>
      </c>
      <c r="G643" s="996" t="s">
        <v>1322</v>
      </c>
      <c r="H643" s="1012">
        <v>5931000</v>
      </c>
      <c r="I643" s="1012">
        <v>1100000</v>
      </c>
      <c r="J643" s="1012">
        <v>0</v>
      </c>
      <c r="K643" s="1012">
        <v>0</v>
      </c>
      <c r="L643" s="1013">
        <f t="shared" si="149"/>
        <v>7031000</v>
      </c>
      <c r="M643" s="1014">
        <v>24</v>
      </c>
      <c r="N643" s="1013">
        <f t="shared" si="137"/>
        <v>6490154</v>
      </c>
      <c r="O643" s="1015">
        <v>2</v>
      </c>
      <c r="P643" s="1013">
        <f t="shared" si="138"/>
        <v>540846</v>
      </c>
      <c r="Q643" s="1016">
        <v>0</v>
      </c>
      <c r="R643" s="1013">
        <f t="shared" si="139"/>
        <v>0</v>
      </c>
      <c r="S643" s="1013">
        <f t="shared" si="140"/>
        <v>7031000</v>
      </c>
      <c r="T643" s="1017">
        <v>0</v>
      </c>
      <c r="U643" s="785">
        <v>0</v>
      </c>
      <c r="V643" s="785">
        <v>200000</v>
      </c>
      <c r="W643" s="1017">
        <v>500000</v>
      </c>
      <c r="X643" s="1017">
        <v>0</v>
      </c>
      <c r="Y643" s="1017">
        <v>400000</v>
      </c>
      <c r="Z643" s="1017">
        <v>400000</v>
      </c>
      <c r="AA643" s="1018"/>
      <c r="AB643" s="1013"/>
      <c r="AC643" s="1017">
        <v>0</v>
      </c>
      <c r="AD643" s="1017">
        <v>0</v>
      </c>
      <c r="AE643" s="1013">
        <v>0</v>
      </c>
      <c r="AF643" s="1019"/>
      <c r="AG643" s="1019">
        <f t="shared" si="145"/>
        <v>8531000</v>
      </c>
      <c r="AH643" s="1014">
        <v>32</v>
      </c>
      <c r="AI643" s="1014">
        <v>0</v>
      </c>
      <c r="AJ643" s="1014">
        <v>0</v>
      </c>
      <c r="AK643" s="1018">
        <v>0</v>
      </c>
      <c r="AL643" s="1020">
        <v>0</v>
      </c>
      <c r="AM643" s="1013">
        <f t="shared" si="144"/>
        <v>1622539</v>
      </c>
      <c r="AN643" s="1045">
        <f t="shared" si="141"/>
        <v>10153539</v>
      </c>
      <c r="AO643" s="1013">
        <v>738255</v>
      </c>
      <c r="AP643" s="1013">
        <v>44100</v>
      </c>
      <c r="AQ643" s="1013">
        <v>0</v>
      </c>
      <c r="AR643" s="1013">
        <v>0</v>
      </c>
      <c r="AS643" s="1013">
        <v>0</v>
      </c>
      <c r="AT643" s="1045">
        <f t="shared" si="146"/>
        <v>9371184</v>
      </c>
      <c r="AU643" s="1004"/>
      <c r="AV643" s="870"/>
      <c r="AW643" s="782" t="s">
        <v>4545</v>
      </c>
      <c r="AX643" s="782" t="s">
        <v>4546</v>
      </c>
      <c r="AY643" s="1007" t="s">
        <v>288</v>
      </c>
      <c r="AZ643" s="1007">
        <v>622</v>
      </c>
      <c r="BA643" s="347" t="str">
        <f t="shared" si="148"/>
        <v>Bag</v>
      </c>
      <c r="BB643" s="1008"/>
      <c r="BC643" s="1009"/>
      <c r="BD643" s="1009"/>
    </row>
    <row r="644" spans="1:56" s="1010" customFormat="1" ht="36.75" customHeight="1">
      <c r="A644" s="661">
        <f>SUBTOTAL(3,B$6:B644)</f>
        <v>639</v>
      </c>
      <c r="B644" s="661" t="s">
        <v>2069</v>
      </c>
      <c r="C644" s="662" t="s">
        <v>2070</v>
      </c>
      <c r="D644" s="1011">
        <v>44343</v>
      </c>
      <c r="E644" s="1011" t="s">
        <v>218</v>
      </c>
      <c r="F644" s="787" t="s">
        <v>525</v>
      </c>
      <c r="G644" s="996" t="s">
        <v>1322</v>
      </c>
      <c r="H644" s="1012">
        <v>5931000</v>
      </c>
      <c r="I644" s="1012">
        <v>1100000</v>
      </c>
      <c r="J644" s="1012">
        <v>0</v>
      </c>
      <c r="K644" s="1012">
        <v>0</v>
      </c>
      <c r="L644" s="1013">
        <f t="shared" si="149"/>
        <v>7031000</v>
      </c>
      <c r="M644" s="1014">
        <v>23</v>
      </c>
      <c r="N644" s="1013">
        <f t="shared" si="137"/>
        <v>6219731</v>
      </c>
      <c r="O644" s="1015">
        <v>3</v>
      </c>
      <c r="P644" s="1013">
        <f t="shared" si="138"/>
        <v>811269</v>
      </c>
      <c r="Q644" s="1016">
        <v>0</v>
      </c>
      <c r="R644" s="1013">
        <f t="shared" si="139"/>
        <v>0</v>
      </c>
      <c r="S644" s="1013">
        <f t="shared" si="140"/>
        <v>7031000</v>
      </c>
      <c r="T644" s="1017">
        <v>0</v>
      </c>
      <c r="U644" s="785">
        <v>0</v>
      </c>
      <c r="V644" s="785">
        <v>200000</v>
      </c>
      <c r="W644" s="1017">
        <v>500000</v>
      </c>
      <c r="X644" s="1017">
        <v>0</v>
      </c>
      <c r="Y644" s="1017">
        <v>400000</v>
      </c>
      <c r="Z644" s="1017">
        <v>383300</v>
      </c>
      <c r="AA644" s="1018"/>
      <c r="AB644" s="1013"/>
      <c r="AC644" s="1017">
        <v>0</v>
      </c>
      <c r="AD644" s="1017">
        <v>0</v>
      </c>
      <c r="AE644" s="1013">
        <v>0</v>
      </c>
      <c r="AF644" s="1019"/>
      <c r="AG644" s="1019">
        <f t="shared" si="145"/>
        <v>8514300</v>
      </c>
      <c r="AH644" s="1014">
        <v>32</v>
      </c>
      <c r="AI644" s="1014">
        <v>0</v>
      </c>
      <c r="AJ644" s="1014">
        <v>0</v>
      </c>
      <c r="AK644" s="1018">
        <v>0</v>
      </c>
      <c r="AL644" s="1020">
        <v>0</v>
      </c>
      <c r="AM644" s="1013">
        <f t="shared" si="144"/>
        <v>1622539</v>
      </c>
      <c r="AN644" s="1045">
        <f t="shared" si="141"/>
        <v>10136839</v>
      </c>
      <c r="AO644" s="1013">
        <v>738255</v>
      </c>
      <c r="AP644" s="1013">
        <v>44100</v>
      </c>
      <c r="AQ644" s="1013">
        <v>0</v>
      </c>
      <c r="AR644" s="1013">
        <v>0</v>
      </c>
      <c r="AS644" s="1013">
        <v>0</v>
      </c>
      <c r="AT644" s="1045">
        <f t="shared" si="146"/>
        <v>9354484</v>
      </c>
      <c r="AU644" s="1004"/>
      <c r="AV644" s="870"/>
      <c r="AW644" s="782" t="s">
        <v>4547</v>
      </c>
      <c r="AX644" s="782" t="s">
        <v>4548</v>
      </c>
      <c r="AY644" s="1007" t="s">
        <v>288</v>
      </c>
      <c r="AZ644" s="1007">
        <v>622</v>
      </c>
      <c r="BA644" s="347" t="str">
        <f t="shared" si="148"/>
        <v>Bag</v>
      </c>
      <c r="BB644" s="1008"/>
      <c r="BC644" s="1009"/>
      <c r="BD644" s="1009"/>
    </row>
    <row r="645" spans="1:56" s="1010" customFormat="1" ht="36.75" customHeight="1">
      <c r="A645" s="661">
        <f>SUBTOTAL(3,B$6:B645)</f>
        <v>640</v>
      </c>
      <c r="B645" s="661" t="s">
        <v>2071</v>
      </c>
      <c r="C645" s="662" t="s">
        <v>2072</v>
      </c>
      <c r="D645" s="1011">
        <v>44348</v>
      </c>
      <c r="E645" s="1011" t="s">
        <v>218</v>
      </c>
      <c r="F645" s="787" t="s">
        <v>525</v>
      </c>
      <c r="G645" s="996" t="s">
        <v>1322</v>
      </c>
      <c r="H645" s="1012">
        <v>5931000</v>
      </c>
      <c r="I645" s="1012">
        <v>1100000</v>
      </c>
      <c r="J645" s="1012">
        <v>0</v>
      </c>
      <c r="K645" s="1012">
        <v>0</v>
      </c>
      <c r="L645" s="1013">
        <f t="shared" si="149"/>
        <v>7031000</v>
      </c>
      <c r="M645" s="1014">
        <v>23.8</v>
      </c>
      <c r="N645" s="1013">
        <f t="shared" si="137"/>
        <v>6436069</v>
      </c>
      <c r="O645" s="1015">
        <v>2</v>
      </c>
      <c r="P645" s="1013">
        <f t="shared" si="138"/>
        <v>540846</v>
      </c>
      <c r="Q645" s="1016">
        <v>0</v>
      </c>
      <c r="R645" s="1013">
        <f t="shared" si="139"/>
        <v>0</v>
      </c>
      <c r="S645" s="1013">
        <f t="shared" si="140"/>
        <v>6976915</v>
      </c>
      <c r="T645" s="1017">
        <v>0</v>
      </c>
      <c r="U645" s="785">
        <v>0</v>
      </c>
      <c r="V645" s="785">
        <v>200000</v>
      </c>
      <c r="W645" s="1017">
        <v>500000</v>
      </c>
      <c r="X645" s="1017">
        <v>0</v>
      </c>
      <c r="Y645" s="1017">
        <v>400000</v>
      </c>
      <c r="Z645" s="1017">
        <v>396700</v>
      </c>
      <c r="AA645" s="1018"/>
      <c r="AB645" s="1013"/>
      <c r="AC645" s="1017">
        <v>100000</v>
      </c>
      <c r="AD645" s="1017">
        <v>0</v>
      </c>
      <c r="AE645" s="1013">
        <v>50704.325105042022</v>
      </c>
      <c r="AF645" s="1019"/>
      <c r="AG645" s="1019">
        <f t="shared" si="145"/>
        <v>8624319</v>
      </c>
      <c r="AH645" s="1014">
        <v>22</v>
      </c>
      <c r="AI645" s="1014">
        <v>0</v>
      </c>
      <c r="AJ645" s="1014">
        <v>0</v>
      </c>
      <c r="AK645" s="1018">
        <v>0</v>
      </c>
      <c r="AL645" s="1020">
        <v>0</v>
      </c>
      <c r="AM645" s="1013">
        <f t="shared" si="144"/>
        <v>1115495</v>
      </c>
      <c r="AN645" s="1045">
        <f t="shared" si="141"/>
        <v>9739814</v>
      </c>
      <c r="AO645" s="1013">
        <v>738255</v>
      </c>
      <c r="AP645" s="1013">
        <v>44100</v>
      </c>
      <c r="AQ645" s="1013">
        <v>0</v>
      </c>
      <c r="AR645" s="1013">
        <v>0</v>
      </c>
      <c r="AS645" s="1013">
        <v>0</v>
      </c>
      <c r="AT645" s="1045">
        <f t="shared" si="146"/>
        <v>8957459</v>
      </c>
      <c r="AU645" s="1004"/>
      <c r="AV645" s="870"/>
      <c r="AW645" s="782" t="s">
        <v>3396</v>
      </c>
      <c r="AX645" s="782" t="s">
        <v>4549</v>
      </c>
      <c r="AY645" s="1007" t="s">
        <v>288</v>
      </c>
      <c r="AZ645" s="1007">
        <v>622</v>
      </c>
      <c r="BA645" s="347" t="str">
        <f t="shared" si="148"/>
        <v>Bag</v>
      </c>
      <c r="BB645" s="1008"/>
      <c r="BC645" s="1009"/>
      <c r="BD645" s="1009"/>
    </row>
    <row r="646" spans="1:56" s="1010" customFormat="1" ht="36.75" customHeight="1">
      <c r="A646" s="661">
        <f>SUBTOTAL(3,B$6:B646)</f>
        <v>641</v>
      </c>
      <c r="B646" s="661" t="s">
        <v>2073</v>
      </c>
      <c r="C646" s="662" t="s">
        <v>2074</v>
      </c>
      <c r="D646" s="1011">
        <v>44601</v>
      </c>
      <c r="E646" s="1011" t="s">
        <v>218</v>
      </c>
      <c r="F646" s="787" t="s">
        <v>525</v>
      </c>
      <c r="G646" s="996" t="s">
        <v>1322</v>
      </c>
      <c r="H646" s="1012">
        <v>5931000</v>
      </c>
      <c r="I646" s="1012">
        <v>1100000</v>
      </c>
      <c r="J646" s="1012">
        <v>0</v>
      </c>
      <c r="K646" s="1012">
        <v>0</v>
      </c>
      <c r="L646" s="1013">
        <f t="shared" si="149"/>
        <v>7031000</v>
      </c>
      <c r="M646" s="1014">
        <v>24</v>
      </c>
      <c r="N646" s="1013">
        <f t="shared" si="137"/>
        <v>6490154</v>
      </c>
      <c r="O646" s="1015">
        <v>2</v>
      </c>
      <c r="P646" s="1013">
        <f t="shared" si="138"/>
        <v>540846</v>
      </c>
      <c r="Q646" s="1016">
        <v>0</v>
      </c>
      <c r="R646" s="1013">
        <f t="shared" si="139"/>
        <v>0</v>
      </c>
      <c r="S646" s="1013">
        <f t="shared" si="140"/>
        <v>7031000</v>
      </c>
      <c r="T646" s="1017">
        <v>0</v>
      </c>
      <c r="U646" s="785">
        <v>0</v>
      </c>
      <c r="V646" s="785">
        <v>200000</v>
      </c>
      <c r="W646" s="1017">
        <v>500000</v>
      </c>
      <c r="X646" s="1017">
        <v>0</v>
      </c>
      <c r="Y646" s="1017">
        <v>400000</v>
      </c>
      <c r="Z646" s="1017">
        <v>400000</v>
      </c>
      <c r="AA646" s="1018"/>
      <c r="AB646" s="1013"/>
      <c r="AC646" s="1017">
        <v>0</v>
      </c>
      <c r="AD646" s="1017">
        <v>0</v>
      </c>
      <c r="AE646" s="1013">
        <v>50704.328125</v>
      </c>
      <c r="AF646" s="1019"/>
      <c r="AG646" s="1019">
        <f t="shared" si="145"/>
        <v>8581704</v>
      </c>
      <c r="AH646" s="1014">
        <v>37</v>
      </c>
      <c r="AI646" s="1014">
        <v>0</v>
      </c>
      <c r="AJ646" s="1014">
        <v>0</v>
      </c>
      <c r="AK646" s="1018">
        <v>0</v>
      </c>
      <c r="AL646" s="1020">
        <v>0</v>
      </c>
      <c r="AM646" s="1013">
        <f t="shared" si="144"/>
        <v>1876060</v>
      </c>
      <c r="AN646" s="1045">
        <f t="shared" si="141"/>
        <v>10457764</v>
      </c>
      <c r="AO646" s="1013">
        <v>738255</v>
      </c>
      <c r="AP646" s="1013">
        <v>44100</v>
      </c>
      <c r="AQ646" s="1013">
        <v>0</v>
      </c>
      <c r="AR646" s="1013">
        <v>0</v>
      </c>
      <c r="AS646" s="1013">
        <v>0</v>
      </c>
      <c r="AT646" s="1045">
        <f t="shared" si="146"/>
        <v>9675409</v>
      </c>
      <c r="AU646" s="1004"/>
      <c r="AV646" s="870"/>
      <c r="AW646" s="782" t="s">
        <v>4550</v>
      </c>
      <c r="AX646" s="782" t="s">
        <v>4551</v>
      </c>
      <c r="AY646" s="1007" t="s">
        <v>288</v>
      </c>
      <c r="AZ646" s="1007">
        <v>622</v>
      </c>
      <c r="BA646" s="347" t="str">
        <f t="shared" si="148"/>
        <v>Bag</v>
      </c>
      <c r="BB646" s="1008"/>
      <c r="BC646" s="1009"/>
      <c r="BD646" s="1009"/>
    </row>
    <row r="647" spans="1:56" s="1010" customFormat="1" ht="36.75" customHeight="1">
      <c r="A647" s="661">
        <f>SUBTOTAL(3,B$6:B647)</f>
        <v>642</v>
      </c>
      <c r="B647" s="661" t="s">
        <v>5769</v>
      </c>
      <c r="C647" s="662" t="s">
        <v>5770</v>
      </c>
      <c r="D647" s="1011">
        <v>44602</v>
      </c>
      <c r="E647" s="1011" t="s">
        <v>218</v>
      </c>
      <c r="F647" s="787" t="s">
        <v>525</v>
      </c>
      <c r="G647" s="996" t="s">
        <v>1322</v>
      </c>
      <c r="H647" s="1012">
        <v>5931000</v>
      </c>
      <c r="I647" s="1012">
        <v>1100000</v>
      </c>
      <c r="J647" s="1012">
        <v>0</v>
      </c>
      <c r="K647" s="1012">
        <v>0</v>
      </c>
      <c r="L647" s="1013">
        <f t="shared" si="149"/>
        <v>7031000</v>
      </c>
      <c r="M647" s="1014">
        <v>1</v>
      </c>
      <c r="N647" s="1013">
        <f t="shared" si="137"/>
        <v>270423</v>
      </c>
      <c r="O647" s="1015">
        <v>1</v>
      </c>
      <c r="P647" s="1013">
        <f t="shared" si="138"/>
        <v>270423</v>
      </c>
      <c r="Q647" s="1016">
        <v>0</v>
      </c>
      <c r="R647" s="1013">
        <f t="shared" si="139"/>
        <v>0</v>
      </c>
      <c r="S647" s="1013">
        <f t="shared" si="140"/>
        <v>540846</v>
      </c>
      <c r="T647" s="1017">
        <v>0</v>
      </c>
      <c r="U647" s="785">
        <v>0</v>
      </c>
      <c r="V647" s="785">
        <v>0</v>
      </c>
      <c r="W647" s="1017">
        <v>0</v>
      </c>
      <c r="X647" s="1017">
        <v>0</v>
      </c>
      <c r="Y647" s="1017">
        <v>0</v>
      </c>
      <c r="Z647" s="1017">
        <v>0</v>
      </c>
      <c r="AA647" s="1018"/>
      <c r="AB647" s="1013"/>
      <c r="AC647" s="1017">
        <v>0</v>
      </c>
      <c r="AD647" s="1017">
        <v>0</v>
      </c>
      <c r="AE647" s="1013">
        <v>0</v>
      </c>
      <c r="AF647" s="1019"/>
      <c r="AG647" s="1019">
        <f t="shared" si="145"/>
        <v>540846</v>
      </c>
      <c r="AH647" s="1014">
        <v>0</v>
      </c>
      <c r="AI647" s="1014">
        <v>0</v>
      </c>
      <c r="AJ647" s="1014">
        <v>0</v>
      </c>
      <c r="AK647" s="1018">
        <v>0</v>
      </c>
      <c r="AL647" s="1020">
        <v>0</v>
      </c>
      <c r="AM647" s="1013">
        <f t="shared" ref="AM647:AM710" si="150">ROUND((N647/IF(M647&gt;26,26,M647)/8*(AH647*$AH$5+AI647*$AI$5+AJ647*$AJ$5+AK647*$AK$5+AL647*$AL$5)),0)</f>
        <v>0</v>
      </c>
      <c r="AN647" s="1045">
        <f t="shared" si="141"/>
        <v>540846</v>
      </c>
      <c r="AO647" s="1013">
        <v>0</v>
      </c>
      <c r="AP647" s="1013">
        <v>44100</v>
      </c>
      <c r="AQ647" s="1013">
        <v>0</v>
      </c>
      <c r="AR647" s="1013">
        <v>0</v>
      </c>
      <c r="AS647" s="1013">
        <v>0</v>
      </c>
      <c r="AT647" s="1045">
        <f t="shared" si="146"/>
        <v>496746</v>
      </c>
      <c r="AU647" s="1004"/>
      <c r="AV647" s="870"/>
      <c r="AW647" s="782" t="s">
        <v>5871</v>
      </c>
      <c r="AX647" s="782" t="s">
        <v>5872</v>
      </c>
      <c r="AY647" s="1007" t="s">
        <v>288</v>
      </c>
      <c r="AZ647" s="1007">
        <v>622</v>
      </c>
      <c r="BA647" s="347" t="str">
        <f t="shared" si="148"/>
        <v>Bag</v>
      </c>
      <c r="BB647" s="1008"/>
      <c r="BC647" s="1009"/>
      <c r="BD647" s="1009"/>
    </row>
    <row r="648" spans="1:56" s="1010" customFormat="1" ht="36.75" customHeight="1">
      <c r="A648" s="661">
        <f>SUBTOTAL(3,B$6:B648)</f>
        <v>643</v>
      </c>
      <c r="B648" s="661" t="s">
        <v>2075</v>
      </c>
      <c r="C648" s="662" t="s">
        <v>2076</v>
      </c>
      <c r="D648" s="1011">
        <v>44665</v>
      </c>
      <c r="E648" s="1011" t="s">
        <v>218</v>
      </c>
      <c r="F648" s="787" t="s">
        <v>525</v>
      </c>
      <c r="G648" s="996" t="s">
        <v>1322</v>
      </c>
      <c r="H648" s="1012">
        <v>5931000</v>
      </c>
      <c r="I648" s="1012">
        <v>900000</v>
      </c>
      <c r="J648" s="1012">
        <v>0</v>
      </c>
      <c r="K648" s="1012">
        <v>0</v>
      </c>
      <c r="L648" s="1013">
        <f t="shared" si="149"/>
        <v>6831000</v>
      </c>
      <c r="M648" s="1014">
        <v>24</v>
      </c>
      <c r="N648" s="1013">
        <f t="shared" si="137"/>
        <v>6305538</v>
      </c>
      <c r="O648" s="1015">
        <v>2</v>
      </c>
      <c r="P648" s="1013">
        <f t="shared" si="138"/>
        <v>525462</v>
      </c>
      <c r="Q648" s="1016">
        <v>0</v>
      </c>
      <c r="R648" s="1013">
        <f t="shared" si="139"/>
        <v>0</v>
      </c>
      <c r="S648" s="1013">
        <f t="shared" si="140"/>
        <v>6831000</v>
      </c>
      <c r="T648" s="1017">
        <v>0</v>
      </c>
      <c r="U648" s="785">
        <v>0</v>
      </c>
      <c r="V648" s="785">
        <v>200000</v>
      </c>
      <c r="W648" s="1017">
        <v>500000</v>
      </c>
      <c r="X648" s="1017">
        <v>0</v>
      </c>
      <c r="Y648" s="1017">
        <v>400000</v>
      </c>
      <c r="Z648" s="1017">
        <v>400000</v>
      </c>
      <c r="AA648" s="1018"/>
      <c r="AB648" s="1013"/>
      <c r="AC648" s="1017">
        <v>100000</v>
      </c>
      <c r="AD648" s="1017">
        <v>0</v>
      </c>
      <c r="AE648" s="1013">
        <v>49262.015625</v>
      </c>
      <c r="AF648" s="1019"/>
      <c r="AG648" s="1019">
        <f t="shared" si="145"/>
        <v>8480262</v>
      </c>
      <c r="AH648" s="1014">
        <v>22</v>
      </c>
      <c r="AI648" s="1014">
        <v>0</v>
      </c>
      <c r="AJ648" s="1014">
        <v>0</v>
      </c>
      <c r="AK648" s="1018">
        <v>0</v>
      </c>
      <c r="AL648" s="1020">
        <v>0</v>
      </c>
      <c r="AM648" s="1013">
        <f t="shared" si="150"/>
        <v>1083764</v>
      </c>
      <c r="AN648" s="1045">
        <f t="shared" si="141"/>
        <v>9564026</v>
      </c>
      <c r="AO648" s="1013">
        <v>717255</v>
      </c>
      <c r="AP648" s="1013">
        <v>44100</v>
      </c>
      <c r="AQ648" s="1013">
        <v>0</v>
      </c>
      <c r="AR648" s="1013">
        <v>0</v>
      </c>
      <c r="AS648" s="1013">
        <v>0</v>
      </c>
      <c r="AT648" s="1045">
        <f t="shared" si="146"/>
        <v>8802671</v>
      </c>
      <c r="AU648" s="1004"/>
      <c r="AV648" s="870"/>
      <c r="AW648" s="782" t="s">
        <v>4552</v>
      </c>
      <c r="AX648" s="782" t="s">
        <v>4553</v>
      </c>
      <c r="AY648" s="1007" t="s">
        <v>288</v>
      </c>
      <c r="AZ648" s="1007">
        <v>622</v>
      </c>
      <c r="BA648" s="347" t="str">
        <f t="shared" si="148"/>
        <v>Bag</v>
      </c>
      <c r="BB648" s="1008"/>
      <c r="BC648" s="1009"/>
      <c r="BD648" s="1009"/>
    </row>
    <row r="649" spans="1:56" s="1010" customFormat="1" ht="36.75" customHeight="1">
      <c r="A649" s="661">
        <f>SUBTOTAL(3,B$6:B649)</f>
        <v>644</v>
      </c>
      <c r="B649" s="661" t="s">
        <v>2077</v>
      </c>
      <c r="C649" s="662" t="s">
        <v>2078</v>
      </c>
      <c r="D649" s="1011">
        <v>44973</v>
      </c>
      <c r="E649" s="1011" t="s">
        <v>218</v>
      </c>
      <c r="F649" s="787" t="s">
        <v>525</v>
      </c>
      <c r="G649" s="996" t="s">
        <v>1322</v>
      </c>
      <c r="H649" s="1012">
        <v>5815000</v>
      </c>
      <c r="I649" s="1012">
        <v>700000</v>
      </c>
      <c r="J649" s="1012">
        <v>0</v>
      </c>
      <c r="K649" s="1012">
        <v>0</v>
      </c>
      <c r="L649" s="1013">
        <f t="shared" si="149"/>
        <v>6515000</v>
      </c>
      <c r="M649" s="1014">
        <v>22.6</v>
      </c>
      <c r="N649" s="1013">
        <f t="shared" si="137"/>
        <v>5663038</v>
      </c>
      <c r="O649" s="1015">
        <v>3</v>
      </c>
      <c r="P649" s="1013">
        <f t="shared" si="138"/>
        <v>751731</v>
      </c>
      <c r="Q649" s="1016">
        <v>0</v>
      </c>
      <c r="R649" s="1013">
        <f t="shared" si="139"/>
        <v>0</v>
      </c>
      <c r="S649" s="1013">
        <f t="shared" si="140"/>
        <v>6414769</v>
      </c>
      <c r="T649" s="1017">
        <v>0</v>
      </c>
      <c r="U649" s="785">
        <v>0</v>
      </c>
      <c r="V649" s="785">
        <v>200000</v>
      </c>
      <c r="W649" s="1017">
        <v>500000</v>
      </c>
      <c r="X649" s="1017">
        <v>0</v>
      </c>
      <c r="Y649" s="1017">
        <v>400000</v>
      </c>
      <c r="Z649" s="1017">
        <v>376700</v>
      </c>
      <c r="AA649" s="1018"/>
      <c r="AB649" s="1013"/>
      <c r="AC649" s="1017">
        <v>100000</v>
      </c>
      <c r="AD649" s="1017">
        <v>0</v>
      </c>
      <c r="AE649" s="1013">
        <v>46983.169247787606</v>
      </c>
      <c r="AF649" s="1019"/>
      <c r="AG649" s="1019">
        <f t="shared" si="145"/>
        <v>8038452</v>
      </c>
      <c r="AH649" s="1014">
        <v>26</v>
      </c>
      <c r="AI649" s="1014">
        <v>0</v>
      </c>
      <c r="AJ649" s="1014">
        <v>0</v>
      </c>
      <c r="AK649" s="1018">
        <v>0</v>
      </c>
      <c r="AL649" s="1020">
        <v>0</v>
      </c>
      <c r="AM649" s="1013">
        <f t="shared" si="150"/>
        <v>1221562</v>
      </c>
      <c r="AN649" s="1045">
        <f t="shared" si="141"/>
        <v>9260014</v>
      </c>
      <c r="AO649" s="1013">
        <v>684075</v>
      </c>
      <c r="AP649" s="1013">
        <v>44100</v>
      </c>
      <c r="AQ649" s="1013">
        <v>0</v>
      </c>
      <c r="AR649" s="1013">
        <v>0</v>
      </c>
      <c r="AS649" s="1013">
        <v>0</v>
      </c>
      <c r="AT649" s="1045">
        <f t="shared" si="146"/>
        <v>8531839</v>
      </c>
      <c r="AU649" s="1004"/>
      <c r="AV649" s="870"/>
      <c r="AW649" s="782" t="s">
        <v>4554</v>
      </c>
      <c r="AX649" s="782" t="s">
        <v>4555</v>
      </c>
      <c r="AY649" s="1007" t="s">
        <v>288</v>
      </c>
      <c r="AZ649" s="1007">
        <v>622</v>
      </c>
      <c r="BA649" s="347" t="str">
        <f t="shared" si="148"/>
        <v>Bag</v>
      </c>
      <c r="BB649" s="1008"/>
      <c r="BC649" s="1009"/>
      <c r="BD649" s="1009"/>
    </row>
    <row r="650" spans="1:56" s="1010" customFormat="1" ht="36.75" customHeight="1">
      <c r="A650" s="661">
        <f>SUBTOTAL(3,B$6:B650)</f>
        <v>645</v>
      </c>
      <c r="B650" s="661" t="s">
        <v>2079</v>
      </c>
      <c r="C650" s="662" t="s">
        <v>2080</v>
      </c>
      <c r="D650" s="1011">
        <v>39863</v>
      </c>
      <c r="E650" s="1011" t="s">
        <v>218</v>
      </c>
      <c r="F650" s="787" t="s">
        <v>525</v>
      </c>
      <c r="G650" s="996" t="s">
        <v>1580</v>
      </c>
      <c r="H650" s="1012">
        <v>5931000</v>
      </c>
      <c r="I650" s="1012">
        <v>2700000</v>
      </c>
      <c r="J650" s="1012">
        <v>0</v>
      </c>
      <c r="K650" s="1012">
        <v>2300000</v>
      </c>
      <c r="L650" s="1013">
        <f t="shared" si="149"/>
        <v>10931000</v>
      </c>
      <c r="M650" s="1014">
        <v>24</v>
      </c>
      <c r="N650" s="1013">
        <f t="shared" si="137"/>
        <v>10090154</v>
      </c>
      <c r="O650" s="1015">
        <v>2</v>
      </c>
      <c r="P650" s="1013">
        <f t="shared" si="138"/>
        <v>840846</v>
      </c>
      <c r="Q650" s="1016">
        <v>0</v>
      </c>
      <c r="R650" s="1013">
        <f t="shared" si="139"/>
        <v>0</v>
      </c>
      <c r="S650" s="1013">
        <f t="shared" si="140"/>
        <v>10931000</v>
      </c>
      <c r="T650" s="1017">
        <v>0</v>
      </c>
      <c r="U650" s="785">
        <v>0</v>
      </c>
      <c r="V650" s="785">
        <v>200000</v>
      </c>
      <c r="W650" s="1017">
        <v>500000</v>
      </c>
      <c r="X650" s="1017">
        <v>0</v>
      </c>
      <c r="Y650" s="1017">
        <v>400000</v>
      </c>
      <c r="Z650" s="1017">
        <v>700000</v>
      </c>
      <c r="AA650" s="1018"/>
      <c r="AB650" s="1013"/>
      <c r="AC650" s="1017">
        <v>0</v>
      </c>
      <c r="AD650" s="1017">
        <v>0</v>
      </c>
      <c r="AE650" s="1013">
        <v>78829.328125</v>
      </c>
      <c r="AF650" s="1019"/>
      <c r="AG650" s="1019">
        <f t="shared" si="145"/>
        <v>12809829</v>
      </c>
      <c r="AH650" s="1014">
        <v>40</v>
      </c>
      <c r="AI650" s="1014">
        <v>0</v>
      </c>
      <c r="AJ650" s="1014">
        <v>0</v>
      </c>
      <c r="AK650" s="1018">
        <v>0</v>
      </c>
      <c r="AL650" s="1020">
        <v>0</v>
      </c>
      <c r="AM650" s="1013">
        <f t="shared" si="150"/>
        <v>3153173</v>
      </c>
      <c r="AN650" s="1045">
        <f t="shared" si="141"/>
        <v>15963002</v>
      </c>
      <c r="AO650" s="1013">
        <v>1147755</v>
      </c>
      <c r="AP650" s="1013">
        <v>44100</v>
      </c>
      <c r="AQ650" s="1013">
        <v>0</v>
      </c>
      <c r="AR650" s="1013">
        <v>0</v>
      </c>
      <c r="AS650" s="1013">
        <v>0</v>
      </c>
      <c r="AT650" s="1045">
        <f t="shared" si="146"/>
        <v>14771147</v>
      </c>
      <c r="AU650" s="1004"/>
      <c r="AV650" s="870"/>
      <c r="AW650" s="782" t="s">
        <v>4556</v>
      </c>
      <c r="AX650" s="782" t="s">
        <v>4557</v>
      </c>
      <c r="AY650" s="1007" t="s">
        <v>288</v>
      </c>
      <c r="AZ650" s="1007">
        <v>622</v>
      </c>
      <c r="BA650" s="347" t="str">
        <f t="shared" si="148"/>
        <v>Bag</v>
      </c>
      <c r="BB650" s="1008"/>
      <c r="BC650" s="1009"/>
      <c r="BD650" s="1009"/>
    </row>
    <row r="651" spans="1:56" s="1010" customFormat="1" ht="36.75" customHeight="1">
      <c r="A651" s="661">
        <f>SUBTOTAL(3,B$6:B651)</f>
        <v>646</v>
      </c>
      <c r="B651" s="661" t="s">
        <v>2081</v>
      </c>
      <c r="C651" s="662" t="s">
        <v>2082</v>
      </c>
      <c r="D651" s="1011">
        <v>43511</v>
      </c>
      <c r="E651" s="1011" t="s">
        <v>218</v>
      </c>
      <c r="F651" s="787" t="s">
        <v>525</v>
      </c>
      <c r="G651" s="996" t="s">
        <v>1322</v>
      </c>
      <c r="H651" s="1012">
        <v>5931000</v>
      </c>
      <c r="I651" s="1012">
        <v>1100000</v>
      </c>
      <c r="J651" s="1012">
        <v>0</v>
      </c>
      <c r="K651" s="1012">
        <v>0</v>
      </c>
      <c r="L651" s="1013">
        <f t="shared" si="149"/>
        <v>7031000</v>
      </c>
      <c r="M651" s="1014">
        <v>20.7</v>
      </c>
      <c r="N651" s="1013">
        <f t="shared" si="137"/>
        <v>5597758</v>
      </c>
      <c r="O651" s="1015">
        <v>2</v>
      </c>
      <c r="P651" s="1013">
        <f t="shared" si="138"/>
        <v>540846</v>
      </c>
      <c r="Q651" s="1016">
        <v>0</v>
      </c>
      <c r="R651" s="1013">
        <f t="shared" si="139"/>
        <v>0</v>
      </c>
      <c r="S651" s="1013">
        <f t="shared" si="140"/>
        <v>6138604</v>
      </c>
      <c r="T651" s="1017">
        <v>0</v>
      </c>
      <c r="U651" s="785">
        <v>0</v>
      </c>
      <c r="V651" s="785">
        <v>200000</v>
      </c>
      <c r="W651" s="1017">
        <v>0</v>
      </c>
      <c r="X651" s="1017">
        <v>0</v>
      </c>
      <c r="Y651" s="1017">
        <v>150000</v>
      </c>
      <c r="Z651" s="1017">
        <v>345000</v>
      </c>
      <c r="AA651" s="1018"/>
      <c r="AB651" s="1013"/>
      <c r="AC651" s="1017">
        <v>100000</v>
      </c>
      <c r="AD651" s="1017">
        <v>0</v>
      </c>
      <c r="AE651" s="1013">
        <v>50704.329710144928</v>
      </c>
      <c r="AF651" s="1019"/>
      <c r="AG651" s="1019">
        <f t="shared" si="145"/>
        <v>6984308</v>
      </c>
      <c r="AH651" s="1014">
        <v>16</v>
      </c>
      <c r="AI651" s="1014">
        <v>0</v>
      </c>
      <c r="AJ651" s="1014">
        <v>0</v>
      </c>
      <c r="AK651" s="1018">
        <v>0</v>
      </c>
      <c r="AL651" s="1020">
        <v>0</v>
      </c>
      <c r="AM651" s="1013">
        <f t="shared" si="150"/>
        <v>811269</v>
      </c>
      <c r="AN651" s="1045">
        <f t="shared" si="141"/>
        <v>7795577</v>
      </c>
      <c r="AO651" s="1013">
        <v>738255</v>
      </c>
      <c r="AP651" s="1013">
        <v>44100</v>
      </c>
      <c r="AQ651" s="1013">
        <v>0</v>
      </c>
      <c r="AR651" s="1013">
        <v>0</v>
      </c>
      <c r="AS651" s="1013">
        <v>0</v>
      </c>
      <c r="AT651" s="1045">
        <f t="shared" si="146"/>
        <v>7013222</v>
      </c>
      <c r="AU651" s="1004"/>
      <c r="AV651" s="870"/>
      <c r="AW651" s="782" t="s">
        <v>4558</v>
      </c>
      <c r="AX651" s="782" t="s">
        <v>4559</v>
      </c>
      <c r="AY651" s="1007" t="s">
        <v>288</v>
      </c>
      <c r="AZ651" s="1007">
        <v>622</v>
      </c>
      <c r="BA651" s="347" t="str">
        <f t="shared" si="148"/>
        <v>Bag</v>
      </c>
      <c r="BB651" s="1008"/>
      <c r="BC651" s="1009"/>
      <c r="BD651" s="1009"/>
    </row>
    <row r="652" spans="1:56" s="1010" customFormat="1" ht="36.75" customHeight="1">
      <c r="A652" s="661">
        <f>SUBTOTAL(3,B$6:B652)</f>
        <v>647</v>
      </c>
      <c r="B652" s="661" t="s">
        <v>2083</v>
      </c>
      <c r="C652" s="662" t="s">
        <v>2084</v>
      </c>
      <c r="D652" s="1011">
        <v>43435</v>
      </c>
      <c r="E652" s="1011" t="s">
        <v>218</v>
      </c>
      <c r="F652" s="787" t="s">
        <v>526</v>
      </c>
      <c r="G652" s="996" t="s">
        <v>1338</v>
      </c>
      <c r="H652" s="1012">
        <v>5931000</v>
      </c>
      <c r="I652" s="1012">
        <v>300000</v>
      </c>
      <c r="J652" s="1012">
        <v>0</v>
      </c>
      <c r="K652" s="1012">
        <v>0</v>
      </c>
      <c r="L652" s="1013">
        <f t="shared" si="149"/>
        <v>6231000</v>
      </c>
      <c r="M652" s="1014">
        <v>24</v>
      </c>
      <c r="N652" s="1013">
        <f t="shared" si="137"/>
        <v>5751692</v>
      </c>
      <c r="O652" s="1015">
        <v>2</v>
      </c>
      <c r="P652" s="1013">
        <f t="shared" si="138"/>
        <v>479308</v>
      </c>
      <c r="Q652" s="1016">
        <v>0</v>
      </c>
      <c r="R652" s="1013">
        <f t="shared" si="139"/>
        <v>0</v>
      </c>
      <c r="S652" s="1013">
        <f t="shared" si="140"/>
        <v>6231000</v>
      </c>
      <c r="T652" s="1017">
        <v>0</v>
      </c>
      <c r="U652" s="785">
        <v>0</v>
      </c>
      <c r="V652" s="785">
        <v>200000</v>
      </c>
      <c r="W652" s="1017">
        <v>500000</v>
      </c>
      <c r="X652" s="1017">
        <v>0</v>
      </c>
      <c r="Y652" s="1017">
        <v>400000</v>
      </c>
      <c r="Z652" s="1017">
        <v>546757</v>
      </c>
      <c r="AA652" s="1018"/>
      <c r="AB652" s="1013"/>
      <c r="AC652" s="1017">
        <v>0</v>
      </c>
      <c r="AD652" s="1017">
        <v>0</v>
      </c>
      <c r="AE652" s="1013">
        <v>0</v>
      </c>
      <c r="AF652" s="1019"/>
      <c r="AG652" s="1019">
        <f t="shared" si="145"/>
        <v>7877757</v>
      </c>
      <c r="AH652" s="1014">
        <v>14</v>
      </c>
      <c r="AI652" s="1014">
        <v>0</v>
      </c>
      <c r="AJ652" s="1014">
        <v>0</v>
      </c>
      <c r="AK652" s="1018">
        <v>0</v>
      </c>
      <c r="AL652" s="1020">
        <v>0</v>
      </c>
      <c r="AM652" s="1013">
        <f t="shared" si="150"/>
        <v>629091</v>
      </c>
      <c r="AN652" s="1045">
        <f t="shared" si="141"/>
        <v>8506848</v>
      </c>
      <c r="AO652" s="1013">
        <v>654255</v>
      </c>
      <c r="AP652" s="1013">
        <v>44100</v>
      </c>
      <c r="AQ652" s="1013">
        <v>0</v>
      </c>
      <c r="AR652" s="1013">
        <v>0</v>
      </c>
      <c r="AS652" s="1013">
        <v>0</v>
      </c>
      <c r="AT652" s="1045">
        <f t="shared" si="146"/>
        <v>7808493</v>
      </c>
      <c r="AU652" s="1004"/>
      <c r="AV652" s="870"/>
      <c r="AW652" s="782" t="s">
        <v>4560</v>
      </c>
      <c r="AX652" s="782" t="s">
        <v>4561</v>
      </c>
      <c r="AY652" s="1007" t="s">
        <v>288</v>
      </c>
      <c r="AZ652" s="1007">
        <v>622</v>
      </c>
      <c r="BA652" s="347" t="str">
        <f t="shared" si="148"/>
        <v>Bag</v>
      </c>
      <c r="BB652" s="1008"/>
      <c r="BC652" s="1009"/>
      <c r="BD652" s="1009"/>
    </row>
    <row r="653" spans="1:56" s="1010" customFormat="1" ht="36.75" customHeight="1">
      <c r="A653" s="661">
        <f>SUBTOTAL(3,B$6:B653)</f>
        <v>648</v>
      </c>
      <c r="B653" s="661" t="s">
        <v>2085</v>
      </c>
      <c r="C653" s="662" t="s">
        <v>182</v>
      </c>
      <c r="D653" s="1011">
        <v>43801</v>
      </c>
      <c r="E653" s="1011" t="s">
        <v>220</v>
      </c>
      <c r="F653" s="787" t="s">
        <v>541</v>
      </c>
      <c r="G653" s="996" t="s">
        <v>2086</v>
      </c>
      <c r="H653" s="1012">
        <v>13200000</v>
      </c>
      <c r="I653" s="1012">
        <v>3800000</v>
      </c>
      <c r="J653" s="1012">
        <v>0</v>
      </c>
      <c r="K653" s="1012">
        <v>0</v>
      </c>
      <c r="L653" s="1013">
        <f t="shared" si="149"/>
        <v>17000000</v>
      </c>
      <c r="M653" s="1014">
        <v>23</v>
      </c>
      <c r="N653" s="1013">
        <f t="shared" si="137"/>
        <v>15038462</v>
      </c>
      <c r="O653" s="1015">
        <v>2</v>
      </c>
      <c r="P653" s="1013">
        <f t="shared" si="138"/>
        <v>1307692</v>
      </c>
      <c r="Q653" s="1016">
        <v>0</v>
      </c>
      <c r="R653" s="1013">
        <f t="shared" si="139"/>
        <v>0</v>
      </c>
      <c r="S653" s="1013">
        <f t="shared" si="140"/>
        <v>16346154</v>
      </c>
      <c r="T653" s="1017">
        <v>480769</v>
      </c>
      <c r="U653" s="785">
        <v>0</v>
      </c>
      <c r="V653" s="785">
        <v>0</v>
      </c>
      <c r="W653" s="1017">
        <v>0</v>
      </c>
      <c r="X653" s="1017">
        <v>0</v>
      </c>
      <c r="Y653" s="1017">
        <v>0</v>
      </c>
      <c r="Z653" s="1017">
        <v>0</v>
      </c>
      <c r="AA653" s="1018"/>
      <c r="AB653" s="1013"/>
      <c r="AC653" s="1017">
        <v>100000</v>
      </c>
      <c r="AD653" s="1017">
        <v>0</v>
      </c>
      <c r="AE653" s="1013">
        <v>122596.15760869565</v>
      </c>
      <c r="AF653" s="1019"/>
      <c r="AG653" s="1019">
        <f t="shared" si="145"/>
        <v>17049519</v>
      </c>
      <c r="AH653" s="1014">
        <v>0</v>
      </c>
      <c r="AI653" s="1014">
        <v>0</v>
      </c>
      <c r="AJ653" s="1014">
        <v>0</v>
      </c>
      <c r="AK653" s="1018">
        <v>0</v>
      </c>
      <c r="AL653" s="1020">
        <v>0</v>
      </c>
      <c r="AM653" s="1013">
        <f t="shared" si="150"/>
        <v>0</v>
      </c>
      <c r="AN653" s="1045">
        <f t="shared" si="141"/>
        <v>17049519</v>
      </c>
      <c r="AO653" s="1013">
        <v>1785000</v>
      </c>
      <c r="AP653" s="1013">
        <v>44100</v>
      </c>
      <c r="AQ653" s="1013">
        <v>0</v>
      </c>
      <c r="AR653" s="1013">
        <v>0</v>
      </c>
      <c r="AS653" s="1013">
        <v>0</v>
      </c>
      <c r="AT653" s="1045">
        <f t="shared" si="146"/>
        <v>15220419</v>
      </c>
      <c r="AU653" s="1004"/>
      <c r="AV653" s="870"/>
      <c r="AW653" s="782" t="s">
        <v>4562</v>
      </c>
      <c r="AX653" s="782" t="s">
        <v>4563</v>
      </c>
      <c r="AY653" s="1007" t="s">
        <v>287</v>
      </c>
      <c r="AZ653" s="1007">
        <v>642</v>
      </c>
      <c r="BA653" s="347" t="s">
        <v>1</v>
      </c>
      <c r="BB653" s="1008"/>
      <c r="BC653" s="1009"/>
      <c r="BD653" s="1009"/>
    </row>
    <row r="654" spans="1:56" s="1010" customFormat="1" ht="36.75" customHeight="1">
      <c r="A654" s="661">
        <f>SUBTOTAL(3,B$6:B654)</f>
        <v>649</v>
      </c>
      <c r="B654" s="661" t="s">
        <v>2087</v>
      </c>
      <c r="C654" s="662" t="s">
        <v>2088</v>
      </c>
      <c r="D654" s="1011">
        <v>44249</v>
      </c>
      <c r="E654" s="1011" t="s">
        <v>220</v>
      </c>
      <c r="F654" s="787" t="s">
        <v>541</v>
      </c>
      <c r="G654" s="996" t="s">
        <v>2086</v>
      </c>
      <c r="H654" s="1012">
        <v>11700000</v>
      </c>
      <c r="I654" s="1012">
        <v>4000000</v>
      </c>
      <c r="J654" s="1012">
        <v>0</v>
      </c>
      <c r="K654" s="1012">
        <v>0</v>
      </c>
      <c r="L654" s="1013">
        <f t="shared" si="149"/>
        <v>15700000</v>
      </c>
      <c r="M654" s="1014">
        <v>22.9</v>
      </c>
      <c r="N654" s="1013">
        <f t="shared" si="137"/>
        <v>13828077</v>
      </c>
      <c r="O654" s="1015">
        <v>3</v>
      </c>
      <c r="P654" s="1013">
        <f t="shared" si="138"/>
        <v>1811538</v>
      </c>
      <c r="Q654" s="1016">
        <v>0</v>
      </c>
      <c r="R654" s="1013">
        <f t="shared" si="139"/>
        <v>0</v>
      </c>
      <c r="S654" s="1013">
        <f t="shared" si="140"/>
        <v>15639615</v>
      </c>
      <c r="T654" s="1017">
        <v>498077</v>
      </c>
      <c r="U654" s="785">
        <v>0</v>
      </c>
      <c r="V654" s="785">
        <v>0</v>
      </c>
      <c r="W654" s="1017">
        <v>0</v>
      </c>
      <c r="X654" s="1017">
        <v>0</v>
      </c>
      <c r="Y654" s="1017">
        <v>0</v>
      </c>
      <c r="Z654" s="1017">
        <v>0</v>
      </c>
      <c r="AA654" s="1018"/>
      <c r="AB654" s="1013"/>
      <c r="AC654" s="1017">
        <v>100000</v>
      </c>
      <c r="AD654" s="1017">
        <v>0</v>
      </c>
      <c r="AE654" s="1013">
        <v>0</v>
      </c>
      <c r="AF654" s="1019"/>
      <c r="AG654" s="1019">
        <f t="shared" si="145"/>
        <v>16237692</v>
      </c>
      <c r="AH654" s="1014">
        <v>0</v>
      </c>
      <c r="AI654" s="1014">
        <v>0</v>
      </c>
      <c r="AJ654" s="1014">
        <v>0</v>
      </c>
      <c r="AK654" s="1018">
        <v>0</v>
      </c>
      <c r="AL654" s="1020">
        <v>0</v>
      </c>
      <c r="AM654" s="1013">
        <f t="shared" si="150"/>
        <v>0</v>
      </c>
      <c r="AN654" s="1045">
        <f t="shared" si="141"/>
        <v>16237692</v>
      </c>
      <c r="AO654" s="1013">
        <v>1648500</v>
      </c>
      <c r="AP654" s="1013">
        <v>44100</v>
      </c>
      <c r="AQ654" s="1013">
        <v>0</v>
      </c>
      <c r="AR654" s="1013">
        <v>0</v>
      </c>
      <c r="AS654" s="1013">
        <v>0</v>
      </c>
      <c r="AT654" s="1045">
        <f t="shared" si="146"/>
        <v>14545092</v>
      </c>
      <c r="AU654" s="1004"/>
      <c r="AV654" s="870"/>
      <c r="AW654" s="782" t="s">
        <v>4564</v>
      </c>
      <c r="AX654" s="782" t="s">
        <v>4565</v>
      </c>
      <c r="AY654" s="1007" t="s">
        <v>288</v>
      </c>
      <c r="AZ654" s="1007">
        <v>642</v>
      </c>
      <c r="BA654" s="347" t="s">
        <v>1</v>
      </c>
      <c r="BB654" s="1008"/>
      <c r="BC654" s="1009"/>
      <c r="BD654" s="1009"/>
    </row>
    <row r="655" spans="1:56" s="1010" customFormat="1" ht="36.75" customHeight="1">
      <c r="A655" s="661">
        <f>SUBTOTAL(3,B$6:B655)</f>
        <v>650</v>
      </c>
      <c r="B655" s="661" t="s">
        <v>2089</v>
      </c>
      <c r="C655" s="662" t="s">
        <v>2090</v>
      </c>
      <c r="D655" s="1011">
        <v>44327</v>
      </c>
      <c r="E655" s="1011" t="s">
        <v>220</v>
      </c>
      <c r="F655" s="787" t="s">
        <v>541</v>
      </c>
      <c r="G655" s="996" t="s">
        <v>2086</v>
      </c>
      <c r="H655" s="1012">
        <v>12300000</v>
      </c>
      <c r="I655" s="1012">
        <v>5800000</v>
      </c>
      <c r="J655" s="1012">
        <v>0</v>
      </c>
      <c r="K655" s="1012">
        <v>0</v>
      </c>
      <c r="L655" s="1013">
        <f t="shared" si="149"/>
        <v>18100000</v>
      </c>
      <c r="M655" s="1014">
        <v>22</v>
      </c>
      <c r="N655" s="1013">
        <f t="shared" si="137"/>
        <v>15315385</v>
      </c>
      <c r="O655" s="1015">
        <v>2</v>
      </c>
      <c r="P655" s="1013">
        <f t="shared" si="138"/>
        <v>1392308</v>
      </c>
      <c r="Q655" s="1016">
        <v>0</v>
      </c>
      <c r="R655" s="1013">
        <f t="shared" si="139"/>
        <v>0</v>
      </c>
      <c r="S655" s="1013">
        <f t="shared" si="140"/>
        <v>16707693</v>
      </c>
      <c r="T655" s="1017">
        <v>461538</v>
      </c>
      <c r="U655" s="785">
        <v>0</v>
      </c>
      <c r="V655" s="785">
        <v>0</v>
      </c>
      <c r="W655" s="1017">
        <v>0</v>
      </c>
      <c r="X655" s="1017">
        <v>0</v>
      </c>
      <c r="Y655" s="1017">
        <v>0</v>
      </c>
      <c r="Z655" s="1017">
        <v>0</v>
      </c>
      <c r="AA655" s="1018"/>
      <c r="AB655" s="1013"/>
      <c r="AC655" s="1017">
        <v>0</v>
      </c>
      <c r="AD655" s="1017">
        <v>0</v>
      </c>
      <c r="AE655" s="1013">
        <v>130528.84943181818</v>
      </c>
      <c r="AF655" s="1019"/>
      <c r="AG655" s="1019">
        <f t="shared" si="145"/>
        <v>17299760</v>
      </c>
      <c r="AH655" s="1014">
        <v>0</v>
      </c>
      <c r="AI655" s="1014">
        <v>0</v>
      </c>
      <c r="AJ655" s="1014">
        <v>0</v>
      </c>
      <c r="AK655" s="1018">
        <v>0</v>
      </c>
      <c r="AL655" s="1020">
        <v>0</v>
      </c>
      <c r="AM655" s="1013">
        <f t="shared" si="150"/>
        <v>0</v>
      </c>
      <c r="AN655" s="1045">
        <f t="shared" si="141"/>
        <v>17299760</v>
      </c>
      <c r="AO655" s="1013">
        <v>1900500</v>
      </c>
      <c r="AP655" s="1013">
        <v>44100</v>
      </c>
      <c r="AQ655" s="1013">
        <v>0</v>
      </c>
      <c r="AR655" s="1013">
        <v>0</v>
      </c>
      <c r="AS655" s="1013">
        <v>0</v>
      </c>
      <c r="AT655" s="1045">
        <f t="shared" si="146"/>
        <v>15355160</v>
      </c>
      <c r="AU655" s="1004"/>
      <c r="AV655" s="870"/>
      <c r="AW655" s="782" t="s">
        <v>4566</v>
      </c>
      <c r="AX655" s="782" t="s">
        <v>4567</v>
      </c>
      <c r="AY655" s="1007" t="s">
        <v>221</v>
      </c>
      <c r="AZ655" s="1007">
        <v>642</v>
      </c>
      <c r="BA655" s="347" t="s">
        <v>1</v>
      </c>
      <c r="BB655" s="1008"/>
      <c r="BC655" s="1009"/>
      <c r="BD655" s="1009"/>
    </row>
    <row r="656" spans="1:56" s="1010" customFormat="1" ht="36.75" customHeight="1">
      <c r="A656" s="661">
        <f>SUBTOTAL(3,B$6:B656)</f>
        <v>651</v>
      </c>
      <c r="B656" s="661" t="s">
        <v>2091</v>
      </c>
      <c r="C656" s="662" t="s">
        <v>2092</v>
      </c>
      <c r="D656" s="1011">
        <v>45525</v>
      </c>
      <c r="E656" s="1011" t="s">
        <v>220</v>
      </c>
      <c r="F656" s="787" t="s">
        <v>541</v>
      </c>
      <c r="G656" s="996" t="s">
        <v>2086</v>
      </c>
      <c r="H656" s="1012">
        <v>10500000</v>
      </c>
      <c r="I656" s="1012">
        <v>5500000</v>
      </c>
      <c r="J656" s="1012">
        <v>0</v>
      </c>
      <c r="K656" s="1012">
        <v>0</v>
      </c>
      <c r="L656" s="1013">
        <f t="shared" si="149"/>
        <v>16000000</v>
      </c>
      <c r="M656" s="1014">
        <v>24</v>
      </c>
      <c r="N656" s="1013">
        <f t="shared" si="137"/>
        <v>14769231</v>
      </c>
      <c r="O656" s="1015">
        <v>2</v>
      </c>
      <c r="P656" s="1013">
        <f t="shared" si="138"/>
        <v>1230769</v>
      </c>
      <c r="Q656" s="1016">
        <v>0</v>
      </c>
      <c r="R656" s="1013">
        <f t="shared" si="139"/>
        <v>0</v>
      </c>
      <c r="S656" s="1013">
        <f t="shared" si="140"/>
        <v>16000000</v>
      </c>
      <c r="T656" s="1017">
        <v>500000</v>
      </c>
      <c r="U656" s="785">
        <v>0</v>
      </c>
      <c r="V656" s="785">
        <v>0</v>
      </c>
      <c r="W656" s="1017">
        <v>0</v>
      </c>
      <c r="X656" s="1017">
        <v>0</v>
      </c>
      <c r="Y656" s="1017">
        <v>0</v>
      </c>
      <c r="Z656" s="1017">
        <v>0</v>
      </c>
      <c r="AA656" s="1018"/>
      <c r="AB656" s="1013"/>
      <c r="AC656" s="1017">
        <v>0</v>
      </c>
      <c r="AD656" s="1017">
        <v>0</v>
      </c>
      <c r="AE656" s="1013">
        <v>115384.6171875</v>
      </c>
      <c r="AF656" s="1019"/>
      <c r="AG656" s="1019">
        <f t="shared" si="145"/>
        <v>16615385</v>
      </c>
      <c r="AH656" s="1014">
        <v>0</v>
      </c>
      <c r="AI656" s="1014">
        <v>0</v>
      </c>
      <c r="AJ656" s="1014">
        <v>0</v>
      </c>
      <c r="AK656" s="1018">
        <v>0</v>
      </c>
      <c r="AL656" s="1020">
        <v>0</v>
      </c>
      <c r="AM656" s="1013">
        <f t="shared" si="150"/>
        <v>0</v>
      </c>
      <c r="AN656" s="1045">
        <f t="shared" si="141"/>
        <v>16615385</v>
      </c>
      <c r="AO656" s="1013">
        <v>1680000</v>
      </c>
      <c r="AP656" s="1013">
        <v>44100</v>
      </c>
      <c r="AQ656" s="1013">
        <v>0</v>
      </c>
      <c r="AR656" s="1013">
        <v>0</v>
      </c>
      <c r="AS656" s="1013">
        <v>0</v>
      </c>
      <c r="AT656" s="1045">
        <f t="shared" si="146"/>
        <v>14891285</v>
      </c>
      <c r="AU656" s="1004"/>
      <c r="AV656" s="870"/>
      <c r="AW656" s="782" t="s">
        <v>4568</v>
      </c>
      <c r="AX656" s="782" t="s">
        <v>4569</v>
      </c>
      <c r="AY656" s="1007" t="s">
        <v>287</v>
      </c>
      <c r="AZ656" s="1007">
        <v>642</v>
      </c>
      <c r="BA656" s="347" t="s">
        <v>1</v>
      </c>
      <c r="BB656" s="1008"/>
      <c r="BC656" s="1009"/>
      <c r="BD656" s="1009"/>
    </row>
    <row r="657" spans="1:56" s="1010" customFormat="1" ht="36.75" customHeight="1">
      <c r="A657" s="661">
        <f>SUBTOTAL(3,B$6:B657)</f>
        <v>652</v>
      </c>
      <c r="B657" s="661" t="s">
        <v>2093</v>
      </c>
      <c r="C657" s="662" t="s">
        <v>161</v>
      </c>
      <c r="D657" s="1011">
        <v>39755</v>
      </c>
      <c r="E657" s="1011" t="s">
        <v>220</v>
      </c>
      <c r="F657" s="787" t="s">
        <v>541</v>
      </c>
      <c r="G657" s="996" t="s">
        <v>2094</v>
      </c>
      <c r="H657" s="1012">
        <v>17700000</v>
      </c>
      <c r="I657" s="1012">
        <v>14800000</v>
      </c>
      <c r="J657" s="1012">
        <v>0</v>
      </c>
      <c r="K657" s="1012">
        <v>0</v>
      </c>
      <c r="L657" s="1013">
        <f t="shared" si="149"/>
        <v>32500000</v>
      </c>
      <c r="M657" s="1014">
        <v>21.9</v>
      </c>
      <c r="N657" s="1013">
        <f t="shared" si="137"/>
        <v>27375000</v>
      </c>
      <c r="O657" s="1015">
        <v>2</v>
      </c>
      <c r="P657" s="1013">
        <f t="shared" si="138"/>
        <v>2500000</v>
      </c>
      <c r="Q657" s="1016">
        <v>0</v>
      </c>
      <c r="R657" s="1013">
        <f t="shared" si="139"/>
        <v>0</v>
      </c>
      <c r="S657" s="1013">
        <f t="shared" si="140"/>
        <v>29875000</v>
      </c>
      <c r="T657" s="1017">
        <v>459615</v>
      </c>
      <c r="U657" s="785">
        <v>0</v>
      </c>
      <c r="V657" s="785">
        <v>0</v>
      </c>
      <c r="W657" s="1017">
        <v>0</v>
      </c>
      <c r="X657" s="1017">
        <v>0</v>
      </c>
      <c r="Y657" s="1017">
        <v>0</v>
      </c>
      <c r="Z657" s="1017">
        <v>0</v>
      </c>
      <c r="AA657" s="1018"/>
      <c r="AB657" s="1013"/>
      <c r="AC657" s="1017">
        <v>0</v>
      </c>
      <c r="AD657" s="1017">
        <v>0</v>
      </c>
      <c r="AE657" s="1013">
        <v>234375</v>
      </c>
      <c r="AF657" s="1019"/>
      <c r="AG657" s="1019">
        <f t="shared" ref="AG657:AG720" si="151">ROUND(SUM(S657:AF657)-AA657,0)</f>
        <v>30568990</v>
      </c>
      <c r="AH657" s="1014">
        <v>0</v>
      </c>
      <c r="AI657" s="1014">
        <v>0</v>
      </c>
      <c r="AJ657" s="1014">
        <v>0</v>
      </c>
      <c r="AK657" s="1018">
        <v>0</v>
      </c>
      <c r="AL657" s="1020">
        <v>0</v>
      </c>
      <c r="AM657" s="1013">
        <f t="shared" si="150"/>
        <v>0</v>
      </c>
      <c r="AN657" s="1045">
        <f t="shared" si="141"/>
        <v>30568990</v>
      </c>
      <c r="AO657" s="1013">
        <v>3412500</v>
      </c>
      <c r="AP657" s="1013">
        <v>44100</v>
      </c>
      <c r="AQ657" s="1013">
        <v>0</v>
      </c>
      <c r="AR657" s="1013">
        <v>0</v>
      </c>
      <c r="AS657" s="1013">
        <v>0</v>
      </c>
      <c r="AT657" s="1045">
        <f t="shared" si="146"/>
        <v>27112390</v>
      </c>
      <c r="AU657" s="1004"/>
      <c r="AV657" s="870"/>
      <c r="AW657" s="782" t="s">
        <v>3396</v>
      </c>
      <c r="AX657" s="782" t="s">
        <v>4570</v>
      </c>
      <c r="AY657" s="1007" t="s">
        <v>288</v>
      </c>
      <c r="AZ657" s="1007">
        <v>642</v>
      </c>
      <c r="BA657" s="347" t="s">
        <v>78</v>
      </c>
      <c r="BB657" s="1008"/>
      <c r="BC657" s="1009"/>
      <c r="BD657" s="1009"/>
    </row>
    <row r="658" spans="1:56" s="1010" customFormat="1" ht="36.75" customHeight="1">
      <c r="A658" s="661">
        <f>SUBTOTAL(3,B$6:B658)</f>
        <v>653</v>
      </c>
      <c r="B658" s="661" t="s">
        <v>2095</v>
      </c>
      <c r="C658" s="662" t="s">
        <v>2096</v>
      </c>
      <c r="D658" s="1011">
        <v>41106</v>
      </c>
      <c r="E658" s="1011" t="s">
        <v>220</v>
      </c>
      <c r="F658" s="787" t="s">
        <v>541</v>
      </c>
      <c r="G658" s="996" t="s">
        <v>2086</v>
      </c>
      <c r="H658" s="1012">
        <v>13300000</v>
      </c>
      <c r="I658" s="1012">
        <v>8600000</v>
      </c>
      <c r="J658" s="1012">
        <v>0</v>
      </c>
      <c r="K658" s="1012">
        <v>0</v>
      </c>
      <c r="L658" s="1013">
        <f t="shared" si="149"/>
        <v>21900000</v>
      </c>
      <c r="M658" s="1014">
        <v>19.600000000000001</v>
      </c>
      <c r="N658" s="1013">
        <f t="shared" si="137"/>
        <v>16509231</v>
      </c>
      <c r="O658" s="1015">
        <v>2</v>
      </c>
      <c r="P658" s="1013">
        <f t="shared" si="138"/>
        <v>1684615</v>
      </c>
      <c r="Q658" s="1016">
        <v>0</v>
      </c>
      <c r="R658" s="1013">
        <f t="shared" si="139"/>
        <v>0</v>
      </c>
      <c r="S658" s="1013">
        <f t="shared" si="140"/>
        <v>18193846</v>
      </c>
      <c r="T658" s="1017">
        <v>415385</v>
      </c>
      <c r="U658" s="785">
        <v>0</v>
      </c>
      <c r="V658" s="785">
        <v>0</v>
      </c>
      <c r="W658" s="1017">
        <v>0</v>
      </c>
      <c r="X658" s="1017">
        <v>0</v>
      </c>
      <c r="Y658" s="1017">
        <v>0</v>
      </c>
      <c r="Z658" s="1017">
        <v>0</v>
      </c>
      <c r="AA658" s="1018"/>
      <c r="AB658" s="1013"/>
      <c r="AC658" s="1017">
        <v>0</v>
      </c>
      <c r="AD658" s="1017">
        <v>0</v>
      </c>
      <c r="AE658" s="1013">
        <v>157932.6945153061</v>
      </c>
      <c r="AF658" s="1019"/>
      <c r="AG658" s="1019">
        <f t="shared" si="151"/>
        <v>18767164</v>
      </c>
      <c r="AH658" s="1014">
        <v>0</v>
      </c>
      <c r="AI658" s="1014">
        <v>0</v>
      </c>
      <c r="AJ658" s="1014">
        <v>0</v>
      </c>
      <c r="AK658" s="1018">
        <v>0</v>
      </c>
      <c r="AL658" s="1020">
        <v>0</v>
      </c>
      <c r="AM658" s="1013">
        <f t="shared" si="150"/>
        <v>0</v>
      </c>
      <c r="AN658" s="1045">
        <f t="shared" si="141"/>
        <v>18767164</v>
      </c>
      <c r="AO658" s="1013">
        <v>2299500</v>
      </c>
      <c r="AP658" s="1013">
        <v>44100</v>
      </c>
      <c r="AQ658" s="1013">
        <v>0</v>
      </c>
      <c r="AR658" s="1013">
        <v>0</v>
      </c>
      <c r="AS658" s="1013">
        <v>0</v>
      </c>
      <c r="AT658" s="1045">
        <f t="shared" si="146"/>
        <v>16423564</v>
      </c>
      <c r="AU658" s="1004"/>
      <c r="AV658" s="870"/>
      <c r="AW658" s="782" t="s">
        <v>4571</v>
      </c>
      <c r="AX658" s="782" t="s">
        <v>4572</v>
      </c>
      <c r="AY658" s="1007" t="s">
        <v>221</v>
      </c>
      <c r="AZ658" s="1007">
        <v>642</v>
      </c>
      <c r="BA658" s="347" t="s">
        <v>1</v>
      </c>
      <c r="BB658" s="1008"/>
      <c r="BC658" s="1009"/>
      <c r="BD658" s="1009"/>
    </row>
    <row r="659" spans="1:56" s="1010" customFormat="1" ht="36.75" customHeight="1">
      <c r="A659" s="661">
        <f>SUBTOTAL(3,B$6:B659)</f>
        <v>654</v>
      </c>
      <c r="B659" s="661" t="s">
        <v>2097</v>
      </c>
      <c r="C659" s="662" t="s">
        <v>2098</v>
      </c>
      <c r="D659" s="1011">
        <v>42591</v>
      </c>
      <c r="E659" s="1011" t="s">
        <v>220</v>
      </c>
      <c r="F659" s="787" t="s">
        <v>263</v>
      </c>
      <c r="G659" s="996" t="s">
        <v>2099</v>
      </c>
      <c r="H659" s="1012">
        <v>9000000</v>
      </c>
      <c r="I659" s="1012">
        <v>5700000</v>
      </c>
      <c r="J659" s="1012">
        <v>0</v>
      </c>
      <c r="K659" s="1012">
        <v>0</v>
      </c>
      <c r="L659" s="1013">
        <f t="shared" si="149"/>
        <v>14700000</v>
      </c>
      <c r="M659" s="1014">
        <v>24</v>
      </c>
      <c r="N659" s="1013">
        <f t="shared" si="137"/>
        <v>13569231</v>
      </c>
      <c r="O659" s="1015">
        <v>2</v>
      </c>
      <c r="P659" s="1013">
        <f t="shared" si="138"/>
        <v>1130769</v>
      </c>
      <c r="Q659" s="1016">
        <v>0</v>
      </c>
      <c r="R659" s="1013">
        <f t="shared" si="139"/>
        <v>0</v>
      </c>
      <c r="S659" s="1013">
        <f t="shared" si="140"/>
        <v>14700000</v>
      </c>
      <c r="T659" s="1017">
        <v>500000</v>
      </c>
      <c r="U659" s="785">
        <v>0</v>
      </c>
      <c r="V659" s="785">
        <v>0</v>
      </c>
      <c r="W659" s="1017">
        <v>0</v>
      </c>
      <c r="X659" s="1017">
        <v>0</v>
      </c>
      <c r="Y659" s="1017">
        <v>0</v>
      </c>
      <c r="Z659" s="1017">
        <v>0</v>
      </c>
      <c r="AA659" s="1018"/>
      <c r="AB659" s="1013"/>
      <c r="AC659" s="1017">
        <v>0</v>
      </c>
      <c r="AD659" s="1017">
        <v>0</v>
      </c>
      <c r="AE659" s="1013">
        <v>0</v>
      </c>
      <c r="AF659" s="1019"/>
      <c r="AG659" s="1019">
        <f t="shared" si="151"/>
        <v>15200000</v>
      </c>
      <c r="AH659" s="1014">
        <v>0</v>
      </c>
      <c r="AI659" s="1014">
        <v>0</v>
      </c>
      <c r="AJ659" s="1014">
        <v>0</v>
      </c>
      <c r="AK659" s="1018">
        <v>0</v>
      </c>
      <c r="AL659" s="1020">
        <v>8</v>
      </c>
      <c r="AM659" s="1013">
        <f t="shared" si="150"/>
        <v>1696154</v>
      </c>
      <c r="AN659" s="1045">
        <f t="shared" si="141"/>
        <v>16896154</v>
      </c>
      <c r="AO659" s="1013">
        <v>1543500</v>
      </c>
      <c r="AP659" s="1013">
        <v>44100</v>
      </c>
      <c r="AQ659" s="1013">
        <v>0</v>
      </c>
      <c r="AR659" s="1013">
        <v>0</v>
      </c>
      <c r="AS659" s="1013">
        <v>0</v>
      </c>
      <c r="AT659" s="1045">
        <f t="shared" si="146"/>
        <v>15308554</v>
      </c>
      <c r="AU659" s="1004"/>
      <c r="AV659" s="870"/>
      <c r="AW659" s="782" t="s">
        <v>4573</v>
      </c>
      <c r="AX659" s="782" t="s">
        <v>4574</v>
      </c>
      <c r="AY659" s="1007" t="s">
        <v>288</v>
      </c>
      <c r="AZ659" s="1007">
        <v>642</v>
      </c>
      <c r="BA659" s="347" t="s">
        <v>1</v>
      </c>
      <c r="BB659" s="1008"/>
      <c r="BC659" s="1009"/>
      <c r="BD659" s="1009"/>
    </row>
    <row r="660" spans="1:56" s="1010" customFormat="1" ht="36.75" customHeight="1">
      <c r="A660" s="661">
        <f>SUBTOTAL(3,B$6:B660)</f>
        <v>655</v>
      </c>
      <c r="B660" s="661" t="s">
        <v>2100</v>
      </c>
      <c r="C660" s="662" t="s">
        <v>2101</v>
      </c>
      <c r="D660" s="1011">
        <v>39523</v>
      </c>
      <c r="E660" s="1011" t="s">
        <v>220</v>
      </c>
      <c r="F660" s="787" t="s">
        <v>263</v>
      </c>
      <c r="G660" s="996" t="s">
        <v>2099</v>
      </c>
      <c r="H660" s="1012">
        <v>12500000</v>
      </c>
      <c r="I660" s="1012">
        <v>7700000</v>
      </c>
      <c r="J660" s="1012">
        <v>0</v>
      </c>
      <c r="K660" s="1012">
        <v>0</v>
      </c>
      <c r="L660" s="1013">
        <f t="shared" si="149"/>
        <v>20200000</v>
      </c>
      <c r="M660" s="1014">
        <v>24</v>
      </c>
      <c r="N660" s="1013">
        <f t="shared" si="137"/>
        <v>18646154</v>
      </c>
      <c r="O660" s="1015">
        <v>2</v>
      </c>
      <c r="P660" s="1013">
        <f t="shared" si="138"/>
        <v>1553846</v>
      </c>
      <c r="Q660" s="1016">
        <v>0</v>
      </c>
      <c r="R660" s="1013">
        <f t="shared" si="139"/>
        <v>0</v>
      </c>
      <c r="S660" s="1013">
        <f t="shared" si="140"/>
        <v>20200000</v>
      </c>
      <c r="T660" s="1017">
        <v>650000</v>
      </c>
      <c r="U660" s="785">
        <v>0</v>
      </c>
      <c r="V660" s="785">
        <v>0</v>
      </c>
      <c r="W660" s="1017">
        <v>0</v>
      </c>
      <c r="X660" s="1017">
        <v>0</v>
      </c>
      <c r="Y660" s="1017">
        <v>0</v>
      </c>
      <c r="Z660" s="1017">
        <v>0</v>
      </c>
      <c r="AA660" s="1018"/>
      <c r="AB660" s="1013"/>
      <c r="AC660" s="1017">
        <v>0</v>
      </c>
      <c r="AD660" s="1017">
        <v>1850000</v>
      </c>
      <c r="AE660" s="1013">
        <v>0</v>
      </c>
      <c r="AF660" s="1019"/>
      <c r="AG660" s="1019">
        <f t="shared" si="151"/>
        <v>22700000</v>
      </c>
      <c r="AH660" s="1014">
        <v>0</v>
      </c>
      <c r="AI660" s="1014">
        <v>0</v>
      </c>
      <c r="AJ660" s="1014">
        <v>0</v>
      </c>
      <c r="AK660" s="1018">
        <v>0</v>
      </c>
      <c r="AL660" s="1020">
        <v>0</v>
      </c>
      <c r="AM660" s="1013">
        <f t="shared" si="150"/>
        <v>0</v>
      </c>
      <c r="AN660" s="1045">
        <f t="shared" si="141"/>
        <v>22700000</v>
      </c>
      <c r="AO660" s="1013">
        <v>2121000</v>
      </c>
      <c r="AP660" s="1013">
        <v>44100</v>
      </c>
      <c r="AQ660" s="1013">
        <v>11450</v>
      </c>
      <c r="AR660" s="1013">
        <v>0</v>
      </c>
      <c r="AS660" s="1013">
        <v>0</v>
      </c>
      <c r="AT660" s="1045">
        <f t="shared" si="146"/>
        <v>20523450</v>
      </c>
      <c r="AU660" s="1004"/>
      <c r="AV660" s="870"/>
      <c r="AW660" s="782" t="s">
        <v>4575</v>
      </c>
      <c r="AX660" s="782" t="s">
        <v>4576</v>
      </c>
      <c r="AY660" s="1007" t="s">
        <v>287</v>
      </c>
      <c r="AZ660" s="1007">
        <v>642</v>
      </c>
      <c r="BA660" s="347" t="s">
        <v>1</v>
      </c>
      <c r="BB660" s="1008"/>
      <c r="BC660" s="1009"/>
      <c r="BD660" s="1009"/>
    </row>
    <row r="661" spans="1:56" s="1010" customFormat="1" ht="36.75" customHeight="1">
      <c r="A661" s="661">
        <f>SUBTOTAL(3,B$6:B661)</f>
        <v>656</v>
      </c>
      <c r="B661" s="661" t="s">
        <v>2102</v>
      </c>
      <c r="C661" s="662" t="s">
        <v>2103</v>
      </c>
      <c r="D661" s="1011">
        <v>43803</v>
      </c>
      <c r="E661" s="1011" t="s">
        <v>220</v>
      </c>
      <c r="F661" s="787" t="s">
        <v>264</v>
      </c>
      <c r="G661" s="996" t="s">
        <v>2104</v>
      </c>
      <c r="H661" s="1012">
        <v>5931000</v>
      </c>
      <c r="I661" s="1012">
        <v>1100000</v>
      </c>
      <c r="J661" s="1012">
        <v>298000</v>
      </c>
      <c r="K661" s="1012">
        <v>0</v>
      </c>
      <c r="L661" s="1013">
        <f t="shared" si="149"/>
        <v>7329000</v>
      </c>
      <c r="M661" s="1014">
        <v>21.6</v>
      </c>
      <c r="N661" s="1013">
        <f t="shared" si="137"/>
        <v>6088708</v>
      </c>
      <c r="O661" s="1015">
        <v>4</v>
      </c>
      <c r="P661" s="1013">
        <f t="shared" si="138"/>
        <v>1127538</v>
      </c>
      <c r="Q661" s="1016">
        <v>0</v>
      </c>
      <c r="R661" s="1013">
        <f t="shared" si="139"/>
        <v>0</v>
      </c>
      <c r="S661" s="1013">
        <f t="shared" si="140"/>
        <v>7216246</v>
      </c>
      <c r="T661" s="1017">
        <v>0</v>
      </c>
      <c r="U661" s="785">
        <v>0</v>
      </c>
      <c r="V661" s="785">
        <v>200000</v>
      </c>
      <c r="W661" s="1017">
        <v>500000</v>
      </c>
      <c r="X661" s="1017">
        <v>0</v>
      </c>
      <c r="Y661" s="1017">
        <v>400000</v>
      </c>
      <c r="Z661" s="1017">
        <v>0</v>
      </c>
      <c r="AA661" s="1018"/>
      <c r="AB661" s="1013"/>
      <c r="AC661" s="1017">
        <v>0</v>
      </c>
      <c r="AD661" s="1017">
        <v>0</v>
      </c>
      <c r="AE661" s="1013">
        <v>0</v>
      </c>
      <c r="AF661" s="1019"/>
      <c r="AG661" s="1019">
        <f t="shared" si="151"/>
        <v>8316246</v>
      </c>
      <c r="AH661" s="1014">
        <v>16</v>
      </c>
      <c r="AI661" s="1014">
        <v>0</v>
      </c>
      <c r="AJ661" s="1014">
        <v>0</v>
      </c>
      <c r="AK661" s="1018">
        <v>0</v>
      </c>
      <c r="AL661" s="1020">
        <v>0</v>
      </c>
      <c r="AM661" s="1013">
        <f t="shared" si="150"/>
        <v>845654</v>
      </c>
      <c r="AN661" s="1045">
        <f t="shared" si="141"/>
        <v>9161900</v>
      </c>
      <c r="AO661" s="1013">
        <v>769545</v>
      </c>
      <c r="AP661" s="1013">
        <v>44100</v>
      </c>
      <c r="AQ661" s="1013">
        <v>0</v>
      </c>
      <c r="AR661" s="1013">
        <v>0</v>
      </c>
      <c r="AS661" s="1013">
        <v>0</v>
      </c>
      <c r="AT661" s="1045">
        <f t="shared" si="146"/>
        <v>8348255</v>
      </c>
      <c r="AU661" s="1004"/>
      <c r="AV661" s="870"/>
      <c r="AW661" s="782" t="s">
        <v>4577</v>
      </c>
      <c r="AX661" s="782" t="s">
        <v>4578</v>
      </c>
      <c r="AY661" s="1007" t="s">
        <v>288</v>
      </c>
      <c r="AZ661" s="1007">
        <v>622</v>
      </c>
      <c r="BA661" s="347" t="str">
        <f t="shared" ref="BA661:BA699" si="152">+IF(AY661="SK1 Box","Box",IF(AY661="Seaman","Seaman","Bag"))</f>
        <v>Bag</v>
      </c>
      <c r="BB661" s="1008"/>
      <c r="BC661" s="1009"/>
      <c r="BD661" s="1009"/>
    </row>
    <row r="662" spans="1:56" s="1010" customFormat="1" ht="36.75" customHeight="1">
      <c r="A662" s="661">
        <f>SUBTOTAL(3,B$6:B662)</f>
        <v>657</v>
      </c>
      <c r="B662" s="661" t="s">
        <v>2105</v>
      </c>
      <c r="C662" s="662" t="s">
        <v>2106</v>
      </c>
      <c r="D662" s="1011">
        <v>45040</v>
      </c>
      <c r="E662" s="1011" t="s">
        <v>220</v>
      </c>
      <c r="F662" s="787" t="s">
        <v>264</v>
      </c>
      <c r="G662" s="996" t="s">
        <v>2107</v>
      </c>
      <c r="H662" s="1012">
        <v>5538000</v>
      </c>
      <c r="I662" s="1012">
        <v>700000</v>
      </c>
      <c r="J662" s="1012">
        <v>0</v>
      </c>
      <c r="K662" s="1012">
        <v>500000</v>
      </c>
      <c r="L662" s="1013">
        <f t="shared" si="149"/>
        <v>6738000</v>
      </c>
      <c r="M662" s="1014">
        <v>24</v>
      </c>
      <c r="N662" s="1013">
        <f t="shared" si="137"/>
        <v>6219692</v>
      </c>
      <c r="O662" s="1015">
        <v>2</v>
      </c>
      <c r="P662" s="1013">
        <f t="shared" si="138"/>
        <v>518308</v>
      </c>
      <c r="Q662" s="1016">
        <v>0</v>
      </c>
      <c r="R662" s="1013">
        <f t="shared" si="139"/>
        <v>0</v>
      </c>
      <c r="S662" s="1013">
        <f t="shared" si="140"/>
        <v>6738000</v>
      </c>
      <c r="T662" s="1017">
        <v>0</v>
      </c>
      <c r="U662" s="785">
        <v>0</v>
      </c>
      <c r="V662" s="785">
        <v>200000</v>
      </c>
      <c r="W662" s="1017">
        <v>500000</v>
      </c>
      <c r="X662" s="1017">
        <v>0</v>
      </c>
      <c r="Y662" s="1017">
        <v>400000</v>
      </c>
      <c r="Z662" s="1017">
        <v>0</v>
      </c>
      <c r="AA662" s="1018"/>
      <c r="AB662" s="1013"/>
      <c r="AC662" s="1017">
        <v>0</v>
      </c>
      <c r="AD662" s="1017">
        <v>0</v>
      </c>
      <c r="AE662" s="1013">
        <v>48591.34375</v>
      </c>
      <c r="AF662" s="1019"/>
      <c r="AG662" s="1019">
        <f t="shared" si="151"/>
        <v>7886591</v>
      </c>
      <c r="AH662" s="1014">
        <v>29.5</v>
      </c>
      <c r="AI662" s="1014">
        <v>0</v>
      </c>
      <c r="AJ662" s="1014">
        <v>0</v>
      </c>
      <c r="AK662" s="1018">
        <v>0</v>
      </c>
      <c r="AL662" s="1020">
        <v>0</v>
      </c>
      <c r="AM662" s="1013">
        <f t="shared" si="150"/>
        <v>1433445</v>
      </c>
      <c r="AN662" s="1045">
        <f t="shared" si="141"/>
        <v>9320036</v>
      </c>
      <c r="AO662" s="1013">
        <v>707490</v>
      </c>
      <c r="AP662" s="1013">
        <v>44100</v>
      </c>
      <c r="AQ662" s="1013">
        <v>0</v>
      </c>
      <c r="AR662" s="1013">
        <v>0</v>
      </c>
      <c r="AS662" s="1013">
        <v>0</v>
      </c>
      <c r="AT662" s="1045">
        <f t="shared" si="146"/>
        <v>8568446</v>
      </c>
      <c r="AU662" s="1004"/>
      <c r="AV662" s="870"/>
      <c r="AW662" s="782" t="s">
        <v>4579</v>
      </c>
      <c r="AX662" s="782" t="s">
        <v>4580</v>
      </c>
      <c r="AY662" s="1007" t="s">
        <v>288</v>
      </c>
      <c r="AZ662" s="1007">
        <v>622</v>
      </c>
      <c r="BA662" s="347" t="str">
        <f t="shared" si="152"/>
        <v>Bag</v>
      </c>
      <c r="BB662" s="1008"/>
      <c r="BC662" s="1009"/>
      <c r="BD662" s="1009"/>
    </row>
    <row r="663" spans="1:56" s="1010" customFormat="1" ht="36.75" customHeight="1">
      <c r="A663" s="661">
        <f>SUBTOTAL(3,B$6:B663)</f>
        <v>658</v>
      </c>
      <c r="B663" s="661" t="s">
        <v>2108</v>
      </c>
      <c r="C663" s="662" t="s">
        <v>2109</v>
      </c>
      <c r="D663" s="1011">
        <v>40589</v>
      </c>
      <c r="E663" s="1011" t="s">
        <v>220</v>
      </c>
      <c r="F663" s="787" t="s">
        <v>264</v>
      </c>
      <c r="G663" s="996" t="s">
        <v>2104</v>
      </c>
      <c r="H663" s="1012">
        <v>5931000</v>
      </c>
      <c r="I663" s="1012">
        <v>1100000</v>
      </c>
      <c r="J663" s="1012">
        <v>298000</v>
      </c>
      <c r="K663" s="1012">
        <v>400000</v>
      </c>
      <c r="L663" s="1013">
        <f t="shared" si="149"/>
        <v>7729000</v>
      </c>
      <c r="M663" s="1014">
        <v>24</v>
      </c>
      <c r="N663" s="1013">
        <f t="shared" si="137"/>
        <v>7134462</v>
      </c>
      <c r="O663" s="1015">
        <v>2</v>
      </c>
      <c r="P663" s="1013">
        <f t="shared" si="138"/>
        <v>594538</v>
      </c>
      <c r="Q663" s="1016">
        <v>0</v>
      </c>
      <c r="R663" s="1013">
        <f t="shared" si="139"/>
        <v>0</v>
      </c>
      <c r="S663" s="1013">
        <f t="shared" si="140"/>
        <v>7729000</v>
      </c>
      <c r="T663" s="1017">
        <v>0</v>
      </c>
      <c r="U663" s="785">
        <v>0</v>
      </c>
      <c r="V663" s="785">
        <v>200000</v>
      </c>
      <c r="W663" s="1017">
        <v>500000</v>
      </c>
      <c r="X663" s="1017">
        <v>0</v>
      </c>
      <c r="Y663" s="1017">
        <v>400000</v>
      </c>
      <c r="Z663" s="1017">
        <v>0</v>
      </c>
      <c r="AA663" s="1018"/>
      <c r="AB663" s="1013"/>
      <c r="AC663" s="1017">
        <v>0</v>
      </c>
      <c r="AD663" s="1017">
        <v>0</v>
      </c>
      <c r="AE663" s="1013">
        <v>0</v>
      </c>
      <c r="AF663" s="1019"/>
      <c r="AG663" s="1019">
        <f t="shared" si="151"/>
        <v>8829000</v>
      </c>
      <c r="AH663" s="1014">
        <v>17</v>
      </c>
      <c r="AI663" s="1014">
        <v>0</v>
      </c>
      <c r="AJ663" s="1014">
        <v>0</v>
      </c>
      <c r="AK663" s="1018">
        <v>0</v>
      </c>
      <c r="AL663" s="1020">
        <v>0</v>
      </c>
      <c r="AM663" s="1013">
        <f t="shared" si="150"/>
        <v>947546</v>
      </c>
      <c r="AN663" s="1045">
        <f t="shared" si="141"/>
        <v>9776546</v>
      </c>
      <c r="AO663" s="1013">
        <v>811545</v>
      </c>
      <c r="AP663" s="1013">
        <v>44100</v>
      </c>
      <c r="AQ663" s="1013">
        <v>0</v>
      </c>
      <c r="AR663" s="1013">
        <v>0</v>
      </c>
      <c r="AS663" s="1013">
        <v>0</v>
      </c>
      <c r="AT663" s="1045">
        <f t="shared" si="146"/>
        <v>8920901</v>
      </c>
      <c r="AU663" s="1004"/>
      <c r="AV663" s="870"/>
      <c r="AW663" s="782" t="s">
        <v>4581</v>
      </c>
      <c r="AX663" s="782" t="s">
        <v>4582</v>
      </c>
      <c r="AY663" s="1007" t="s">
        <v>287</v>
      </c>
      <c r="AZ663" s="1007">
        <v>622</v>
      </c>
      <c r="BA663" s="347" t="str">
        <f t="shared" si="152"/>
        <v>Box</v>
      </c>
      <c r="BB663" s="1008"/>
      <c r="BC663" s="1009"/>
      <c r="BD663" s="1009"/>
    </row>
    <row r="664" spans="1:56" s="1010" customFormat="1" ht="36.75" customHeight="1">
      <c r="A664" s="661">
        <f>SUBTOTAL(3,B$6:B664)</f>
        <v>659</v>
      </c>
      <c r="B664" s="661" t="s">
        <v>2110</v>
      </c>
      <c r="C664" s="662" t="s">
        <v>2111</v>
      </c>
      <c r="D664" s="1011">
        <v>42606</v>
      </c>
      <c r="E664" s="1011" t="s">
        <v>220</v>
      </c>
      <c r="F664" s="787" t="s">
        <v>264</v>
      </c>
      <c r="G664" s="996" t="s">
        <v>2112</v>
      </c>
      <c r="H664" s="1012">
        <v>5931000</v>
      </c>
      <c r="I664" s="1012">
        <v>2000000</v>
      </c>
      <c r="J664" s="1012">
        <v>298000</v>
      </c>
      <c r="K664" s="1012">
        <v>0</v>
      </c>
      <c r="L664" s="1013">
        <f t="shared" si="149"/>
        <v>8229000</v>
      </c>
      <c r="M664" s="1014">
        <v>22.8</v>
      </c>
      <c r="N664" s="1013">
        <f t="shared" si="137"/>
        <v>7216200</v>
      </c>
      <c r="O664" s="1015">
        <v>3</v>
      </c>
      <c r="P664" s="1013">
        <f t="shared" si="138"/>
        <v>949500</v>
      </c>
      <c r="Q664" s="1016">
        <v>0</v>
      </c>
      <c r="R664" s="1013">
        <f t="shared" si="139"/>
        <v>0</v>
      </c>
      <c r="S664" s="1013">
        <f t="shared" si="140"/>
        <v>8165700</v>
      </c>
      <c r="T664" s="1017">
        <v>0</v>
      </c>
      <c r="U664" s="785">
        <v>0</v>
      </c>
      <c r="V664" s="785">
        <v>200000</v>
      </c>
      <c r="W664" s="1017">
        <v>500000</v>
      </c>
      <c r="X664" s="1017">
        <v>1082000</v>
      </c>
      <c r="Y664" s="1017">
        <v>400000</v>
      </c>
      <c r="Z664" s="1017">
        <v>0</v>
      </c>
      <c r="AA664" s="1018"/>
      <c r="AB664" s="1013"/>
      <c r="AC664" s="1017">
        <v>0</v>
      </c>
      <c r="AD664" s="1017">
        <v>0</v>
      </c>
      <c r="AE664" s="1013">
        <v>0</v>
      </c>
      <c r="AF664" s="1019"/>
      <c r="AG664" s="1019">
        <f t="shared" si="151"/>
        <v>10347700</v>
      </c>
      <c r="AH664" s="1014">
        <v>15</v>
      </c>
      <c r="AI664" s="1014">
        <v>0</v>
      </c>
      <c r="AJ664" s="1014">
        <v>0</v>
      </c>
      <c r="AK664" s="1018">
        <v>0</v>
      </c>
      <c r="AL664" s="1020">
        <v>0</v>
      </c>
      <c r="AM664" s="1013">
        <f t="shared" si="150"/>
        <v>890156</v>
      </c>
      <c r="AN664" s="1045">
        <f t="shared" si="141"/>
        <v>11237856</v>
      </c>
      <c r="AO664" s="1013">
        <v>864045</v>
      </c>
      <c r="AP664" s="1013">
        <v>44100</v>
      </c>
      <c r="AQ664" s="1013">
        <v>0</v>
      </c>
      <c r="AR664" s="1013">
        <v>0</v>
      </c>
      <c r="AS664" s="1013">
        <v>0</v>
      </c>
      <c r="AT664" s="1045">
        <f t="shared" si="146"/>
        <v>10329711</v>
      </c>
      <c r="AU664" s="1004"/>
      <c r="AV664" s="870"/>
      <c r="AW664" s="782" t="s">
        <v>4583</v>
      </c>
      <c r="AX664" s="782" t="s">
        <v>4584</v>
      </c>
      <c r="AY664" s="1007" t="s">
        <v>287</v>
      </c>
      <c r="AZ664" s="1007">
        <v>622</v>
      </c>
      <c r="BA664" s="347" t="str">
        <f t="shared" si="152"/>
        <v>Box</v>
      </c>
      <c r="BB664" s="1008"/>
      <c r="BC664" s="1009"/>
      <c r="BD664" s="1009"/>
    </row>
    <row r="665" spans="1:56" s="1010" customFormat="1" ht="36.75" customHeight="1">
      <c r="A665" s="661">
        <f>SUBTOTAL(3,B$6:B665)</f>
        <v>660</v>
      </c>
      <c r="B665" s="661" t="s">
        <v>2113</v>
      </c>
      <c r="C665" s="662" t="s">
        <v>2114</v>
      </c>
      <c r="D665" s="1011">
        <v>42632</v>
      </c>
      <c r="E665" s="1011" t="s">
        <v>220</v>
      </c>
      <c r="F665" s="787" t="s">
        <v>264</v>
      </c>
      <c r="G665" s="996" t="s">
        <v>2107</v>
      </c>
      <c r="H665" s="1012">
        <v>5931000</v>
      </c>
      <c r="I665" s="1012">
        <v>1300000</v>
      </c>
      <c r="J665" s="1012">
        <v>0</v>
      </c>
      <c r="K665" s="1012">
        <v>0</v>
      </c>
      <c r="L665" s="1013">
        <f t="shared" si="149"/>
        <v>7231000</v>
      </c>
      <c r="M665" s="1014">
        <v>24</v>
      </c>
      <c r="N665" s="1013">
        <f t="shared" si="137"/>
        <v>6674769</v>
      </c>
      <c r="O665" s="1015">
        <v>2</v>
      </c>
      <c r="P665" s="1013">
        <f t="shared" si="138"/>
        <v>556231</v>
      </c>
      <c r="Q665" s="1016">
        <v>0</v>
      </c>
      <c r="R665" s="1013">
        <f t="shared" si="139"/>
        <v>0</v>
      </c>
      <c r="S665" s="1013">
        <f t="shared" si="140"/>
        <v>7231000</v>
      </c>
      <c r="T665" s="1017">
        <v>0</v>
      </c>
      <c r="U665" s="785">
        <v>0</v>
      </c>
      <c r="V665" s="785">
        <v>200000</v>
      </c>
      <c r="W665" s="1017">
        <v>500000</v>
      </c>
      <c r="X665" s="1017">
        <v>0</v>
      </c>
      <c r="Y665" s="1017">
        <v>400000</v>
      </c>
      <c r="Z665" s="1017">
        <v>0</v>
      </c>
      <c r="AA665" s="1018"/>
      <c r="AB665" s="1013"/>
      <c r="AC665" s="1017">
        <v>0</v>
      </c>
      <c r="AD665" s="1017">
        <v>0</v>
      </c>
      <c r="AE665" s="1013">
        <v>52146.6328125</v>
      </c>
      <c r="AF665" s="1019"/>
      <c r="AG665" s="1019">
        <f t="shared" si="151"/>
        <v>8383147</v>
      </c>
      <c r="AH665" s="1014">
        <v>52</v>
      </c>
      <c r="AI665" s="1014">
        <v>0</v>
      </c>
      <c r="AJ665" s="1014">
        <v>0</v>
      </c>
      <c r="AK665" s="1018">
        <v>0</v>
      </c>
      <c r="AL665" s="1020">
        <v>0</v>
      </c>
      <c r="AM665" s="1013">
        <f t="shared" si="150"/>
        <v>2711625</v>
      </c>
      <c r="AN665" s="1045">
        <f t="shared" si="141"/>
        <v>11094772</v>
      </c>
      <c r="AO665" s="1013">
        <v>759255</v>
      </c>
      <c r="AP665" s="1013">
        <v>44100</v>
      </c>
      <c r="AQ665" s="1013">
        <v>0</v>
      </c>
      <c r="AR665" s="1013">
        <v>0</v>
      </c>
      <c r="AS665" s="1013">
        <v>0</v>
      </c>
      <c r="AT665" s="1045">
        <f t="shared" si="146"/>
        <v>10291417</v>
      </c>
      <c r="AU665" s="1004"/>
      <c r="AV665" s="870"/>
      <c r="AW665" s="782" t="s">
        <v>4585</v>
      </c>
      <c r="AX665" s="782" t="s">
        <v>4586</v>
      </c>
      <c r="AY665" s="1007" t="s">
        <v>288</v>
      </c>
      <c r="AZ665" s="1007">
        <v>622</v>
      </c>
      <c r="BA665" s="347" t="str">
        <f t="shared" si="152"/>
        <v>Bag</v>
      </c>
      <c r="BB665" s="1008"/>
      <c r="BC665" s="1009"/>
      <c r="BD665" s="1009"/>
    </row>
    <row r="666" spans="1:56" s="1010" customFormat="1" ht="36.75" customHeight="1">
      <c r="A666" s="661">
        <f>SUBTOTAL(3,B$6:B666)</f>
        <v>661</v>
      </c>
      <c r="B666" s="661" t="s">
        <v>2115</v>
      </c>
      <c r="C666" s="662" t="s">
        <v>2116</v>
      </c>
      <c r="D666" s="1011">
        <v>43201</v>
      </c>
      <c r="E666" s="1011" t="s">
        <v>220</v>
      </c>
      <c r="F666" s="787" t="s">
        <v>264</v>
      </c>
      <c r="G666" s="996" t="s">
        <v>2107</v>
      </c>
      <c r="H666" s="1012">
        <v>5931000</v>
      </c>
      <c r="I666" s="1012">
        <v>1300000</v>
      </c>
      <c r="J666" s="1012">
        <v>0</v>
      </c>
      <c r="K666" s="1012">
        <v>0</v>
      </c>
      <c r="L666" s="1013">
        <f t="shared" si="149"/>
        <v>7231000</v>
      </c>
      <c r="M666" s="1014">
        <v>23.4</v>
      </c>
      <c r="N666" s="1013">
        <f t="shared" si="137"/>
        <v>6507900</v>
      </c>
      <c r="O666" s="1015">
        <v>2</v>
      </c>
      <c r="P666" s="1013">
        <f t="shared" si="138"/>
        <v>556231</v>
      </c>
      <c r="Q666" s="1016">
        <v>0</v>
      </c>
      <c r="R666" s="1013">
        <f t="shared" si="139"/>
        <v>0</v>
      </c>
      <c r="S666" s="1013">
        <f t="shared" si="140"/>
        <v>7064131</v>
      </c>
      <c r="T666" s="1017">
        <v>0</v>
      </c>
      <c r="U666" s="785">
        <v>0</v>
      </c>
      <c r="V666" s="785">
        <v>200000</v>
      </c>
      <c r="W666" s="1017">
        <v>0</v>
      </c>
      <c r="X666" s="1017">
        <v>0</v>
      </c>
      <c r="Y666" s="1017">
        <v>400000</v>
      </c>
      <c r="Z666" s="1017">
        <v>0</v>
      </c>
      <c r="AA666" s="1018"/>
      <c r="AB666" s="1013"/>
      <c r="AC666" s="1017">
        <v>0</v>
      </c>
      <c r="AD666" s="1017">
        <v>0</v>
      </c>
      <c r="AE666" s="1013">
        <v>52146.634615384617</v>
      </c>
      <c r="AF666" s="1019"/>
      <c r="AG666" s="1019">
        <f t="shared" si="151"/>
        <v>7716278</v>
      </c>
      <c r="AH666" s="1014">
        <v>49</v>
      </c>
      <c r="AI666" s="1014">
        <v>0</v>
      </c>
      <c r="AJ666" s="1014">
        <v>0</v>
      </c>
      <c r="AK666" s="1018">
        <v>0</v>
      </c>
      <c r="AL666" s="1020">
        <v>0</v>
      </c>
      <c r="AM666" s="1013">
        <f t="shared" si="150"/>
        <v>2555185</v>
      </c>
      <c r="AN666" s="1045">
        <f t="shared" si="141"/>
        <v>10271463</v>
      </c>
      <c r="AO666" s="1013">
        <v>759255</v>
      </c>
      <c r="AP666" s="1013">
        <v>44100</v>
      </c>
      <c r="AQ666" s="1013">
        <v>0</v>
      </c>
      <c r="AR666" s="1013">
        <v>0</v>
      </c>
      <c r="AS666" s="1013">
        <v>0</v>
      </c>
      <c r="AT666" s="1045">
        <f t="shared" si="146"/>
        <v>9468108</v>
      </c>
      <c r="AU666" s="1004"/>
      <c r="AV666" s="870"/>
      <c r="AW666" s="782" t="s">
        <v>4587</v>
      </c>
      <c r="AX666" s="782" t="s">
        <v>4588</v>
      </c>
      <c r="AY666" s="1007" t="s">
        <v>287</v>
      </c>
      <c r="AZ666" s="1007">
        <v>622</v>
      </c>
      <c r="BA666" s="347" t="str">
        <f t="shared" si="152"/>
        <v>Box</v>
      </c>
      <c r="BB666" s="1008"/>
      <c r="BC666" s="1009"/>
      <c r="BD666" s="1009"/>
    </row>
    <row r="667" spans="1:56" s="1010" customFormat="1" ht="36.75" customHeight="1">
      <c r="A667" s="661">
        <f>SUBTOTAL(3,B$6:B667)</f>
        <v>662</v>
      </c>
      <c r="B667" s="661" t="s">
        <v>2117</v>
      </c>
      <c r="C667" s="662" t="s">
        <v>2118</v>
      </c>
      <c r="D667" s="1011">
        <v>45423</v>
      </c>
      <c r="E667" s="1011" t="s">
        <v>220</v>
      </c>
      <c r="F667" s="787" t="s">
        <v>265</v>
      </c>
      <c r="G667" s="996" t="s">
        <v>2119</v>
      </c>
      <c r="H667" s="1012">
        <v>5274000</v>
      </c>
      <c r="I667" s="1012">
        <v>200000</v>
      </c>
      <c r="J667" s="1012">
        <v>0</v>
      </c>
      <c r="K667" s="1012">
        <v>0</v>
      </c>
      <c r="L667" s="1013">
        <f t="shared" si="149"/>
        <v>5474000</v>
      </c>
      <c r="M667" s="1014">
        <v>24</v>
      </c>
      <c r="N667" s="1013">
        <f t="shared" si="137"/>
        <v>5052923</v>
      </c>
      <c r="O667" s="1015">
        <v>2</v>
      </c>
      <c r="P667" s="1013">
        <f t="shared" si="138"/>
        <v>421077</v>
      </c>
      <c r="Q667" s="1016">
        <v>0</v>
      </c>
      <c r="R667" s="1013">
        <f t="shared" si="139"/>
        <v>0</v>
      </c>
      <c r="S667" s="1013">
        <f t="shared" si="140"/>
        <v>5474000</v>
      </c>
      <c r="T667" s="1017">
        <v>0</v>
      </c>
      <c r="U667" s="785">
        <v>126000</v>
      </c>
      <c r="V667" s="785">
        <v>200000</v>
      </c>
      <c r="W667" s="1017">
        <v>500000</v>
      </c>
      <c r="X667" s="1017">
        <v>0</v>
      </c>
      <c r="Y667" s="1017">
        <v>400000</v>
      </c>
      <c r="Z667" s="1017">
        <v>0</v>
      </c>
      <c r="AA667" s="1018"/>
      <c r="AB667" s="1013"/>
      <c r="AC667" s="1017">
        <v>0</v>
      </c>
      <c r="AD667" s="1017">
        <v>0</v>
      </c>
      <c r="AE667" s="1013">
        <v>39475.9609375</v>
      </c>
      <c r="AF667" s="1019"/>
      <c r="AG667" s="1019">
        <f t="shared" si="151"/>
        <v>6739476</v>
      </c>
      <c r="AH667" s="1014">
        <v>80</v>
      </c>
      <c r="AI667" s="1014">
        <v>16</v>
      </c>
      <c r="AJ667" s="1014">
        <v>0</v>
      </c>
      <c r="AK667" s="1018">
        <v>0</v>
      </c>
      <c r="AL667" s="1020">
        <v>8</v>
      </c>
      <c r="AM667" s="1013">
        <f t="shared" si="150"/>
        <v>4631846</v>
      </c>
      <c r="AN667" s="1045">
        <f t="shared" si="141"/>
        <v>11371322</v>
      </c>
      <c r="AO667" s="1013">
        <v>574770</v>
      </c>
      <c r="AP667" s="1013">
        <v>44100</v>
      </c>
      <c r="AQ667" s="1013">
        <v>0</v>
      </c>
      <c r="AR667" s="1013">
        <v>0</v>
      </c>
      <c r="AS667" s="1013">
        <v>0</v>
      </c>
      <c r="AT667" s="1045">
        <f t="shared" si="146"/>
        <v>10752452</v>
      </c>
      <c r="AU667" s="1004"/>
      <c r="AV667" s="870"/>
      <c r="AW667" s="782" t="s">
        <v>4589</v>
      </c>
      <c r="AX667" s="782" t="s">
        <v>4590</v>
      </c>
      <c r="AY667" s="1007" t="s">
        <v>287</v>
      </c>
      <c r="AZ667" s="1007">
        <v>622</v>
      </c>
      <c r="BA667" s="347" t="str">
        <f t="shared" si="152"/>
        <v>Box</v>
      </c>
      <c r="BB667" s="1008"/>
      <c r="BC667" s="1009"/>
      <c r="BD667" s="1009"/>
    </row>
    <row r="668" spans="1:56" s="1010" customFormat="1" ht="36.75" customHeight="1">
      <c r="A668" s="661">
        <f>SUBTOTAL(3,B$6:B668)</f>
        <v>663</v>
      </c>
      <c r="B668" s="661" t="s">
        <v>2120</v>
      </c>
      <c r="C668" s="662" t="s">
        <v>2121</v>
      </c>
      <c r="D668" s="1011">
        <v>40301</v>
      </c>
      <c r="E668" s="1011" t="s">
        <v>220</v>
      </c>
      <c r="F668" s="787" t="s">
        <v>265</v>
      </c>
      <c r="G668" s="996" t="s">
        <v>2119</v>
      </c>
      <c r="H668" s="1012">
        <v>5931000</v>
      </c>
      <c r="I668" s="1012">
        <v>1400000</v>
      </c>
      <c r="J668" s="1012">
        <v>0</v>
      </c>
      <c r="K668" s="1012">
        <v>1200000</v>
      </c>
      <c r="L668" s="1013">
        <f t="shared" si="149"/>
        <v>8531000</v>
      </c>
      <c r="M668" s="1014">
        <v>23</v>
      </c>
      <c r="N668" s="1013">
        <f t="shared" si="137"/>
        <v>7546654</v>
      </c>
      <c r="O668" s="1015">
        <v>3</v>
      </c>
      <c r="P668" s="1013">
        <f t="shared" si="138"/>
        <v>984346</v>
      </c>
      <c r="Q668" s="1016">
        <v>0</v>
      </c>
      <c r="R668" s="1013">
        <f t="shared" si="139"/>
        <v>0</v>
      </c>
      <c r="S668" s="1013">
        <f t="shared" si="140"/>
        <v>8531000</v>
      </c>
      <c r="T668" s="1017">
        <v>0</v>
      </c>
      <c r="U668" s="785">
        <v>84000</v>
      </c>
      <c r="V668" s="785">
        <v>200000</v>
      </c>
      <c r="W668" s="1017">
        <v>500000</v>
      </c>
      <c r="X668" s="1017">
        <v>0</v>
      </c>
      <c r="Y668" s="1017">
        <v>400000</v>
      </c>
      <c r="Z668" s="1017">
        <v>0</v>
      </c>
      <c r="AA668" s="1018"/>
      <c r="AB668" s="1013"/>
      <c r="AC668" s="1017">
        <v>0</v>
      </c>
      <c r="AD668" s="1017">
        <v>0</v>
      </c>
      <c r="AE668" s="1013">
        <v>61521.635869565216</v>
      </c>
      <c r="AF668" s="1019"/>
      <c r="AG668" s="1019">
        <f t="shared" si="151"/>
        <v>9776522</v>
      </c>
      <c r="AH668" s="1014">
        <v>72</v>
      </c>
      <c r="AI668" s="1014">
        <v>8</v>
      </c>
      <c r="AJ668" s="1014">
        <v>0</v>
      </c>
      <c r="AK668" s="1018">
        <v>0</v>
      </c>
      <c r="AL668" s="1020">
        <v>8</v>
      </c>
      <c r="AM668" s="1013">
        <f t="shared" si="150"/>
        <v>6070135</v>
      </c>
      <c r="AN668" s="1045">
        <f t="shared" si="141"/>
        <v>15846657</v>
      </c>
      <c r="AO668" s="1013">
        <v>895755</v>
      </c>
      <c r="AP668" s="1013">
        <v>44100</v>
      </c>
      <c r="AQ668" s="1013">
        <v>0</v>
      </c>
      <c r="AR668" s="1013">
        <v>0</v>
      </c>
      <c r="AS668" s="1013">
        <v>0</v>
      </c>
      <c r="AT668" s="1045">
        <f t="shared" si="146"/>
        <v>14906802</v>
      </c>
      <c r="AU668" s="1004"/>
      <c r="AV668" s="870"/>
      <c r="AW668" s="782" t="s">
        <v>4591</v>
      </c>
      <c r="AX668" s="782" t="s">
        <v>4592</v>
      </c>
      <c r="AY668" s="1007" t="s">
        <v>288</v>
      </c>
      <c r="AZ668" s="1007">
        <v>622</v>
      </c>
      <c r="BA668" s="347" t="str">
        <f t="shared" si="152"/>
        <v>Bag</v>
      </c>
      <c r="BB668" s="1008"/>
      <c r="BC668" s="1009"/>
      <c r="BD668" s="1009"/>
    </row>
    <row r="669" spans="1:56" s="1010" customFormat="1" ht="36.75" customHeight="1">
      <c r="A669" s="661">
        <f>SUBTOTAL(3,B$6:B669)</f>
        <v>664</v>
      </c>
      <c r="B669" s="661" t="s">
        <v>2122</v>
      </c>
      <c r="C669" s="662" t="s">
        <v>2123</v>
      </c>
      <c r="D669" s="1011">
        <v>40339</v>
      </c>
      <c r="E669" s="1011" t="s">
        <v>220</v>
      </c>
      <c r="F669" s="787" t="s">
        <v>265</v>
      </c>
      <c r="G669" s="996" t="s">
        <v>2119</v>
      </c>
      <c r="H669" s="1012">
        <v>5931000</v>
      </c>
      <c r="I669" s="1012">
        <v>1400000</v>
      </c>
      <c r="J669" s="1012">
        <v>0</v>
      </c>
      <c r="K669" s="1012">
        <v>0</v>
      </c>
      <c r="L669" s="1013">
        <f t="shared" si="149"/>
        <v>7331000</v>
      </c>
      <c r="M669" s="1014">
        <v>24</v>
      </c>
      <c r="N669" s="1013">
        <f t="shared" si="137"/>
        <v>6767077</v>
      </c>
      <c r="O669" s="1015">
        <v>2</v>
      </c>
      <c r="P669" s="1013">
        <f t="shared" si="138"/>
        <v>563923</v>
      </c>
      <c r="Q669" s="1016">
        <v>0</v>
      </c>
      <c r="R669" s="1013">
        <f t="shared" si="139"/>
        <v>0</v>
      </c>
      <c r="S669" s="1013">
        <f t="shared" si="140"/>
        <v>7331000</v>
      </c>
      <c r="T669" s="1017">
        <v>0</v>
      </c>
      <c r="U669" s="785">
        <v>126000</v>
      </c>
      <c r="V669" s="785">
        <v>200000</v>
      </c>
      <c r="W669" s="1017">
        <v>500000</v>
      </c>
      <c r="X669" s="1017">
        <v>0</v>
      </c>
      <c r="Y669" s="1017">
        <v>400000</v>
      </c>
      <c r="Z669" s="1017">
        <v>0</v>
      </c>
      <c r="AA669" s="1018"/>
      <c r="AB669" s="1013"/>
      <c r="AC669" s="1017">
        <v>0</v>
      </c>
      <c r="AD669" s="1017">
        <v>0</v>
      </c>
      <c r="AE669" s="1013">
        <v>52867.7890625</v>
      </c>
      <c r="AF669" s="1019"/>
      <c r="AG669" s="1019">
        <f t="shared" si="151"/>
        <v>8609868</v>
      </c>
      <c r="AH669" s="1014">
        <v>80</v>
      </c>
      <c r="AI669" s="1014">
        <v>16</v>
      </c>
      <c r="AJ669" s="1014">
        <v>0</v>
      </c>
      <c r="AK669" s="1018">
        <v>0</v>
      </c>
      <c r="AL669" s="1020">
        <v>8</v>
      </c>
      <c r="AM669" s="1013">
        <f t="shared" si="150"/>
        <v>6203154</v>
      </c>
      <c r="AN669" s="1045">
        <f t="shared" si="141"/>
        <v>14813022</v>
      </c>
      <c r="AO669" s="1013">
        <v>769755</v>
      </c>
      <c r="AP669" s="1013">
        <v>44100</v>
      </c>
      <c r="AQ669" s="1013">
        <v>0</v>
      </c>
      <c r="AR669" s="1013">
        <v>0</v>
      </c>
      <c r="AS669" s="1013">
        <v>0</v>
      </c>
      <c r="AT669" s="1045">
        <f t="shared" si="146"/>
        <v>13999167</v>
      </c>
      <c r="AU669" s="1004"/>
      <c r="AV669" s="870"/>
      <c r="AW669" s="782" t="s">
        <v>4593</v>
      </c>
      <c r="AX669" s="782" t="s">
        <v>4594</v>
      </c>
      <c r="AY669" s="1007" t="s">
        <v>287</v>
      </c>
      <c r="AZ669" s="1007">
        <v>622</v>
      </c>
      <c r="BA669" s="347" t="str">
        <f t="shared" si="152"/>
        <v>Box</v>
      </c>
      <c r="BB669" s="1008"/>
      <c r="BC669" s="1009"/>
      <c r="BD669" s="1009"/>
    </row>
    <row r="670" spans="1:56" s="1010" customFormat="1" ht="36.75" customHeight="1">
      <c r="A670" s="661">
        <f>SUBTOTAL(3,B$6:B670)</f>
        <v>665</v>
      </c>
      <c r="B670" s="661" t="s">
        <v>2124</v>
      </c>
      <c r="C670" s="662" t="s">
        <v>2125</v>
      </c>
      <c r="D670" s="1011">
        <v>41326</v>
      </c>
      <c r="E670" s="1011" t="s">
        <v>220</v>
      </c>
      <c r="F670" s="787" t="s">
        <v>265</v>
      </c>
      <c r="G670" s="996" t="s">
        <v>2126</v>
      </c>
      <c r="H670" s="1012">
        <v>5931000</v>
      </c>
      <c r="I670" s="1012">
        <v>3000000</v>
      </c>
      <c r="J670" s="1012">
        <v>0</v>
      </c>
      <c r="K670" s="1012">
        <v>500000</v>
      </c>
      <c r="L670" s="1013">
        <f t="shared" si="149"/>
        <v>9431000</v>
      </c>
      <c r="M670" s="1014">
        <v>23</v>
      </c>
      <c r="N670" s="1013">
        <f t="shared" si="137"/>
        <v>8342808</v>
      </c>
      <c r="O670" s="1015">
        <v>3</v>
      </c>
      <c r="P670" s="1013">
        <f t="shared" si="138"/>
        <v>1088192</v>
      </c>
      <c r="Q670" s="1016">
        <v>0</v>
      </c>
      <c r="R670" s="1013">
        <f t="shared" si="139"/>
        <v>0</v>
      </c>
      <c r="S670" s="1013">
        <f t="shared" si="140"/>
        <v>9431000</v>
      </c>
      <c r="T670" s="1017">
        <v>0</v>
      </c>
      <c r="U670" s="785">
        <v>84000</v>
      </c>
      <c r="V670" s="785">
        <v>200000</v>
      </c>
      <c r="W670" s="1017">
        <v>500000</v>
      </c>
      <c r="X670" s="1017">
        <v>0</v>
      </c>
      <c r="Y670" s="1017">
        <v>400000</v>
      </c>
      <c r="Z670" s="1017">
        <v>0</v>
      </c>
      <c r="AA670" s="1018"/>
      <c r="AB670" s="1013"/>
      <c r="AC670" s="1017">
        <v>0</v>
      </c>
      <c r="AD670" s="1017">
        <v>0</v>
      </c>
      <c r="AE670" s="1013">
        <v>68012.021739130432</v>
      </c>
      <c r="AF670" s="1019"/>
      <c r="AG670" s="1019">
        <f t="shared" si="151"/>
        <v>10683012</v>
      </c>
      <c r="AH670" s="1014">
        <v>72</v>
      </c>
      <c r="AI670" s="1014">
        <v>8</v>
      </c>
      <c r="AJ670" s="1014">
        <v>0</v>
      </c>
      <c r="AK670" s="1018">
        <v>0</v>
      </c>
      <c r="AL670" s="1020">
        <v>8</v>
      </c>
      <c r="AM670" s="1013">
        <f t="shared" si="150"/>
        <v>6710519</v>
      </c>
      <c r="AN670" s="1045">
        <f t="shared" si="141"/>
        <v>17393531</v>
      </c>
      <c r="AO670" s="1013">
        <v>990255</v>
      </c>
      <c r="AP670" s="1013">
        <v>44100</v>
      </c>
      <c r="AQ670" s="1013">
        <v>0</v>
      </c>
      <c r="AR670" s="1013">
        <v>0</v>
      </c>
      <c r="AS670" s="1013">
        <v>0</v>
      </c>
      <c r="AT670" s="1045">
        <f t="shared" si="146"/>
        <v>16359176</v>
      </c>
      <c r="AU670" s="1004"/>
      <c r="AV670" s="870"/>
      <c r="AW670" s="782" t="s">
        <v>4595</v>
      </c>
      <c r="AX670" s="782" t="s">
        <v>4596</v>
      </c>
      <c r="AY670" s="1007" t="s">
        <v>288</v>
      </c>
      <c r="AZ670" s="1007">
        <v>622</v>
      </c>
      <c r="BA670" s="347" t="str">
        <f t="shared" si="152"/>
        <v>Bag</v>
      </c>
      <c r="BB670" s="1008"/>
      <c r="BC670" s="1009"/>
      <c r="BD670" s="1009"/>
    </row>
    <row r="671" spans="1:56" s="1010" customFormat="1" ht="36.75" customHeight="1">
      <c r="A671" s="661">
        <f>SUBTOTAL(3,B$6:B671)</f>
        <v>666</v>
      </c>
      <c r="B671" s="661" t="s">
        <v>2127</v>
      </c>
      <c r="C671" s="662" t="s">
        <v>2128</v>
      </c>
      <c r="D671" s="1011">
        <v>42430</v>
      </c>
      <c r="E671" s="1011" t="s">
        <v>220</v>
      </c>
      <c r="F671" s="787" t="s">
        <v>265</v>
      </c>
      <c r="G671" s="996" t="s">
        <v>2129</v>
      </c>
      <c r="H671" s="1012">
        <v>8844000</v>
      </c>
      <c r="I671" s="1012">
        <v>9356000</v>
      </c>
      <c r="J671" s="1012">
        <v>0</v>
      </c>
      <c r="K671" s="1012">
        <v>0</v>
      </c>
      <c r="L671" s="1013">
        <f t="shared" si="149"/>
        <v>18200000</v>
      </c>
      <c r="M671" s="1014">
        <v>23.6</v>
      </c>
      <c r="N671" s="1013">
        <f t="shared" si="137"/>
        <v>16520000</v>
      </c>
      <c r="O671" s="1015">
        <v>2</v>
      </c>
      <c r="P671" s="1013">
        <f t="shared" si="138"/>
        <v>1400000</v>
      </c>
      <c r="Q671" s="1016">
        <v>0</v>
      </c>
      <c r="R671" s="1013">
        <f t="shared" si="139"/>
        <v>0</v>
      </c>
      <c r="S671" s="1013">
        <f t="shared" si="140"/>
        <v>17920000</v>
      </c>
      <c r="T671" s="1017">
        <v>492308</v>
      </c>
      <c r="U671" s="785">
        <v>0</v>
      </c>
      <c r="V671" s="785">
        <v>0</v>
      </c>
      <c r="W671" s="1017">
        <v>0</v>
      </c>
      <c r="X671" s="1017">
        <v>0</v>
      </c>
      <c r="Y671" s="1017">
        <v>0</v>
      </c>
      <c r="Z671" s="1017">
        <v>0</v>
      </c>
      <c r="AA671" s="1018"/>
      <c r="AB671" s="1013"/>
      <c r="AC671" s="1017">
        <v>0</v>
      </c>
      <c r="AD671" s="1017">
        <v>0</v>
      </c>
      <c r="AE671" s="1013">
        <v>0</v>
      </c>
      <c r="AF671" s="1019"/>
      <c r="AG671" s="1019">
        <f t="shared" si="151"/>
        <v>18412308</v>
      </c>
      <c r="AH671" s="1014">
        <v>0</v>
      </c>
      <c r="AI671" s="1014">
        <v>8</v>
      </c>
      <c r="AJ671" s="1014">
        <v>0</v>
      </c>
      <c r="AK671" s="1018">
        <v>0</v>
      </c>
      <c r="AL671" s="1020">
        <v>0</v>
      </c>
      <c r="AM671" s="1013">
        <f t="shared" si="150"/>
        <v>1400000</v>
      </c>
      <c r="AN671" s="1045">
        <f t="shared" si="141"/>
        <v>19812308</v>
      </c>
      <c r="AO671" s="1013">
        <v>1911000</v>
      </c>
      <c r="AP671" s="1013">
        <v>44100</v>
      </c>
      <c r="AQ671" s="1013">
        <v>0</v>
      </c>
      <c r="AR671" s="1013">
        <v>0</v>
      </c>
      <c r="AS671" s="1013">
        <v>0</v>
      </c>
      <c r="AT671" s="1045">
        <f t="shared" si="146"/>
        <v>17857208</v>
      </c>
      <c r="AU671" s="1004"/>
      <c r="AV671" s="870"/>
      <c r="AW671" s="782" t="s">
        <v>4597</v>
      </c>
      <c r="AX671" s="782" t="s">
        <v>4598</v>
      </c>
      <c r="AY671" s="1007" t="s">
        <v>287</v>
      </c>
      <c r="AZ671" s="1007">
        <v>622</v>
      </c>
      <c r="BA671" s="347" t="str">
        <f t="shared" si="152"/>
        <v>Box</v>
      </c>
      <c r="BB671" s="1008"/>
      <c r="BC671" s="1009"/>
      <c r="BD671" s="1009"/>
    </row>
    <row r="672" spans="1:56" s="1010" customFormat="1" ht="36.75" customHeight="1">
      <c r="A672" s="661">
        <f>SUBTOTAL(3,B$6:B672)</f>
        <v>667</v>
      </c>
      <c r="B672" s="661" t="s">
        <v>2130</v>
      </c>
      <c r="C672" s="662" t="s">
        <v>2131</v>
      </c>
      <c r="D672" s="1011">
        <v>42583</v>
      </c>
      <c r="E672" s="1011" t="s">
        <v>220</v>
      </c>
      <c r="F672" s="787" t="s">
        <v>265</v>
      </c>
      <c r="G672" s="996" t="s">
        <v>2126</v>
      </c>
      <c r="H672" s="1012">
        <v>6560000</v>
      </c>
      <c r="I672" s="1012">
        <v>2000000</v>
      </c>
      <c r="J672" s="1012">
        <v>0</v>
      </c>
      <c r="K672" s="1012">
        <v>500000</v>
      </c>
      <c r="L672" s="1013">
        <f t="shared" si="149"/>
        <v>9060000</v>
      </c>
      <c r="M672" s="1014">
        <v>24</v>
      </c>
      <c r="N672" s="1013">
        <f t="shared" si="137"/>
        <v>8363077</v>
      </c>
      <c r="O672" s="1015">
        <v>2</v>
      </c>
      <c r="P672" s="1013">
        <f t="shared" si="138"/>
        <v>696923</v>
      </c>
      <c r="Q672" s="1016">
        <v>0</v>
      </c>
      <c r="R672" s="1013">
        <f t="shared" si="139"/>
        <v>0</v>
      </c>
      <c r="S672" s="1013">
        <f t="shared" si="140"/>
        <v>9060000</v>
      </c>
      <c r="T672" s="1017">
        <v>400000</v>
      </c>
      <c r="U672" s="785">
        <v>63000</v>
      </c>
      <c r="V672" s="785">
        <v>200000</v>
      </c>
      <c r="W672" s="1017">
        <v>500000</v>
      </c>
      <c r="X672" s="1017">
        <v>0</v>
      </c>
      <c r="Y672" s="1017">
        <v>400000</v>
      </c>
      <c r="Z672" s="1017">
        <v>0</v>
      </c>
      <c r="AA672" s="1018"/>
      <c r="AB672" s="1013"/>
      <c r="AC672" s="1017">
        <v>0</v>
      </c>
      <c r="AD672" s="1017">
        <v>0</v>
      </c>
      <c r="AE672" s="1013">
        <v>0</v>
      </c>
      <c r="AF672" s="1019"/>
      <c r="AG672" s="1019">
        <f t="shared" si="151"/>
        <v>10623000</v>
      </c>
      <c r="AH672" s="1014">
        <v>60</v>
      </c>
      <c r="AI672" s="1014">
        <v>8</v>
      </c>
      <c r="AJ672" s="1014">
        <v>0</v>
      </c>
      <c r="AK672" s="1018">
        <v>0</v>
      </c>
      <c r="AL672" s="1020">
        <v>0</v>
      </c>
      <c r="AM672" s="1013">
        <f t="shared" si="150"/>
        <v>4617115</v>
      </c>
      <c r="AN672" s="1045">
        <f t="shared" si="141"/>
        <v>15240115</v>
      </c>
      <c r="AO672" s="1013">
        <v>951300</v>
      </c>
      <c r="AP672" s="1013">
        <v>44100</v>
      </c>
      <c r="AQ672" s="1013">
        <v>66681</v>
      </c>
      <c r="AR672" s="1013">
        <v>0</v>
      </c>
      <c r="AS672" s="1013">
        <v>0</v>
      </c>
      <c r="AT672" s="1045">
        <f t="shared" si="146"/>
        <v>14178034</v>
      </c>
      <c r="AU672" s="1004"/>
      <c r="AV672" s="870"/>
      <c r="AW672" s="782" t="s">
        <v>4599</v>
      </c>
      <c r="AX672" s="782" t="s">
        <v>4600</v>
      </c>
      <c r="AY672" s="1007" t="s">
        <v>288</v>
      </c>
      <c r="AZ672" s="1007">
        <v>622</v>
      </c>
      <c r="BA672" s="347" t="str">
        <f t="shared" si="152"/>
        <v>Bag</v>
      </c>
      <c r="BB672" s="1008"/>
      <c r="BC672" s="1009"/>
      <c r="BD672" s="1009"/>
    </row>
    <row r="673" spans="1:56" s="1010" customFormat="1" ht="36.75" customHeight="1">
      <c r="A673" s="661">
        <f>SUBTOTAL(3,B$6:B673)</f>
        <v>668</v>
      </c>
      <c r="B673" s="661" t="s">
        <v>2132</v>
      </c>
      <c r="C673" s="662" t="s">
        <v>2133</v>
      </c>
      <c r="D673" s="1011">
        <v>44067</v>
      </c>
      <c r="E673" s="1011" t="s">
        <v>220</v>
      </c>
      <c r="F673" s="787" t="s">
        <v>527</v>
      </c>
      <c r="G673" s="996" t="s">
        <v>2134</v>
      </c>
      <c r="H673" s="1012">
        <v>10800000</v>
      </c>
      <c r="I673" s="1012">
        <v>6000000</v>
      </c>
      <c r="J673" s="1012">
        <v>0</v>
      </c>
      <c r="K673" s="1012">
        <v>0</v>
      </c>
      <c r="L673" s="1013">
        <f t="shared" si="149"/>
        <v>16800000</v>
      </c>
      <c r="M673" s="1014">
        <v>24</v>
      </c>
      <c r="N673" s="1013">
        <f t="shared" si="137"/>
        <v>15507692</v>
      </c>
      <c r="O673" s="1015">
        <v>2</v>
      </c>
      <c r="P673" s="1013">
        <f t="shared" si="138"/>
        <v>1292308</v>
      </c>
      <c r="Q673" s="1016">
        <v>0</v>
      </c>
      <c r="R673" s="1013">
        <f t="shared" si="139"/>
        <v>0</v>
      </c>
      <c r="S673" s="1013">
        <f t="shared" si="140"/>
        <v>16800000</v>
      </c>
      <c r="T673" s="1017">
        <v>500000</v>
      </c>
      <c r="U673" s="785">
        <v>0</v>
      </c>
      <c r="V673" s="785">
        <v>0</v>
      </c>
      <c r="W673" s="1017">
        <v>0</v>
      </c>
      <c r="X673" s="1017">
        <v>0</v>
      </c>
      <c r="Y673" s="1017">
        <v>0</v>
      </c>
      <c r="Z673" s="1017">
        <v>0</v>
      </c>
      <c r="AA673" s="1018"/>
      <c r="AB673" s="1013"/>
      <c r="AC673" s="1017">
        <v>0</v>
      </c>
      <c r="AD673" s="1017">
        <v>0</v>
      </c>
      <c r="AE673" s="1013">
        <v>0</v>
      </c>
      <c r="AF673" s="1019"/>
      <c r="AG673" s="1019">
        <f t="shared" si="151"/>
        <v>17300000</v>
      </c>
      <c r="AH673" s="1014">
        <v>0</v>
      </c>
      <c r="AI673" s="1014">
        <v>0</v>
      </c>
      <c r="AJ673" s="1014">
        <v>0</v>
      </c>
      <c r="AK673" s="1018">
        <v>0</v>
      </c>
      <c r="AL673" s="1020">
        <v>0</v>
      </c>
      <c r="AM673" s="1013">
        <f t="shared" si="150"/>
        <v>0</v>
      </c>
      <c r="AN673" s="1045">
        <f t="shared" si="141"/>
        <v>17300000</v>
      </c>
      <c r="AO673" s="1013">
        <v>1764000</v>
      </c>
      <c r="AP673" s="1013">
        <v>44100</v>
      </c>
      <c r="AQ673" s="1013">
        <v>0</v>
      </c>
      <c r="AR673" s="1013">
        <v>0</v>
      </c>
      <c r="AS673" s="1013">
        <v>0</v>
      </c>
      <c r="AT673" s="1045">
        <f t="shared" si="146"/>
        <v>15491900</v>
      </c>
      <c r="AU673" s="1004"/>
      <c r="AV673" s="870"/>
      <c r="AW673" s="782" t="s">
        <v>4601</v>
      </c>
      <c r="AX673" s="782" t="s">
        <v>4602</v>
      </c>
      <c r="AY673" s="1007" t="s">
        <v>287</v>
      </c>
      <c r="AZ673" s="1007">
        <v>622</v>
      </c>
      <c r="BA673" s="347" t="str">
        <f t="shared" si="152"/>
        <v>Box</v>
      </c>
      <c r="BB673" s="1008"/>
      <c r="BC673" s="1009"/>
      <c r="BD673" s="1009"/>
    </row>
    <row r="674" spans="1:56" s="1010" customFormat="1" ht="36.75" customHeight="1">
      <c r="A674" s="661">
        <f>SUBTOTAL(3,B$6:B674)</f>
        <v>669</v>
      </c>
      <c r="B674" s="661" t="s">
        <v>2136</v>
      </c>
      <c r="C674" s="662" t="s">
        <v>2137</v>
      </c>
      <c r="D674" s="1011">
        <v>44613</v>
      </c>
      <c r="E674" s="1011" t="s">
        <v>220</v>
      </c>
      <c r="F674" s="787" t="s">
        <v>527</v>
      </c>
      <c r="G674" s="996" t="s">
        <v>2135</v>
      </c>
      <c r="H674" s="1012">
        <v>6500000</v>
      </c>
      <c r="I674" s="1012">
        <v>2000000</v>
      </c>
      <c r="J674" s="1012">
        <v>0</v>
      </c>
      <c r="K674" s="1012">
        <v>0</v>
      </c>
      <c r="L674" s="1013">
        <f t="shared" si="149"/>
        <v>8500000</v>
      </c>
      <c r="M674" s="1014">
        <v>23</v>
      </c>
      <c r="N674" s="1013">
        <f t="shared" si="137"/>
        <v>7519231</v>
      </c>
      <c r="O674" s="1015">
        <v>2</v>
      </c>
      <c r="P674" s="1013">
        <f t="shared" si="138"/>
        <v>653846</v>
      </c>
      <c r="Q674" s="1016">
        <v>0</v>
      </c>
      <c r="R674" s="1013">
        <f t="shared" si="139"/>
        <v>0</v>
      </c>
      <c r="S674" s="1013">
        <f t="shared" si="140"/>
        <v>8173077</v>
      </c>
      <c r="T674" s="1017">
        <v>480769</v>
      </c>
      <c r="U674" s="785">
        <v>0</v>
      </c>
      <c r="V674" s="785">
        <v>0</v>
      </c>
      <c r="W674" s="1017">
        <v>0</v>
      </c>
      <c r="X674" s="1017">
        <v>0</v>
      </c>
      <c r="Y674" s="1017">
        <v>0</v>
      </c>
      <c r="Z674" s="1017">
        <v>0</v>
      </c>
      <c r="AA674" s="1018"/>
      <c r="AB674" s="1013"/>
      <c r="AC674" s="1017">
        <v>0</v>
      </c>
      <c r="AD674" s="1017">
        <v>0</v>
      </c>
      <c r="AE674" s="1013">
        <v>61298.078804347824</v>
      </c>
      <c r="AF674" s="1019"/>
      <c r="AG674" s="1019">
        <f t="shared" si="151"/>
        <v>8715144</v>
      </c>
      <c r="AH674" s="1014">
        <v>0</v>
      </c>
      <c r="AI674" s="1014">
        <v>0</v>
      </c>
      <c r="AJ674" s="1014">
        <v>0</v>
      </c>
      <c r="AK674" s="1018">
        <v>0</v>
      </c>
      <c r="AL674" s="1020">
        <v>0</v>
      </c>
      <c r="AM674" s="1013">
        <f t="shared" si="150"/>
        <v>0</v>
      </c>
      <c r="AN674" s="1045">
        <f t="shared" si="141"/>
        <v>8715144</v>
      </c>
      <c r="AO674" s="1013">
        <v>892500</v>
      </c>
      <c r="AP674" s="1013">
        <v>44100</v>
      </c>
      <c r="AQ674" s="1013">
        <v>0</v>
      </c>
      <c r="AR674" s="1013">
        <v>0</v>
      </c>
      <c r="AS674" s="1013">
        <v>0</v>
      </c>
      <c r="AT674" s="1045">
        <f t="shared" si="146"/>
        <v>7778544</v>
      </c>
      <c r="AU674" s="1004"/>
      <c r="AV674" s="870"/>
      <c r="AW674" s="782" t="s">
        <v>4603</v>
      </c>
      <c r="AX674" s="782" t="s">
        <v>4604</v>
      </c>
      <c r="AY674" s="1007" t="s">
        <v>287</v>
      </c>
      <c r="AZ674" s="1007">
        <v>622</v>
      </c>
      <c r="BA674" s="347" t="str">
        <f t="shared" si="152"/>
        <v>Box</v>
      </c>
      <c r="BB674" s="1008"/>
      <c r="BC674" s="1009"/>
      <c r="BD674" s="1009"/>
    </row>
    <row r="675" spans="1:56" s="1010" customFormat="1" ht="36.75" customHeight="1">
      <c r="A675" s="661">
        <f>SUBTOTAL(3,B$6:B675)</f>
        <v>670</v>
      </c>
      <c r="B675" s="661" t="s">
        <v>2138</v>
      </c>
      <c r="C675" s="662" t="s">
        <v>2139</v>
      </c>
      <c r="D675" s="1011">
        <v>45418</v>
      </c>
      <c r="E675" s="1011" t="s">
        <v>220</v>
      </c>
      <c r="F675" s="787" t="s">
        <v>527</v>
      </c>
      <c r="G675" s="996" t="s">
        <v>2135</v>
      </c>
      <c r="H675" s="1012">
        <v>6000000</v>
      </c>
      <c r="I675" s="1012">
        <v>2000000</v>
      </c>
      <c r="J675" s="1012">
        <v>0</v>
      </c>
      <c r="K675" s="1012">
        <v>0</v>
      </c>
      <c r="L675" s="1013">
        <f t="shared" si="149"/>
        <v>8000000</v>
      </c>
      <c r="M675" s="1014">
        <v>23.8</v>
      </c>
      <c r="N675" s="1013">
        <f t="shared" si="137"/>
        <v>7323077</v>
      </c>
      <c r="O675" s="1015">
        <v>2</v>
      </c>
      <c r="P675" s="1013">
        <f t="shared" si="138"/>
        <v>615385</v>
      </c>
      <c r="Q675" s="1016">
        <v>0</v>
      </c>
      <c r="R675" s="1013">
        <f t="shared" si="139"/>
        <v>0</v>
      </c>
      <c r="S675" s="1013">
        <f t="shared" si="140"/>
        <v>7938462</v>
      </c>
      <c r="T675" s="1017">
        <v>496154</v>
      </c>
      <c r="U675" s="785">
        <v>0</v>
      </c>
      <c r="V675" s="785">
        <v>0</v>
      </c>
      <c r="W675" s="1017">
        <v>0</v>
      </c>
      <c r="X675" s="1017">
        <v>0</v>
      </c>
      <c r="Y675" s="1017">
        <v>0</v>
      </c>
      <c r="Z675" s="1017">
        <v>0</v>
      </c>
      <c r="AA675" s="1018"/>
      <c r="AB675" s="1013"/>
      <c r="AC675" s="1017">
        <v>0</v>
      </c>
      <c r="AD675" s="1017">
        <v>0</v>
      </c>
      <c r="AE675" s="1013">
        <v>57692.308298319324</v>
      </c>
      <c r="AF675" s="1019"/>
      <c r="AG675" s="1019">
        <f t="shared" si="151"/>
        <v>8492308</v>
      </c>
      <c r="AH675" s="1014">
        <v>0</v>
      </c>
      <c r="AI675" s="1014">
        <v>0</v>
      </c>
      <c r="AJ675" s="1014">
        <v>0</v>
      </c>
      <c r="AK675" s="1018">
        <v>0</v>
      </c>
      <c r="AL675" s="1020">
        <v>0</v>
      </c>
      <c r="AM675" s="1013">
        <f t="shared" si="150"/>
        <v>0</v>
      </c>
      <c r="AN675" s="1045">
        <f t="shared" si="141"/>
        <v>8492308</v>
      </c>
      <c r="AO675" s="1013">
        <v>840000</v>
      </c>
      <c r="AP675" s="1013">
        <v>44100</v>
      </c>
      <c r="AQ675" s="1013">
        <v>0</v>
      </c>
      <c r="AR675" s="1013">
        <v>0</v>
      </c>
      <c r="AS675" s="1013">
        <v>0</v>
      </c>
      <c r="AT675" s="1045">
        <f t="shared" si="146"/>
        <v>7608208</v>
      </c>
      <c r="AU675" s="1004"/>
      <c r="AV675" s="870"/>
      <c r="AW675" s="782" t="s">
        <v>4605</v>
      </c>
      <c r="AX675" s="782" t="s">
        <v>4606</v>
      </c>
      <c r="AY675" s="1007" t="s">
        <v>287</v>
      </c>
      <c r="AZ675" s="1007">
        <v>622</v>
      </c>
      <c r="BA675" s="347" t="str">
        <f t="shared" si="152"/>
        <v>Box</v>
      </c>
      <c r="BB675" s="1008"/>
      <c r="BC675" s="1009"/>
      <c r="BD675" s="1009"/>
    </row>
    <row r="676" spans="1:56" s="1010" customFormat="1" ht="36.75" customHeight="1">
      <c r="A676" s="661">
        <f>SUBTOTAL(3,B$6:B676)</f>
        <v>671</v>
      </c>
      <c r="B676" s="661" t="s">
        <v>5771</v>
      </c>
      <c r="C676" s="662" t="s">
        <v>1994</v>
      </c>
      <c r="D676" s="1011">
        <v>45749</v>
      </c>
      <c r="E676" s="1011" t="s">
        <v>220</v>
      </c>
      <c r="F676" s="787" t="s">
        <v>527</v>
      </c>
      <c r="G676" s="996" t="s">
        <v>2135</v>
      </c>
      <c r="H676" s="1012">
        <v>6500000</v>
      </c>
      <c r="I676" s="1012">
        <v>2000000</v>
      </c>
      <c r="J676" s="1012">
        <v>0</v>
      </c>
      <c r="K676" s="1012">
        <v>0</v>
      </c>
      <c r="L676" s="1013">
        <f t="shared" si="149"/>
        <v>8500000</v>
      </c>
      <c r="M676" s="1014">
        <v>21.1</v>
      </c>
      <c r="N676" s="1013">
        <f t="shared" si="137"/>
        <v>6898077</v>
      </c>
      <c r="O676" s="1015">
        <v>2</v>
      </c>
      <c r="P676" s="1013">
        <f t="shared" si="138"/>
        <v>653846</v>
      </c>
      <c r="Q676" s="1016">
        <v>0</v>
      </c>
      <c r="R676" s="1013">
        <f t="shared" si="139"/>
        <v>0</v>
      </c>
      <c r="S676" s="1013">
        <f t="shared" si="140"/>
        <v>7551923</v>
      </c>
      <c r="T676" s="1017">
        <v>444231</v>
      </c>
      <c r="U676" s="785">
        <v>0</v>
      </c>
      <c r="V676" s="785">
        <v>0</v>
      </c>
      <c r="W676" s="1017">
        <v>0</v>
      </c>
      <c r="X676" s="1017">
        <v>0</v>
      </c>
      <c r="Y676" s="1017">
        <v>0</v>
      </c>
      <c r="Z676" s="1017">
        <v>0</v>
      </c>
      <c r="AA676" s="1018"/>
      <c r="AB676" s="1013"/>
      <c r="AC676" s="1017">
        <v>0</v>
      </c>
      <c r="AD676" s="1017">
        <v>0</v>
      </c>
      <c r="AE676" s="1013">
        <v>61298.077606635066</v>
      </c>
      <c r="AF676" s="1019"/>
      <c r="AG676" s="1019">
        <f t="shared" si="151"/>
        <v>8057452</v>
      </c>
      <c r="AH676" s="1014">
        <v>0</v>
      </c>
      <c r="AI676" s="1014">
        <v>0</v>
      </c>
      <c r="AJ676" s="1014">
        <v>0</v>
      </c>
      <c r="AK676" s="1018">
        <v>0</v>
      </c>
      <c r="AL676" s="1020">
        <v>0</v>
      </c>
      <c r="AM676" s="1013">
        <f t="shared" si="150"/>
        <v>0</v>
      </c>
      <c r="AN676" s="1045">
        <f t="shared" si="141"/>
        <v>8057452</v>
      </c>
      <c r="AO676" s="1013">
        <v>0</v>
      </c>
      <c r="AP676" s="1013">
        <v>0</v>
      </c>
      <c r="AQ676" s="1013">
        <v>0</v>
      </c>
      <c r="AR676" s="1013">
        <v>0</v>
      </c>
      <c r="AS676" s="1013">
        <v>0</v>
      </c>
      <c r="AT676" s="1045">
        <f t="shared" si="146"/>
        <v>8057452</v>
      </c>
      <c r="AU676" s="1004"/>
      <c r="AV676" s="870"/>
      <c r="AW676" s="782" t="s">
        <v>4472</v>
      </c>
      <c r="AX676" s="782" t="s">
        <v>5873</v>
      </c>
      <c r="AY676" s="1007" t="s">
        <v>221</v>
      </c>
      <c r="AZ676" s="1007">
        <v>622</v>
      </c>
      <c r="BA676" s="347" t="str">
        <f t="shared" si="152"/>
        <v>Bag</v>
      </c>
      <c r="BB676" s="1008"/>
      <c r="BC676" s="1009"/>
      <c r="BD676" s="1009"/>
    </row>
    <row r="677" spans="1:56" s="1010" customFormat="1" ht="36.75" customHeight="1">
      <c r="A677" s="661">
        <f>SUBTOTAL(3,B$6:B677)</f>
        <v>672</v>
      </c>
      <c r="B677" s="661" t="s">
        <v>2140</v>
      </c>
      <c r="C677" s="662" t="s">
        <v>2141</v>
      </c>
      <c r="D677" s="1011">
        <v>39687</v>
      </c>
      <c r="E677" s="1011" t="s">
        <v>220</v>
      </c>
      <c r="F677" s="787" t="s">
        <v>266</v>
      </c>
      <c r="G677" s="996" t="s">
        <v>2142</v>
      </c>
      <c r="H677" s="1012">
        <v>5931000</v>
      </c>
      <c r="I677" s="1012">
        <v>4500000</v>
      </c>
      <c r="J677" s="1012">
        <v>0</v>
      </c>
      <c r="K677" s="1012">
        <v>500000</v>
      </c>
      <c r="L677" s="1013">
        <f t="shared" si="149"/>
        <v>10931000</v>
      </c>
      <c r="M677" s="1014">
        <v>24</v>
      </c>
      <c r="N677" s="1013">
        <f t="shared" si="137"/>
        <v>10090154</v>
      </c>
      <c r="O677" s="1015">
        <v>2</v>
      </c>
      <c r="P677" s="1013">
        <f t="shared" si="138"/>
        <v>840846</v>
      </c>
      <c r="Q677" s="1016">
        <v>0</v>
      </c>
      <c r="R677" s="1013">
        <f t="shared" si="139"/>
        <v>0</v>
      </c>
      <c r="S677" s="1013">
        <f t="shared" si="140"/>
        <v>10931000</v>
      </c>
      <c r="T677" s="1017">
        <v>0</v>
      </c>
      <c r="U677" s="785">
        <v>21000</v>
      </c>
      <c r="V677" s="785">
        <v>200000</v>
      </c>
      <c r="W677" s="1017">
        <v>500000</v>
      </c>
      <c r="X677" s="1017">
        <v>0</v>
      </c>
      <c r="Y677" s="1017">
        <v>400000</v>
      </c>
      <c r="Z677" s="1017">
        <v>0</v>
      </c>
      <c r="AA677" s="1018"/>
      <c r="AB677" s="1013"/>
      <c r="AC677" s="1017">
        <v>0</v>
      </c>
      <c r="AD677" s="1017">
        <v>0</v>
      </c>
      <c r="AE677" s="1013">
        <v>0</v>
      </c>
      <c r="AF677" s="1019"/>
      <c r="AG677" s="1019">
        <f t="shared" si="151"/>
        <v>12052000</v>
      </c>
      <c r="AH677" s="1014">
        <v>20</v>
      </c>
      <c r="AI677" s="1014">
        <v>0</v>
      </c>
      <c r="AJ677" s="1014">
        <v>0</v>
      </c>
      <c r="AK677" s="1018">
        <v>0</v>
      </c>
      <c r="AL677" s="1020">
        <v>0</v>
      </c>
      <c r="AM677" s="1013">
        <f t="shared" si="150"/>
        <v>1576587</v>
      </c>
      <c r="AN677" s="1045">
        <f t="shared" si="141"/>
        <v>13628587</v>
      </c>
      <c r="AO677" s="1013">
        <v>1147755</v>
      </c>
      <c r="AP677" s="1013">
        <v>44100</v>
      </c>
      <c r="AQ677" s="1013">
        <v>0</v>
      </c>
      <c r="AR677" s="1013">
        <v>0</v>
      </c>
      <c r="AS677" s="1013">
        <v>0</v>
      </c>
      <c r="AT677" s="1045">
        <f t="shared" si="146"/>
        <v>12436732</v>
      </c>
      <c r="AU677" s="1004"/>
      <c r="AV677" s="870"/>
      <c r="AW677" s="782" t="s">
        <v>4607</v>
      </c>
      <c r="AX677" s="782" t="s">
        <v>4608</v>
      </c>
      <c r="AY677" s="1007" t="s">
        <v>288</v>
      </c>
      <c r="AZ677" s="1007">
        <v>622</v>
      </c>
      <c r="BA677" s="347" t="str">
        <f t="shared" si="152"/>
        <v>Bag</v>
      </c>
      <c r="BB677" s="1008"/>
      <c r="BC677" s="1009"/>
      <c r="BD677" s="1009"/>
    </row>
    <row r="678" spans="1:56" s="1010" customFormat="1" ht="36.75" customHeight="1">
      <c r="A678" s="661">
        <f>SUBTOTAL(3,B$6:B678)</f>
        <v>673</v>
      </c>
      <c r="B678" s="661" t="s">
        <v>2143</v>
      </c>
      <c r="C678" s="662" t="s">
        <v>2144</v>
      </c>
      <c r="D678" s="1011">
        <v>43600</v>
      </c>
      <c r="E678" s="1011" t="s">
        <v>220</v>
      </c>
      <c r="F678" s="787" t="s">
        <v>266</v>
      </c>
      <c r="G678" s="996" t="s">
        <v>2145</v>
      </c>
      <c r="H678" s="1012">
        <v>5931000</v>
      </c>
      <c r="I678" s="1012">
        <v>2300000</v>
      </c>
      <c r="J678" s="1012">
        <v>0</v>
      </c>
      <c r="K678" s="1012">
        <v>2790000</v>
      </c>
      <c r="L678" s="1013">
        <f t="shared" si="149"/>
        <v>11021000</v>
      </c>
      <c r="M678" s="1014">
        <v>23</v>
      </c>
      <c r="N678" s="1013">
        <f t="shared" si="137"/>
        <v>9749346</v>
      </c>
      <c r="O678" s="1015">
        <v>3</v>
      </c>
      <c r="P678" s="1013">
        <f t="shared" si="138"/>
        <v>1271654</v>
      </c>
      <c r="Q678" s="1016">
        <v>0</v>
      </c>
      <c r="R678" s="1013">
        <f t="shared" si="139"/>
        <v>0</v>
      </c>
      <c r="S678" s="1013">
        <f t="shared" si="140"/>
        <v>11021000</v>
      </c>
      <c r="T678" s="1017">
        <v>0</v>
      </c>
      <c r="U678" s="785">
        <v>0</v>
      </c>
      <c r="V678" s="785">
        <v>200000</v>
      </c>
      <c r="W678" s="1017">
        <v>500000</v>
      </c>
      <c r="X678" s="1017">
        <v>0</v>
      </c>
      <c r="Y678" s="1017">
        <v>400000</v>
      </c>
      <c r="Z678" s="1017">
        <v>0</v>
      </c>
      <c r="AA678" s="1018"/>
      <c r="AB678" s="1013"/>
      <c r="AC678" s="1017">
        <v>0</v>
      </c>
      <c r="AD678" s="1017">
        <v>0</v>
      </c>
      <c r="AE678" s="1013">
        <v>0</v>
      </c>
      <c r="AF678" s="1019"/>
      <c r="AG678" s="1019">
        <f t="shared" si="151"/>
        <v>12121000</v>
      </c>
      <c r="AH678" s="1014">
        <v>0</v>
      </c>
      <c r="AI678" s="1014">
        <v>0</v>
      </c>
      <c r="AJ678" s="1014">
        <v>0</v>
      </c>
      <c r="AK678" s="1018">
        <v>0</v>
      </c>
      <c r="AL678" s="1020">
        <v>0</v>
      </c>
      <c r="AM678" s="1013">
        <f t="shared" si="150"/>
        <v>0</v>
      </c>
      <c r="AN678" s="1045">
        <f t="shared" si="141"/>
        <v>12121000</v>
      </c>
      <c r="AO678" s="1013">
        <v>1157205</v>
      </c>
      <c r="AP678" s="1013">
        <v>44100</v>
      </c>
      <c r="AQ678" s="1013">
        <v>3190</v>
      </c>
      <c r="AR678" s="1013">
        <v>0</v>
      </c>
      <c r="AS678" s="1013">
        <v>0</v>
      </c>
      <c r="AT678" s="1045">
        <f t="shared" si="146"/>
        <v>10916505</v>
      </c>
      <c r="AU678" s="1004"/>
      <c r="AV678" s="870"/>
      <c r="AW678" s="782" t="s">
        <v>4609</v>
      </c>
      <c r="AX678" s="782" t="s">
        <v>4610</v>
      </c>
      <c r="AY678" s="1007" t="s">
        <v>287</v>
      </c>
      <c r="AZ678" s="1007">
        <v>622</v>
      </c>
      <c r="BA678" s="347" t="str">
        <f t="shared" si="152"/>
        <v>Box</v>
      </c>
      <c r="BB678" s="1008"/>
      <c r="BC678" s="1009"/>
      <c r="BD678" s="1009"/>
    </row>
    <row r="679" spans="1:56" s="1010" customFormat="1" ht="36.75" customHeight="1">
      <c r="A679" s="661">
        <f>SUBTOTAL(3,B$6:B679)</f>
        <v>674</v>
      </c>
      <c r="B679" s="661" t="s">
        <v>2146</v>
      </c>
      <c r="C679" s="662" t="s">
        <v>2147</v>
      </c>
      <c r="D679" s="1011">
        <v>39716</v>
      </c>
      <c r="E679" s="1011" t="s">
        <v>220</v>
      </c>
      <c r="F679" s="787" t="s">
        <v>266</v>
      </c>
      <c r="G679" s="996" t="s">
        <v>2148</v>
      </c>
      <c r="H679" s="1012">
        <v>9340000</v>
      </c>
      <c r="I679" s="1012">
        <v>10600000</v>
      </c>
      <c r="J679" s="1012">
        <v>0</v>
      </c>
      <c r="K679" s="1012">
        <v>0</v>
      </c>
      <c r="L679" s="1013">
        <f t="shared" si="149"/>
        <v>19940000</v>
      </c>
      <c r="M679" s="1014">
        <v>20</v>
      </c>
      <c r="N679" s="1013">
        <f t="shared" si="137"/>
        <v>15338462</v>
      </c>
      <c r="O679" s="1015">
        <v>2</v>
      </c>
      <c r="P679" s="1013">
        <f t="shared" si="138"/>
        <v>1533846</v>
      </c>
      <c r="Q679" s="1016">
        <v>0</v>
      </c>
      <c r="R679" s="1013">
        <f t="shared" si="139"/>
        <v>0</v>
      </c>
      <c r="S679" s="1013">
        <f t="shared" si="140"/>
        <v>16872308</v>
      </c>
      <c r="T679" s="1017">
        <v>423077</v>
      </c>
      <c r="U679" s="785">
        <v>0</v>
      </c>
      <c r="V679" s="785">
        <v>0</v>
      </c>
      <c r="W679" s="1017">
        <v>0</v>
      </c>
      <c r="X679" s="1017">
        <v>0</v>
      </c>
      <c r="Y679" s="1017">
        <v>0</v>
      </c>
      <c r="Z679" s="1017">
        <v>0</v>
      </c>
      <c r="AA679" s="1018"/>
      <c r="AB679" s="1013"/>
      <c r="AC679" s="1017">
        <v>0</v>
      </c>
      <c r="AD679" s="1017">
        <v>0</v>
      </c>
      <c r="AE679" s="1013">
        <v>0</v>
      </c>
      <c r="AF679" s="1019"/>
      <c r="AG679" s="1019">
        <f t="shared" si="151"/>
        <v>17295385</v>
      </c>
      <c r="AH679" s="1014">
        <v>0</v>
      </c>
      <c r="AI679" s="1014">
        <v>0</v>
      </c>
      <c r="AJ679" s="1014">
        <v>0</v>
      </c>
      <c r="AK679" s="1018">
        <v>0</v>
      </c>
      <c r="AL679" s="1020">
        <v>0</v>
      </c>
      <c r="AM679" s="1013">
        <f t="shared" si="150"/>
        <v>0</v>
      </c>
      <c r="AN679" s="1045">
        <f t="shared" si="141"/>
        <v>17295385</v>
      </c>
      <c r="AO679" s="1013">
        <v>2093700</v>
      </c>
      <c r="AP679" s="1013">
        <v>44100</v>
      </c>
      <c r="AQ679" s="1013">
        <v>0</v>
      </c>
      <c r="AR679" s="1013">
        <v>0</v>
      </c>
      <c r="AS679" s="1013">
        <v>0</v>
      </c>
      <c r="AT679" s="1045">
        <f t="shared" si="146"/>
        <v>15157585</v>
      </c>
      <c r="AU679" s="1004"/>
      <c r="AV679" s="870"/>
      <c r="AW679" s="782" t="s">
        <v>4611</v>
      </c>
      <c r="AX679" s="782" t="s">
        <v>4612</v>
      </c>
      <c r="AY679" s="1007" t="s">
        <v>287</v>
      </c>
      <c r="AZ679" s="1007">
        <v>622</v>
      </c>
      <c r="BA679" s="347" t="str">
        <f t="shared" si="152"/>
        <v>Box</v>
      </c>
      <c r="BB679" s="1008"/>
      <c r="BC679" s="1009"/>
      <c r="BD679" s="1009"/>
    </row>
    <row r="680" spans="1:56" s="1010" customFormat="1" ht="36.75" customHeight="1">
      <c r="A680" s="661">
        <f>SUBTOTAL(3,B$6:B680)</f>
        <v>675</v>
      </c>
      <c r="B680" s="661" t="s">
        <v>2149</v>
      </c>
      <c r="C680" s="662" t="s">
        <v>2150</v>
      </c>
      <c r="D680" s="1011">
        <v>44371</v>
      </c>
      <c r="E680" s="1011" t="s">
        <v>220</v>
      </c>
      <c r="F680" s="787" t="s">
        <v>266</v>
      </c>
      <c r="G680" s="996" t="s">
        <v>2151</v>
      </c>
      <c r="H680" s="1012">
        <v>5931000</v>
      </c>
      <c r="I680" s="1012">
        <v>2000000</v>
      </c>
      <c r="J680" s="1012">
        <v>0</v>
      </c>
      <c r="K680" s="1012">
        <v>0</v>
      </c>
      <c r="L680" s="1013">
        <f t="shared" si="149"/>
        <v>7931000</v>
      </c>
      <c r="M680" s="1014">
        <v>20</v>
      </c>
      <c r="N680" s="1013">
        <f t="shared" si="137"/>
        <v>6100769</v>
      </c>
      <c r="O680" s="1015">
        <v>3</v>
      </c>
      <c r="P680" s="1013">
        <f t="shared" si="138"/>
        <v>915115</v>
      </c>
      <c r="Q680" s="1016">
        <v>0</v>
      </c>
      <c r="R680" s="1013">
        <f t="shared" si="139"/>
        <v>0</v>
      </c>
      <c r="S680" s="1013">
        <f t="shared" si="140"/>
        <v>7015884</v>
      </c>
      <c r="T680" s="1017">
        <v>0</v>
      </c>
      <c r="U680" s="785">
        <v>21000</v>
      </c>
      <c r="V680" s="785">
        <v>200000</v>
      </c>
      <c r="W680" s="1017">
        <v>0</v>
      </c>
      <c r="X680" s="1017">
        <v>0</v>
      </c>
      <c r="Y680" s="1017">
        <v>150000</v>
      </c>
      <c r="Z680" s="1017">
        <v>0</v>
      </c>
      <c r="AA680" s="1018"/>
      <c r="AB680" s="1013"/>
      <c r="AC680" s="1017">
        <v>0</v>
      </c>
      <c r="AD680" s="1017">
        <v>0</v>
      </c>
      <c r="AE680" s="1013">
        <v>0</v>
      </c>
      <c r="AF680" s="1019"/>
      <c r="AG680" s="1019">
        <f t="shared" si="151"/>
        <v>7386884</v>
      </c>
      <c r="AH680" s="1014">
        <v>21.5</v>
      </c>
      <c r="AI680" s="1014">
        <v>0</v>
      </c>
      <c r="AJ680" s="1014">
        <v>0</v>
      </c>
      <c r="AK680" s="1018">
        <v>0</v>
      </c>
      <c r="AL680" s="1020">
        <v>0</v>
      </c>
      <c r="AM680" s="1013">
        <f t="shared" si="150"/>
        <v>1229686</v>
      </c>
      <c r="AN680" s="1045">
        <f t="shared" si="141"/>
        <v>8616570</v>
      </c>
      <c r="AO680" s="1013">
        <v>832755</v>
      </c>
      <c r="AP680" s="1013">
        <v>44100</v>
      </c>
      <c r="AQ680" s="1013">
        <v>0</v>
      </c>
      <c r="AR680" s="1013">
        <v>0</v>
      </c>
      <c r="AS680" s="1013">
        <v>0</v>
      </c>
      <c r="AT680" s="1045">
        <f t="shared" si="146"/>
        <v>7739715</v>
      </c>
      <c r="AU680" s="1004"/>
      <c r="AV680" s="870"/>
      <c r="AW680" s="782" t="s">
        <v>4613</v>
      </c>
      <c r="AX680" s="782" t="s">
        <v>4614</v>
      </c>
      <c r="AY680" s="1007" t="s">
        <v>221</v>
      </c>
      <c r="AZ680" s="1007">
        <v>622</v>
      </c>
      <c r="BA680" s="347" t="str">
        <f t="shared" si="152"/>
        <v>Bag</v>
      </c>
      <c r="BB680" s="1008"/>
      <c r="BC680" s="1009"/>
      <c r="BD680" s="1009"/>
    </row>
    <row r="681" spans="1:56" s="1010" customFormat="1" ht="36.75" customHeight="1">
      <c r="A681" s="661">
        <f>SUBTOTAL(3,B$6:B681)</f>
        <v>676</v>
      </c>
      <c r="B681" s="661" t="s">
        <v>2152</v>
      </c>
      <c r="C681" s="662" t="s">
        <v>2153</v>
      </c>
      <c r="D681" s="1011">
        <v>44624</v>
      </c>
      <c r="E681" s="1011" t="s">
        <v>220</v>
      </c>
      <c r="F681" s="787" t="s">
        <v>266</v>
      </c>
      <c r="G681" s="996" t="s">
        <v>2154</v>
      </c>
      <c r="H681" s="1012">
        <v>5931000</v>
      </c>
      <c r="I681" s="1012">
        <v>2200000</v>
      </c>
      <c r="J681" s="1012">
        <v>0</v>
      </c>
      <c r="K681" s="1012">
        <v>0</v>
      </c>
      <c r="L681" s="1013">
        <f t="shared" si="149"/>
        <v>8131000</v>
      </c>
      <c r="M681" s="1014">
        <v>23.9</v>
      </c>
      <c r="N681" s="1013">
        <f t="shared" si="137"/>
        <v>7474265</v>
      </c>
      <c r="O681" s="1015">
        <v>2</v>
      </c>
      <c r="P681" s="1013">
        <f t="shared" si="138"/>
        <v>625462</v>
      </c>
      <c r="Q681" s="1016">
        <v>0</v>
      </c>
      <c r="R681" s="1013">
        <f t="shared" si="139"/>
        <v>0</v>
      </c>
      <c r="S681" s="1013">
        <f t="shared" si="140"/>
        <v>8099727</v>
      </c>
      <c r="T681" s="1017">
        <v>0</v>
      </c>
      <c r="U681" s="785">
        <v>0</v>
      </c>
      <c r="V681" s="785">
        <v>200000</v>
      </c>
      <c r="W681" s="1017">
        <v>500000</v>
      </c>
      <c r="X681" s="1017">
        <v>0</v>
      </c>
      <c r="Y681" s="1017">
        <v>400000</v>
      </c>
      <c r="Z681" s="1017">
        <v>0</v>
      </c>
      <c r="AA681" s="1018"/>
      <c r="AB681" s="1013"/>
      <c r="AC681" s="1017">
        <v>0</v>
      </c>
      <c r="AD681" s="1017">
        <v>0</v>
      </c>
      <c r="AE681" s="1013">
        <v>0</v>
      </c>
      <c r="AF681" s="1019"/>
      <c r="AG681" s="1019">
        <f t="shared" si="151"/>
        <v>9199727</v>
      </c>
      <c r="AH681" s="1014">
        <v>31</v>
      </c>
      <c r="AI681" s="1014">
        <v>0</v>
      </c>
      <c r="AJ681" s="1014">
        <v>0</v>
      </c>
      <c r="AK681" s="1018">
        <v>0</v>
      </c>
      <c r="AL681" s="1020">
        <v>0</v>
      </c>
      <c r="AM681" s="1013">
        <f t="shared" si="150"/>
        <v>1817748</v>
      </c>
      <c r="AN681" s="1045">
        <f t="shared" si="141"/>
        <v>11017475</v>
      </c>
      <c r="AO681" s="1013">
        <v>853755</v>
      </c>
      <c r="AP681" s="1013">
        <v>44100</v>
      </c>
      <c r="AQ681" s="1013">
        <v>0</v>
      </c>
      <c r="AR681" s="1013">
        <v>0</v>
      </c>
      <c r="AS681" s="1013">
        <v>0</v>
      </c>
      <c r="AT681" s="1045">
        <f t="shared" si="146"/>
        <v>10119620</v>
      </c>
      <c r="AU681" s="1004"/>
      <c r="AV681" s="870"/>
      <c r="AW681" s="782" t="s">
        <v>4615</v>
      </c>
      <c r="AX681" s="782" t="s">
        <v>4616</v>
      </c>
      <c r="AY681" s="1007" t="s">
        <v>221</v>
      </c>
      <c r="AZ681" s="1007">
        <v>622</v>
      </c>
      <c r="BA681" s="347" t="str">
        <f t="shared" si="152"/>
        <v>Bag</v>
      </c>
      <c r="BB681" s="1008"/>
      <c r="BC681" s="1009"/>
      <c r="BD681" s="1009"/>
    </row>
    <row r="682" spans="1:56" s="1010" customFormat="1" ht="36.75" customHeight="1">
      <c r="A682" s="661">
        <f>SUBTOTAL(3,B$6:B682)</f>
        <v>677</v>
      </c>
      <c r="B682" s="661" t="s">
        <v>2155</v>
      </c>
      <c r="C682" s="662" t="s">
        <v>2156</v>
      </c>
      <c r="D682" s="1011">
        <v>45344</v>
      </c>
      <c r="E682" s="1011" t="s">
        <v>220</v>
      </c>
      <c r="F682" s="787" t="s">
        <v>266</v>
      </c>
      <c r="G682" s="996" t="s">
        <v>2151</v>
      </c>
      <c r="H682" s="1012">
        <v>5538000</v>
      </c>
      <c r="I682" s="1012">
        <v>1000000</v>
      </c>
      <c r="J682" s="1012">
        <v>0</v>
      </c>
      <c r="K682" s="1012">
        <v>0</v>
      </c>
      <c r="L682" s="1013">
        <f t="shared" si="149"/>
        <v>6538000</v>
      </c>
      <c r="M682" s="1014">
        <v>23</v>
      </c>
      <c r="N682" s="1013">
        <f t="shared" si="137"/>
        <v>5783615</v>
      </c>
      <c r="O682" s="1015">
        <v>3</v>
      </c>
      <c r="P682" s="1013">
        <f t="shared" si="138"/>
        <v>754385</v>
      </c>
      <c r="Q682" s="1016">
        <v>0</v>
      </c>
      <c r="R682" s="1013">
        <f t="shared" si="139"/>
        <v>0</v>
      </c>
      <c r="S682" s="1013">
        <f t="shared" si="140"/>
        <v>6538000</v>
      </c>
      <c r="T682" s="1017">
        <v>0</v>
      </c>
      <c r="U682" s="785">
        <v>21000</v>
      </c>
      <c r="V682" s="785">
        <v>200000</v>
      </c>
      <c r="W682" s="1017">
        <v>500000</v>
      </c>
      <c r="X682" s="1017">
        <v>0</v>
      </c>
      <c r="Y682" s="1017">
        <v>400000</v>
      </c>
      <c r="Z682" s="1017">
        <v>0</v>
      </c>
      <c r="AA682" s="1018"/>
      <c r="AB682" s="1013"/>
      <c r="AC682" s="1017">
        <v>0</v>
      </c>
      <c r="AD682" s="1017">
        <v>0</v>
      </c>
      <c r="AE682" s="1013">
        <v>0</v>
      </c>
      <c r="AF682" s="1019"/>
      <c r="AG682" s="1019">
        <f t="shared" si="151"/>
        <v>7659000</v>
      </c>
      <c r="AH682" s="1014">
        <v>21.5</v>
      </c>
      <c r="AI682" s="1014">
        <v>0</v>
      </c>
      <c r="AJ682" s="1014">
        <v>0</v>
      </c>
      <c r="AK682" s="1018">
        <v>0</v>
      </c>
      <c r="AL682" s="1020">
        <v>0</v>
      </c>
      <c r="AM682" s="1013">
        <f t="shared" si="150"/>
        <v>1013704</v>
      </c>
      <c r="AN682" s="1045">
        <f t="shared" si="141"/>
        <v>8672704</v>
      </c>
      <c r="AO682" s="1013">
        <v>686490</v>
      </c>
      <c r="AP682" s="1013">
        <v>44100</v>
      </c>
      <c r="AQ682" s="1013">
        <v>0</v>
      </c>
      <c r="AR682" s="1013">
        <v>0</v>
      </c>
      <c r="AS682" s="1013">
        <v>0</v>
      </c>
      <c r="AT682" s="1045">
        <f t="shared" si="146"/>
        <v>7942114</v>
      </c>
      <c r="AU682" s="1004"/>
      <c r="AV682" s="870"/>
      <c r="AW682" s="782" t="s">
        <v>4617</v>
      </c>
      <c r="AX682" s="782" t="s">
        <v>4618</v>
      </c>
      <c r="AY682" s="1007" t="s">
        <v>288</v>
      </c>
      <c r="AZ682" s="1007">
        <v>622</v>
      </c>
      <c r="BA682" s="347" t="str">
        <f t="shared" si="152"/>
        <v>Bag</v>
      </c>
      <c r="BB682" s="1008"/>
      <c r="BC682" s="1009"/>
      <c r="BD682" s="1009"/>
    </row>
    <row r="683" spans="1:56" s="1010" customFormat="1" ht="36.75" customHeight="1">
      <c r="A683" s="661">
        <f>SUBTOTAL(3,B$6:B683)</f>
        <v>678</v>
      </c>
      <c r="B683" s="661" t="s">
        <v>2157</v>
      </c>
      <c r="C683" s="662" t="s">
        <v>2158</v>
      </c>
      <c r="D683" s="1011">
        <v>45706</v>
      </c>
      <c r="E683" s="1011" t="s">
        <v>220</v>
      </c>
      <c r="F683" s="787" t="s">
        <v>266</v>
      </c>
      <c r="G683" s="996" t="s">
        <v>2151</v>
      </c>
      <c r="H683" s="1012">
        <v>5023000</v>
      </c>
      <c r="I683" s="1012">
        <v>800000</v>
      </c>
      <c r="J683" s="1012">
        <v>0</v>
      </c>
      <c r="K683" s="1012">
        <v>0</v>
      </c>
      <c r="L683" s="1013">
        <f t="shared" si="149"/>
        <v>5823000</v>
      </c>
      <c r="M683" s="1014">
        <v>19.899999999999999</v>
      </c>
      <c r="N683" s="1013">
        <f t="shared" si="137"/>
        <v>4456835</v>
      </c>
      <c r="O683" s="1015">
        <v>2</v>
      </c>
      <c r="P683" s="1013">
        <f t="shared" si="138"/>
        <v>447923</v>
      </c>
      <c r="Q683" s="1016">
        <v>0</v>
      </c>
      <c r="R683" s="1013">
        <f t="shared" si="139"/>
        <v>0</v>
      </c>
      <c r="S683" s="1013">
        <f t="shared" si="140"/>
        <v>4904758</v>
      </c>
      <c r="T683" s="1017">
        <v>0</v>
      </c>
      <c r="U683" s="785">
        <v>21000</v>
      </c>
      <c r="V683" s="785">
        <v>200000</v>
      </c>
      <c r="W683" s="1017">
        <v>0</v>
      </c>
      <c r="X683" s="1017">
        <v>0</v>
      </c>
      <c r="Y683" s="1017">
        <v>150000</v>
      </c>
      <c r="Z683" s="1017">
        <v>0</v>
      </c>
      <c r="AA683" s="1018"/>
      <c r="AB683" s="1013"/>
      <c r="AC683" s="1017">
        <v>0</v>
      </c>
      <c r="AD683" s="1017">
        <v>0</v>
      </c>
      <c r="AE683" s="1013">
        <v>0</v>
      </c>
      <c r="AF683" s="1019"/>
      <c r="AG683" s="1019">
        <f t="shared" si="151"/>
        <v>5275758</v>
      </c>
      <c r="AH683" s="1014">
        <v>18</v>
      </c>
      <c r="AI683" s="1014">
        <v>0</v>
      </c>
      <c r="AJ683" s="1014">
        <v>0</v>
      </c>
      <c r="AK683" s="1018">
        <v>0</v>
      </c>
      <c r="AL683" s="1020">
        <v>0</v>
      </c>
      <c r="AM683" s="1013">
        <f t="shared" si="150"/>
        <v>755870</v>
      </c>
      <c r="AN683" s="1045">
        <f t="shared" si="141"/>
        <v>6031628</v>
      </c>
      <c r="AO683" s="1013">
        <v>611415</v>
      </c>
      <c r="AP683" s="1013">
        <v>44100</v>
      </c>
      <c r="AQ683" s="1013">
        <v>0</v>
      </c>
      <c r="AR683" s="1013">
        <v>0</v>
      </c>
      <c r="AS683" s="1013">
        <v>0</v>
      </c>
      <c r="AT683" s="1045">
        <f t="shared" si="146"/>
        <v>5376113</v>
      </c>
      <c r="AU683" s="1004"/>
      <c r="AV683" s="870"/>
      <c r="AW683" s="782" t="s">
        <v>5874</v>
      </c>
      <c r="AX683" s="782" t="s">
        <v>5875</v>
      </c>
      <c r="AY683" s="1007" t="s">
        <v>288</v>
      </c>
      <c r="AZ683" s="1007">
        <v>622</v>
      </c>
      <c r="BA683" s="347" t="str">
        <f t="shared" si="152"/>
        <v>Bag</v>
      </c>
      <c r="BB683" s="1008"/>
      <c r="BC683" s="1009"/>
      <c r="BD683" s="1009"/>
    </row>
    <row r="684" spans="1:56" s="1010" customFormat="1" ht="36.75" customHeight="1">
      <c r="A684" s="661">
        <f>SUBTOTAL(3,B$6:B684)</f>
        <v>679</v>
      </c>
      <c r="B684" s="661" t="s">
        <v>2159</v>
      </c>
      <c r="C684" s="662" t="s">
        <v>2160</v>
      </c>
      <c r="D684" s="1011">
        <v>45745</v>
      </c>
      <c r="E684" s="1011" t="s">
        <v>220</v>
      </c>
      <c r="F684" s="787" t="s">
        <v>266</v>
      </c>
      <c r="G684" s="996" t="s">
        <v>554</v>
      </c>
      <c r="H684" s="1012">
        <v>4694000</v>
      </c>
      <c r="I684" s="1012">
        <v>0</v>
      </c>
      <c r="J684" s="1012">
        <v>0</v>
      </c>
      <c r="K684" s="1012">
        <v>0</v>
      </c>
      <c r="L684" s="1013">
        <f t="shared" si="149"/>
        <v>4694000</v>
      </c>
      <c r="M684" s="1014">
        <v>22</v>
      </c>
      <c r="N684" s="1013">
        <f t="shared" si="137"/>
        <v>3971846</v>
      </c>
      <c r="O684" s="1015">
        <v>3</v>
      </c>
      <c r="P684" s="1013">
        <f t="shared" si="138"/>
        <v>541615</v>
      </c>
      <c r="Q684" s="1016">
        <v>0</v>
      </c>
      <c r="R684" s="1013">
        <f t="shared" si="139"/>
        <v>0</v>
      </c>
      <c r="S684" s="1013">
        <f t="shared" si="140"/>
        <v>4513461</v>
      </c>
      <c r="T684" s="1017">
        <v>0</v>
      </c>
      <c r="U684" s="785">
        <v>21000</v>
      </c>
      <c r="V684" s="785">
        <v>200000</v>
      </c>
      <c r="W684" s="1017">
        <v>0</v>
      </c>
      <c r="X684" s="1017">
        <v>0</v>
      </c>
      <c r="Y684" s="1017">
        <v>400000</v>
      </c>
      <c r="Z684" s="1017">
        <v>0</v>
      </c>
      <c r="AA684" s="1018"/>
      <c r="AB684" s="1013"/>
      <c r="AC684" s="1017">
        <v>0</v>
      </c>
      <c r="AD684" s="1017">
        <v>43424</v>
      </c>
      <c r="AE684" s="1013">
        <v>0</v>
      </c>
      <c r="AF684" s="1019"/>
      <c r="AG684" s="1019">
        <f t="shared" si="151"/>
        <v>5177885</v>
      </c>
      <c r="AH684" s="1014">
        <v>18.5</v>
      </c>
      <c r="AI684" s="1014">
        <v>0</v>
      </c>
      <c r="AJ684" s="1014">
        <v>0</v>
      </c>
      <c r="AK684" s="1018">
        <v>0</v>
      </c>
      <c r="AL684" s="1020">
        <v>0</v>
      </c>
      <c r="AM684" s="1013">
        <f t="shared" si="150"/>
        <v>626243</v>
      </c>
      <c r="AN684" s="1045">
        <f t="shared" si="141"/>
        <v>5804128</v>
      </c>
      <c r="AO684" s="1013">
        <v>0</v>
      </c>
      <c r="AP684" s="1013">
        <v>0</v>
      </c>
      <c r="AQ684" s="1013">
        <v>0</v>
      </c>
      <c r="AR684" s="1013">
        <v>0</v>
      </c>
      <c r="AS684" s="1013">
        <v>0</v>
      </c>
      <c r="AT684" s="1045">
        <f t="shared" si="146"/>
        <v>5804128</v>
      </c>
      <c r="AU684" s="1004"/>
      <c r="AV684" s="870"/>
      <c r="AW684" s="782" t="s">
        <v>4619</v>
      </c>
      <c r="AX684" s="782" t="s">
        <v>4620</v>
      </c>
      <c r="AY684" s="1007" t="s">
        <v>287</v>
      </c>
      <c r="AZ684" s="1007">
        <v>622</v>
      </c>
      <c r="BA684" s="347" t="str">
        <f t="shared" si="152"/>
        <v>Box</v>
      </c>
      <c r="BB684" s="1008"/>
      <c r="BC684" s="1009"/>
      <c r="BD684" s="1009"/>
    </row>
    <row r="685" spans="1:56" s="1010" customFormat="1" ht="36.75" customHeight="1">
      <c r="A685" s="661">
        <f>SUBTOTAL(3,B$6:B685)</f>
        <v>680</v>
      </c>
      <c r="B685" s="661" t="s">
        <v>5772</v>
      </c>
      <c r="C685" s="662" t="s">
        <v>5773</v>
      </c>
      <c r="D685" s="1011">
        <v>45762</v>
      </c>
      <c r="E685" s="1011" t="s">
        <v>220</v>
      </c>
      <c r="F685" s="787" t="s">
        <v>266</v>
      </c>
      <c r="G685" s="996" t="s">
        <v>554</v>
      </c>
      <c r="H685" s="1012">
        <v>4694000</v>
      </c>
      <c r="I685" s="1012">
        <v>0</v>
      </c>
      <c r="J685" s="1012">
        <v>0</v>
      </c>
      <c r="K685" s="1012">
        <v>0</v>
      </c>
      <c r="L685" s="1013">
        <f t="shared" si="149"/>
        <v>4694000</v>
      </c>
      <c r="M685" s="1014">
        <v>13</v>
      </c>
      <c r="N685" s="1013">
        <f t="shared" si="137"/>
        <v>2347000</v>
      </c>
      <c r="O685" s="1015">
        <v>1</v>
      </c>
      <c r="P685" s="1013">
        <f t="shared" si="138"/>
        <v>180538</v>
      </c>
      <c r="Q685" s="1016">
        <v>0</v>
      </c>
      <c r="R685" s="1013">
        <f t="shared" si="139"/>
        <v>0</v>
      </c>
      <c r="S685" s="1013">
        <f t="shared" si="140"/>
        <v>2527538</v>
      </c>
      <c r="T685" s="1017">
        <v>0</v>
      </c>
      <c r="U685" s="785">
        <v>21000</v>
      </c>
      <c r="V685" s="785">
        <v>108000</v>
      </c>
      <c r="W685" s="1017">
        <v>269000</v>
      </c>
      <c r="X685" s="1017">
        <v>0</v>
      </c>
      <c r="Y685" s="1017">
        <v>81000</v>
      </c>
      <c r="Z685" s="1017">
        <v>0</v>
      </c>
      <c r="AA685" s="1018"/>
      <c r="AB685" s="1013"/>
      <c r="AC685" s="1017">
        <v>0</v>
      </c>
      <c r="AD685" s="1017">
        <v>0</v>
      </c>
      <c r="AE685" s="1013">
        <v>0</v>
      </c>
      <c r="AF685" s="1019"/>
      <c r="AG685" s="1019">
        <f t="shared" si="151"/>
        <v>3006538</v>
      </c>
      <c r="AH685" s="1014">
        <v>12</v>
      </c>
      <c r="AI685" s="1014">
        <v>0</v>
      </c>
      <c r="AJ685" s="1014">
        <v>0</v>
      </c>
      <c r="AK685" s="1018">
        <v>0</v>
      </c>
      <c r="AL685" s="1020">
        <v>0</v>
      </c>
      <c r="AM685" s="1013">
        <f t="shared" si="150"/>
        <v>406212</v>
      </c>
      <c r="AN685" s="1045">
        <f t="shared" si="141"/>
        <v>3412750</v>
      </c>
      <c r="AO685" s="1013">
        <v>0</v>
      </c>
      <c r="AP685" s="1013">
        <v>0</v>
      </c>
      <c r="AQ685" s="1013">
        <v>0</v>
      </c>
      <c r="AR685" s="1013">
        <v>0</v>
      </c>
      <c r="AS685" s="1013">
        <v>0</v>
      </c>
      <c r="AT685" s="1045">
        <f t="shared" ref="AT685:AT748" si="153">+ROUND(SUM(AN685:AN685)-SUM(AO685:AS685),0)</f>
        <v>3412750</v>
      </c>
      <c r="AU685" s="1004"/>
      <c r="AV685" s="870"/>
      <c r="AW685" s="782" t="s">
        <v>5876</v>
      </c>
      <c r="AX685" s="782" t="s">
        <v>5877</v>
      </c>
      <c r="AY685" s="1007" t="s">
        <v>287</v>
      </c>
      <c r="AZ685" s="1007">
        <v>622</v>
      </c>
      <c r="BA685" s="347" t="str">
        <f t="shared" si="152"/>
        <v>Box</v>
      </c>
      <c r="BB685" s="1008"/>
      <c r="BC685" s="1009"/>
      <c r="BD685" s="1009"/>
    </row>
    <row r="686" spans="1:56" s="1010" customFormat="1" ht="36.75" customHeight="1">
      <c r="A686" s="661">
        <f>SUBTOTAL(3,B$6:B686)</f>
        <v>681</v>
      </c>
      <c r="B686" s="661" t="s">
        <v>5774</v>
      </c>
      <c r="C686" s="662" t="s">
        <v>5775</v>
      </c>
      <c r="D686" s="1011">
        <v>45771</v>
      </c>
      <c r="E686" s="1011" t="s">
        <v>220</v>
      </c>
      <c r="F686" s="787" t="s">
        <v>266</v>
      </c>
      <c r="G686" s="996" t="s">
        <v>554</v>
      </c>
      <c r="H686" s="1012">
        <v>4694000</v>
      </c>
      <c r="I686" s="1012">
        <v>0</v>
      </c>
      <c r="J686" s="1012">
        <v>0</v>
      </c>
      <c r="K686" s="1012">
        <v>0</v>
      </c>
      <c r="L686" s="1013">
        <f t="shared" si="149"/>
        <v>4694000</v>
      </c>
      <c r="M686" s="1014">
        <v>4</v>
      </c>
      <c r="N686" s="1013">
        <f t="shared" si="137"/>
        <v>722154</v>
      </c>
      <c r="O686" s="1015">
        <v>1</v>
      </c>
      <c r="P686" s="1013">
        <f t="shared" si="138"/>
        <v>180538</v>
      </c>
      <c r="Q686" s="1016">
        <v>0</v>
      </c>
      <c r="R686" s="1013">
        <f t="shared" si="139"/>
        <v>0</v>
      </c>
      <c r="S686" s="1013">
        <f t="shared" si="140"/>
        <v>902692</v>
      </c>
      <c r="T686" s="1017">
        <v>0</v>
      </c>
      <c r="U686" s="785">
        <v>0</v>
      </c>
      <c r="V686" s="785">
        <v>38000</v>
      </c>
      <c r="W686" s="1017">
        <v>96000</v>
      </c>
      <c r="X686" s="1017">
        <v>0</v>
      </c>
      <c r="Y686" s="1017">
        <v>29000</v>
      </c>
      <c r="Z686" s="1017">
        <v>0</v>
      </c>
      <c r="AA686" s="1018"/>
      <c r="AB686" s="1013"/>
      <c r="AC686" s="1017">
        <v>0</v>
      </c>
      <c r="AD686" s="1017">
        <v>0</v>
      </c>
      <c r="AE686" s="1013">
        <v>0</v>
      </c>
      <c r="AF686" s="1019"/>
      <c r="AG686" s="1019">
        <f t="shared" si="151"/>
        <v>1065692</v>
      </c>
      <c r="AH686" s="1014">
        <v>4</v>
      </c>
      <c r="AI686" s="1014">
        <v>0</v>
      </c>
      <c r="AJ686" s="1014">
        <v>0</v>
      </c>
      <c r="AK686" s="1018">
        <v>0</v>
      </c>
      <c r="AL686" s="1020">
        <v>0</v>
      </c>
      <c r="AM686" s="1013">
        <f t="shared" si="150"/>
        <v>135404</v>
      </c>
      <c r="AN686" s="1045">
        <f t="shared" si="141"/>
        <v>1201096</v>
      </c>
      <c r="AO686" s="1013">
        <v>0</v>
      </c>
      <c r="AP686" s="1013">
        <v>0</v>
      </c>
      <c r="AQ686" s="1013">
        <v>0</v>
      </c>
      <c r="AR686" s="1013">
        <v>0</v>
      </c>
      <c r="AS686" s="1013">
        <v>0</v>
      </c>
      <c r="AT686" s="1045">
        <f t="shared" si="153"/>
        <v>1201096</v>
      </c>
      <c r="AU686" s="1004"/>
      <c r="AV686" s="870"/>
      <c r="AW686" s="782"/>
      <c r="AX686" s="782" t="s">
        <v>3644</v>
      </c>
      <c r="AY686" s="1007" t="s">
        <v>288</v>
      </c>
      <c r="AZ686" s="1007">
        <v>622</v>
      </c>
      <c r="BA686" s="347" t="str">
        <f t="shared" si="152"/>
        <v>Bag</v>
      </c>
      <c r="BB686" s="1008"/>
      <c r="BC686" s="1009"/>
      <c r="BD686" s="1009"/>
    </row>
    <row r="687" spans="1:56" s="1010" customFormat="1" ht="36.75" customHeight="1">
      <c r="A687" s="661">
        <f>SUBTOTAL(3,B$6:B687)</f>
        <v>682</v>
      </c>
      <c r="B687" s="661" t="s">
        <v>2161</v>
      </c>
      <c r="C687" s="662" t="s">
        <v>2162</v>
      </c>
      <c r="D687" s="1011">
        <v>39863</v>
      </c>
      <c r="E687" s="1011" t="s">
        <v>220</v>
      </c>
      <c r="F687" s="787" t="s">
        <v>266</v>
      </c>
      <c r="G687" s="996" t="s">
        <v>2163</v>
      </c>
      <c r="H687" s="1012">
        <v>7819000</v>
      </c>
      <c r="I687" s="1012">
        <v>6000000</v>
      </c>
      <c r="J687" s="1012">
        <v>0</v>
      </c>
      <c r="K687" s="1012">
        <v>0</v>
      </c>
      <c r="L687" s="1013">
        <f t="shared" si="149"/>
        <v>13819000</v>
      </c>
      <c r="M687" s="1014">
        <v>23.8</v>
      </c>
      <c r="N687" s="1013">
        <f t="shared" si="137"/>
        <v>12649700</v>
      </c>
      <c r="O687" s="1015">
        <v>2</v>
      </c>
      <c r="P687" s="1013">
        <f t="shared" si="138"/>
        <v>1063000</v>
      </c>
      <c r="Q687" s="1016">
        <v>0</v>
      </c>
      <c r="R687" s="1013">
        <f t="shared" si="139"/>
        <v>0</v>
      </c>
      <c r="S687" s="1013">
        <f t="shared" si="140"/>
        <v>13712700</v>
      </c>
      <c r="T687" s="1017">
        <v>0</v>
      </c>
      <c r="U687" s="785">
        <v>0</v>
      </c>
      <c r="V687" s="785">
        <v>200000</v>
      </c>
      <c r="W687" s="1017">
        <v>500000</v>
      </c>
      <c r="X687" s="1017">
        <v>200000</v>
      </c>
      <c r="Y687" s="1017">
        <v>400000</v>
      </c>
      <c r="Z687" s="1017">
        <v>0</v>
      </c>
      <c r="AA687" s="1018"/>
      <c r="AB687" s="1013"/>
      <c r="AC687" s="1017">
        <v>0</v>
      </c>
      <c r="AD687" s="1017">
        <v>0</v>
      </c>
      <c r="AE687" s="1013">
        <v>0</v>
      </c>
      <c r="AF687" s="1019"/>
      <c r="AG687" s="1019">
        <f t="shared" si="151"/>
        <v>15012700</v>
      </c>
      <c r="AH687" s="1014">
        <v>14</v>
      </c>
      <c r="AI687" s="1014">
        <v>0</v>
      </c>
      <c r="AJ687" s="1014">
        <v>0</v>
      </c>
      <c r="AK687" s="1018">
        <v>0</v>
      </c>
      <c r="AL687" s="1020">
        <v>0</v>
      </c>
      <c r="AM687" s="1013">
        <f t="shared" si="150"/>
        <v>1395188</v>
      </c>
      <c r="AN687" s="1045">
        <f t="shared" si="141"/>
        <v>16407888</v>
      </c>
      <c r="AO687" s="1013">
        <v>1450995</v>
      </c>
      <c r="AP687" s="1013">
        <v>44100</v>
      </c>
      <c r="AQ687" s="1013">
        <v>0</v>
      </c>
      <c r="AR687" s="1013">
        <v>0</v>
      </c>
      <c r="AS687" s="1013">
        <v>0</v>
      </c>
      <c r="AT687" s="1045">
        <f t="shared" si="153"/>
        <v>14912793</v>
      </c>
      <c r="AU687" s="1004"/>
      <c r="AV687" s="870"/>
      <c r="AW687" s="782" t="s">
        <v>4621</v>
      </c>
      <c r="AX687" s="782" t="s">
        <v>4622</v>
      </c>
      <c r="AY687" s="1007" t="s">
        <v>288</v>
      </c>
      <c r="AZ687" s="1007">
        <v>622</v>
      </c>
      <c r="BA687" s="347" t="str">
        <f t="shared" si="152"/>
        <v>Bag</v>
      </c>
      <c r="BB687" s="1008"/>
      <c r="BC687" s="1009"/>
      <c r="BD687" s="1009"/>
    </row>
    <row r="688" spans="1:56" s="1010" customFormat="1" ht="36.75" customHeight="1">
      <c r="A688" s="661">
        <f>SUBTOTAL(3,B$6:B688)</f>
        <v>683</v>
      </c>
      <c r="B688" s="661" t="s">
        <v>2164</v>
      </c>
      <c r="C688" s="662" t="s">
        <v>2165</v>
      </c>
      <c r="D688" s="1011">
        <v>40232</v>
      </c>
      <c r="E688" s="1011" t="s">
        <v>220</v>
      </c>
      <c r="F688" s="787" t="s">
        <v>266</v>
      </c>
      <c r="G688" s="996" t="s">
        <v>2151</v>
      </c>
      <c r="H688" s="1012">
        <v>5931000</v>
      </c>
      <c r="I688" s="1012">
        <v>2500000</v>
      </c>
      <c r="J688" s="1012">
        <v>0</v>
      </c>
      <c r="K688" s="1012">
        <v>200000</v>
      </c>
      <c r="L688" s="1013">
        <f t="shared" si="149"/>
        <v>8631000</v>
      </c>
      <c r="M688" s="1014">
        <v>23</v>
      </c>
      <c r="N688" s="1013">
        <f t="shared" si="137"/>
        <v>7635115</v>
      </c>
      <c r="O688" s="1015">
        <v>3</v>
      </c>
      <c r="P688" s="1013">
        <f t="shared" si="138"/>
        <v>995885</v>
      </c>
      <c r="Q688" s="1016">
        <v>0</v>
      </c>
      <c r="R688" s="1013">
        <f t="shared" si="139"/>
        <v>0</v>
      </c>
      <c r="S688" s="1013">
        <f t="shared" si="140"/>
        <v>8631000</v>
      </c>
      <c r="T688" s="1017">
        <v>0</v>
      </c>
      <c r="U688" s="785">
        <v>21000</v>
      </c>
      <c r="V688" s="785">
        <v>200000</v>
      </c>
      <c r="W688" s="1017">
        <v>500000</v>
      </c>
      <c r="X688" s="1017">
        <v>0</v>
      </c>
      <c r="Y688" s="1017">
        <v>400000</v>
      </c>
      <c r="Z688" s="1017">
        <v>0</v>
      </c>
      <c r="AA688" s="1018"/>
      <c r="AB688" s="1013"/>
      <c r="AC688" s="1017">
        <v>0</v>
      </c>
      <c r="AD688" s="1017">
        <v>0</v>
      </c>
      <c r="AE688" s="1013">
        <v>0</v>
      </c>
      <c r="AF688" s="1019"/>
      <c r="AG688" s="1019">
        <f t="shared" si="151"/>
        <v>9752000</v>
      </c>
      <c r="AH688" s="1014">
        <v>22.5</v>
      </c>
      <c r="AI688" s="1014">
        <v>0</v>
      </c>
      <c r="AJ688" s="1014">
        <v>0</v>
      </c>
      <c r="AK688" s="1018">
        <v>0</v>
      </c>
      <c r="AL688" s="1020">
        <v>0</v>
      </c>
      <c r="AM688" s="1013">
        <f t="shared" si="150"/>
        <v>1400463</v>
      </c>
      <c r="AN688" s="1045">
        <f t="shared" si="141"/>
        <v>11152463</v>
      </c>
      <c r="AO688" s="1013">
        <v>906255</v>
      </c>
      <c r="AP688" s="1013">
        <v>44100</v>
      </c>
      <c r="AQ688" s="1013">
        <v>0</v>
      </c>
      <c r="AR688" s="1013">
        <v>0</v>
      </c>
      <c r="AS688" s="1013">
        <v>0</v>
      </c>
      <c r="AT688" s="1045">
        <f t="shared" si="153"/>
        <v>10202108</v>
      </c>
      <c r="AU688" s="1004"/>
      <c r="AV688" s="870"/>
      <c r="AW688" s="782" t="s">
        <v>4623</v>
      </c>
      <c r="AX688" s="782" t="s">
        <v>4624</v>
      </c>
      <c r="AY688" s="1007" t="s">
        <v>221</v>
      </c>
      <c r="AZ688" s="1007">
        <v>622</v>
      </c>
      <c r="BA688" s="347" t="str">
        <f t="shared" si="152"/>
        <v>Bag</v>
      </c>
      <c r="BB688" s="1008"/>
      <c r="BC688" s="1009"/>
      <c r="BD688" s="1009"/>
    </row>
    <row r="689" spans="1:56" s="1010" customFormat="1" ht="36.75" customHeight="1">
      <c r="A689" s="661">
        <f>SUBTOTAL(3,B$6:B689)</f>
        <v>684</v>
      </c>
      <c r="B689" s="661" t="s">
        <v>2166</v>
      </c>
      <c r="C689" s="662" t="s">
        <v>2167</v>
      </c>
      <c r="D689" s="1011">
        <v>40589</v>
      </c>
      <c r="E689" s="1011" t="s">
        <v>220</v>
      </c>
      <c r="F689" s="787" t="s">
        <v>266</v>
      </c>
      <c r="G689" s="996" t="s">
        <v>2151</v>
      </c>
      <c r="H689" s="1012">
        <v>5931000</v>
      </c>
      <c r="I689" s="1012">
        <v>2500000</v>
      </c>
      <c r="J689" s="1012">
        <v>0</v>
      </c>
      <c r="K689" s="1012">
        <v>0</v>
      </c>
      <c r="L689" s="1013">
        <f t="shared" si="149"/>
        <v>8431000</v>
      </c>
      <c r="M689" s="1014">
        <v>24</v>
      </c>
      <c r="N689" s="1013">
        <f t="shared" si="137"/>
        <v>7782462</v>
      </c>
      <c r="O689" s="1015">
        <v>2</v>
      </c>
      <c r="P689" s="1013">
        <f t="shared" si="138"/>
        <v>648538</v>
      </c>
      <c r="Q689" s="1016">
        <v>0</v>
      </c>
      <c r="R689" s="1013">
        <f t="shared" si="139"/>
        <v>0</v>
      </c>
      <c r="S689" s="1013">
        <f t="shared" si="140"/>
        <v>8431000</v>
      </c>
      <c r="T689" s="1017">
        <v>0</v>
      </c>
      <c r="U689" s="785">
        <v>21000</v>
      </c>
      <c r="V689" s="785">
        <v>200000</v>
      </c>
      <c r="W689" s="1017">
        <v>500000</v>
      </c>
      <c r="X689" s="1017">
        <v>0</v>
      </c>
      <c r="Y689" s="1017">
        <v>400000</v>
      </c>
      <c r="Z689" s="1017">
        <v>0</v>
      </c>
      <c r="AA689" s="1018"/>
      <c r="AB689" s="1013"/>
      <c r="AC689" s="1017">
        <v>100000</v>
      </c>
      <c r="AD689" s="1017">
        <v>0</v>
      </c>
      <c r="AE689" s="1013">
        <v>60800.484375</v>
      </c>
      <c r="AF689" s="1019"/>
      <c r="AG689" s="1019">
        <f t="shared" si="151"/>
        <v>9712800</v>
      </c>
      <c r="AH689" s="1014">
        <v>28</v>
      </c>
      <c r="AI689" s="1014">
        <v>0</v>
      </c>
      <c r="AJ689" s="1014">
        <v>0</v>
      </c>
      <c r="AK689" s="1018">
        <v>0</v>
      </c>
      <c r="AL689" s="1020">
        <v>0</v>
      </c>
      <c r="AM689" s="1013">
        <f t="shared" si="150"/>
        <v>1702414</v>
      </c>
      <c r="AN689" s="1045">
        <f t="shared" si="141"/>
        <v>11415214</v>
      </c>
      <c r="AO689" s="1013">
        <v>885255</v>
      </c>
      <c r="AP689" s="1013">
        <v>44100</v>
      </c>
      <c r="AQ689" s="1013">
        <v>0</v>
      </c>
      <c r="AR689" s="1013">
        <v>0</v>
      </c>
      <c r="AS689" s="1013">
        <v>0</v>
      </c>
      <c r="AT689" s="1045">
        <f t="shared" si="153"/>
        <v>10485859</v>
      </c>
      <c r="AU689" s="1004"/>
      <c r="AV689" s="870"/>
      <c r="AW689" s="782" t="s">
        <v>4625</v>
      </c>
      <c r="AX689" s="782" t="s">
        <v>4626</v>
      </c>
      <c r="AY689" s="1007" t="s">
        <v>288</v>
      </c>
      <c r="AZ689" s="1007">
        <v>622</v>
      </c>
      <c r="BA689" s="347" t="str">
        <f t="shared" si="152"/>
        <v>Bag</v>
      </c>
      <c r="BB689" s="1008"/>
      <c r="BC689" s="1009"/>
      <c r="BD689" s="1009"/>
    </row>
    <row r="690" spans="1:56" s="1010" customFormat="1" ht="36.75" customHeight="1">
      <c r="A690" s="661">
        <f>SUBTOTAL(3,B$6:B690)</f>
        <v>685</v>
      </c>
      <c r="B690" s="661" t="s">
        <v>2168</v>
      </c>
      <c r="C690" s="662" t="s">
        <v>2169</v>
      </c>
      <c r="D690" s="1011">
        <v>40646</v>
      </c>
      <c r="E690" s="1011" t="s">
        <v>220</v>
      </c>
      <c r="F690" s="787" t="s">
        <v>266</v>
      </c>
      <c r="G690" s="996" t="s">
        <v>2151</v>
      </c>
      <c r="H690" s="1012">
        <v>5931000</v>
      </c>
      <c r="I690" s="1012">
        <v>2500000</v>
      </c>
      <c r="J690" s="1012">
        <v>0</v>
      </c>
      <c r="K690" s="1012">
        <v>700000</v>
      </c>
      <c r="L690" s="1013">
        <f t="shared" si="149"/>
        <v>9131000</v>
      </c>
      <c r="M690" s="1014">
        <v>24</v>
      </c>
      <c r="N690" s="1013">
        <f t="shared" si="137"/>
        <v>8428615</v>
      </c>
      <c r="O690" s="1015">
        <v>2</v>
      </c>
      <c r="P690" s="1013">
        <f t="shared" si="138"/>
        <v>702385</v>
      </c>
      <c r="Q690" s="1016">
        <v>0</v>
      </c>
      <c r="R690" s="1013">
        <f t="shared" si="139"/>
        <v>0</v>
      </c>
      <c r="S690" s="1013">
        <f t="shared" si="140"/>
        <v>9131000</v>
      </c>
      <c r="T690" s="1017">
        <v>0</v>
      </c>
      <c r="U690" s="785">
        <v>21000</v>
      </c>
      <c r="V690" s="785">
        <v>200000</v>
      </c>
      <c r="W690" s="1017">
        <v>500000</v>
      </c>
      <c r="X690" s="1017">
        <v>0</v>
      </c>
      <c r="Y690" s="1017">
        <v>400000</v>
      </c>
      <c r="Z690" s="1017">
        <v>0</v>
      </c>
      <c r="AA690" s="1018"/>
      <c r="AB690" s="1013"/>
      <c r="AC690" s="1017">
        <v>0</v>
      </c>
      <c r="AD690" s="1017">
        <v>0</v>
      </c>
      <c r="AE690" s="1013">
        <v>0</v>
      </c>
      <c r="AF690" s="1019"/>
      <c r="AG690" s="1019">
        <f t="shared" si="151"/>
        <v>10252000</v>
      </c>
      <c r="AH690" s="1014">
        <v>26</v>
      </c>
      <c r="AI690" s="1014">
        <v>0</v>
      </c>
      <c r="AJ690" s="1014">
        <v>0</v>
      </c>
      <c r="AK690" s="1018">
        <v>0</v>
      </c>
      <c r="AL690" s="1020">
        <v>0</v>
      </c>
      <c r="AM690" s="1013">
        <f t="shared" si="150"/>
        <v>1712062</v>
      </c>
      <c r="AN690" s="1045">
        <f t="shared" si="141"/>
        <v>11964062</v>
      </c>
      <c r="AO690" s="1013">
        <v>958755</v>
      </c>
      <c r="AP690" s="1013">
        <v>44100</v>
      </c>
      <c r="AQ690" s="1013">
        <v>0</v>
      </c>
      <c r="AR690" s="1013">
        <v>0</v>
      </c>
      <c r="AS690" s="1013">
        <v>0</v>
      </c>
      <c r="AT690" s="1045">
        <f t="shared" si="153"/>
        <v>10961207</v>
      </c>
      <c r="AU690" s="1004"/>
      <c r="AV690" s="870"/>
      <c r="AW690" s="782" t="s">
        <v>4627</v>
      </c>
      <c r="AX690" s="782" t="s">
        <v>4628</v>
      </c>
      <c r="AY690" s="1007" t="s">
        <v>287</v>
      </c>
      <c r="AZ690" s="1007">
        <v>622</v>
      </c>
      <c r="BA690" s="347" t="str">
        <f t="shared" si="152"/>
        <v>Box</v>
      </c>
      <c r="BB690" s="1008"/>
      <c r="BC690" s="1009"/>
      <c r="BD690" s="1009"/>
    </row>
    <row r="691" spans="1:56" s="1010" customFormat="1" ht="36.75" customHeight="1">
      <c r="A691" s="661">
        <f>SUBTOTAL(3,B$6:B691)</f>
        <v>686</v>
      </c>
      <c r="B691" s="661" t="s">
        <v>2170</v>
      </c>
      <c r="C691" s="662" t="s">
        <v>2171</v>
      </c>
      <c r="D691" s="1011">
        <v>40879</v>
      </c>
      <c r="E691" s="1011" t="s">
        <v>220</v>
      </c>
      <c r="F691" s="787" t="s">
        <v>266</v>
      </c>
      <c r="G691" s="996" t="s">
        <v>2172</v>
      </c>
      <c r="H691" s="1012">
        <v>5931000</v>
      </c>
      <c r="I691" s="1012">
        <v>2500000</v>
      </c>
      <c r="J691" s="1012">
        <v>0</v>
      </c>
      <c r="K691" s="1012">
        <v>0</v>
      </c>
      <c r="L691" s="1013">
        <f t="shared" si="149"/>
        <v>8431000</v>
      </c>
      <c r="M691" s="1014">
        <v>23.9</v>
      </c>
      <c r="N691" s="1013">
        <f t="shared" si="137"/>
        <v>7750035</v>
      </c>
      <c r="O691" s="1015">
        <v>2</v>
      </c>
      <c r="P691" s="1013">
        <f t="shared" si="138"/>
        <v>648538</v>
      </c>
      <c r="Q691" s="1016">
        <v>0</v>
      </c>
      <c r="R691" s="1013">
        <f t="shared" si="139"/>
        <v>0</v>
      </c>
      <c r="S691" s="1013">
        <f t="shared" si="140"/>
        <v>8398573</v>
      </c>
      <c r="T691" s="1017">
        <v>0</v>
      </c>
      <c r="U691" s="785">
        <v>0</v>
      </c>
      <c r="V691" s="785">
        <v>200000</v>
      </c>
      <c r="W691" s="1017">
        <v>500000</v>
      </c>
      <c r="X691" s="1017">
        <v>0</v>
      </c>
      <c r="Y691" s="1017">
        <v>400000</v>
      </c>
      <c r="Z691" s="1017">
        <v>0</v>
      </c>
      <c r="AA691" s="1018"/>
      <c r="AB691" s="1013"/>
      <c r="AC691" s="1017">
        <v>100000</v>
      </c>
      <c r="AD691" s="1017">
        <v>0</v>
      </c>
      <c r="AE691" s="1013">
        <v>0</v>
      </c>
      <c r="AF691" s="1019"/>
      <c r="AG691" s="1019">
        <f t="shared" si="151"/>
        <v>9598573</v>
      </c>
      <c r="AH691" s="1014">
        <v>36</v>
      </c>
      <c r="AI691" s="1014">
        <v>0</v>
      </c>
      <c r="AJ691" s="1014">
        <v>0</v>
      </c>
      <c r="AK691" s="1018">
        <v>0</v>
      </c>
      <c r="AL691" s="1020">
        <v>0</v>
      </c>
      <c r="AM691" s="1013">
        <f t="shared" si="150"/>
        <v>2188817</v>
      </c>
      <c r="AN691" s="1045">
        <f t="shared" si="141"/>
        <v>11787390</v>
      </c>
      <c r="AO691" s="1013">
        <v>885255</v>
      </c>
      <c r="AP691" s="1013">
        <v>44100</v>
      </c>
      <c r="AQ691" s="1013">
        <v>0</v>
      </c>
      <c r="AR691" s="1013">
        <v>0</v>
      </c>
      <c r="AS691" s="1013">
        <v>0</v>
      </c>
      <c r="AT691" s="1045">
        <f t="shared" si="153"/>
        <v>10858035</v>
      </c>
      <c r="AU691" s="1004"/>
      <c r="AV691" s="870"/>
      <c r="AW691" s="782" t="s">
        <v>4629</v>
      </c>
      <c r="AX691" s="782" t="s">
        <v>4630</v>
      </c>
      <c r="AY691" s="1007" t="s">
        <v>288</v>
      </c>
      <c r="AZ691" s="1007">
        <v>622</v>
      </c>
      <c r="BA691" s="347" t="str">
        <f t="shared" si="152"/>
        <v>Bag</v>
      </c>
      <c r="BB691" s="1008"/>
      <c r="BC691" s="1009"/>
      <c r="BD691" s="1009"/>
    </row>
    <row r="692" spans="1:56" s="1010" customFormat="1" ht="36.75" customHeight="1">
      <c r="A692" s="661">
        <f>SUBTOTAL(3,B$6:B692)</f>
        <v>687</v>
      </c>
      <c r="B692" s="661" t="s">
        <v>2173</v>
      </c>
      <c r="C692" s="662" t="s">
        <v>2174</v>
      </c>
      <c r="D692" s="1011">
        <v>41256</v>
      </c>
      <c r="E692" s="1011" t="s">
        <v>220</v>
      </c>
      <c r="F692" s="787" t="s">
        <v>266</v>
      </c>
      <c r="G692" s="996" t="s">
        <v>2172</v>
      </c>
      <c r="H692" s="1012">
        <v>5931000</v>
      </c>
      <c r="I692" s="1012">
        <v>2200000</v>
      </c>
      <c r="J692" s="1012">
        <v>0</v>
      </c>
      <c r="K692" s="1012">
        <v>600000</v>
      </c>
      <c r="L692" s="1013">
        <f t="shared" si="149"/>
        <v>8731000</v>
      </c>
      <c r="M692" s="1014">
        <v>23</v>
      </c>
      <c r="N692" s="1013">
        <f t="shared" si="137"/>
        <v>7723577</v>
      </c>
      <c r="O692" s="1015">
        <v>3</v>
      </c>
      <c r="P692" s="1013">
        <f t="shared" si="138"/>
        <v>1007423</v>
      </c>
      <c r="Q692" s="1016">
        <v>0</v>
      </c>
      <c r="R692" s="1013">
        <f t="shared" si="139"/>
        <v>0</v>
      </c>
      <c r="S692" s="1013">
        <f t="shared" si="140"/>
        <v>8731000</v>
      </c>
      <c r="T692" s="1017">
        <v>0</v>
      </c>
      <c r="U692" s="785">
        <v>0</v>
      </c>
      <c r="V692" s="785">
        <v>200000</v>
      </c>
      <c r="W692" s="1017">
        <v>500000</v>
      </c>
      <c r="X692" s="1017">
        <v>0</v>
      </c>
      <c r="Y692" s="1017">
        <v>400000</v>
      </c>
      <c r="Z692" s="1017">
        <v>0</v>
      </c>
      <c r="AA692" s="1018"/>
      <c r="AB692" s="1013"/>
      <c r="AC692" s="1017">
        <v>0</v>
      </c>
      <c r="AD692" s="1017">
        <v>0</v>
      </c>
      <c r="AE692" s="1013">
        <v>0</v>
      </c>
      <c r="AF692" s="1019"/>
      <c r="AG692" s="1019">
        <f t="shared" si="151"/>
        <v>9831000</v>
      </c>
      <c r="AH692" s="1014">
        <v>35</v>
      </c>
      <c r="AI692" s="1014">
        <v>0</v>
      </c>
      <c r="AJ692" s="1014">
        <v>0</v>
      </c>
      <c r="AK692" s="1018">
        <v>0</v>
      </c>
      <c r="AL692" s="1020">
        <v>0</v>
      </c>
      <c r="AM692" s="1013">
        <f t="shared" si="150"/>
        <v>2203738</v>
      </c>
      <c r="AN692" s="1045">
        <f t="shared" si="141"/>
        <v>12034738</v>
      </c>
      <c r="AO692" s="1013">
        <v>916755</v>
      </c>
      <c r="AP692" s="1013">
        <v>44100</v>
      </c>
      <c r="AQ692" s="1013">
        <v>0</v>
      </c>
      <c r="AR692" s="1013">
        <v>0</v>
      </c>
      <c r="AS692" s="1013">
        <v>0</v>
      </c>
      <c r="AT692" s="1045">
        <f t="shared" si="153"/>
        <v>11073883</v>
      </c>
      <c r="AU692" s="1004"/>
      <c r="AV692" s="870"/>
      <c r="AW692" s="782" t="s">
        <v>4631</v>
      </c>
      <c r="AX692" s="782" t="s">
        <v>4632</v>
      </c>
      <c r="AY692" s="1007" t="s">
        <v>287</v>
      </c>
      <c r="AZ692" s="1007">
        <v>622</v>
      </c>
      <c r="BA692" s="347" t="str">
        <f t="shared" si="152"/>
        <v>Box</v>
      </c>
      <c r="BB692" s="1008"/>
      <c r="BC692" s="1009"/>
      <c r="BD692" s="1009"/>
    </row>
    <row r="693" spans="1:56" s="1010" customFormat="1" ht="36.75" customHeight="1">
      <c r="A693" s="661">
        <f>SUBTOTAL(3,B$6:B693)</f>
        <v>688</v>
      </c>
      <c r="B693" s="661" t="s">
        <v>2175</v>
      </c>
      <c r="C693" s="662" t="s">
        <v>2176</v>
      </c>
      <c r="D693" s="1011">
        <v>41356</v>
      </c>
      <c r="E693" s="1011" t="s">
        <v>220</v>
      </c>
      <c r="F693" s="787" t="s">
        <v>266</v>
      </c>
      <c r="G693" s="996" t="s">
        <v>2154</v>
      </c>
      <c r="H693" s="1012">
        <v>5931000</v>
      </c>
      <c r="I693" s="1012">
        <v>1600000</v>
      </c>
      <c r="J693" s="1012">
        <v>0</v>
      </c>
      <c r="K693" s="1012">
        <v>0</v>
      </c>
      <c r="L693" s="1013">
        <f t="shared" si="149"/>
        <v>7531000</v>
      </c>
      <c r="M693" s="1014">
        <v>23.8</v>
      </c>
      <c r="N693" s="1013">
        <f t="shared" si="137"/>
        <v>6893762</v>
      </c>
      <c r="O693" s="1015">
        <v>2</v>
      </c>
      <c r="P693" s="1013">
        <f t="shared" si="138"/>
        <v>579308</v>
      </c>
      <c r="Q693" s="1016">
        <v>0</v>
      </c>
      <c r="R693" s="1013">
        <f t="shared" si="139"/>
        <v>0</v>
      </c>
      <c r="S693" s="1013">
        <f t="shared" si="140"/>
        <v>7473070</v>
      </c>
      <c r="T693" s="1017">
        <v>0</v>
      </c>
      <c r="U693" s="785">
        <v>0</v>
      </c>
      <c r="V693" s="785">
        <v>200000</v>
      </c>
      <c r="W693" s="1017">
        <v>500000</v>
      </c>
      <c r="X693" s="1017">
        <v>0</v>
      </c>
      <c r="Y693" s="1017">
        <v>400000</v>
      </c>
      <c r="Z693" s="1017">
        <v>0</v>
      </c>
      <c r="AA693" s="1018"/>
      <c r="AB693" s="1013"/>
      <c r="AC693" s="1017">
        <v>0</v>
      </c>
      <c r="AD693" s="1017">
        <v>0</v>
      </c>
      <c r="AE693" s="1013">
        <v>0</v>
      </c>
      <c r="AF693" s="1019"/>
      <c r="AG693" s="1019">
        <f t="shared" si="151"/>
        <v>8573070</v>
      </c>
      <c r="AH693" s="1014">
        <v>41</v>
      </c>
      <c r="AI693" s="1014">
        <v>0</v>
      </c>
      <c r="AJ693" s="1014">
        <v>0</v>
      </c>
      <c r="AK693" s="1018">
        <v>0</v>
      </c>
      <c r="AL693" s="1020">
        <v>0</v>
      </c>
      <c r="AM693" s="1013">
        <f t="shared" si="150"/>
        <v>2226714</v>
      </c>
      <c r="AN693" s="1045">
        <f t="shared" si="141"/>
        <v>10799784</v>
      </c>
      <c r="AO693" s="1013">
        <v>790755</v>
      </c>
      <c r="AP693" s="1013">
        <v>44100</v>
      </c>
      <c r="AQ693" s="1013">
        <v>0</v>
      </c>
      <c r="AR693" s="1013">
        <v>0</v>
      </c>
      <c r="AS693" s="1013">
        <v>0</v>
      </c>
      <c r="AT693" s="1045">
        <f t="shared" si="153"/>
        <v>9964929</v>
      </c>
      <c r="AU693" s="1004"/>
      <c r="AV693" s="870"/>
      <c r="AW693" s="782" t="s">
        <v>4633</v>
      </c>
      <c r="AX693" s="782" t="s">
        <v>4634</v>
      </c>
      <c r="AY693" s="1007" t="s">
        <v>287</v>
      </c>
      <c r="AZ693" s="1007">
        <v>622</v>
      </c>
      <c r="BA693" s="347" t="str">
        <f t="shared" si="152"/>
        <v>Box</v>
      </c>
      <c r="BB693" s="1008"/>
      <c r="BC693" s="1009"/>
      <c r="BD693" s="1009"/>
    </row>
    <row r="694" spans="1:56" s="1010" customFormat="1" ht="36.75" customHeight="1">
      <c r="A694" s="661">
        <f>SUBTOTAL(3,B$6:B694)</f>
        <v>689</v>
      </c>
      <c r="B694" s="661" t="s">
        <v>2177</v>
      </c>
      <c r="C694" s="662" t="s">
        <v>2178</v>
      </c>
      <c r="D694" s="1011">
        <v>41386</v>
      </c>
      <c r="E694" s="1011" t="s">
        <v>220</v>
      </c>
      <c r="F694" s="787" t="s">
        <v>266</v>
      </c>
      <c r="G694" s="996" t="s">
        <v>2151</v>
      </c>
      <c r="H694" s="1012">
        <v>5931000</v>
      </c>
      <c r="I694" s="1012">
        <v>2500000</v>
      </c>
      <c r="J694" s="1012">
        <v>0</v>
      </c>
      <c r="K694" s="1012">
        <v>200000</v>
      </c>
      <c r="L694" s="1013">
        <f t="shared" si="149"/>
        <v>8631000</v>
      </c>
      <c r="M694" s="1014">
        <v>24</v>
      </c>
      <c r="N694" s="1013">
        <f t="shared" si="137"/>
        <v>7967077</v>
      </c>
      <c r="O694" s="1015">
        <v>2</v>
      </c>
      <c r="P694" s="1013">
        <f t="shared" si="138"/>
        <v>663923</v>
      </c>
      <c r="Q694" s="1016">
        <v>0</v>
      </c>
      <c r="R694" s="1013">
        <f t="shared" si="139"/>
        <v>0</v>
      </c>
      <c r="S694" s="1013">
        <f t="shared" si="140"/>
        <v>8631000</v>
      </c>
      <c r="T694" s="1017">
        <v>0</v>
      </c>
      <c r="U694" s="785">
        <v>0</v>
      </c>
      <c r="V694" s="785">
        <v>200000</v>
      </c>
      <c r="W694" s="1017">
        <v>500000</v>
      </c>
      <c r="X694" s="1017">
        <v>0</v>
      </c>
      <c r="Y694" s="1017">
        <v>400000</v>
      </c>
      <c r="Z694" s="1017">
        <v>0</v>
      </c>
      <c r="AA694" s="1018"/>
      <c r="AB694" s="1013"/>
      <c r="AC694" s="1017">
        <v>100000</v>
      </c>
      <c r="AD694" s="1017">
        <v>0</v>
      </c>
      <c r="AE694" s="1013">
        <v>62242.7890625</v>
      </c>
      <c r="AF694" s="1019"/>
      <c r="AG694" s="1019">
        <f t="shared" si="151"/>
        <v>9893243</v>
      </c>
      <c r="AH694" s="1014">
        <v>13</v>
      </c>
      <c r="AI694" s="1014">
        <v>0</v>
      </c>
      <c r="AJ694" s="1014">
        <v>0</v>
      </c>
      <c r="AK694" s="1018">
        <v>0</v>
      </c>
      <c r="AL694" s="1020">
        <v>0</v>
      </c>
      <c r="AM694" s="1013">
        <f t="shared" si="150"/>
        <v>809156</v>
      </c>
      <c r="AN694" s="1045">
        <f t="shared" si="141"/>
        <v>10702399</v>
      </c>
      <c r="AO694" s="1013">
        <v>906255</v>
      </c>
      <c r="AP694" s="1013">
        <v>44100</v>
      </c>
      <c r="AQ694" s="1013">
        <v>0</v>
      </c>
      <c r="AR694" s="1013">
        <v>0</v>
      </c>
      <c r="AS694" s="1013">
        <v>0</v>
      </c>
      <c r="AT694" s="1045">
        <f t="shared" si="153"/>
        <v>9752044</v>
      </c>
      <c r="AU694" s="1004"/>
      <c r="AV694" s="870"/>
      <c r="AW694" s="782" t="s">
        <v>4635</v>
      </c>
      <c r="AX694" s="782" t="s">
        <v>4636</v>
      </c>
      <c r="AY694" s="1007" t="s">
        <v>221</v>
      </c>
      <c r="AZ694" s="1007">
        <v>622</v>
      </c>
      <c r="BA694" s="347" t="str">
        <f t="shared" si="152"/>
        <v>Bag</v>
      </c>
      <c r="BB694" s="1008"/>
      <c r="BC694" s="1009"/>
      <c r="BD694" s="1009"/>
    </row>
    <row r="695" spans="1:56" s="1010" customFormat="1" ht="36.75" customHeight="1">
      <c r="A695" s="661">
        <f>SUBTOTAL(3,B$6:B695)</f>
        <v>690</v>
      </c>
      <c r="B695" s="661" t="s">
        <v>2179</v>
      </c>
      <c r="C695" s="662" t="s">
        <v>2180</v>
      </c>
      <c r="D695" s="1011">
        <v>42583</v>
      </c>
      <c r="E695" s="1011" t="s">
        <v>220</v>
      </c>
      <c r="F695" s="787" t="s">
        <v>266</v>
      </c>
      <c r="G695" s="996" t="s">
        <v>2151</v>
      </c>
      <c r="H695" s="1012">
        <v>5931000</v>
      </c>
      <c r="I695" s="1012">
        <v>2500000</v>
      </c>
      <c r="J695" s="1012">
        <v>0</v>
      </c>
      <c r="K695" s="1012">
        <v>600000</v>
      </c>
      <c r="L695" s="1013">
        <f t="shared" si="149"/>
        <v>9031000</v>
      </c>
      <c r="M695" s="1014">
        <v>24</v>
      </c>
      <c r="N695" s="1013">
        <f t="shared" si="137"/>
        <v>8336308</v>
      </c>
      <c r="O695" s="1015">
        <v>2</v>
      </c>
      <c r="P695" s="1013">
        <f t="shared" si="138"/>
        <v>694692</v>
      </c>
      <c r="Q695" s="1016">
        <v>0</v>
      </c>
      <c r="R695" s="1013">
        <f t="shared" si="139"/>
        <v>0</v>
      </c>
      <c r="S695" s="1013">
        <f t="shared" si="140"/>
        <v>9031000</v>
      </c>
      <c r="T695" s="1017">
        <v>0</v>
      </c>
      <c r="U695" s="785">
        <v>21000</v>
      </c>
      <c r="V695" s="785">
        <v>200000</v>
      </c>
      <c r="W695" s="1017">
        <v>500000</v>
      </c>
      <c r="X695" s="1017">
        <v>0</v>
      </c>
      <c r="Y695" s="1017">
        <v>400000</v>
      </c>
      <c r="Z695" s="1017">
        <v>0</v>
      </c>
      <c r="AA695" s="1018"/>
      <c r="AB695" s="1013"/>
      <c r="AC695" s="1017">
        <v>0</v>
      </c>
      <c r="AD695" s="1017">
        <v>0</v>
      </c>
      <c r="AE695" s="1013">
        <v>0</v>
      </c>
      <c r="AF695" s="1019"/>
      <c r="AG695" s="1019">
        <f t="shared" si="151"/>
        <v>10152000</v>
      </c>
      <c r="AH695" s="1014">
        <v>27</v>
      </c>
      <c r="AI695" s="1014">
        <v>0</v>
      </c>
      <c r="AJ695" s="1014">
        <v>0</v>
      </c>
      <c r="AK695" s="1018">
        <v>0</v>
      </c>
      <c r="AL695" s="1020">
        <v>0</v>
      </c>
      <c r="AM695" s="1013">
        <f t="shared" si="150"/>
        <v>1758440</v>
      </c>
      <c r="AN695" s="1045">
        <f t="shared" si="141"/>
        <v>11910440</v>
      </c>
      <c r="AO695" s="1013">
        <v>948255</v>
      </c>
      <c r="AP695" s="1013">
        <v>44100</v>
      </c>
      <c r="AQ695" s="1013">
        <v>0</v>
      </c>
      <c r="AR695" s="1013">
        <v>0</v>
      </c>
      <c r="AS695" s="1013">
        <v>0</v>
      </c>
      <c r="AT695" s="1045">
        <f t="shared" si="153"/>
        <v>10918085</v>
      </c>
      <c r="AU695" s="1004"/>
      <c r="AV695" s="870"/>
      <c r="AW695" s="782" t="s">
        <v>4637</v>
      </c>
      <c r="AX695" s="782" t="s">
        <v>4638</v>
      </c>
      <c r="AY695" s="1007" t="s">
        <v>288</v>
      </c>
      <c r="AZ695" s="1007">
        <v>622</v>
      </c>
      <c r="BA695" s="347" t="str">
        <f t="shared" si="152"/>
        <v>Bag</v>
      </c>
      <c r="BB695" s="1008"/>
      <c r="BC695" s="1009"/>
      <c r="BD695" s="1009"/>
    </row>
    <row r="696" spans="1:56" s="1010" customFormat="1" ht="36.75" customHeight="1">
      <c r="A696" s="661">
        <f>SUBTOTAL(3,B$6:B696)</f>
        <v>691</v>
      </c>
      <c r="B696" s="661" t="s">
        <v>2181</v>
      </c>
      <c r="C696" s="662" t="s">
        <v>2182</v>
      </c>
      <c r="D696" s="1011">
        <v>42943</v>
      </c>
      <c r="E696" s="1011" t="s">
        <v>220</v>
      </c>
      <c r="F696" s="787" t="s">
        <v>266</v>
      </c>
      <c r="G696" s="996" t="s">
        <v>2148</v>
      </c>
      <c r="H696" s="1012">
        <v>5931000</v>
      </c>
      <c r="I696" s="1012">
        <v>2100000</v>
      </c>
      <c r="J696" s="1012">
        <v>0</v>
      </c>
      <c r="K696" s="1012">
        <v>300000</v>
      </c>
      <c r="L696" s="1013">
        <f t="shared" si="149"/>
        <v>8331000</v>
      </c>
      <c r="M696" s="1014">
        <v>24</v>
      </c>
      <c r="N696" s="1013">
        <f t="shared" si="137"/>
        <v>7690154</v>
      </c>
      <c r="O696" s="1015">
        <v>2</v>
      </c>
      <c r="P696" s="1013">
        <f t="shared" si="138"/>
        <v>640846</v>
      </c>
      <c r="Q696" s="1016">
        <v>0</v>
      </c>
      <c r="R696" s="1013">
        <f t="shared" si="139"/>
        <v>0</v>
      </c>
      <c r="S696" s="1013">
        <f t="shared" si="140"/>
        <v>8331000</v>
      </c>
      <c r="T696" s="1017">
        <v>0</v>
      </c>
      <c r="U696" s="785">
        <v>21000</v>
      </c>
      <c r="V696" s="785">
        <v>200000</v>
      </c>
      <c r="W696" s="1017">
        <v>500000</v>
      </c>
      <c r="X696" s="1017">
        <v>0</v>
      </c>
      <c r="Y696" s="1017">
        <v>400000</v>
      </c>
      <c r="Z696" s="1017">
        <v>0</v>
      </c>
      <c r="AA696" s="1018"/>
      <c r="AB696" s="1013"/>
      <c r="AC696" s="1017">
        <v>0</v>
      </c>
      <c r="AD696" s="1017">
        <v>0</v>
      </c>
      <c r="AE696" s="1013">
        <v>0</v>
      </c>
      <c r="AF696" s="1019"/>
      <c r="AG696" s="1019">
        <f t="shared" si="151"/>
        <v>9452000</v>
      </c>
      <c r="AH696" s="1014">
        <v>62</v>
      </c>
      <c r="AI696" s="1014">
        <v>0</v>
      </c>
      <c r="AJ696" s="1014">
        <v>0</v>
      </c>
      <c r="AK696" s="1018">
        <v>0</v>
      </c>
      <c r="AL696" s="1020">
        <v>0</v>
      </c>
      <c r="AM696" s="1013">
        <f t="shared" si="150"/>
        <v>3724918</v>
      </c>
      <c r="AN696" s="1045">
        <f t="shared" si="141"/>
        <v>13176918</v>
      </c>
      <c r="AO696" s="1013">
        <v>874755</v>
      </c>
      <c r="AP696" s="1013">
        <v>44100</v>
      </c>
      <c r="AQ696" s="1013">
        <v>0</v>
      </c>
      <c r="AR696" s="1013">
        <v>0</v>
      </c>
      <c r="AS696" s="1013">
        <v>0</v>
      </c>
      <c r="AT696" s="1045">
        <f t="shared" si="153"/>
        <v>12258063</v>
      </c>
      <c r="AU696" s="1004"/>
      <c r="AV696" s="870"/>
      <c r="AW696" s="782" t="s">
        <v>4639</v>
      </c>
      <c r="AX696" s="782" t="s">
        <v>4640</v>
      </c>
      <c r="AY696" s="1007" t="s">
        <v>288</v>
      </c>
      <c r="AZ696" s="1007">
        <v>622</v>
      </c>
      <c r="BA696" s="347" t="str">
        <f t="shared" si="152"/>
        <v>Bag</v>
      </c>
      <c r="BB696" s="1008"/>
      <c r="BC696" s="1009"/>
      <c r="BD696" s="1009"/>
    </row>
    <row r="697" spans="1:56" s="1010" customFormat="1" ht="36.75" customHeight="1">
      <c r="A697" s="661">
        <f>SUBTOTAL(3,B$6:B697)</f>
        <v>692</v>
      </c>
      <c r="B697" s="661" t="s">
        <v>2183</v>
      </c>
      <c r="C697" s="662" t="s">
        <v>2184</v>
      </c>
      <c r="D697" s="1011">
        <v>43173</v>
      </c>
      <c r="E697" s="1011" t="s">
        <v>220</v>
      </c>
      <c r="F697" s="787" t="s">
        <v>266</v>
      </c>
      <c r="G697" s="996" t="s">
        <v>2172</v>
      </c>
      <c r="H697" s="1012">
        <v>5931000</v>
      </c>
      <c r="I697" s="1012">
        <v>2200000</v>
      </c>
      <c r="J697" s="1012">
        <v>0</v>
      </c>
      <c r="K697" s="1012">
        <v>0</v>
      </c>
      <c r="L697" s="1013">
        <f t="shared" si="149"/>
        <v>8131000</v>
      </c>
      <c r="M697" s="1014">
        <v>22.9</v>
      </c>
      <c r="N697" s="1013">
        <f t="shared" si="137"/>
        <v>7161535</v>
      </c>
      <c r="O697" s="1015">
        <v>3</v>
      </c>
      <c r="P697" s="1013">
        <f t="shared" si="138"/>
        <v>938192</v>
      </c>
      <c r="Q697" s="1016">
        <v>0</v>
      </c>
      <c r="R697" s="1013">
        <f t="shared" si="139"/>
        <v>0</v>
      </c>
      <c r="S697" s="1013">
        <f t="shared" si="140"/>
        <v>8099727</v>
      </c>
      <c r="T697" s="1017">
        <v>0</v>
      </c>
      <c r="U697" s="785">
        <v>0</v>
      </c>
      <c r="V697" s="785">
        <v>200000</v>
      </c>
      <c r="W697" s="1017">
        <v>500000</v>
      </c>
      <c r="X697" s="1017">
        <v>0</v>
      </c>
      <c r="Y697" s="1017">
        <v>400000</v>
      </c>
      <c r="Z697" s="1017">
        <v>0</v>
      </c>
      <c r="AA697" s="1018"/>
      <c r="AB697" s="1013"/>
      <c r="AC697" s="1017">
        <v>0</v>
      </c>
      <c r="AD697" s="1017">
        <v>0</v>
      </c>
      <c r="AE697" s="1013">
        <v>0</v>
      </c>
      <c r="AF697" s="1019"/>
      <c r="AG697" s="1019">
        <f t="shared" si="151"/>
        <v>9199727</v>
      </c>
      <c r="AH697" s="1014">
        <v>34.5</v>
      </c>
      <c r="AI697" s="1014">
        <v>0</v>
      </c>
      <c r="AJ697" s="1014">
        <v>0</v>
      </c>
      <c r="AK697" s="1018">
        <v>0</v>
      </c>
      <c r="AL697" s="1020">
        <v>0</v>
      </c>
      <c r="AM697" s="1013">
        <f t="shared" si="150"/>
        <v>2022977</v>
      </c>
      <c r="AN697" s="1045">
        <f t="shared" si="141"/>
        <v>11222704</v>
      </c>
      <c r="AO697" s="1013">
        <v>853755</v>
      </c>
      <c r="AP697" s="1013">
        <v>44100</v>
      </c>
      <c r="AQ697" s="1013">
        <v>0</v>
      </c>
      <c r="AR697" s="1013">
        <v>0</v>
      </c>
      <c r="AS697" s="1013">
        <v>0</v>
      </c>
      <c r="AT697" s="1045">
        <f t="shared" si="153"/>
        <v>10324849</v>
      </c>
      <c r="AU697" s="1004"/>
      <c r="AV697" s="870"/>
      <c r="AW697" s="782" t="s">
        <v>4641</v>
      </c>
      <c r="AX697" s="782" t="s">
        <v>4642</v>
      </c>
      <c r="AY697" s="1007" t="s">
        <v>287</v>
      </c>
      <c r="AZ697" s="1007">
        <v>622</v>
      </c>
      <c r="BA697" s="347" t="str">
        <f t="shared" si="152"/>
        <v>Box</v>
      </c>
      <c r="BB697" s="1008"/>
      <c r="BC697" s="1009"/>
      <c r="BD697" s="1009"/>
    </row>
    <row r="698" spans="1:56" s="1010" customFormat="1" ht="36.75" customHeight="1">
      <c r="A698" s="661">
        <f>SUBTOTAL(3,B$6:B698)</f>
        <v>693</v>
      </c>
      <c r="B698" s="661" t="s">
        <v>2185</v>
      </c>
      <c r="C698" s="662" t="s">
        <v>2186</v>
      </c>
      <c r="D698" s="1011">
        <v>43370</v>
      </c>
      <c r="E698" s="1011" t="s">
        <v>220</v>
      </c>
      <c r="F698" s="787" t="s">
        <v>266</v>
      </c>
      <c r="G698" s="996" t="s">
        <v>2148</v>
      </c>
      <c r="H698" s="1012">
        <v>5931000</v>
      </c>
      <c r="I698" s="1012">
        <v>1300000</v>
      </c>
      <c r="J698" s="1012">
        <v>0</v>
      </c>
      <c r="K698" s="1012">
        <v>0</v>
      </c>
      <c r="L698" s="1013">
        <f t="shared" si="149"/>
        <v>7231000</v>
      </c>
      <c r="M698" s="1014">
        <v>23.9</v>
      </c>
      <c r="N698" s="1013">
        <f t="shared" si="137"/>
        <v>6646958</v>
      </c>
      <c r="O698" s="1015">
        <v>2</v>
      </c>
      <c r="P698" s="1013">
        <f t="shared" si="138"/>
        <v>556231</v>
      </c>
      <c r="Q698" s="1016">
        <v>0</v>
      </c>
      <c r="R698" s="1013">
        <f t="shared" si="139"/>
        <v>0</v>
      </c>
      <c r="S698" s="1013">
        <f t="shared" si="140"/>
        <v>7203189</v>
      </c>
      <c r="T698" s="1017">
        <v>0</v>
      </c>
      <c r="U698" s="785">
        <v>21000</v>
      </c>
      <c r="V698" s="785">
        <v>200000</v>
      </c>
      <c r="W698" s="1017">
        <v>500000</v>
      </c>
      <c r="X698" s="1017">
        <v>0</v>
      </c>
      <c r="Y698" s="1017">
        <v>400000</v>
      </c>
      <c r="Z698" s="1017">
        <v>0</v>
      </c>
      <c r="AA698" s="1018"/>
      <c r="AB698" s="1013"/>
      <c r="AC698" s="1017">
        <v>0</v>
      </c>
      <c r="AD698" s="1017">
        <v>0</v>
      </c>
      <c r="AE698" s="1013">
        <v>0</v>
      </c>
      <c r="AF698" s="1019"/>
      <c r="AG698" s="1019">
        <f t="shared" si="151"/>
        <v>8324189</v>
      </c>
      <c r="AH698" s="1014">
        <v>69.5</v>
      </c>
      <c r="AI698" s="1014">
        <v>0</v>
      </c>
      <c r="AJ698" s="1014">
        <v>0</v>
      </c>
      <c r="AK698" s="1018">
        <v>0</v>
      </c>
      <c r="AL698" s="1020">
        <v>0</v>
      </c>
      <c r="AM698" s="1013">
        <f t="shared" si="150"/>
        <v>3624191</v>
      </c>
      <c r="AN698" s="1045">
        <f t="shared" si="141"/>
        <v>11948380</v>
      </c>
      <c r="AO698" s="1013">
        <v>759255</v>
      </c>
      <c r="AP698" s="1013">
        <v>44100</v>
      </c>
      <c r="AQ698" s="1013">
        <v>0</v>
      </c>
      <c r="AR698" s="1013">
        <v>0</v>
      </c>
      <c r="AS698" s="1013">
        <v>0</v>
      </c>
      <c r="AT698" s="1045">
        <f t="shared" si="153"/>
        <v>11145025</v>
      </c>
      <c r="AU698" s="1004"/>
      <c r="AV698" s="870"/>
      <c r="AW698" s="782" t="s">
        <v>4643</v>
      </c>
      <c r="AX698" s="782" t="s">
        <v>4644</v>
      </c>
      <c r="AY698" s="1007" t="s">
        <v>287</v>
      </c>
      <c r="AZ698" s="1007">
        <v>622</v>
      </c>
      <c r="BA698" s="347" t="str">
        <f t="shared" si="152"/>
        <v>Box</v>
      </c>
      <c r="BB698" s="1008"/>
      <c r="BC698" s="1009"/>
      <c r="BD698" s="1009"/>
    </row>
    <row r="699" spans="1:56" s="1010" customFormat="1" ht="36.75" customHeight="1">
      <c r="A699" s="661">
        <f>SUBTOTAL(3,B$6:B699)</f>
        <v>694</v>
      </c>
      <c r="B699" s="661" t="s">
        <v>2187</v>
      </c>
      <c r="C699" s="662" t="s">
        <v>2188</v>
      </c>
      <c r="D699" s="1011">
        <v>43512</v>
      </c>
      <c r="E699" s="1011" t="s">
        <v>220</v>
      </c>
      <c r="F699" s="787" t="s">
        <v>266</v>
      </c>
      <c r="G699" s="996" t="s">
        <v>2189</v>
      </c>
      <c r="H699" s="1012">
        <v>7700000</v>
      </c>
      <c r="I699" s="1012">
        <v>1500000</v>
      </c>
      <c r="J699" s="1012">
        <v>0</v>
      </c>
      <c r="K699" s="1012">
        <v>0</v>
      </c>
      <c r="L699" s="1013">
        <f t="shared" si="149"/>
        <v>9200000</v>
      </c>
      <c r="M699" s="1014">
        <v>23.8</v>
      </c>
      <c r="N699" s="1013">
        <f t="shared" si="137"/>
        <v>8421538</v>
      </c>
      <c r="O699" s="1015">
        <v>2</v>
      </c>
      <c r="P699" s="1013">
        <f t="shared" si="138"/>
        <v>707692</v>
      </c>
      <c r="Q699" s="1016">
        <v>0</v>
      </c>
      <c r="R699" s="1013">
        <f t="shared" si="139"/>
        <v>0</v>
      </c>
      <c r="S699" s="1013">
        <f t="shared" si="140"/>
        <v>9129230</v>
      </c>
      <c r="T699" s="1017">
        <v>396923</v>
      </c>
      <c r="U699" s="785">
        <v>21000</v>
      </c>
      <c r="V699" s="785">
        <v>200000</v>
      </c>
      <c r="W699" s="1017">
        <v>500000</v>
      </c>
      <c r="X699" s="1017">
        <v>0</v>
      </c>
      <c r="Y699" s="1017">
        <v>400000</v>
      </c>
      <c r="Z699" s="1017">
        <v>0</v>
      </c>
      <c r="AA699" s="1018"/>
      <c r="AB699" s="1013"/>
      <c r="AC699" s="1017">
        <v>0</v>
      </c>
      <c r="AD699" s="1017">
        <v>0</v>
      </c>
      <c r="AE699" s="1013">
        <v>66346.15021008403</v>
      </c>
      <c r="AF699" s="1019"/>
      <c r="AG699" s="1019">
        <f t="shared" si="151"/>
        <v>10713499</v>
      </c>
      <c r="AH699" s="1014">
        <v>21.5</v>
      </c>
      <c r="AI699" s="1014">
        <v>0</v>
      </c>
      <c r="AJ699" s="1014">
        <v>0</v>
      </c>
      <c r="AK699" s="1018">
        <v>0</v>
      </c>
      <c r="AL699" s="1020">
        <v>0</v>
      </c>
      <c r="AM699" s="1013">
        <f t="shared" si="150"/>
        <v>1426442</v>
      </c>
      <c r="AN699" s="1045">
        <f t="shared" si="141"/>
        <v>12139941</v>
      </c>
      <c r="AO699" s="1013">
        <v>966000</v>
      </c>
      <c r="AP699" s="1013">
        <v>44100</v>
      </c>
      <c r="AQ699" s="1013">
        <v>0</v>
      </c>
      <c r="AR699" s="1013">
        <v>0</v>
      </c>
      <c r="AS699" s="1013">
        <v>0</v>
      </c>
      <c r="AT699" s="1045">
        <f t="shared" si="153"/>
        <v>11129841</v>
      </c>
      <c r="AU699" s="1004"/>
      <c r="AV699" s="870"/>
      <c r="AW699" s="782" t="s">
        <v>4645</v>
      </c>
      <c r="AX699" s="782" t="s">
        <v>4646</v>
      </c>
      <c r="AY699" s="1007" t="s">
        <v>221</v>
      </c>
      <c r="AZ699" s="1007">
        <v>622</v>
      </c>
      <c r="BA699" s="347" t="str">
        <f t="shared" si="152"/>
        <v>Bag</v>
      </c>
      <c r="BB699" s="1008"/>
      <c r="BC699" s="1009"/>
      <c r="BD699" s="1009"/>
    </row>
    <row r="700" spans="1:56" s="1010" customFormat="1" ht="36.75" customHeight="1">
      <c r="A700" s="661">
        <f>SUBTOTAL(3,B$6:B700)</f>
        <v>695</v>
      </c>
      <c r="B700" s="661" t="s">
        <v>2190</v>
      </c>
      <c r="C700" s="662" t="s">
        <v>2191</v>
      </c>
      <c r="D700" s="1011">
        <v>44697</v>
      </c>
      <c r="E700" s="1011" t="s">
        <v>220</v>
      </c>
      <c r="F700" s="787" t="s">
        <v>542</v>
      </c>
      <c r="G700" s="996" t="s">
        <v>2192</v>
      </c>
      <c r="H700" s="1012">
        <v>10000000</v>
      </c>
      <c r="I700" s="1012">
        <v>2700000</v>
      </c>
      <c r="J700" s="1012">
        <v>0</v>
      </c>
      <c r="K700" s="1012">
        <v>0</v>
      </c>
      <c r="L700" s="1013">
        <f t="shared" si="149"/>
        <v>12700000</v>
      </c>
      <c r="M700" s="1014">
        <v>22.6</v>
      </c>
      <c r="N700" s="1013">
        <f t="shared" si="137"/>
        <v>11039231</v>
      </c>
      <c r="O700" s="1015">
        <v>2</v>
      </c>
      <c r="P700" s="1013">
        <f t="shared" si="138"/>
        <v>976923</v>
      </c>
      <c r="Q700" s="1016">
        <v>0</v>
      </c>
      <c r="R700" s="1013">
        <f t="shared" si="139"/>
        <v>0</v>
      </c>
      <c r="S700" s="1013">
        <f t="shared" si="140"/>
        <v>12016154</v>
      </c>
      <c r="T700" s="1017">
        <v>473077</v>
      </c>
      <c r="U700" s="785">
        <v>0</v>
      </c>
      <c r="V700" s="785">
        <v>0</v>
      </c>
      <c r="W700" s="1017">
        <v>0</v>
      </c>
      <c r="X700" s="1017">
        <v>0</v>
      </c>
      <c r="Y700" s="1017">
        <v>0</v>
      </c>
      <c r="Z700" s="1017">
        <v>0</v>
      </c>
      <c r="AA700" s="1018"/>
      <c r="AB700" s="1013"/>
      <c r="AC700" s="1017">
        <v>100000</v>
      </c>
      <c r="AD700" s="1017">
        <v>0</v>
      </c>
      <c r="AE700" s="1013">
        <v>91586.54037610619</v>
      </c>
      <c r="AF700" s="1019"/>
      <c r="AG700" s="1019">
        <f t="shared" si="151"/>
        <v>12680818</v>
      </c>
      <c r="AH700" s="1014">
        <v>0</v>
      </c>
      <c r="AI700" s="1014">
        <v>0</v>
      </c>
      <c r="AJ700" s="1014">
        <v>0</v>
      </c>
      <c r="AK700" s="1018">
        <v>0</v>
      </c>
      <c r="AL700" s="1020">
        <v>0</v>
      </c>
      <c r="AM700" s="1013">
        <f t="shared" si="150"/>
        <v>0</v>
      </c>
      <c r="AN700" s="1045">
        <f t="shared" si="141"/>
        <v>12680818</v>
      </c>
      <c r="AO700" s="1013">
        <v>1333500</v>
      </c>
      <c r="AP700" s="1013">
        <v>44100</v>
      </c>
      <c r="AQ700" s="1013">
        <v>0</v>
      </c>
      <c r="AR700" s="1013">
        <v>0</v>
      </c>
      <c r="AS700" s="1013">
        <v>0</v>
      </c>
      <c r="AT700" s="1045">
        <f t="shared" si="153"/>
        <v>11303218</v>
      </c>
      <c r="AU700" s="1004"/>
      <c r="AV700" s="870"/>
      <c r="AW700" s="782" t="s">
        <v>4647</v>
      </c>
      <c r="AX700" s="782" t="s">
        <v>4648</v>
      </c>
      <c r="AY700" s="1007" t="s">
        <v>288</v>
      </c>
      <c r="AZ700" s="1007">
        <v>642</v>
      </c>
      <c r="BA700" s="347" t="s">
        <v>1</v>
      </c>
      <c r="BB700" s="1008"/>
      <c r="BC700" s="1009"/>
      <c r="BD700" s="1009"/>
    </row>
    <row r="701" spans="1:56" s="1010" customFormat="1" ht="36.75" customHeight="1">
      <c r="A701" s="661">
        <f>SUBTOTAL(3,B$6:B701)</f>
        <v>696</v>
      </c>
      <c r="B701" s="661" t="s">
        <v>2193</v>
      </c>
      <c r="C701" s="662" t="s">
        <v>2194</v>
      </c>
      <c r="D701" s="1011">
        <v>44697</v>
      </c>
      <c r="E701" s="1011" t="s">
        <v>220</v>
      </c>
      <c r="F701" s="787" t="s">
        <v>542</v>
      </c>
      <c r="G701" s="996" t="s">
        <v>2192</v>
      </c>
      <c r="H701" s="1012">
        <v>8700000</v>
      </c>
      <c r="I701" s="1012">
        <v>3000000</v>
      </c>
      <c r="J701" s="1012">
        <v>0</v>
      </c>
      <c r="K701" s="1012">
        <v>0</v>
      </c>
      <c r="L701" s="1013">
        <f t="shared" si="149"/>
        <v>11700000</v>
      </c>
      <c r="M701" s="1014">
        <v>23</v>
      </c>
      <c r="N701" s="1013">
        <f t="shared" si="137"/>
        <v>10350000</v>
      </c>
      <c r="O701" s="1015">
        <v>2</v>
      </c>
      <c r="P701" s="1013">
        <f t="shared" si="138"/>
        <v>900000</v>
      </c>
      <c r="Q701" s="1016">
        <v>0</v>
      </c>
      <c r="R701" s="1013">
        <f t="shared" si="139"/>
        <v>0</v>
      </c>
      <c r="S701" s="1013">
        <f t="shared" si="140"/>
        <v>11250000</v>
      </c>
      <c r="T701" s="1017">
        <v>480769</v>
      </c>
      <c r="U701" s="785">
        <v>0</v>
      </c>
      <c r="V701" s="785">
        <v>0</v>
      </c>
      <c r="W701" s="1017">
        <v>0</v>
      </c>
      <c r="X701" s="1017">
        <v>0</v>
      </c>
      <c r="Y701" s="1017">
        <v>0</v>
      </c>
      <c r="Z701" s="1017">
        <v>0</v>
      </c>
      <c r="AA701" s="1018"/>
      <c r="AB701" s="1013"/>
      <c r="AC701" s="1017">
        <v>0</v>
      </c>
      <c r="AD701" s="1017">
        <v>0</v>
      </c>
      <c r="AE701" s="1013">
        <v>84375</v>
      </c>
      <c r="AF701" s="1019"/>
      <c r="AG701" s="1019">
        <f t="shared" si="151"/>
        <v>11815144</v>
      </c>
      <c r="AH701" s="1014">
        <v>0</v>
      </c>
      <c r="AI701" s="1014">
        <v>0</v>
      </c>
      <c r="AJ701" s="1014">
        <v>0</v>
      </c>
      <c r="AK701" s="1018">
        <v>0</v>
      </c>
      <c r="AL701" s="1020">
        <v>0</v>
      </c>
      <c r="AM701" s="1013">
        <f t="shared" si="150"/>
        <v>0</v>
      </c>
      <c r="AN701" s="1045">
        <f t="shared" si="141"/>
        <v>11815144</v>
      </c>
      <c r="AO701" s="1013">
        <v>1228500</v>
      </c>
      <c r="AP701" s="1013">
        <v>44100</v>
      </c>
      <c r="AQ701" s="1013">
        <v>0</v>
      </c>
      <c r="AR701" s="1013">
        <v>0</v>
      </c>
      <c r="AS701" s="1013">
        <v>0</v>
      </c>
      <c r="AT701" s="1045">
        <f t="shared" si="153"/>
        <v>10542544</v>
      </c>
      <c r="AU701" s="1004"/>
      <c r="AV701" s="870"/>
      <c r="AW701" s="782" t="s">
        <v>4649</v>
      </c>
      <c r="AX701" s="782" t="s">
        <v>4650</v>
      </c>
      <c r="AY701" s="1007" t="s">
        <v>287</v>
      </c>
      <c r="AZ701" s="1007">
        <v>642</v>
      </c>
      <c r="BA701" s="347" t="s">
        <v>1</v>
      </c>
      <c r="BB701" s="1008"/>
      <c r="BC701" s="1009"/>
      <c r="BD701" s="1009"/>
    </row>
    <row r="702" spans="1:56" s="1010" customFormat="1" ht="36.75" customHeight="1">
      <c r="A702" s="661">
        <f>SUBTOTAL(3,B$6:B702)</f>
        <v>697</v>
      </c>
      <c r="B702" s="661" t="s">
        <v>2195</v>
      </c>
      <c r="C702" s="662" t="s">
        <v>2196</v>
      </c>
      <c r="D702" s="1011">
        <v>45240</v>
      </c>
      <c r="E702" s="1011" t="s">
        <v>220</v>
      </c>
      <c r="F702" s="787" t="s">
        <v>542</v>
      </c>
      <c r="G702" s="996" t="s">
        <v>2197</v>
      </c>
      <c r="H702" s="1012">
        <v>7700000</v>
      </c>
      <c r="I702" s="1012">
        <v>1000000</v>
      </c>
      <c r="J702" s="1012">
        <v>0</v>
      </c>
      <c r="K702" s="1012">
        <v>0</v>
      </c>
      <c r="L702" s="1013">
        <f t="shared" si="149"/>
        <v>8700000</v>
      </c>
      <c r="M702" s="1014">
        <v>22</v>
      </c>
      <c r="N702" s="1013">
        <f t="shared" si="137"/>
        <v>7361538</v>
      </c>
      <c r="O702" s="1015">
        <v>2</v>
      </c>
      <c r="P702" s="1013">
        <f t="shared" si="138"/>
        <v>669231</v>
      </c>
      <c r="Q702" s="1016">
        <v>0</v>
      </c>
      <c r="R702" s="1013">
        <f t="shared" si="139"/>
        <v>0</v>
      </c>
      <c r="S702" s="1013">
        <f t="shared" si="140"/>
        <v>8030769</v>
      </c>
      <c r="T702" s="1017">
        <v>461538</v>
      </c>
      <c r="U702" s="785">
        <v>0</v>
      </c>
      <c r="V702" s="785">
        <v>0</v>
      </c>
      <c r="W702" s="1017">
        <v>0</v>
      </c>
      <c r="X702" s="1017">
        <v>0</v>
      </c>
      <c r="Y702" s="1017">
        <v>0</v>
      </c>
      <c r="Z702" s="1017">
        <v>0</v>
      </c>
      <c r="AA702" s="1018"/>
      <c r="AB702" s="1013"/>
      <c r="AC702" s="1017">
        <v>200000</v>
      </c>
      <c r="AD702" s="1017">
        <v>0</v>
      </c>
      <c r="AE702" s="1013">
        <v>62740.380681818184</v>
      </c>
      <c r="AF702" s="1019"/>
      <c r="AG702" s="1019">
        <f t="shared" si="151"/>
        <v>8755047</v>
      </c>
      <c r="AH702" s="1014">
        <v>0</v>
      </c>
      <c r="AI702" s="1014">
        <v>0</v>
      </c>
      <c r="AJ702" s="1014">
        <v>0</v>
      </c>
      <c r="AK702" s="1018">
        <v>0</v>
      </c>
      <c r="AL702" s="1020">
        <v>0</v>
      </c>
      <c r="AM702" s="1013">
        <f t="shared" si="150"/>
        <v>0</v>
      </c>
      <c r="AN702" s="1045">
        <f t="shared" si="141"/>
        <v>8755047</v>
      </c>
      <c r="AO702" s="1013">
        <v>913500</v>
      </c>
      <c r="AP702" s="1013">
        <v>44100</v>
      </c>
      <c r="AQ702" s="1013">
        <v>0</v>
      </c>
      <c r="AR702" s="1013">
        <v>0</v>
      </c>
      <c r="AS702" s="1013">
        <v>0</v>
      </c>
      <c r="AT702" s="1045">
        <f t="shared" si="153"/>
        <v>7797447</v>
      </c>
      <c r="AU702" s="1004"/>
      <c r="AV702" s="870"/>
      <c r="AW702" s="782" t="s">
        <v>4651</v>
      </c>
      <c r="AX702" s="782" t="s">
        <v>4652</v>
      </c>
      <c r="AY702" s="1007" t="s">
        <v>287</v>
      </c>
      <c r="AZ702" s="1007">
        <v>642</v>
      </c>
      <c r="BA702" s="347" t="s">
        <v>1</v>
      </c>
      <c r="BB702" s="1008"/>
      <c r="BC702" s="1009"/>
      <c r="BD702" s="1009"/>
    </row>
    <row r="703" spans="1:56" s="1010" customFormat="1" ht="36.75" customHeight="1">
      <c r="A703" s="661">
        <f>SUBTOTAL(3,B$6:B703)</f>
        <v>698</v>
      </c>
      <c r="B703" s="661" t="s">
        <v>2198</v>
      </c>
      <c r="C703" s="662" t="s">
        <v>2199</v>
      </c>
      <c r="D703" s="1011">
        <v>45450</v>
      </c>
      <c r="E703" s="1011" t="s">
        <v>220</v>
      </c>
      <c r="F703" s="787" t="s">
        <v>542</v>
      </c>
      <c r="G703" s="996" t="s">
        <v>2192</v>
      </c>
      <c r="H703" s="1012">
        <v>8500000</v>
      </c>
      <c r="I703" s="1012">
        <v>1500000</v>
      </c>
      <c r="J703" s="1012">
        <v>0</v>
      </c>
      <c r="K703" s="1012">
        <v>0</v>
      </c>
      <c r="L703" s="1013">
        <f t="shared" si="149"/>
        <v>10000000</v>
      </c>
      <c r="M703" s="1014">
        <v>20.6</v>
      </c>
      <c r="N703" s="1013">
        <f t="shared" si="137"/>
        <v>7923077</v>
      </c>
      <c r="O703" s="1015">
        <v>3</v>
      </c>
      <c r="P703" s="1013">
        <f t="shared" si="138"/>
        <v>1153846</v>
      </c>
      <c r="Q703" s="1016">
        <v>0</v>
      </c>
      <c r="R703" s="1013">
        <f t="shared" si="139"/>
        <v>0</v>
      </c>
      <c r="S703" s="1013">
        <f t="shared" si="140"/>
        <v>9076923</v>
      </c>
      <c r="T703" s="1017">
        <v>453846</v>
      </c>
      <c r="U703" s="785">
        <v>0</v>
      </c>
      <c r="V703" s="785">
        <v>0</v>
      </c>
      <c r="W703" s="1017">
        <v>0</v>
      </c>
      <c r="X703" s="1017">
        <v>0</v>
      </c>
      <c r="Y703" s="1017">
        <v>0</v>
      </c>
      <c r="Z703" s="1017">
        <v>0</v>
      </c>
      <c r="AA703" s="1018"/>
      <c r="AB703" s="1013"/>
      <c r="AC703" s="1017">
        <v>0</v>
      </c>
      <c r="AD703" s="1017">
        <v>0</v>
      </c>
      <c r="AE703" s="1013">
        <v>72115.385315533975</v>
      </c>
      <c r="AF703" s="1019"/>
      <c r="AG703" s="1019">
        <f t="shared" si="151"/>
        <v>9602884</v>
      </c>
      <c r="AH703" s="1014">
        <v>0</v>
      </c>
      <c r="AI703" s="1014">
        <v>0</v>
      </c>
      <c r="AJ703" s="1014">
        <v>0</v>
      </c>
      <c r="AK703" s="1018">
        <v>0</v>
      </c>
      <c r="AL703" s="1020">
        <v>0</v>
      </c>
      <c r="AM703" s="1013">
        <f t="shared" si="150"/>
        <v>0</v>
      </c>
      <c r="AN703" s="1045">
        <f t="shared" si="141"/>
        <v>9602884</v>
      </c>
      <c r="AO703" s="1013">
        <v>1050000</v>
      </c>
      <c r="AP703" s="1013">
        <v>0</v>
      </c>
      <c r="AQ703" s="1013">
        <v>0</v>
      </c>
      <c r="AR703" s="1013">
        <v>0</v>
      </c>
      <c r="AS703" s="1013">
        <v>0</v>
      </c>
      <c r="AT703" s="1045">
        <f t="shared" si="153"/>
        <v>8552884</v>
      </c>
      <c r="AU703" s="1004"/>
      <c r="AV703" s="870"/>
      <c r="AW703" s="782" t="s">
        <v>4653</v>
      </c>
      <c r="AX703" s="782" t="s">
        <v>4654</v>
      </c>
      <c r="AY703" s="1007" t="s">
        <v>287</v>
      </c>
      <c r="AZ703" s="1007">
        <v>642</v>
      </c>
      <c r="BA703" s="347" t="s">
        <v>1</v>
      </c>
      <c r="BB703" s="1008"/>
      <c r="BC703" s="1009"/>
      <c r="BD703" s="1009"/>
    </row>
    <row r="704" spans="1:56" s="1010" customFormat="1" ht="36.75" customHeight="1">
      <c r="A704" s="661">
        <f>SUBTOTAL(3,B$6:B704)</f>
        <v>699</v>
      </c>
      <c r="B704" s="661" t="s">
        <v>2200</v>
      </c>
      <c r="C704" s="662" t="s">
        <v>2201</v>
      </c>
      <c r="D704" s="1011">
        <v>42675</v>
      </c>
      <c r="E704" s="1011" t="s">
        <v>220</v>
      </c>
      <c r="F704" s="787" t="s">
        <v>542</v>
      </c>
      <c r="G704" s="996" t="s">
        <v>2202</v>
      </c>
      <c r="H704" s="1012">
        <v>20000000</v>
      </c>
      <c r="I704" s="1012">
        <v>12200000</v>
      </c>
      <c r="J704" s="1012">
        <v>0</v>
      </c>
      <c r="K704" s="1012">
        <v>0</v>
      </c>
      <c r="L704" s="1013">
        <f t="shared" si="149"/>
        <v>32200000</v>
      </c>
      <c r="M704" s="1014">
        <v>21</v>
      </c>
      <c r="N704" s="1013">
        <f t="shared" si="137"/>
        <v>26007692</v>
      </c>
      <c r="O704" s="1015">
        <v>3</v>
      </c>
      <c r="P704" s="1013">
        <f t="shared" si="138"/>
        <v>3715385</v>
      </c>
      <c r="Q704" s="1016">
        <v>0</v>
      </c>
      <c r="R704" s="1013">
        <f t="shared" si="139"/>
        <v>0</v>
      </c>
      <c r="S704" s="1013">
        <f t="shared" si="140"/>
        <v>29723077</v>
      </c>
      <c r="T704" s="1017">
        <v>646154</v>
      </c>
      <c r="U704" s="785">
        <v>0</v>
      </c>
      <c r="V704" s="785">
        <v>0</v>
      </c>
      <c r="W704" s="1017">
        <v>0</v>
      </c>
      <c r="X704" s="1017">
        <v>200000</v>
      </c>
      <c r="Y704" s="1017">
        <v>0</v>
      </c>
      <c r="Z704" s="1017">
        <v>0</v>
      </c>
      <c r="AA704" s="1018"/>
      <c r="AB704" s="1013"/>
      <c r="AC704" s="1017">
        <v>0</v>
      </c>
      <c r="AD704" s="1017">
        <v>0</v>
      </c>
      <c r="AE704" s="1013">
        <v>232211.53571428571</v>
      </c>
      <c r="AF704" s="1019"/>
      <c r="AG704" s="1019">
        <f t="shared" si="151"/>
        <v>30801443</v>
      </c>
      <c r="AH704" s="1014">
        <v>0</v>
      </c>
      <c r="AI704" s="1014">
        <v>0</v>
      </c>
      <c r="AJ704" s="1014">
        <v>0</v>
      </c>
      <c r="AK704" s="1018">
        <v>0</v>
      </c>
      <c r="AL704" s="1020">
        <v>0</v>
      </c>
      <c r="AM704" s="1013">
        <f t="shared" si="150"/>
        <v>0</v>
      </c>
      <c r="AN704" s="1045">
        <f t="shared" si="141"/>
        <v>30801443</v>
      </c>
      <c r="AO704" s="1013">
        <v>3381000</v>
      </c>
      <c r="AP704" s="1013">
        <v>44100</v>
      </c>
      <c r="AQ704" s="1013">
        <v>1616143</v>
      </c>
      <c r="AR704" s="1013">
        <v>0</v>
      </c>
      <c r="AS704" s="1013">
        <v>0</v>
      </c>
      <c r="AT704" s="1045">
        <f t="shared" si="153"/>
        <v>25760200</v>
      </c>
      <c r="AU704" s="1004"/>
      <c r="AV704" s="870"/>
      <c r="AW704" s="782" t="s">
        <v>4655</v>
      </c>
      <c r="AX704" s="782" t="s">
        <v>4656</v>
      </c>
      <c r="AY704" s="1007" t="s">
        <v>287</v>
      </c>
      <c r="AZ704" s="1007">
        <v>642</v>
      </c>
      <c r="BA704" s="347" t="s">
        <v>78</v>
      </c>
      <c r="BB704" s="1008"/>
      <c r="BC704" s="1009"/>
      <c r="BD704" s="1009"/>
    </row>
    <row r="705" spans="1:56" s="1010" customFormat="1" ht="36.75" customHeight="1">
      <c r="A705" s="661">
        <f>SUBTOTAL(3,B$6:B705)</f>
        <v>700</v>
      </c>
      <c r="B705" s="661" t="s">
        <v>2203</v>
      </c>
      <c r="C705" s="662" t="s">
        <v>2204</v>
      </c>
      <c r="D705" s="1011">
        <v>43451</v>
      </c>
      <c r="E705" s="1011" t="s">
        <v>220</v>
      </c>
      <c r="F705" s="787" t="s">
        <v>542</v>
      </c>
      <c r="G705" s="996" t="s">
        <v>2205</v>
      </c>
      <c r="H705" s="1012">
        <v>12500000</v>
      </c>
      <c r="I705" s="1012">
        <v>6000000</v>
      </c>
      <c r="J705" s="1012">
        <v>0</v>
      </c>
      <c r="K705" s="1012">
        <v>0</v>
      </c>
      <c r="L705" s="1013">
        <f t="shared" ref="L705:L739" si="154">SUM(H705:K705)</f>
        <v>18500000</v>
      </c>
      <c r="M705" s="1014">
        <v>24</v>
      </c>
      <c r="N705" s="1013">
        <f t="shared" si="137"/>
        <v>17076923</v>
      </c>
      <c r="O705" s="1015">
        <v>2</v>
      </c>
      <c r="P705" s="1013">
        <f t="shared" si="138"/>
        <v>1423077</v>
      </c>
      <c r="Q705" s="1016">
        <v>0</v>
      </c>
      <c r="R705" s="1013">
        <f t="shared" si="139"/>
        <v>0</v>
      </c>
      <c r="S705" s="1013">
        <f t="shared" si="140"/>
        <v>18500000</v>
      </c>
      <c r="T705" s="1017">
        <v>650000</v>
      </c>
      <c r="U705" s="785">
        <v>0</v>
      </c>
      <c r="V705" s="785">
        <v>0</v>
      </c>
      <c r="W705" s="1017">
        <v>0</v>
      </c>
      <c r="X705" s="1017">
        <v>1082000</v>
      </c>
      <c r="Y705" s="1017">
        <v>0</v>
      </c>
      <c r="Z705" s="1017">
        <v>0</v>
      </c>
      <c r="AA705" s="1018"/>
      <c r="AB705" s="1013"/>
      <c r="AC705" s="1017">
        <v>0</v>
      </c>
      <c r="AD705" s="1017">
        <v>0</v>
      </c>
      <c r="AE705" s="1013">
        <v>0</v>
      </c>
      <c r="AF705" s="1019"/>
      <c r="AG705" s="1019">
        <f t="shared" si="151"/>
        <v>20232000</v>
      </c>
      <c r="AH705" s="1014">
        <v>0</v>
      </c>
      <c r="AI705" s="1014">
        <v>0</v>
      </c>
      <c r="AJ705" s="1014">
        <v>0</v>
      </c>
      <c r="AK705" s="1018">
        <v>0</v>
      </c>
      <c r="AL705" s="1020">
        <v>0</v>
      </c>
      <c r="AM705" s="1013">
        <f t="shared" si="150"/>
        <v>0</v>
      </c>
      <c r="AN705" s="1045">
        <f t="shared" si="141"/>
        <v>20232000</v>
      </c>
      <c r="AO705" s="1013">
        <v>1942500</v>
      </c>
      <c r="AP705" s="1013">
        <v>44100</v>
      </c>
      <c r="AQ705" s="1013">
        <v>116975</v>
      </c>
      <c r="AR705" s="1013">
        <v>0</v>
      </c>
      <c r="AS705" s="1013">
        <v>0</v>
      </c>
      <c r="AT705" s="1045">
        <f t="shared" si="153"/>
        <v>18128425</v>
      </c>
      <c r="AU705" s="1004"/>
      <c r="AV705" s="870"/>
      <c r="AW705" s="782" t="s">
        <v>4657</v>
      </c>
      <c r="AX705" s="782" t="s">
        <v>4658</v>
      </c>
      <c r="AY705" s="1007" t="s">
        <v>288</v>
      </c>
      <c r="AZ705" s="1007">
        <v>642</v>
      </c>
      <c r="BA705" s="347" t="s">
        <v>1</v>
      </c>
      <c r="BB705" s="1008"/>
      <c r="BC705" s="1009"/>
      <c r="BD705" s="1009"/>
    </row>
    <row r="706" spans="1:56" s="1010" customFormat="1" ht="36.75" customHeight="1">
      <c r="A706" s="661">
        <f>SUBTOTAL(3,B$6:B706)</f>
        <v>701</v>
      </c>
      <c r="B706" s="661" t="s">
        <v>2206</v>
      </c>
      <c r="C706" s="662" t="s">
        <v>2207</v>
      </c>
      <c r="D706" s="1011">
        <v>43575</v>
      </c>
      <c r="E706" s="1011" t="s">
        <v>220</v>
      </c>
      <c r="F706" s="787" t="s">
        <v>528</v>
      </c>
      <c r="G706" s="996" t="s">
        <v>2208</v>
      </c>
      <c r="H706" s="1012">
        <v>5931000</v>
      </c>
      <c r="I706" s="1012">
        <v>800000</v>
      </c>
      <c r="J706" s="1012">
        <v>0</v>
      </c>
      <c r="K706" s="1012">
        <v>0</v>
      </c>
      <c r="L706" s="1013">
        <f t="shared" si="154"/>
        <v>6731000</v>
      </c>
      <c r="M706" s="1014">
        <v>19</v>
      </c>
      <c r="N706" s="1013">
        <f t="shared" si="137"/>
        <v>4918808</v>
      </c>
      <c r="O706" s="1015">
        <v>3</v>
      </c>
      <c r="P706" s="1013">
        <f t="shared" si="138"/>
        <v>776654</v>
      </c>
      <c r="Q706" s="1016">
        <v>0</v>
      </c>
      <c r="R706" s="1013">
        <f t="shared" si="139"/>
        <v>0</v>
      </c>
      <c r="S706" s="1013">
        <f t="shared" si="140"/>
        <v>5695462</v>
      </c>
      <c r="T706" s="1017">
        <v>0</v>
      </c>
      <c r="U706" s="785">
        <v>0</v>
      </c>
      <c r="V706" s="785">
        <v>200000</v>
      </c>
      <c r="W706" s="1017">
        <v>0</v>
      </c>
      <c r="X706" s="1017">
        <v>0</v>
      </c>
      <c r="Y706" s="1017">
        <v>0</v>
      </c>
      <c r="Z706" s="1017">
        <v>306578</v>
      </c>
      <c r="AA706" s="1018"/>
      <c r="AB706" s="1013"/>
      <c r="AC706" s="1017">
        <v>0</v>
      </c>
      <c r="AD706" s="1017">
        <v>0</v>
      </c>
      <c r="AE706" s="1013">
        <v>0</v>
      </c>
      <c r="AF706" s="1019"/>
      <c r="AG706" s="1019">
        <f t="shared" si="151"/>
        <v>6202040</v>
      </c>
      <c r="AH706" s="1014">
        <v>10.5</v>
      </c>
      <c r="AI706" s="1014">
        <v>0</v>
      </c>
      <c r="AJ706" s="1014">
        <v>0</v>
      </c>
      <c r="AK706" s="1018">
        <v>0</v>
      </c>
      <c r="AL706" s="1020">
        <v>0</v>
      </c>
      <c r="AM706" s="1013">
        <f t="shared" si="150"/>
        <v>509679</v>
      </c>
      <c r="AN706" s="1045">
        <f t="shared" si="141"/>
        <v>6711719</v>
      </c>
      <c r="AO706" s="1013">
        <v>706755</v>
      </c>
      <c r="AP706" s="1013">
        <v>44100</v>
      </c>
      <c r="AQ706" s="1013">
        <v>0</v>
      </c>
      <c r="AR706" s="1013">
        <v>0</v>
      </c>
      <c r="AS706" s="1013">
        <v>0</v>
      </c>
      <c r="AT706" s="1045">
        <f t="shared" si="153"/>
        <v>5960864</v>
      </c>
      <c r="AU706" s="1004"/>
      <c r="AV706" s="870"/>
      <c r="AW706" s="782" t="s">
        <v>4659</v>
      </c>
      <c r="AX706" s="782" t="s">
        <v>4660</v>
      </c>
      <c r="AY706" s="1007" t="s">
        <v>288</v>
      </c>
      <c r="AZ706" s="1007">
        <v>627</v>
      </c>
      <c r="BA706" s="347" t="str">
        <f t="shared" ref="BA706:BA736" si="155">+IF(AY706="SK1 Box","Box",IF(AY706="Seaman","Seaman","Bag"))</f>
        <v>Bag</v>
      </c>
      <c r="BB706" s="1008"/>
      <c r="BC706" s="1009"/>
      <c r="BD706" s="1009"/>
    </row>
    <row r="707" spans="1:56" s="1010" customFormat="1" ht="36.75" customHeight="1">
      <c r="A707" s="661">
        <f>SUBTOTAL(3,B$6:B707)</f>
        <v>702</v>
      </c>
      <c r="B707" s="661" t="s">
        <v>2209</v>
      </c>
      <c r="C707" s="662" t="s">
        <v>2210</v>
      </c>
      <c r="D707" s="1011">
        <v>43651</v>
      </c>
      <c r="E707" s="1011" t="s">
        <v>220</v>
      </c>
      <c r="F707" s="787" t="s">
        <v>528</v>
      </c>
      <c r="G707" s="996" t="s">
        <v>2211</v>
      </c>
      <c r="H707" s="1012">
        <v>6576000</v>
      </c>
      <c r="I707" s="1012">
        <v>3500000</v>
      </c>
      <c r="J707" s="1012">
        <v>0</v>
      </c>
      <c r="K707" s="1012">
        <v>0</v>
      </c>
      <c r="L707" s="1013">
        <f t="shared" si="154"/>
        <v>10076000</v>
      </c>
      <c r="M707" s="1014">
        <v>22</v>
      </c>
      <c r="N707" s="1013">
        <f t="shared" si="137"/>
        <v>8525846</v>
      </c>
      <c r="O707" s="1015">
        <v>4</v>
      </c>
      <c r="P707" s="1013">
        <f t="shared" si="138"/>
        <v>1550154</v>
      </c>
      <c r="Q707" s="1016">
        <v>0</v>
      </c>
      <c r="R707" s="1013">
        <f t="shared" si="139"/>
        <v>0</v>
      </c>
      <c r="S707" s="1013">
        <f t="shared" si="140"/>
        <v>10076000</v>
      </c>
      <c r="T707" s="1017">
        <v>0</v>
      </c>
      <c r="U707" s="785">
        <v>0</v>
      </c>
      <c r="V707" s="785">
        <v>200000</v>
      </c>
      <c r="W707" s="1017">
        <v>500000</v>
      </c>
      <c r="X707" s="1017">
        <v>0</v>
      </c>
      <c r="Y707" s="1017">
        <v>400000</v>
      </c>
      <c r="Z707" s="1017">
        <v>0</v>
      </c>
      <c r="AA707" s="1018"/>
      <c r="AB707" s="1013"/>
      <c r="AC707" s="1017">
        <v>100000</v>
      </c>
      <c r="AD707" s="1017">
        <v>0</v>
      </c>
      <c r="AE707" s="1013">
        <v>0</v>
      </c>
      <c r="AF707" s="1019"/>
      <c r="AG707" s="1019">
        <f t="shared" si="151"/>
        <v>11276000</v>
      </c>
      <c r="AH707" s="1014">
        <v>41</v>
      </c>
      <c r="AI707" s="1014">
        <v>0</v>
      </c>
      <c r="AJ707" s="1014">
        <v>0</v>
      </c>
      <c r="AK707" s="1018">
        <v>0</v>
      </c>
      <c r="AL707" s="1020">
        <v>0</v>
      </c>
      <c r="AM707" s="1013">
        <f t="shared" si="150"/>
        <v>2979202</v>
      </c>
      <c r="AN707" s="1045">
        <f t="shared" si="141"/>
        <v>14255202</v>
      </c>
      <c r="AO707" s="1013">
        <v>1057980</v>
      </c>
      <c r="AP707" s="1013">
        <v>44100</v>
      </c>
      <c r="AQ707" s="1013">
        <v>0</v>
      </c>
      <c r="AR707" s="1013">
        <v>0</v>
      </c>
      <c r="AS707" s="1013">
        <v>0</v>
      </c>
      <c r="AT707" s="1045">
        <f t="shared" si="153"/>
        <v>13153122</v>
      </c>
      <c r="AU707" s="1004"/>
      <c r="AV707" s="870"/>
      <c r="AW707" s="782" t="s">
        <v>4661</v>
      </c>
      <c r="AX707" s="782" t="s">
        <v>4662</v>
      </c>
      <c r="AY707" s="1007" t="s">
        <v>288</v>
      </c>
      <c r="AZ707" s="1007">
        <v>627</v>
      </c>
      <c r="BA707" s="347" t="str">
        <f t="shared" si="155"/>
        <v>Bag</v>
      </c>
      <c r="BB707" s="1008"/>
      <c r="BC707" s="1009"/>
      <c r="BD707" s="1009"/>
    </row>
    <row r="708" spans="1:56" s="1010" customFormat="1" ht="36.75" customHeight="1">
      <c r="A708" s="661">
        <f>SUBTOTAL(3,B$6:B708)</f>
        <v>703</v>
      </c>
      <c r="B708" s="661" t="s">
        <v>2212</v>
      </c>
      <c r="C708" s="662" t="s">
        <v>2213</v>
      </c>
      <c r="D708" s="1011">
        <v>43789</v>
      </c>
      <c r="E708" s="1011" t="s">
        <v>220</v>
      </c>
      <c r="F708" s="787" t="s">
        <v>528</v>
      </c>
      <c r="G708" s="996" t="s">
        <v>2208</v>
      </c>
      <c r="H708" s="1012">
        <v>5931000</v>
      </c>
      <c r="I708" s="1012">
        <v>500000</v>
      </c>
      <c r="J708" s="1012">
        <v>0</v>
      </c>
      <c r="K708" s="1012">
        <v>200000</v>
      </c>
      <c r="L708" s="1013">
        <f t="shared" si="154"/>
        <v>6631000</v>
      </c>
      <c r="M708" s="1014">
        <v>24</v>
      </c>
      <c r="N708" s="1013">
        <f t="shared" si="137"/>
        <v>6120923</v>
      </c>
      <c r="O708" s="1015">
        <v>2</v>
      </c>
      <c r="P708" s="1013">
        <f t="shared" si="138"/>
        <v>510077</v>
      </c>
      <c r="Q708" s="1016">
        <v>0</v>
      </c>
      <c r="R708" s="1013">
        <f t="shared" si="139"/>
        <v>0</v>
      </c>
      <c r="S708" s="1013">
        <f t="shared" si="140"/>
        <v>6631000</v>
      </c>
      <c r="T708" s="1017">
        <v>0</v>
      </c>
      <c r="U708" s="785">
        <v>0</v>
      </c>
      <c r="V708" s="785">
        <v>200000</v>
      </c>
      <c r="W708" s="1017">
        <v>500000</v>
      </c>
      <c r="X708" s="1017">
        <v>0</v>
      </c>
      <c r="Y708" s="1017">
        <v>400000</v>
      </c>
      <c r="Z708" s="1017">
        <v>418916</v>
      </c>
      <c r="AA708" s="1018"/>
      <c r="AB708" s="1013"/>
      <c r="AC708" s="1017">
        <v>0</v>
      </c>
      <c r="AD708" s="1017">
        <v>0</v>
      </c>
      <c r="AE708" s="1013">
        <v>47819.7109375</v>
      </c>
      <c r="AF708" s="1019"/>
      <c r="AG708" s="1019">
        <f t="shared" si="151"/>
        <v>8197736</v>
      </c>
      <c r="AH708" s="1014">
        <v>37.5</v>
      </c>
      <c r="AI708" s="1014">
        <v>0</v>
      </c>
      <c r="AJ708" s="1014">
        <v>0</v>
      </c>
      <c r="AK708" s="1018">
        <v>0</v>
      </c>
      <c r="AL708" s="1020">
        <v>0</v>
      </c>
      <c r="AM708" s="1013">
        <f t="shared" si="150"/>
        <v>1793239</v>
      </c>
      <c r="AN708" s="1045">
        <f t="shared" si="141"/>
        <v>9990975</v>
      </c>
      <c r="AO708" s="1013">
        <v>696255</v>
      </c>
      <c r="AP708" s="1013">
        <v>44100</v>
      </c>
      <c r="AQ708" s="1013">
        <v>0</v>
      </c>
      <c r="AR708" s="1013">
        <v>0</v>
      </c>
      <c r="AS708" s="1013">
        <v>0</v>
      </c>
      <c r="AT708" s="1045">
        <f t="shared" si="153"/>
        <v>9250620</v>
      </c>
      <c r="AU708" s="1004"/>
      <c r="AV708" s="870"/>
      <c r="AW708" s="782" t="s">
        <v>4663</v>
      </c>
      <c r="AX708" s="782" t="s">
        <v>4664</v>
      </c>
      <c r="AY708" s="1007" t="s">
        <v>287</v>
      </c>
      <c r="AZ708" s="1007">
        <v>627</v>
      </c>
      <c r="BA708" s="347" t="str">
        <f t="shared" si="155"/>
        <v>Box</v>
      </c>
      <c r="BB708" s="1008"/>
      <c r="BC708" s="1009"/>
      <c r="BD708" s="1009"/>
    </row>
    <row r="709" spans="1:56" s="1010" customFormat="1" ht="36.75" customHeight="1">
      <c r="A709" s="661">
        <f>SUBTOTAL(3,B$6:B709)</f>
        <v>704</v>
      </c>
      <c r="B709" s="661" t="s">
        <v>2214</v>
      </c>
      <c r="C709" s="662" t="s">
        <v>2215</v>
      </c>
      <c r="D709" s="1011">
        <v>43985</v>
      </c>
      <c r="E709" s="1011" t="s">
        <v>220</v>
      </c>
      <c r="F709" s="787" t="s">
        <v>528</v>
      </c>
      <c r="G709" s="996" t="s">
        <v>2216</v>
      </c>
      <c r="H709" s="1012">
        <v>7500000</v>
      </c>
      <c r="I709" s="1012">
        <v>2281000</v>
      </c>
      <c r="J709" s="1012">
        <v>0</v>
      </c>
      <c r="K709" s="1012">
        <v>0</v>
      </c>
      <c r="L709" s="1013">
        <f t="shared" si="154"/>
        <v>9781000</v>
      </c>
      <c r="M709" s="1014">
        <v>24</v>
      </c>
      <c r="N709" s="1013">
        <f t="shared" si="137"/>
        <v>9028615</v>
      </c>
      <c r="O709" s="1015">
        <v>2</v>
      </c>
      <c r="P709" s="1013">
        <f t="shared" si="138"/>
        <v>752385</v>
      </c>
      <c r="Q709" s="1016">
        <v>0</v>
      </c>
      <c r="R709" s="1013">
        <f t="shared" si="139"/>
        <v>0</v>
      </c>
      <c r="S709" s="1013">
        <f t="shared" si="140"/>
        <v>9781000</v>
      </c>
      <c r="T709" s="1017">
        <v>500000</v>
      </c>
      <c r="U709" s="785">
        <v>0</v>
      </c>
      <c r="V709" s="785">
        <v>0</v>
      </c>
      <c r="W709" s="1017">
        <v>0</v>
      </c>
      <c r="X709" s="1017">
        <v>0</v>
      </c>
      <c r="Y709" s="1017">
        <v>0</v>
      </c>
      <c r="Z709" s="1017">
        <v>0</v>
      </c>
      <c r="AA709" s="1018"/>
      <c r="AB709" s="1013"/>
      <c r="AC709" s="1017">
        <v>0</v>
      </c>
      <c r="AD709" s="1017">
        <v>0</v>
      </c>
      <c r="AE709" s="1013">
        <v>70536.0546875</v>
      </c>
      <c r="AF709" s="1019"/>
      <c r="AG709" s="1019">
        <f t="shared" si="151"/>
        <v>10351536</v>
      </c>
      <c r="AH709" s="1014">
        <v>0</v>
      </c>
      <c r="AI709" s="1014">
        <v>0</v>
      </c>
      <c r="AJ709" s="1014">
        <v>0</v>
      </c>
      <c r="AK709" s="1018">
        <v>0</v>
      </c>
      <c r="AL709" s="1020">
        <v>0</v>
      </c>
      <c r="AM709" s="1013">
        <f t="shared" si="150"/>
        <v>0</v>
      </c>
      <c r="AN709" s="1045">
        <f t="shared" si="141"/>
        <v>10351536</v>
      </c>
      <c r="AO709" s="1013">
        <v>1027005</v>
      </c>
      <c r="AP709" s="1013">
        <v>44100</v>
      </c>
      <c r="AQ709" s="1013">
        <v>0</v>
      </c>
      <c r="AR709" s="1013">
        <v>0</v>
      </c>
      <c r="AS709" s="1013">
        <v>0</v>
      </c>
      <c r="AT709" s="1045">
        <f t="shared" si="153"/>
        <v>9280431</v>
      </c>
      <c r="AU709" s="1004"/>
      <c r="AV709" s="870"/>
      <c r="AW709" s="782" t="s">
        <v>4665</v>
      </c>
      <c r="AX709" s="782" t="s">
        <v>4666</v>
      </c>
      <c r="AY709" s="1007" t="s">
        <v>221</v>
      </c>
      <c r="AZ709" s="1007">
        <v>627</v>
      </c>
      <c r="BA709" s="347" t="str">
        <f t="shared" si="155"/>
        <v>Bag</v>
      </c>
      <c r="BB709" s="1008"/>
      <c r="BC709" s="1009"/>
      <c r="BD709" s="1009"/>
    </row>
    <row r="710" spans="1:56" s="1010" customFormat="1" ht="36.75" customHeight="1">
      <c r="A710" s="661">
        <f>SUBTOTAL(3,B$6:B710)</f>
        <v>705</v>
      </c>
      <c r="B710" s="661" t="s">
        <v>2217</v>
      </c>
      <c r="C710" s="662" t="s">
        <v>2218</v>
      </c>
      <c r="D710" s="1011">
        <v>44027</v>
      </c>
      <c r="E710" s="1011" t="s">
        <v>220</v>
      </c>
      <c r="F710" s="787" t="s">
        <v>528</v>
      </c>
      <c r="G710" s="996" t="s">
        <v>2208</v>
      </c>
      <c r="H710" s="1012">
        <v>5931000</v>
      </c>
      <c r="I710" s="1012">
        <v>500000</v>
      </c>
      <c r="J710" s="1012">
        <v>0</v>
      </c>
      <c r="K710" s="1012">
        <v>200000</v>
      </c>
      <c r="L710" s="1013">
        <f t="shared" si="154"/>
        <v>6631000</v>
      </c>
      <c r="M710" s="1014">
        <v>24</v>
      </c>
      <c r="N710" s="1013">
        <f t="shared" si="137"/>
        <v>6120923</v>
      </c>
      <c r="O710" s="1015">
        <v>2</v>
      </c>
      <c r="P710" s="1013">
        <f t="shared" si="138"/>
        <v>510077</v>
      </c>
      <c r="Q710" s="1016">
        <v>0</v>
      </c>
      <c r="R710" s="1013">
        <f t="shared" si="139"/>
        <v>0</v>
      </c>
      <c r="S710" s="1013">
        <f t="shared" si="140"/>
        <v>6631000</v>
      </c>
      <c r="T710" s="1017">
        <v>0</v>
      </c>
      <c r="U710" s="785">
        <v>0</v>
      </c>
      <c r="V710" s="785">
        <v>200000</v>
      </c>
      <c r="W710" s="1017">
        <v>500000</v>
      </c>
      <c r="X710" s="1017">
        <v>0</v>
      </c>
      <c r="Y710" s="1017">
        <v>400000</v>
      </c>
      <c r="Z710" s="1017">
        <v>431717</v>
      </c>
      <c r="AA710" s="1018"/>
      <c r="AB710" s="1013"/>
      <c r="AC710" s="1017">
        <v>0</v>
      </c>
      <c r="AD710" s="1017">
        <v>0</v>
      </c>
      <c r="AE710" s="1013">
        <v>47819.7109375</v>
      </c>
      <c r="AF710" s="1019"/>
      <c r="AG710" s="1019">
        <f t="shared" si="151"/>
        <v>8210537</v>
      </c>
      <c r="AH710" s="1014">
        <v>37.5</v>
      </c>
      <c r="AI710" s="1014">
        <v>0</v>
      </c>
      <c r="AJ710" s="1014">
        <v>0</v>
      </c>
      <c r="AK710" s="1018">
        <v>0</v>
      </c>
      <c r="AL710" s="1020">
        <v>0</v>
      </c>
      <c r="AM710" s="1013">
        <f t="shared" si="150"/>
        <v>1793239</v>
      </c>
      <c r="AN710" s="1045">
        <f t="shared" si="141"/>
        <v>10003776</v>
      </c>
      <c r="AO710" s="1013">
        <v>696255</v>
      </c>
      <c r="AP710" s="1013">
        <v>44100</v>
      </c>
      <c r="AQ710" s="1013">
        <v>0</v>
      </c>
      <c r="AR710" s="1013">
        <v>0</v>
      </c>
      <c r="AS710" s="1013">
        <v>0</v>
      </c>
      <c r="AT710" s="1045">
        <f t="shared" si="153"/>
        <v>9263421</v>
      </c>
      <c r="AU710" s="1004"/>
      <c r="AV710" s="870"/>
      <c r="AW710" s="782" t="s">
        <v>4667</v>
      </c>
      <c r="AX710" s="782" t="s">
        <v>4668</v>
      </c>
      <c r="AY710" s="1007" t="s">
        <v>288</v>
      </c>
      <c r="AZ710" s="1007">
        <v>627</v>
      </c>
      <c r="BA710" s="347" t="str">
        <f t="shared" si="155"/>
        <v>Bag</v>
      </c>
      <c r="BB710" s="1008"/>
      <c r="BC710" s="1009"/>
      <c r="BD710" s="1009"/>
    </row>
    <row r="711" spans="1:56" s="1010" customFormat="1" ht="36.75" customHeight="1">
      <c r="A711" s="661">
        <f>SUBTOTAL(3,B$6:B711)</f>
        <v>706</v>
      </c>
      <c r="B711" s="661" t="s">
        <v>2219</v>
      </c>
      <c r="C711" s="662" t="s">
        <v>2220</v>
      </c>
      <c r="D711" s="1011">
        <v>44300</v>
      </c>
      <c r="E711" s="1011" t="s">
        <v>220</v>
      </c>
      <c r="F711" s="787" t="s">
        <v>528</v>
      </c>
      <c r="G711" s="996" t="s">
        <v>2211</v>
      </c>
      <c r="H711" s="1012">
        <v>6337000</v>
      </c>
      <c r="I711" s="1012">
        <v>2500000</v>
      </c>
      <c r="J711" s="1012">
        <v>0</v>
      </c>
      <c r="K711" s="1012">
        <v>0</v>
      </c>
      <c r="L711" s="1013">
        <f t="shared" si="154"/>
        <v>8837000</v>
      </c>
      <c r="M711" s="1014">
        <v>24</v>
      </c>
      <c r="N711" s="1013">
        <f t="shared" si="137"/>
        <v>8157231</v>
      </c>
      <c r="O711" s="1015">
        <v>2</v>
      </c>
      <c r="P711" s="1013">
        <f t="shared" si="138"/>
        <v>679769</v>
      </c>
      <c r="Q711" s="1016">
        <v>0</v>
      </c>
      <c r="R711" s="1013">
        <f t="shared" si="139"/>
        <v>0</v>
      </c>
      <c r="S711" s="1013">
        <f t="shared" si="140"/>
        <v>8837000</v>
      </c>
      <c r="T711" s="1017">
        <v>0</v>
      </c>
      <c r="U711" s="785">
        <v>0</v>
      </c>
      <c r="V711" s="785">
        <v>200000</v>
      </c>
      <c r="W711" s="1017">
        <v>500000</v>
      </c>
      <c r="X711" s="1017">
        <v>0</v>
      </c>
      <c r="Y711" s="1017">
        <v>400000</v>
      </c>
      <c r="Z711" s="1017">
        <v>0</v>
      </c>
      <c r="AA711" s="1018"/>
      <c r="AB711" s="1013"/>
      <c r="AC711" s="1017">
        <v>0</v>
      </c>
      <c r="AD711" s="1017">
        <v>0</v>
      </c>
      <c r="AE711" s="1013">
        <v>0</v>
      </c>
      <c r="AF711" s="1019"/>
      <c r="AG711" s="1019">
        <f t="shared" si="151"/>
        <v>9937000</v>
      </c>
      <c r="AH711" s="1014">
        <v>48</v>
      </c>
      <c r="AI711" s="1014">
        <v>0</v>
      </c>
      <c r="AJ711" s="1014">
        <v>0</v>
      </c>
      <c r="AK711" s="1018">
        <v>0</v>
      </c>
      <c r="AL711" s="1020">
        <v>0</v>
      </c>
      <c r="AM711" s="1013">
        <f t="shared" ref="AM711:AM774" si="156">ROUND((N711/IF(M711&gt;26,26,M711)/8*(AH711*$AH$5+AI711*$AI$5+AJ711*$AJ$5+AK711*$AK$5+AL711*$AL$5)),0)</f>
        <v>3058962</v>
      </c>
      <c r="AN711" s="1045">
        <f t="shared" si="141"/>
        <v>12995962</v>
      </c>
      <c r="AO711" s="1013">
        <v>927885</v>
      </c>
      <c r="AP711" s="1013">
        <v>44100</v>
      </c>
      <c r="AQ711" s="1013">
        <v>7421</v>
      </c>
      <c r="AR711" s="1013">
        <v>0</v>
      </c>
      <c r="AS711" s="1013">
        <v>0</v>
      </c>
      <c r="AT711" s="1045">
        <f t="shared" si="153"/>
        <v>12016556</v>
      </c>
      <c r="AU711" s="1004"/>
      <c r="AV711" s="870"/>
      <c r="AW711" s="782" t="s">
        <v>4669</v>
      </c>
      <c r="AX711" s="782" t="s">
        <v>4670</v>
      </c>
      <c r="AY711" s="1007" t="s">
        <v>287</v>
      </c>
      <c r="AZ711" s="1007">
        <v>627</v>
      </c>
      <c r="BA711" s="347" t="str">
        <f t="shared" si="155"/>
        <v>Box</v>
      </c>
      <c r="BB711" s="1008"/>
      <c r="BC711" s="1009"/>
      <c r="BD711" s="1009"/>
    </row>
    <row r="712" spans="1:56" s="1010" customFormat="1" ht="36.75" customHeight="1">
      <c r="A712" s="661">
        <f>SUBTOTAL(3,B$6:B712)</f>
        <v>707</v>
      </c>
      <c r="B712" s="661" t="s">
        <v>2221</v>
      </c>
      <c r="C712" s="662" t="s">
        <v>2222</v>
      </c>
      <c r="D712" s="1011">
        <v>44301</v>
      </c>
      <c r="E712" s="1011" t="s">
        <v>220</v>
      </c>
      <c r="F712" s="787" t="s">
        <v>528</v>
      </c>
      <c r="G712" s="996" t="s">
        <v>2208</v>
      </c>
      <c r="H712" s="1012">
        <v>5931000</v>
      </c>
      <c r="I712" s="1012">
        <v>800000</v>
      </c>
      <c r="J712" s="1012">
        <v>0</v>
      </c>
      <c r="K712" s="1012">
        <v>0</v>
      </c>
      <c r="L712" s="1013">
        <f t="shared" si="154"/>
        <v>6731000</v>
      </c>
      <c r="M712" s="1014">
        <v>24</v>
      </c>
      <c r="N712" s="1013">
        <f t="shared" si="137"/>
        <v>6213231</v>
      </c>
      <c r="O712" s="1015">
        <v>2</v>
      </c>
      <c r="P712" s="1013">
        <f t="shared" si="138"/>
        <v>517769</v>
      </c>
      <c r="Q712" s="1016">
        <v>0</v>
      </c>
      <c r="R712" s="1013">
        <f t="shared" si="139"/>
        <v>0</v>
      </c>
      <c r="S712" s="1013">
        <f t="shared" si="140"/>
        <v>6731000</v>
      </c>
      <c r="T712" s="1017">
        <v>0</v>
      </c>
      <c r="U712" s="785">
        <v>0</v>
      </c>
      <c r="V712" s="785">
        <v>200000</v>
      </c>
      <c r="W712" s="1017">
        <v>500000</v>
      </c>
      <c r="X712" s="1017">
        <v>0</v>
      </c>
      <c r="Y712" s="1017">
        <v>400000</v>
      </c>
      <c r="Z712" s="1017">
        <v>406984</v>
      </c>
      <c r="AA712" s="1018"/>
      <c r="AB712" s="1013"/>
      <c r="AC712" s="1017">
        <v>0</v>
      </c>
      <c r="AD712" s="1017">
        <v>0</v>
      </c>
      <c r="AE712" s="1013">
        <v>48540.8671875</v>
      </c>
      <c r="AF712" s="1019"/>
      <c r="AG712" s="1019">
        <f t="shared" si="151"/>
        <v>8286525</v>
      </c>
      <c r="AH712" s="1014">
        <v>19</v>
      </c>
      <c r="AI712" s="1014">
        <v>0</v>
      </c>
      <c r="AJ712" s="1014">
        <v>0</v>
      </c>
      <c r="AK712" s="1018">
        <v>0</v>
      </c>
      <c r="AL712" s="1020">
        <v>0</v>
      </c>
      <c r="AM712" s="1013">
        <f t="shared" si="156"/>
        <v>922276</v>
      </c>
      <c r="AN712" s="1045">
        <f t="shared" si="141"/>
        <v>9208801</v>
      </c>
      <c r="AO712" s="1013">
        <v>706755</v>
      </c>
      <c r="AP712" s="1013">
        <v>44100</v>
      </c>
      <c r="AQ712" s="1013">
        <v>0</v>
      </c>
      <c r="AR712" s="1013">
        <v>0</v>
      </c>
      <c r="AS712" s="1013">
        <v>0</v>
      </c>
      <c r="AT712" s="1045">
        <f t="shared" si="153"/>
        <v>8457946</v>
      </c>
      <c r="AU712" s="1004"/>
      <c r="AV712" s="870"/>
      <c r="AW712" s="782" t="s">
        <v>4671</v>
      </c>
      <c r="AX712" s="782" t="s">
        <v>4672</v>
      </c>
      <c r="AY712" s="1007" t="s">
        <v>287</v>
      </c>
      <c r="AZ712" s="1007">
        <v>627</v>
      </c>
      <c r="BA712" s="347" t="str">
        <f t="shared" si="155"/>
        <v>Box</v>
      </c>
      <c r="BB712" s="1008"/>
      <c r="BC712" s="1009"/>
      <c r="BD712" s="1009"/>
    </row>
    <row r="713" spans="1:56" s="1010" customFormat="1" ht="36.75" customHeight="1">
      <c r="A713" s="661">
        <f>SUBTOTAL(3,B$6:B713)</f>
        <v>708</v>
      </c>
      <c r="B713" s="661" t="s">
        <v>2223</v>
      </c>
      <c r="C713" s="662" t="s">
        <v>2224</v>
      </c>
      <c r="D713" s="1011">
        <v>44306</v>
      </c>
      <c r="E713" s="1011" t="s">
        <v>220</v>
      </c>
      <c r="F713" s="787" t="s">
        <v>528</v>
      </c>
      <c r="G713" s="996" t="s">
        <v>2208</v>
      </c>
      <c r="H713" s="1012">
        <v>5931000</v>
      </c>
      <c r="I713" s="1012">
        <v>700000</v>
      </c>
      <c r="J713" s="1012">
        <v>0</v>
      </c>
      <c r="K713" s="1012">
        <v>0</v>
      </c>
      <c r="L713" s="1013">
        <f t="shared" si="154"/>
        <v>6631000</v>
      </c>
      <c r="M713" s="1014">
        <v>23.6</v>
      </c>
      <c r="N713" s="1013">
        <f t="shared" si="137"/>
        <v>6018908</v>
      </c>
      <c r="O713" s="1015">
        <v>2</v>
      </c>
      <c r="P713" s="1013">
        <f t="shared" si="138"/>
        <v>510077</v>
      </c>
      <c r="Q713" s="1016">
        <v>0</v>
      </c>
      <c r="R713" s="1013">
        <f t="shared" si="139"/>
        <v>0</v>
      </c>
      <c r="S713" s="1013">
        <f t="shared" si="140"/>
        <v>6528985</v>
      </c>
      <c r="T713" s="1017">
        <v>0</v>
      </c>
      <c r="U713" s="785">
        <v>0</v>
      </c>
      <c r="V713" s="785">
        <v>200000</v>
      </c>
      <c r="W713" s="1017">
        <v>500000</v>
      </c>
      <c r="X713" s="1017">
        <v>0</v>
      </c>
      <c r="Y713" s="1017">
        <v>0</v>
      </c>
      <c r="Z713" s="1017">
        <v>0</v>
      </c>
      <c r="AA713" s="1018"/>
      <c r="AB713" s="1013"/>
      <c r="AC713" s="1017">
        <v>100000</v>
      </c>
      <c r="AD713" s="1017">
        <v>0</v>
      </c>
      <c r="AE713" s="1013">
        <v>47819.713983050846</v>
      </c>
      <c r="AF713" s="1019"/>
      <c r="AG713" s="1019">
        <f t="shared" si="151"/>
        <v>7376805</v>
      </c>
      <c r="AH713" s="1014">
        <v>38</v>
      </c>
      <c r="AI713" s="1014">
        <v>0</v>
      </c>
      <c r="AJ713" s="1014">
        <v>0</v>
      </c>
      <c r="AK713" s="1018">
        <v>0</v>
      </c>
      <c r="AL713" s="1020">
        <v>0</v>
      </c>
      <c r="AM713" s="1013">
        <f t="shared" si="156"/>
        <v>1817149</v>
      </c>
      <c r="AN713" s="1045">
        <f t="shared" si="141"/>
        <v>9193954</v>
      </c>
      <c r="AO713" s="1013">
        <v>696255</v>
      </c>
      <c r="AP713" s="1013">
        <v>44100</v>
      </c>
      <c r="AQ713" s="1013">
        <v>0</v>
      </c>
      <c r="AR713" s="1013">
        <v>0</v>
      </c>
      <c r="AS713" s="1013">
        <v>200000</v>
      </c>
      <c r="AT713" s="1045">
        <f t="shared" si="153"/>
        <v>8253599</v>
      </c>
      <c r="AU713" s="1004"/>
      <c r="AV713" s="870"/>
      <c r="AW713" s="782" t="s">
        <v>4673</v>
      </c>
      <c r="AX713" s="782" t="s">
        <v>4674</v>
      </c>
      <c r="AY713" s="1007" t="s">
        <v>287</v>
      </c>
      <c r="AZ713" s="1007">
        <v>627</v>
      </c>
      <c r="BA713" s="347" t="str">
        <f t="shared" si="155"/>
        <v>Box</v>
      </c>
      <c r="BB713" s="1008"/>
      <c r="BC713" s="1009"/>
      <c r="BD713" s="1009"/>
    </row>
    <row r="714" spans="1:56" s="1010" customFormat="1" ht="36.75" customHeight="1">
      <c r="A714" s="661">
        <f>SUBTOTAL(3,B$6:B714)</f>
        <v>709</v>
      </c>
      <c r="B714" s="661" t="s">
        <v>2225</v>
      </c>
      <c r="C714" s="662" t="s">
        <v>2226</v>
      </c>
      <c r="D714" s="1011">
        <v>44313</v>
      </c>
      <c r="E714" s="1011" t="s">
        <v>220</v>
      </c>
      <c r="F714" s="787" t="s">
        <v>528</v>
      </c>
      <c r="G714" s="996" t="s">
        <v>2208</v>
      </c>
      <c r="H714" s="1012">
        <v>5931000</v>
      </c>
      <c r="I714" s="1012">
        <v>800000</v>
      </c>
      <c r="J714" s="1012">
        <v>0</v>
      </c>
      <c r="K714" s="1012">
        <v>0</v>
      </c>
      <c r="L714" s="1013">
        <f t="shared" si="154"/>
        <v>6731000</v>
      </c>
      <c r="M714" s="1014">
        <v>23</v>
      </c>
      <c r="N714" s="1013">
        <f t="shared" si="137"/>
        <v>5954346</v>
      </c>
      <c r="O714" s="1015">
        <v>3</v>
      </c>
      <c r="P714" s="1013">
        <f t="shared" si="138"/>
        <v>776654</v>
      </c>
      <c r="Q714" s="1016">
        <v>0</v>
      </c>
      <c r="R714" s="1013">
        <f t="shared" si="139"/>
        <v>0</v>
      </c>
      <c r="S714" s="1013">
        <f t="shared" si="140"/>
        <v>6731000</v>
      </c>
      <c r="T714" s="1017">
        <v>0</v>
      </c>
      <c r="U714" s="785">
        <v>0</v>
      </c>
      <c r="V714" s="785">
        <v>200000</v>
      </c>
      <c r="W714" s="1017">
        <v>500000</v>
      </c>
      <c r="X714" s="1017">
        <v>0</v>
      </c>
      <c r="Y714" s="1017">
        <v>0</v>
      </c>
      <c r="Z714" s="1017">
        <v>0</v>
      </c>
      <c r="AA714" s="1018"/>
      <c r="AB714" s="1013"/>
      <c r="AC714" s="1017">
        <v>0</v>
      </c>
      <c r="AD714" s="1017">
        <v>0</v>
      </c>
      <c r="AE714" s="1013">
        <v>48540.864130434784</v>
      </c>
      <c r="AF714" s="1019"/>
      <c r="AG714" s="1019">
        <f t="shared" si="151"/>
        <v>7479541</v>
      </c>
      <c r="AH714" s="1014">
        <v>37.5</v>
      </c>
      <c r="AI714" s="1014">
        <v>0</v>
      </c>
      <c r="AJ714" s="1014">
        <v>0</v>
      </c>
      <c r="AK714" s="1018">
        <v>0</v>
      </c>
      <c r="AL714" s="1020">
        <v>0</v>
      </c>
      <c r="AM714" s="1013">
        <f t="shared" si="156"/>
        <v>1820282</v>
      </c>
      <c r="AN714" s="1045">
        <f t="shared" si="141"/>
        <v>9299823</v>
      </c>
      <c r="AO714" s="1013">
        <v>706755</v>
      </c>
      <c r="AP714" s="1013">
        <v>44100</v>
      </c>
      <c r="AQ714" s="1013">
        <v>0</v>
      </c>
      <c r="AR714" s="1013">
        <v>0</v>
      </c>
      <c r="AS714" s="1013">
        <v>200000</v>
      </c>
      <c r="AT714" s="1045">
        <f t="shared" si="153"/>
        <v>8348968</v>
      </c>
      <c r="AU714" s="1004"/>
      <c r="AV714" s="870"/>
      <c r="AW714" s="782" t="s">
        <v>4675</v>
      </c>
      <c r="AX714" s="782" t="s">
        <v>4676</v>
      </c>
      <c r="AY714" s="1007" t="s">
        <v>288</v>
      </c>
      <c r="AZ714" s="1007">
        <v>627</v>
      </c>
      <c r="BA714" s="347" t="str">
        <f t="shared" si="155"/>
        <v>Bag</v>
      </c>
      <c r="BB714" s="1008"/>
      <c r="BC714" s="1009"/>
      <c r="BD714" s="1009"/>
    </row>
    <row r="715" spans="1:56" s="1010" customFormat="1" ht="36.75" customHeight="1">
      <c r="A715" s="661">
        <f>SUBTOTAL(3,B$6:B715)</f>
        <v>710</v>
      </c>
      <c r="B715" s="661" t="s">
        <v>2227</v>
      </c>
      <c r="C715" s="662" t="s">
        <v>2228</v>
      </c>
      <c r="D715" s="1011">
        <v>44321</v>
      </c>
      <c r="E715" s="1011" t="s">
        <v>220</v>
      </c>
      <c r="F715" s="787" t="s">
        <v>528</v>
      </c>
      <c r="G715" s="996" t="s">
        <v>2208</v>
      </c>
      <c r="H715" s="1012">
        <v>5931000</v>
      </c>
      <c r="I715" s="1012">
        <v>800000</v>
      </c>
      <c r="J715" s="1012">
        <v>0</v>
      </c>
      <c r="K715" s="1012">
        <v>0</v>
      </c>
      <c r="L715" s="1013">
        <f t="shared" si="154"/>
        <v>6731000</v>
      </c>
      <c r="M715" s="1014">
        <v>22.9</v>
      </c>
      <c r="N715" s="1013">
        <f t="shared" si="137"/>
        <v>5928458</v>
      </c>
      <c r="O715" s="1015">
        <v>3</v>
      </c>
      <c r="P715" s="1013">
        <f t="shared" si="138"/>
        <v>776654</v>
      </c>
      <c r="Q715" s="1016">
        <v>0</v>
      </c>
      <c r="R715" s="1013">
        <f t="shared" si="139"/>
        <v>0</v>
      </c>
      <c r="S715" s="1013">
        <f t="shared" si="140"/>
        <v>6705112</v>
      </c>
      <c r="T715" s="1017">
        <v>0</v>
      </c>
      <c r="U715" s="785">
        <v>0</v>
      </c>
      <c r="V715" s="785">
        <v>200000</v>
      </c>
      <c r="W715" s="1017">
        <v>500000</v>
      </c>
      <c r="X715" s="1017">
        <v>0</v>
      </c>
      <c r="Y715" s="1017">
        <v>400000</v>
      </c>
      <c r="Z715" s="1017">
        <v>343446</v>
      </c>
      <c r="AA715" s="1018"/>
      <c r="AB715" s="1013"/>
      <c r="AC715" s="1017">
        <v>0</v>
      </c>
      <c r="AD715" s="1017">
        <v>0</v>
      </c>
      <c r="AE715" s="1013">
        <v>0</v>
      </c>
      <c r="AF715" s="1019"/>
      <c r="AG715" s="1019">
        <f t="shared" si="151"/>
        <v>8148558</v>
      </c>
      <c r="AH715" s="1014">
        <v>49.5</v>
      </c>
      <c r="AI715" s="1014">
        <v>0</v>
      </c>
      <c r="AJ715" s="1014">
        <v>0</v>
      </c>
      <c r="AK715" s="1018">
        <v>0</v>
      </c>
      <c r="AL715" s="1020">
        <v>0</v>
      </c>
      <c r="AM715" s="1013">
        <f t="shared" si="156"/>
        <v>2402773</v>
      </c>
      <c r="AN715" s="1045">
        <f t="shared" si="141"/>
        <v>10551331</v>
      </c>
      <c r="AO715" s="1013">
        <v>706755</v>
      </c>
      <c r="AP715" s="1013">
        <v>44100</v>
      </c>
      <c r="AQ715" s="1013">
        <v>0</v>
      </c>
      <c r="AR715" s="1013">
        <v>0</v>
      </c>
      <c r="AS715" s="1013">
        <v>0</v>
      </c>
      <c r="AT715" s="1045">
        <f t="shared" si="153"/>
        <v>9800476</v>
      </c>
      <c r="AU715" s="1004"/>
      <c r="AV715" s="870"/>
      <c r="AW715" s="782" t="s">
        <v>4677</v>
      </c>
      <c r="AX715" s="782" t="s">
        <v>4678</v>
      </c>
      <c r="AY715" s="1007" t="s">
        <v>287</v>
      </c>
      <c r="AZ715" s="1007">
        <v>627</v>
      </c>
      <c r="BA715" s="347" t="str">
        <f t="shared" si="155"/>
        <v>Box</v>
      </c>
      <c r="BB715" s="1008"/>
      <c r="BC715" s="1009"/>
      <c r="BD715" s="1009"/>
    </row>
    <row r="716" spans="1:56" s="1010" customFormat="1" ht="36.75" customHeight="1">
      <c r="A716" s="661">
        <f>SUBTOTAL(3,B$6:B716)</f>
        <v>711</v>
      </c>
      <c r="B716" s="661" t="s">
        <v>2229</v>
      </c>
      <c r="C716" s="662" t="s">
        <v>2230</v>
      </c>
      <c r="D716" s="1011">
        <v>44321</v>
      </c>
      <c r="E716" s="1011" t="s">
        <v>220</v>
      </c>
      <c r="F716" s="787" t="s">
        <v>528</v>
      </c>
      <c r="G716" s="996" t="s">
        <v>2208</v>
      </c>
      <c r="H716" s="1012">
        <v>5931000</v>
      </c>
      <c r="I716" s="1012">
        <v>500000</v>
      </c>
      <c r="J716" s="1012">
        <v>0</v>
      </c>
      <c r="K716" s="1012">
        <v>200000</v>
      </c>
      <c r="L716" s="1013">
        <f t="shared" si="154"/>
        <v>6631000</v>
      </c>
      <c r="M716" s="1014">
        <v>23</v>
      </c>
      <c r="N716" s="1013">
        <f t="shared" si="137"/>
        <v>5865885</v>
      </c>
      <c r="O716" s="1015">
        <v>3</v>
      </c>
      <c r="P716" s="1013">
        <f t="shared" si="138"/>
        <v>765115</v>
      </c>
      <c r="Q716" s="1016">
        <v>0</v>
      </c>
      <c r="R716" s="1013">
        <f t="shared" si="139"/>
        <v>0</v>
      </c>
      <c r="S716" s="1013">
        <f t="shared" si="140"/>
        <v>6631000</v>
      </c>
      <c r="T716" s="1017">
        <v>0</v>
      </c>
      <c r="U716" s="785">
        <v>0</v>
      </c>
      <c r="V716" s="785">
        <v>200000</v>
      </c>
      <c r="W716" s="1017">
        <v>500000</v>
      </c>
      <c r="X716" s="1017">
        <v>0</v>
      </c>
      <c r="Y716" s="1017">
        <v>400000</v>
      </c>
      <c r="Z716" s="1017">
        <v>431717</v>
      </c>
      <c r="AA716" s="1018"/>
      <c r="AB716" s="1013"/>
      <c r="AC716" s="1017">
        <v>0</v>
      </c>
      <c r="AD716" s="1017">
        <v>0</v>
      </c>
      <c r="AE716" s="1013">
        <v>47819.71467391304</v>
      </c>
      <c r="AF716" s="1019"/>
      <c r="AG716" s="1019">
        <f t="shared" si="151"/>
        <v>8210537</v>
      </c>
      <c r="AH716" s="1014">
        <v>37.5</v>
      </c>
      <c r="AI716" s="1014">
        <v>0</v>
      </c>
      <c r="AJ716" s="1014">
        <v>0</v>
      </c>
      <c r="AK716" s="1018">
        <v>0</v>
      </c>
      <c r="AL716" s="1020">
        <v>0</v>
      </c>
      <c r="AM716" s="1013">
        <f t="shared" si="156"/>
        <v>1793239</v>
      </c>
      <c r="AN716" s="1045">
        <f t="shared" si="141"/>
        <v>10003776</v>
      </c>
      <c r="AO716" s="1013">
        <v>696255</v>
      </c>
      <c r="AP716" s="1013">
        <v>44100</v>
      </c>
      <c r="AQ716" s="1013">
        <v>0</v>
      </c>
      <c r="AR716" s="1013">
        <v>0</v>
      </c>
      <c r="AS716" s="1013">
        <v>0</v>
      </c>
      <c r="AT716" s="1045">
        <f t="shared" si="153"/>
        <v>9263421</v>
      </c>
      <c r="AU716" s="1004"/>
      <c r="AV716" s="870"/>
      <c r="AW716" s="782" t="s">
        <v>4679</v>
      </c>
      <c r="AX716" s="782" t="s">
        <v>4680</v>
      </c>
      <c r="AY716" s="1007" t="s">
        <v>288</v>
      </c>
      <c r="AZ716" s="1007">
        <v>627</v>
      </c>
      <c r="BA716" s="347" t="str">
        <f t="shared" si="155"/>
        <v>Bag</v>
      </c>
      <c r="BB716" s="1008"/>
      <c r="BC716" s="1009"/>
      <c r="BD716" s="1009"/>
    </row>
    <row r="717" spans="1:56" s="1010" customFormat="1" ht="36.75" customHeight="1">
      <c r="A717" s="661">
        <f>SUBTOTAL(3,B$6:B717)</f>
        <v>712</v>
      </c>
      <c r="B717" s="661" t="s">
        <v>2231</v>
      </c>
      <c r="C717" s="662" t="s">
        <v>2232</v>
      </c>
      <c r="D717" s="1011">
        <v>44779</v>
      </c>
      <c r="E717" s="1011" t="s">
        <v>220</v>
      </c>
      <c r="F717" s="787" t="s">
        <v>528</v>
      </c>
      <c r="G717" s="996" t="s">
        <v>2208</v>
      </c>
      <c r="H717" s="1012">
        <v>5815000</v>
      </c>
      <c r="I717" s="1012">
        <v>700000</v>
      </c>
      <c r="J717" s="1012">
        <v>0</v>
      </c>
      <c r="K717" s="1012">
        <v>0</v>
      </c>
      <c r="L717" s="1013">
        <f t="shared" si="154"/>
        <v>6515000</v>
      </c>
      <c r="M717" s="1014">
        <v>23.6</v>
      </c>
      <c r="N717" s="1013">
        <f t="shared" si="137"/>
        <v>5913615</v>
      </c>
      <c r="O717" s="1015">
        <v>2</v>
      </c>
      <c r="P717" s="1013">
        <f t="shared" si="138"/>
        <v>501154</v>
      </c>
      <c r="Q717" s="1016">
        <v>0</v>
      </c>
      <c r="R717" s="1013">
        <f t="shared" si="139"/>
        <v>0</v>
      </c>
      <c r="S717" s="1013">
        <f t="shared" si="140"/>
        <v>6414769</v>
      </c>
      <c r="T717" s="1017">
        <v>0</v>
      </c>
      <c r="U717" s="785">
        <v>0</v>
      </c>
      <c r="V717" s="785">
        <v>200000</v>
      </c>
      <c r="W717" s="1017">
        <v>500000</v>
      </c>
      <c r="X717" s="1017">
        <v>0</v>
      </c>
      <c r="Y717" s="1017">
        <v>400000</v>
      </c>
      <c r="Z717" s="1017">
        <v>345981</v>
      </c>
      <c r="AA717" s="1018"/>
      <c r="AB717" s="1013"/>
      <c r="AC717" s="1017">
        <v>0</v>
      </c>
      <c r="AD717" s="1017">
        <v>0</v>
      </c>
      <c r="AE717" s="1013">
        <v>46983.170021186437</v>
      </c>
      <c r="AF717" s="1019"/>
      <c r="AG717" s="1019">
        <f t="shared" si="151"/>
        <v>7907733</v>
      </c>
      <c r="AH717" s="1014">
        <v>16.5</v>
      </c>
      <c r="AI717" s="1014">
        <v>0</v>
      </c>
      <c r="AJ717" s="1014">
        <v>0</v>
      </c>
      <c r="AK717" s="1018">
        <v>0</v>
      </c>
      <c r="AL717" s="1020">
        <v>0</v>
      </c>
      <c r="AM717" s="1013">
        <f t="shared" si="156"/>
        <v>775222</v>
      </c>
      <c r="AN717" s="1045">
        <f t="shared" si="141"/>
        <v>8682955</v>
      </c>
      <c r="AO717" s="1013">
        <v>684075</v>
      </c>
      <c r="AP717" s="1013">
        <v>44100</v>
      </c>
      <c r="AQ717" s="1013">
        <v>0</v>
      </c>
      <c r="AR717" s="1013">
        <v>0</v>
      </c>
      <c r="AS717" s="1013">
        <v>0</v>
      </c>
      <c r="AT717" s="1045">
        <f t="shared" si="153"/>
        <v>7954780</v>
      </c>
      <c r="AU717" s="1004"/>
      <c r="AV717" s="870"/>
      <c r="AW717" s="782" t="s">
        <v>4681</v>
      </c>
      <c r="AX717" s="782" t="s">
        <v>4682</v>
      </c>
      <c r="AY717" s="1007" t="s">
        <v>287</v>
      </c>
      <c r="AZ717" s="1007">
        <v>627</v>
      </c>
      <c r="BA717" s="347" t="str">
        <f t="shared" si="155"/>
        <v>Box</v>
      </c>
      <c r="BB717" s="1008"/>
      <c r="BC717" s="1009"/>
      <c r="BD717" s="1009"/>
    </row>
    <row r="718" spans="1:56" s="1010" customFormat="1" ht="36.75" customHeight="1">
      <c r="A718" s="661">
        <f>SUBTOTAL(3,B$6:B718)</f>
        <v>713</v>
      </c>
      <c r="B718" s="661" t="s">
        <v>2233</v>
      </c>
      <c r="C718" s="662" t="s">
        <v>2234</v>
      </c>
      <c r="D718" s="1011">
        <v>44779</v>
      </c>
      <c r="E718" s="1011" t="s">
        <v>220</v>
      </c>
      <c r="F718" s="787" t="s">
        <v>528</v>
      </c>
      <c r="G718" s="996" t="s">
        <v>2208</v>
      </c>
      <c r="H718" s="1012">
        <v>5815000</v>
      </c>
      <c r="I718" s="1012">
        <v>700000</v>
      </c>
      <c r="J718" s="1012">
        <v>0</v>
      </c>
      <c r="K718" s="1012">
        <v>0</v>
      </c>
      <c r="L718" s="1013">
        <f t="shared" si="154"/>
        <v>6515000</v>
      </c>
      <c r="M718" s="1014">
        <v>24</v>
      </c>
      <c r="N718" s="1013">
        <f t="shared" si="137"/>
        <v>6013846</v>
      </c>
      <c r="O718" s="1015">
        <v>2</v>
      </c>
      <c r="P718" s="1013">
        <f t="shared" si="138"/>
        <v>501154</v>
      </c>
      <c r="Q718" s="1016">
        <v>0</v>
      </c>
      <c r="R718" s="1013">
        <f t="shared" si="139"/>
        <v>0</v>
      </c>
      <c r="S718" s="1013">
        <f t="shared" si="140"/>
        <v>6515000</v>
      </c>
      <c r="T718" s="1017">
        <v>0</v>
      </c>
      <c r="U718" s="785">
        <v>0</v>
      </c>
      <c r="V718" s="785">
        <v>200000</v>
      </c>
      <c r="W718" s="1017">
        <v>500000</v>
      </c>
      <c r="X718" s="1017">
        <v>0</v>
      </c>
      <c r="Y718" s="1017">
        <v>400000</v>
      </c>
      <c r="Z718" s="1017">
        <v>406984</v>
      </c>
      <c r="AA718" s="1018"/>
      <c r="AB718" s="1013"/>
      <c r="AC718" s="1017">
        <v>0</v>
      </c>
      <c r="AD718" s="1017">
        <v>0</v>
      </c>
      <c r="AE718" s="1013">
        <v>46983.171875</v>
      </c>
      <c r="AF718" s="1019"/>
      <c r="AG718" s="1019">
        <f t="shared" si="151"/>
        <v>8068967</v>
      </c>
      <c r="AH718" s="1014">
        <v>19</v>
      </c>
      <c r="AI718" s="1014">
        <v>0</v>
      </c>
      <c r="AJ718" s="1014">
        <v>0</v>
      </c>
      <c r="AK718" s="1018">
        <v>0</v>
      </c>
      <c r="AL718" s="1020">
        <v>0</v>
      </c>
      <c r="AM718" s="1013">
        <f t="shared" si="156"/>
        <v>892680</v>
      </c>
      <c r="AN718" s="1045">
        <f t="shared" si="141"/>
        <v>8961647</v>
      </c>
      <c r="AO718" s="1013">
        <v>684075</v>
      </c>
      <c r="AP718" s="1013">
        <v>44100</v>
      </c>
      <c r="AQ718" s="1013">
        <v>0</v>
      </c>
      <c r="AR718" s="1013">
        <v>0</v>
      </c>
      <c r="AS718" s="1013">
        <v>0</v>
      </c>
      <c r="AT718" s="1045">
        <f t="shared" si="153"/>
        <v>8233472</v>
      </c>
      <c r="AU718" s="1004"/>
      <c r="AV718" s="870"/>
      <c r="AW718" s="782" t="s">
        <v>4683</v>
      </c>
      <c r="AX718" s="782" t="s">
        <v>4684</v>
      </c>
      <c r="AY718" s="1007" t="s">
        <v>288</v>
      </c>
      <c r="AZ718" s="1007">
        <v>627</v>
      </c>
      <c r="BA718" s="347" t="str">
        <f t="shared" si="155"/>
        <v>Bag</v>
      </c>
      <c r="BB718" s="1008"/>
      <c r="BC718" s="1009"/>
      <c r="BD718" s="1009"/>
    </row>
    <row r="719" spans="1:56" s="1010" customFormat="1" ht="36.75" customHeight="1">
      <c r="A719" s="661">
        <f>SUBTOTAL(3,B$6:B719)</f>
        <v>714</v>
      </c>
      <c r="B719" s="661" t="s">
        <v>2235</v>
      </c>
      <c r="C719" s="662" t="s">
        <v>2236</v>
      </c>
      <c r="D719" s="1011">
        <v>44784</v>
      </c>
      <c r="E719" s="1011" t="s">
        <v>220</v>
      </c>
      <c r="F719" s="787" t="s">
        <v>528</v>
      </c>
      <c r="G719" s="996" t="s">
        <v>2208</v>
      </c>
      <c r="H719" s="1012">
        <v>5815000</v>
      </c>
      <c r="I719" s="1012">
        <v>700000</v>
      </c>
      <c r="J719" s="1012">
        <v>0</v>
      </c>
      <c r="K719" s="1012">
        <v>500000</v>
      </c>
      <c r="L719" s="1013">
        <f t="shared" si="154"/>
        <v>7015000</v>
      </c>
      <c r="M719" s="1014">
        <v>24</v>
      </c>
      <c r="N719" s="1013">
        <f t="shared" si="137"/>
        <v>6475385</v>
      </c>
      <c r="O719" s="1015">
        <v>2</v>
      </c>
      <c r="P719" s="1013">
        <f t="shared" si="138"/>
        <v>539615</v>
      </c>
      <c r="Q719" s="1016">
        <v>0</v>
      </c>
      <c r="R719" s="1013">
        <f t="shared" si="139"/>
        <v>0</v>
      </c>
      <c r="S719" s="1013">
        <f t="shared" si="140"/>
        <v>7015000</v>
      </c>
      <c r="T719" s="1017">
        <v>0</v>
      </c>
      <c r="U719" s="785">
        <v>0</v>
      </c>
      <c r="V719" s="785">
        <v>200000</v>
      </c>
      <c r="W719" s="1017">
        <v>500000</v>
      </c>
      <c r="X719" s="1017">
        <v>0</v>
      </c>
      <c r="Y719" s="1017">
        <v>400000</v>
      </c>
      <c r="Z719" s="1017">
        <v>353762</v>
      </c>
      <c r="AA719" s="1018"/>
      <c r="AB719" s="1013"/>
      <c r="AC719" s="1017">
        <v>0</v>
      </c>
      <c r="AD719" s="1017">
        <v>0</v>
      </c>
      <c r="AE719" s="1013">
        <v>0</v>
      </c>
      <c r="AF719" s="1019"/>
      <c r="AG719" s="1019">
        <f t="shared" si="151"/>
        <v>8468762</v>
      </c>
      <c r="AH719" s="1014">
        <v>17.5</v>
      </c>
      <c r="AI719" s="1014">
        <v>0</v>
      </c>
      <c r="AJ719" s="1014">
        <v>0</v>
      </c>
      <c r="AK719" s="1018">
        <v>0</v>
      </c>
      <c r="AL719" s="1020">
        <v>0</v>
      </c>
      <c r="AM719" s="1013">
        <f t="shared" si="156"/>
        <v>885307</v>
      </c>
      <c r="AN719" s="1045">
        <f t="shared" si="141"/>
        <v>9354069</v>
      </c>
      <c r="AO719" s="1013">
        <v>736575</v>
      </c>
      <c r="AP719" s="1013">
        <v>44100</v>
      </c>
      <c r="AQ719" s="1013">
        <v>0</v>
      </c>
      <c r="AR719" s="1013">
        <v>0</v>
      </c>
      <c r="AS719" s="1013">
        <v>0</v>
      </c>
      <c r="AT719" s="1045">
        <f t="shared" si="153"/>
        <v>8573394</v>
      </c>
      <c r="AU719" s="1004"/>
      <c r="AV719" s="870"/>
      <c r="AW719" s="782" t="s">
        <v>4685</v>
      </c>
      <c r="AX719" s="782" t="s">
        <v>4686</v>
      </c>
      <c r="AY719" s="1007" t="s">
        <v>287</v>
      </c>
      <c r="AZ719" s="1007">
        <v>627</v>
      </c>
      <c r="BA719" s="347" t="str">
        <f t="shared" si="155"/>
        <v>Box</v>
      </c>
      <c r="BB719" s="1008"/>
      <c r="BC719" s="1009"/>
      <c r="BD719" s="1009"/>
    </row>
    <row r="720" spans="1:56" s="1010" customFormat="1" ht="36.75" customHeight="1">
      <c r="A720" s="661">
        <f>SUBTOTAL(3,B$6:B720)</f>
        <v>715</v>
      </c>
      <c r="B720" s="661" t="s">
        <v>2237</v>
      </c>
      <c r="C720" s="662" t="s">
        <v>2238</v>
      </c>
      <c r="D720" s="1011">
        <v>45164</v>
      </c>
      <c r="E720" s="1011" t="s">
        <v>220</v>
      </c>
      <c r="F720" s="787" t="s">
        <v>528</v>
      </c>
      <c r="G720" s="996" t="s">
        <v>2208</v>
      </c>
      <c r="H720" s="1012">
        <v>5538000</v>
      </c>
      <c r="I720" s="1012">
        <v>500000</v>
      </c>
      <c r="J720" s="1012">
        <v>0</v>
      </c>
      <c r="K720" s="1012">
        <v>0</v>
      </c>
      <c r="L720" s="1013">
        <f t="shared" si="154"/>
        <v>6038000</v>
      </c>
      <c r="M720" s="1014">
        <v>7</v>
      </c>
      <c r="N720" s="1013">
        <f t="shared" si="137"/>
        <v>1625615</v>
      </c>
      <c r="O720" s="1015">
        <v>1</v>
      </c>
      <c r="P720" s="1013">
        <f t="shared" si="138"/>
        <v>232231</v>
      </c>
      <c r="Q720" s="1016">
        <v>0</v>
      </c>
      <c r="R720" s="1013">
        <f t="shared" si="139"/>
        <v>0</v>
      </c>
      <c r="S720" s="1013">
        <f t="shared" si="140"/>
        <v>1857846</v>
      </c>
      <c r="T720" s="1017">
        <v>0</v>
      </c>
      <c r="U720" s="785">
        <v>0</v>
      </c>
      <c r="V720" s="785">
        <v>0</v>
      </c>
      <c r="W720" s="1017">
        <v>0</v>
      </c>
      <c r="X720" s="1017">
        <v>0</v>
      </c>
      <c r="Y720" s="1017">
        <v>0</v>
      </c>
      <c r="Z720" s="1017">
        <v>0</v>
      </c>
      <c r="AA720" s="1018"/>
      <c r="AB720" s="1013"/>
      <c r="AC720" s="1017">
        <v>0</v>
      </c>
      <c r="AD720" s="1017">
        <v>0</v>
      </c>
      <c r="AE720" s="1013">
        <v>0</v>
      </c>
      <c r="AF720" s="1019"/>
      <c r="AG720" s="1019">
        <f t="shared" si="151"/>
        <v>1857846</v>
      </c>
      <c r="AH720" s="1014">
        <v>0</v>
      </c>
      <c r="AI720" s="1014">
        <v>0</v>
      </c>
      <c r="AJ720" s="1014">
        <v>0</v>
      </c>
      <c r="AK720" s="1018">
        <v>0</v>
      </c>
      <c r="AL720" s="1020">
        <v>0</v>
      </c>
      <c r="AM720" s="1013">
        <f t="shared" si="156"/>
        <v>0</v>
      </c>
      <c r="AN720" s="1045">
        <f t="shared" si="141"/>
        <v>1857846</v>
      </c>
      <c r="AO720" s="1013">
        <v>0</v>
      </c>
      <c r="AP720" s="1013">
        <v>44100</v>
      </c>
      <c r="AQ720" s="1013">
        <v>0</v>
      </c>
      <c r="AR720" s="1013">
        <v>0</v>
      </c>
      <c r="AS720" s="1013">
        <v>0</v>
      </c>
      <c r="AT720" s="1045">
        <f t="shared" si="153"/>
        <v>1813746</v>
      </c>
      <c r="AU720" s="1004"/>
      <c r="AV720" s="870"/>
      <c r="AW720" s="782" t="s">
        <v>4687</v>
      </c>
      <c r="AX720" s="782" t="s">
        <v>4688</v>
      </c>
      <c r="AY720" s="1007" t="s">
        <v>287</v>
      </c>
      <c r="AZ720" s="1007">
        <v>627</v>
      </c>
      <c r="BA720" s="347" t="str">
        <f t="shared" si="155"/>
        <v>Box</v>
      </c>
      <c r="BB720" s="1008"/>
      <c r="BC720" s="1009"/>
      <c r="BD720" s="1009"/>
    </row>
    <row r="721" spans="1:56" s="1010" customFormat="1" ht="36.75" customHeight="1">
      <c r="A721" s="661">
        <f>SUBTOTAL(3,B$6:B721)</f>
        <v>716</v>
      </c>
      <c r="B721" s="661" t="s">
        <v>2239</v>
      </c>
      <c r="C721" s="662" t="s">
        <v>2240</v>
      </c>
      <c r="D721" s="1011">
        <v>45164</v>
      </c>
      <c r="E721" s="1011" t="s">
        <v>220</v>
      </c>
      <c r="F721" s="787" t="s">
        <v>528</v>
      </c>
      <c r="G721" s="996" t="s">
        <v>2208</v>
      </c>
      <c r="H721" s="1012">
        <v>5538000</v>
      </c>
      <c r="I721" s="1012">
        <v>500000</v>
      </c>
      <c r="J721" s="1012">
        <v>0</v>
      </c>
      <c r="K721" s="1012">
        <v>0</v>
      </c>
      <c r="L721" s="1013">
        <f t="shared" si="154"/>
        <v>6038000</v>
      </c>
      <c r="M721" s="1014">
        <v>11.6</v>
      </c>
      <c r="N721" s="1013">
        <f t="shared" si="137"/>
        <v>2693877</v>
      </c>
      <c r="O721" s="1015">
        <v>2</v>
      </c>
      <c r="P721" s="1013">
        <f t="shared" si="138"/>
        <v>464462</v>
      </c>
      <c r="Q721" s="1016">
        <v>0</v>
      </c>
      <c r="R721" s="1013">
        <f t="shared" si="139"/>
        <v>0</v>
      </c>
      <c r="S721" s="1013">
        <f t="shared" si="140"/>
        <v>3158339</v>
      </c>
      <c r="T721" s="1017">
        <v>0</v>
      </c>
      <c r="U721" s="785">
        <v>0</v>
      </c>
      <c r="V721" s="785">
        <v>200000</v>
      </c>
      <c r="W721" s="1017">
        <v>0</v>
      </c>
      <c r="X721" s="1017">
        <v>0</v>
      </c>
      <c r="Y721" s="1017">
        <v>150000</v>
      </c>
      <c r="Z721" s="1017">
        <v>0</v>
      </c>
      <c r="AA721" s="1018"/>
      <c r="AB721" s="1013"/>
      <c r="AC721" s="1017">
        <v>100000</v>
      </c>
      <c r="AD721" s="1017">
        <v>0</v>
      </c>
      <c r="AE721" s="1013">
        <v>43543.270474137935</v>
      </c>
      <c r="AF721" s="1019"/>
      <c r="AG721" s="1019">
        <f t="shared" ref="AG721:AG784" si="157">ROUND(SUM(S721:AF721)-AA721,0)</f>
        <v>3651882</v>
      </c>
      <c r="AH721" s="1014">
        <v>0</v>
      </c>
      <c r="AI721" s="1014">
        <v>0</v>
      </c>
      <c r="AJ721" s="1014">
        <v>0</v>
      </c>
      <c r="AK721" s="1018">
        <v>0</v>
      </c>
      <c r="AL721" s="1020">
        <v>0</v>
      </c>
      <c r="AM721" s="1013">
        <f t="shared" si="156"/>
        <v>0</v>
      </c>
      <c r="AN721" s="1045">
        <f t="shared" si="141"/>
        <v>3651882</v>
      </c>
      <c r="AO721" s="1013">
        <v>633990</v>
      </c>
      <c r="AP721" s="1013">
        <v>44100</v>
      </c>
      <c r="AQ721" s="1013">
        <v>0</v>
      </c>
      <c r="AR721" s="1013">
        <v>0</v>
      </c>
      <c r="AS721" s="1013">
        <v>0</v>
      </c>
      <c r="AT721" s="1045">
        <f t="shared" si="153"/>
        <v>2973792</v>
      </c>
      <c r="AU721" s="1004"/>
      <c r="AV721" s="870"/>
      <c r="AW721" s="782" t="s">
        <v>4689</v>
      </c>
      <c r="AX721" s="782" t="s">
        <v>4690</v>
      </c>
      <c r="AY721" s="1007" t="s">
        <v>288</v>
      </c>
      <c r="AZ721" s="1007">
        <v>627</v>
      </c>
      <c r="BA721" s="347" t="str">
        <f t="shared" si="155"/>
        <v>Bag</v>
      </c>
      <c r="BB721" s="1008"/>
      <c r="BC721" s="1009"/>
      <c r="BD721" s="1009"/>
    </row>
    <row r="722" spans="1:56" s="1010" customFormat="1" ht="36.75" customHeight="1">
      <c r="A722" s="661">
        <f>SUBTOTAL(3,B$6:B722)</f>
        <v>717</v>
      </c>
      <c r="B722" s="661" t="s">
        <v>2242</v>
      </c>
      <c r="C722" s="662" t="s">
        <v>2243</v>
      </c>
      <c r="D722" s="1011">
        <v>45379</v>
      </c>
      <c r="E722" s="1011" t="s">
        <v>220</v>
      </c>
      <c r="F722" s="787" t="s">
        <v>528</v>
      </c>
      <c r="G722" s="996" t="s">
        <v>2241</v>
      </c>
      <c r="H722" s="1012">
        <v>5538000</v>
      </c>
      <c r="I722" s="1012">
        <v>300000</v>
      </c>
      <c r="J722" s="1012">
        <v>0</v>
      </c>
      <c r="K722" s="1012">
        <v>0</v>
      </c>
      <c r="L722" s="1013">
        <f t="shared" si="154"/>
        <v>5838000</v>
      </c>
      <c r="M722" s="1014">
        <v>23</v>
      </c>
      <c r="N722" s="1013">
        <f t="shared" si="137"/>
        <v>5164385</v>
      </c>
      <c r="O722" s="1015">
        <v>3</v>
      </c>
      <c r="P722" s="1013">
        <f t="shared" si="138"/>
        <v>673615</v>
      </c>
      <c r="Q722" s="1016">
        <v>0</v>
      </c>
      <c r="R722" s="1013">
        <f t="shared" si="139"/>
        <v>0</v>
      </c>
      <c r="S722" s="1013">
        <f t="shared" si="140"/>
        <v>5838000</v>
      </c>
      <c r="T722" s="1017">
        <v>0</v>
      </c>
      <c r="U722" s="785">
        <v>0</v>
      </c>
      <c r="V722" s="785">
        <v>200000</v>
      </c>
      <c r="W722" s="1017">
        <v>500000</v>
      </c>
      <c r="X722" s="1017">
        <v>0</v>
      </c>
      <c r="Y722" s="1017">
        <v>400000</v>
      </c>
      <c r="Z722" s="1017">
        <v>392464</v>
      </c>
      <c r="AA722" s="1018"/>
      <c r="AB722" s="1013"/>
      <c r="AC722" s="1017">
        <v>0</v>
      </c>
      <c r="AD722" s="1017">
        <v>0</v>
      </c>
      <c r="AE722" s="1013">
        <v>0</v>
      </c>
      <c r="AF722" s="1019"/>
      <c r="AG722" s="1019">
        <f t="shared" si="157"/>
        <v>7330464</v>
      </c>
      <c r="AH722" s="1014">
        <v>19</v>
      </c>
      <c r="AI722" s="1014">
        <v>0</v>
      </c>
      <c r="AJ722" s="1014">
        <v>0</v>
      </c>
      <c r="AK722" s="1018">
        <v>0</v>
      </c>
      <c r="AL722" s="1020">
        <v>0</v>
      </c>
      <c r="AM722" s="1013">
        <f t="shared" si="156"/>
        <v>799918</v>
      </c>
      <c r="AN722" s="1045">
        <f t="shared" si="141"/>
        <v>8130382</v>
      </c>
      <c r="AO722" s="1013">
        <v>612990</v>
      </c>
      <c r="AP722" s="1013">
        <v>44100</v>
      </c>
      <c r="AQ722" s="1013">
        <v>0</v>
      </c>
      <c r="AR722" s="1013">
        <v>0</v>
      </c>
      <c r="AS722" s="1013">
        <v>0</v>
      </c>
      <c r="AT722" s="1045">
        <f t="shared" si="153"/>
        <v>7473292</v>
      </c>
      <c r="AU722" s="1004"/>
      <c r="AV722" s="870"/>
      <c r="AW722" s="782" t="s">
        <v>4691</v>
      </c>
      <c r="AX722" s="782" t="s">
        <v>4692</v>
      </c>
      <c r="AY722" s="1007" t="s">
        <v>288</v>
      </c>
      <c r="AZ722" s="1007">
        <v>627</v>
      </c>
      <c r="BA722" s="347" t="str">
        <f t="shared" si="155"/>
        <v>Bag</v>
      </c>
      <c r="BB722" s="1008"/>
      <c r="BC722" s="1009"/>
      <c r="BD722" s="1009"/>
    </row>
    <row r="723" spans="1:56" s="1010" customFormat="1" ht="36.75" customHeight="1">
      <c r="A723" s="661">
        <f>SUBTOTAL(3,B$6:B723)</f>
        <v>718</v>
      </c>
      <c r="B723" s="661" t="s">
        <v>2244</v>
      </c>
      <c r="C723" s="662" t="s">
        <v>2245</v>
      </c>
      <c r="D723" s="1011">
        <v>45495</v>
      </c>
      <c r="E723" s="1011" t="s">
        <v>220</v>
      </c>
      <c r="F723" s="787" t="s">
        <v>528</v>
      </c>
      <c r="G723" s="996" t="s">
        <v>2241</v>
      </c>
      <c r="H723" s="1012">
        <v>5274000</v>
      </c>
      <c r="I723" s="1012">
        <v>300000</v>
      </c>
      <c r="J723" s="1012">
        <v>0</v>
      </c>
      <c r="K723" s="1012">
        <v>0</v>
      </c>
      <c r="L723" s="1013">
        <f t="shared" si="154"/>
        <v>5574000</v>
      </c>
      <c r="M723" s="1014">
        <v>23</v>
      </c>
      <c r="N723" s="1013">
        <f t="shared" si="137"/>
        <v>4930846</v>
      </c>
      <c r="O723" s="1015">
        <v>3</v>
      </c>
      <c r="P723" s="1013">
        <f t="shared" si="138"/>
        <v>643154</v>
      </c>
      <c r="Q723" s="1016">
        <v>0</v>
      </c>
      <c r="R723" s="1013">
        <f t="shared" si="139"/>
        <v>0</v>
      </c>
      <c r="S723" s="1013">
        <f t="shared" si="140"/>
        <v>5574000</v>
      </c>
      <c r="T723" s="1017">
        <v>0</v>
      </c>
      <c r="U723" s="785">
        <v>0</v>
      </c>
      <c r="V723" s="785">
        <v>200000</v>
      </c>
      <c r="W723" s="1017">
        <v>500000</v>
      </c>
      <c r="X723" s="1017">
        <v>0</v>
      </c>
      <c r="Y723" s="1017">
        <v>400000</v>
      </c>
      <c r="Z723" s="1017">
        <v>409168</v>
      </c>
      <c r="AA723" s="1018"/>
      <c r="AB723" s="1013"/>
      <c r="AC723" s="1017">
        <v>0</v>
      </c>
      <c r="AD723" s="1017">
        <v>0</v>
      </c>
      <c r="AE723" s="1013">
        <v>40197.114130434784</v>
      </c>
      <c r="AF723" s="1019"/>
      <c r="AG723" s="1019">
        <f t="shared" si="157"/>
        <v>7123365</v>
      </c>
      <c r="AH723" s="1014">
        <v>19</v>
      </c>
      <c r="AI723" s="1014">
        <v>0</v>
      </c>
      <c r="AJ723" s="1014">
        <v>0</v>
      </c>
      <c r="AK723" s="1018">
        <v>0</v>
      </c>
      <c r="AL723" s="1020">
        <v>0</v>
      </c>
      <c r="AM723" s="1013">
        <f t="shared" si="156"/>
        <v>763745</v>
      </c>
      <c r="AN723" s="1045">
        <f t="shared" si="141"/>
        <v>7887110</v>
      </c>
      <c r="AO723" s="1013">
        <v>585270</v>
      </c>
      <c r="AP723" s="1013">
        <v>44100</v>
      </c>
      <c r="AQ723" s="1013">
        <v>0</v>
      </c>
      <c r="AR723" s="1013">
        <v>0</v>
      </c>
      <c r="AS723" s="1013">
        <v>0</v>
      </c>
      <c r="AT723" s="1045">
        <f t="shared" si="153"/>
        <v>7257740</v>
      </c>
      <c r="AU723" s="1004"/>
      <c r="AV723" s="870"/>
      <c r="AW723" s="782" t="s">
        <v>4693</v>
      </c>
      <c r="AX723" s="782" t="s">
        <v>4694</v>
      </c>
      <c r="AY723" s="1007" t="s">
        <v>288</v>
      </c>
      <c r="AZ723" s="1007">
        <v>627</v>
      </c>
      <c r="BA723" s="347" t="str">
        <f t="shared" si="155"/>
        <v>Bag</v>
      </c>
      <c r="BB723" s="1008"/>
      <c r="BC723" s="1009"/>
      <c r="BD723" s="1009"/>
    </row>
    <row r="724" spans="1:56" s="1010" customFormat="1" ht="36.75" customHeight="1">
      <c r="A724" s="661">
        <f>SUBTOTAL(3,B$6:B724)</f>
        <v>719</v>
      </c>
      <c r="B724" s="661" t="s">
        <v>2246</v>
      </c>
      <c r="C724" s="662" t="s">
        <v>2247</v>
      </c>
      <c r="D724" s="1011">
        <v>45495</v>
      </c>
      <c r="E724" s="1011" t="s">
        <v>220</v>
      </c>
      <c r="F724" s="787" t="s">
        <v>528</v>
      </c>
      <c r="G724" s="996" t="s">
        <v>2241</v>
      </c>
      <c r="H724" s="1012">
        <v>5274000</v>
      </c>
      <c r="I724" s="1012">
        <v>300000</v>
      </c>
      <c r="J724" s="1012">
        <v>0</v>
      </c>
      <c r="K724" s="1012">
        <v>0</v>
      </c>
      <c r="L724" s="1013">
        <f t="shared" si="154"/>
        <v>5574000</v>
      </c>
      <c r="M724" s="1014">
        <v>22.9</v>
      </c>
      <c r="N724" s="1013">
        <f t="shared" si="137"/>
        <v>4909408</v>
      </c>
      <c r="O724" s="1015">
        <v>3</v>
      </c>
      <c r="P724" s="1013">
        <f t="shared" si="138"/>
        <v>643154</v>
      </c>
      <c r="Q724" s="1016">
        <v>0</v>
      </c>
      <c r="R724" s="1013">
        <f t="shared" si="139"/>
        <v>0</v>
      </c>
      <c r="S724" s="1013">
        <f t="shared" si="140"/>
        <v>5552562</v>
      </c>
      <c r="T724" s="1017">
        <v>0</v>
      </c>
      <c r="U724" s="785">
        <v>0</v>
      </c>
      <c r="V724" s="785">
        <v>200000</v>
      </c>
      <c r="W724" s="1017">
        <v>500000</v>
      </c>
      <c r="X724" s="1017">
        <v>0</v>
      </c>
      <c r="Y724" s="1017">
        <v>400000</v>
      </c>
      <c r="Z724" s="1017">
        <v>349264</v>
      </c>
      <c r="AA724" s="1018"/>
      <c r="AB724" s="1013"/>
      <c r="AC724" s="1017">
        <v>100000</v>
      </c>
      <c r="AD724" s="1017">
        <v>0</v>
      </c>
      <c r="AE724" s="1013">
        <v>40197.117903930135</v>
      </c>
      <c r="AF724" s="1019"/>
      <c r="AG724" s="1019">
        <f t="shared" si="157"/>
        <v>7142023</v>
      </c>
      <c r="AH724" s="1014">
        <v>15.5</v>
      </c>
      <c r="AI724" s="1014">
        <v>0</v>
      </c>
      <c r="AJ724" s="1014">
        <v>0</v>
      </c>
      <c r="AK724" s="1018">
        <v>0</v>
      </c>
      <c r="AL724" s="1020">
        <v>0</v>
      </c>
      <c r="AM724" s="1013">
        <f t="shared" si="156"/>
        <v>623055</v>
      </c>
      <c r="AN724" s="1045">
        <f t="shared" si="141"/>
        <v>7765078</v>
      </c>
      <c r="AO724" s="1013">
        <v>585270</v>
      </c>
      <c r="AP724" s="1013">
        <v>44100</v>
      </c>
      <c r="AQ724" s="1013">
        <v>0</v>
      </c>
      <c r="AR724" s="1013">
        <v>0</v>
      </c>
      <c r="AS724" s="1013">
        <v>0</v>
      </c>
      <c r="AT724" s="1045">
        <f t="shared" si="153"/>
        <v>7135708</v>
      </c>
      <c r="AU724" s="1004"/>
      <c r="AV724" s="870"/>
      <c r="AW724" s="782" t="s">
        <v>4695</v>
      </c>
      <c r="AX724" s="782" t="s">
        <v>4696</v>
      </c>
      <c r="AY724" s="1007" t="s">
        <v>287</v>
      </c>
      <c r="AZ724" s="1007">
        <v>627</v>
      </c>
      <c r="BA724" s="347" t="str">
        <f t="shared" si="155"/>
        <v>Box</v>
      </c>
      <c r="BB724" s="1008"/>
      <c r="BC724" s="1009"/>
      <c r="BD724" s="1009"/>
    </row>
    <row r="725" spans="1:56" s="1010" customFormat="1" ht="36.75" customHeight="1">
      <c r="A725" s="661">
        <f>SUBTOTAL(3,B$6:B725)</f>
        <v>720</v>
      </c>
      <c r="B725" s="661" t="s">
        <v>2248</v>
      </c>
      <c r="C725" s="662" t="s">
        <v>2249</v>
      </c>
      <c r="D725" s="1011">
        <v>45558</v>
      </c>
      <c r="E725" s="1011" t="s">
        <v>220</v>
      </c>
      <c r="F725" s="787" t="s">
        <v>528</v>
      </c>
      <c r="G725" s="996" t="s">
        <v>2241</v>
      </c>
      <c r="H725" s="1012">
        <v>5274000</v>
      </c>
      <c r="I725" s="1012">
        <v>300000</v>
      </c>
      <c r="J725" s="1012">
        <v>0</v>
      </c>
      <c r="K725" s="1012">
        <v>0</v>
      </c>
      <c r="L725" s="1013">
        <f t="shared" si="154"/>
        <v>5574000</v>
      </c>
      <c r="M725" s="1014">
        <v>23.6</v>
      </c>
      <c r="N725" s="1013">
        <f t="shared" si="137"/>
        <v>5059477</v>
      </c>
      <c r="O725" s="1015">
        <v>2</v>
      </c>
      <c r="P725" s="1013">
        <f t="shared" si="138"/>
        <v>428769</v>
      </c>
      <c r="Q725" s="1016">
        <v>0</v>
      </c>
      <c r="R725" s="1013">
        <f t="shared" si="139"/>
        <v>0</v>
      </c>
      <c r="S725" s="1013">
        <f t="shared" si="140"/>
        <v>5488246</v>
      </c>
      <c r="T725" s="1017">
        <v>0</v>
      </c>
      <c r="U725" s="785">
        <v>0</v>
      </c>
      <c r="V725" s="785">
        <v>200000</v>
      </c>
      <c r="W725" s="1017">
        <v>500000</v>
      </c>
      <c r="X725" s="1017">
        <v>0</v>
      </c>
      <c r="Y725" s="1017">
        <v>400000</v>
      </c>
      <c r="Z725" s="1017">
        <v>347866</v>
      </c>
      <c r="AA725" s="1018"/>
      <c r="AB725" s="1013"/>
      <c r="AC725" s="1017">
        <v>0</v>
      </c>
      <c r="AD725" s="1017">
        <v>0</v>
      </c>
      <c r="AE725" s="1013">
        <v>0</v>
      </c>
      <c r="AF725" s="1019"/>
      <c r="AG725" s="1019">
        <f t="shared" si="157"/>
        <v>6936112</v>
      </c>
      <c r="AH725" s="1014">
        <v>18</v>
      </c>
      <c r="AI725" s="1014">
        <v>0</v>
      </c>
      <c r="AJ725" s="1014">
        <v>0</v>
      </c>
      <c r="AK725" s="1018">
        <v>0</v>
      </c>
      <c r="AL725" s="1020">
        <v>0</v>
      </c>
      <c r="AM725" s="1013">
        <f t="shared" si="156"/>
        <v>723548</v>
      </c>
      <c r="AN725" s="1045">
        <f t="shared" si="141"/>
        <v>7659660</v>
      </c>
      <c r="AO725" s="1013">
        <v>585270</v>
      </c>
      <c r="AP725" s="1013">
        <v>44100</v>
      </c>
      <c r="AQ725" s="1013">
        <v>0</v>
      </c>
      <c r="AR725" s="1013">
        <v>0</v>
      </c>
      <c r="AS725" s="1013">
        <v>0</v>
      </c>
      <c r="AT725" s="1045">
        <f t="shared" si="153"/>
        <v>7030290</v>
      </c>
      <c r="AU725" s="1004"/>
      <c r="AV725" s="870"/>
      <c r="AW725" s="782" t="s">
        <v>4697</v>
      </c>
      <c r="AX725" s="782" t="s">
        <v>4698</v>
      </c>
      <c r="AY725" s="1007" t="s">
        <v>288</v>
      </c>
      <c r="AZ725" s="1007">
        <v>627</v>
      </c>
      <c r="BA725" s="347" t="str">
        <f t="shared" si="155"/>
        <v>Bag</v>
      </c>
      <c r="BB725" s="1008"/>
      <c r="BC725" s="1009"/>
      <c r="BD725" s="1009"/>
    </row>
    <row r="726" spans="1:56" s="1010" customFormat="1" ht="36.75" customHeight="1">
      <c r="A726" s="661">
        <f>SUBTOTAL(3,B$6:B726)</f>
        <v>721</v>
      </c>
      <c r="B726" s="661" t="s">
        <v>2250</v>
      </c>
      <c r="C726" s="662" t="s">
        <v>2251</v>
      </c>
      <c r="D726" s="1011">
        <v>40084</v>
      </c>
      <c r="E726" s="1011" t="s">
        <v>220</v>
      </c>
      <c r="F726" s="787" t="s">
        <v>528</v>
      </c>
      <c r="G726" s="996" t="s">
        <v>2211</v>
      </c>
      <c r="H726" s="1012">
        <v>6800000</v>
      </c>
      <c r="I726" s="1012">
        <v>3500000</v>
      </c>
      <c r="J726" s="1012">
        <v>0</v>
      </c>
      <c r="K726" s="1012">
        <v>500000</v>
      </c>
      <c r="L726" s="1013">
        <f t="shared" si="154"/>
        <v>10800000</v>
      </c>
      <c r="M726" s="1014">
        <v>24</v>
      </c>
      <c r="N726" s="1013">
        <f t="shared" si="137"/>
        <v>9969231</v>
      </c>
      <c r="O726" s="1015">
        <v>2</v>
      </c>
      <c r="P726" s="1013">
        <f t="shared" si="138"/>
        <v>830769</v>
      </c>
      <c r="Q726" s="1016">
        <v>0</v>
      </c>
      <c r="R726" s="1013">
        <f t="shared" si="139"/>
        <v>0</v>
      </c>
      <c r="S726" s="1013">
        <f t="shared" si="140"/>
        <v>10800000</v>
      </c>
      <c r="T726" s="1017">
        <v>0</v>
      </c>
      <c r="U726" s="785">
        <v>0</v>
      </c>
      <c r="V726" s="785">
        <v>200000</v>
      </c>
      <c r="W726" s="1017">
        <v>500000</v>
      </c>
      <c r="X726" s="1017">
        <v>0</v>
      </c>
      <c r="Y726" s="1017">
        <v>400000</v>
      </c>
      <c r="Z726" s="1017">
        <v>0</v>
      </c>
      <c r="AA726" s="1018"/>
      <c r="AB726" s="1013"/>
      <c r="AC726" s="1017">
        <v>0</v>
      </c>
      <c r="AD726" s="1017">
        <v>0</v>
      </c>
      <c r="AE726" s="1013">
        <v>0</v>
      </c>
      <c r="AF726" s="1019"/>
      <c r="AG726" s="1019">
        <f t="shared" si="157"/>
        <v>11900000</v>
      </c>
      <c r="AH726" s="1014">
        <v>48</v>
      </c>
      <c r="AI726" s="1014">
        <v>0</v>
      </c>
      <c r="AJ726" s="1014">
        <v>0</v>
      </c>
      <c r="AK726" s="1018">
        <v>0</v>
      </c>
      <c r="AL726" s="1020">
        <v>0</v>
      </c>
      <c r="AM726" s="1013">
        <f t="shared" si="156"/>
        <v>3738462</v>
      </c>
      <c r="AN726" s="1045">
        <f t="shared" si="141"/>
        <v>15638462</v>
      </c>
      <c r="AO726" s="1013">
        <v>1134000</v>
      </c>
      <c r="AP726" s="1013">
        <v>44100</v>
      </c>
      <c r="AQ726" s="1013">
        <v>0</v>
      </c>
      <c r="AR726" s="1013">
        <v>0</v>
      </c>
      <c r="AS726" s="1013">
        <v>0</v>
      </c>
      <c r="AT726" s="1045">
        <f t="shared" si="153"/>
        <v>14460362</v>
      </c>
      <c r="AU726" s="1004"/>
      <c r="AV726" s="870"/>
      <c r="AW726" s="782" t="s">
        <v>4699</v>
      </c>
      <c r="AX726" s="782" t="s">
        <v>4700</v>
      </c>
      <c r="AY726" s="1007" t="s">
        <v>221</v>
      </c>
      <c r="AZ726" s="1007">
        <v>627</v>
      </c>
      <c r="BA726" s="347" t="str">
        <f t="shared" si="155"/>
        <v>Bag</v>
      </c>
      <c r="BB726" s="1008"/>
      <c r="BC726" s="1009"/>
      <c r="BD726" s="1009"/>
    </row>
    <row r="727" spans="1:56" s="1010" customFormat="1" ht="36.75" customHeight="1">
      <c r="A727" s="661">
        <f>SUBTOTAL(3,B$6:B727)</f>
        <v>722</v>
      </c>
      <c r="B727" s="661" t="s">
        <v>2252</v>
      </c>
      <c r="C727" s="662" t="s">
        <v>2253</v>
      </c>
      <c r="D727" s="1011">
        <v>40422</v>
      </c>
      <c r="E727" s="1011" t="s">
        <v>220</v>
      </c>
      <c r="F727" s="787" t="s">
        <v>528</v>
      </c>
      <c r="G727" s="996" t="s">
        <v>2254</v>
      </c>
      <c r="H727" s="1012">
        <v>6676000</v>
      </c>
      <c r="I727" s="1012">
        <v>7300000</v>
      </c>
      <c r="J727" s="1012">
        <v>0</v>
      </c>
      <c r="K727" s="1012">
        <v>0</v>
      </c>
      <c r="L727" s="1013">
        <f t="shared" si="154"/>
        <v>13976000</v>
      </c>
      <c r="M727" s="1014">
        <v>22.6</v>
      </c>
      <c r="N727" s="1013">
        <f t="shared" si="137"/>
        <v>12148369</v>
      </c>
      <c r="O727" s="1015">
        <v>3</v>
      </c>
      <c r="P727" s="1013">
        <f t="shared" si="138"/>
        <v>1612615</v>
      </c>
      <c r="Q727" s="1016">
        <v>0</v>
      </c>
      <c r="R727" s="1013">
        <f t="shared" si="139"/>
        <v>0</v>
      </c>
      <c r="S727" s="1013">
        <f t="shared" si="140"/>
        <v>13760984</v>
      </c>
      <c r="T727" s="1017">
        <v>0</v>
      </c>
      <c r="U727" s="785">
        <v>483000</v>
      </c>
      <c r="V727" s="785">
        <v>200000</v>
      </c>
      <c r="W727" s="1017">
        <v>500000</v>
      </c>
      <c r="X727" s="1017">
        <v>0</v>
      </c>
      <c r="Y727" s="1017">
        <v>400000</v>
      </c>
      <c r="Z727" s="1017">
        <v>0</v>
      </c>
      <c r="AA727" s="1018"/>
      <c r="AB727" s="1013"/>
      <c r="AC727" s="1017">
        <v>100000</v>
      </c>
      <c r="AD727" s="1017">
        <v>0</v>
      </c>
      <c r="AE727" s="1013">
        <v>100788.4596238938</v>
      </c>
      <c r="AF727" s="1019"/>
      <c r="AG727" s="1019">
        <f t="shared" si="157"/>
        <v>15544772</v>
      </c>
      <c r="AH727" s="1014">
        <v>20</v>
      </c>
      <c r="AI727" s="1014">
        <v>0</v>
      </c>
      <c r="AJ727" s="1014">
        <v>0</v>
      </c>
      <c r="AK727" s="1018">
        <v>0</v>
      </c>
      <c r="AL727" s="1020">
        <v>0</v>
      </c>
      <c r="AM727" s="1013">
        <f t="shared" si="156"/>
        <v>2015769</v>
      </c>
      <c r="AN727" s="1045">
        <f t="shared" si="141"/>
        <v>17560541</v>
      </c>
      <c r="AO727" s="1013">
        <v>1467480</v>
      </c>
      <c r="AP727" s="1013">
        <v>44100</v>
      </c>
      <c r="AQ727" s="1013">
        <v>6057</v>
      </c>
      <c r="AR727" s="1013">
        <v>0</v>
      </c>
      <c r="AS727" s="1013">
        <v>0</v>
      </c>
      <c r="AT727" s="1045">
        <f t="shared" si="153"/>
        <v>16042904</v>
      </c>
      <c r="AU727" s="1004"/>
      <c r="AV727" s="870"/>
      <c r="AW727" s="782" t="s">
        <v>4701</v>
      </c>
      <c r="AX727" s="782" t="s">
        <v>4702</v>
      </c>
      <c r="AY727" s="1007" t="s">
        <v>287</v>
      </c>
      <c r="AZ727" s="1007">
        <v>627</v>
      </c>
      <c r="BA727" s="347" t="str">
        <f t="shared" si="155"/>
        <v>Box</v>
      </c>
      <c r="BB727" s="1008"/>
      <c r="BC727" s="1009"/>
      <c r="BD727" s="1009"/>
    </row>
    <row r="728" spans="1:56" s="1010" customFormat="1" ht="36.75" customHeight="1">
      <c r="A728" s="661">
        <f>SUBTOTAL(3,B$6:B728)</f>
        <v>723</v>
      </c>
      <c r="B728" s="661" t="s">
        <v>2255</v>
      </c>
      <c r="C728" s="662" t="s">
        <v>2256</v>
      </c>
      <c r="D728" s="1011">
        <v>40940</v>
      </c>
      <c r="E728" s="1011" t="s">
        <v>220</v>
      </c>
      <c r="F728" s="787" t="s">
        <v>528</v>
      </c>
      <c r="G728" s="996" t="s">
        <v>2257</v>
      </c>
      <c r="H728" s="1012">
        <v>6476000</v>
      </c>
      <c r="I728" s="1012">
        <v>1700000</v>
      </c>
      <c r="J728" s="1012">
        <v>0</v>
      </c>
      <c r="K728" s="1012">
        <v>300000</v>
      </c>
      <c r="L728" s="1013">
        <f t="shared" si="154"/>
        <v>8476000</v>
      </c>
      <c r="M728" s="1014">
        <v>24</v>
      </c>
      <c r="N728" s="1013">
        <f t="shared" si="137"/>
        <v>7824000</v>
      </c>
      <c r="O728" s="1015">
        <v>2</v>
      </c>
      <c r="P728" s="1013">
        <f t="shared" si="138"/>
        <v>652000</v>
      </c>
      <c r="Q728" s="1016">
        <v>0</v>
      </c>
      <c r="R728" s="1013">
        <f t="shared" si="139"/>
        <v>0</v>
      </c>
      <c r="S728" s="1013">
        <f t="shared" si="140"/>
        <v>8476000</v>
      </c>
      <c r="T728" s="1017">
        <v>200000</v>
      </c>
      <c r="U728" s="785">
        <v>0</v>
      </c>
      <c r="V728" s="785">
        <v>200000</v>
      </c>
      <c r="W728" s="1017">
        <v>500000</v>
      </c>
      <c r="X728" s="1017">
        <v>0</v>
      </c>
      <c r="Y728" s="1017">
        <v>400000</v>
      </c>
      <c r="Z728" s="1017">
        <v>353762</v>
      </c>
      <c r="AA728" s="1018"/>
      <c r="AB728" s="1013"/>
      <c r="AC728" s="1017">
        <v>0</v>
      </c>
      <c r="AD728" s="1017">
        <v>0</v>
      </c>
      <c r="AE728" s="1013">
        <v>61125</v>
      </c>
      <c r="AF728" s="1019"/>
      <c r="AG728" s="1019">
        <f t="shared" si="157"/>
        <v>10190887</v>
      </c>
      <c r="AH728" s="1014">
        <v>14.5</v>
      </c>
      <c r="AI728" s="1014">
        <v>0</v>
      </c>
      <c r="AJ728" s="1014">
        <v>0</v>
      </c>
      <c r="AK728" s="1018">
        <v>0</v>
      </c>
      <c r="AL728" s="1020">
        <v>0</v>
      </c>
      <c r="AM728" s="1013">
        <f t="shared" si="156"/>
        <v>886313</v>
      </c>
      <c r="AN728" s="1045">
        <f t="shared" si="141"/>
        <v>11077200</v>
      </c>
      <c r="AO728" s="1013">
        <v>889980</v>
      </c>
      <c r="AP728" s="1013">
        <v>44100</v>
      </c>
      <c r="AQ728" s="1013">
        <v>0</v>
      </c>
      <c r="AR728" s="1013">
        <v>0</v>
      </c>
      <c r="AS728" s="1013">
        <v>0</v>
      </c>
      <c r="AT728" s="1045">
        <f t="shared" si="153"/>
        <v>10143120</v>
      </c>
      <c r="AU728" s="1004"/>
      <c r="AV728" s="870"/>
      <c r="AW728" s="782" t="s">
        <v>4703</v>
      </c>
      <c r="AX728" s="782" t="s">
        <v>4704</v>
      </c>
      <c r="AY728" s="1007" t="s">
        <v>288</v>
      </c>
      <c r="AZ728" s="1007">
        <v>627</v>
      </c>
      <c r="BA728" s="347" t="str">
        <f t="shared" si="155"/>
        <v>Bag</v>
      </c>
      <c r="BB728" s="1008"/>
      <c r="BC728" s="1009"/>
      <c r="BD728" s="1009"/>
    </row>
    <row r="729" spans="1:56" s="1010" customFormat="1" ht="36.75" customHeight="1">
      <c r="A729" s="661">
        <f>SUBTOTAL(3,B$6:B729)</f>
        <v>724</v>
      </c>
      <c r="B729" s="661" t="s">
        <v>2258</v>
      </c>
      <c r="C729" s="662" t="s">
        <v>2259</v>
      </c>
      <c r="D729" s="1011">
        <v>40959</v>
      </c>
      <c r="E729" s="1011" t="s">
        <v>220</v>
      </c>
      <c r="F729" s="787" t="s">
        <v>528</v>
      </c>
      <c r="G729" s="996" t="s">
        <v>2254</v>
      </c>
      <c r="H729" s="1012">
        <v>7700000</v>
      </c>
      <c r="I729" s="1012">
        <v>7300000</v>
      </c>
      <c r="J729" s="1012">
        <v>0</v>
      </c>
      <c r="K729" s="1012">
        <v>0</v>
      </c>
      <c r="L729" s="1013">
        <f t="shared" si="154"/>
        <v>15000000</v>
      </c>
      <c r="M729" s="1014">
        <v>23.9</v>
      </c>
      <c r="N729" s="1013">
        <f t="shared" si="137"/>
        <v>13788462</v>
      </c>
      <c r="O729" s="1015">
        <v>2</v>
      </c>
      <c r="P729" s="1013">
        <f t="shared" si="138"/>
        <v>1153846</v>
      </c>
      <c r="Q729" s="1016">
        <v>0</v>
      </c>
      <c r="R729" s="1013">
        <f t="shared" si="139"/>
        <v>0</v>
      </c>
      <c r="S729" s="1013">
        <f t="shared" si="140"/>
        <v>14942308</v>
      </c>
      <c r="T729" s="1017">
        <v>0</v>
      </c>
      <c r="U729" s="785">
        <v>0</v>
      </c>
      <c r="V729" s="785">
        <v>200000</v>
      </c>
      <c r="W729" s="1017">
        <v>500000</v>
      </c>
      <c r="X729" s="1017">
        <v>0</v>
      </c>
      <c r="Y729" s="1017">
        <v>400000</v>
      </c>
      <c r="Z729" s="1017">
        <v>0</v>
      </c>
      <c r="AA729" s="1018"/>
      <c r="AB729" s="1013"/>
      <c r="AC729" s="1017">
        <v>0</v>
      </c>
      <c r="AD729" s="1017">
        <v>0</v>
      </c>
      <c r="AE729" s="1013">
        <v>0</v>
      </c>
      <c r="AF729" s="1019"/>
      <c r="AG729" s="1019">
        <f t="shared" si="157"/>
        <v>16042308</v>
      </c>
      <c r="AH729" s="1014">
        <v>19.5</v>
      </c>
      <c r="AI729" s="1014">
        <v>0</v>
      </c>
      <c r="AJ729" s="1014">
        <v>0</v>
      </c>
      <c r="AK729" s="1018">
        <v>0</v>
      </c>
      <c r="AL729" s="1020">
        <v>0</v>
      </c>
      <c r="AM729" s="1013">
        <f t="shared" si="156"/>
        <v>2109375</v>
      </c>
      <c r="AN729" s="1045">
        <f t="shared" si="141"/>
        <v>18151683</v>
      </c>
      <c r="AO729" s="1013">
        <v>1575000</v>
      </c>
      <c r="AP729" s="1013">
        <v>44100</v>
      </c>
      <c r="AQ729" s="1013">
        <v>0</v>
      </c>
      <c r="AR729" s="1013">
        <v>0</v>
      </c>
      <c r="AS729" s="1013">
        <v>0</v>
      </c>
      <c r="AT729" s="1045">
        <f t="shared" si="153"/>
        <v>16532583</v>
      </c>
      <c r="AU729" s="1004"/>
      <c r="AV729" s="870"/>
      <c r="AW729" s="782" t="s">
        <v>4705</v>
      </c>
      <c r="AX729" s="782" t="s">
        <v>4706</v>
      </c>
      <c r="AY729" s="1007" t="s">
        <v>287</v>
      </c>
      <c r="AZ729" s="1007">
        <v>627</v>
      </c>
      <c r="BA729" s="347" t="str">
        <f t="shared" si="155"/>
        <v>Box</v>
      </c>
      <c r="BB729" s="1008"/>
      <c r="BC729" s="1009"/>
      <c r="BD729" s="1009"/>
    </row>
    <row r="730" spans="1:56" s="1010" customFormat="1" ht="36.75" customHeight="1">
      <c r="A730" s="661">
        <f>SUBTOTAL(3,B$6:B730)</f>
        <v>725</v>
      </c>
      <c r="B730" s="661" t="s">
        <v>2260</v>
      </c>
      <c r="C730" s="662" t="s">
        <v>2261</v>
      </c>
      <c r="D730" s="1011">
        <v>41008</v>
      </c>
      <c r="E730" s="1011" t="s">
        <v>220</v>
      </c>
      <c r="F730" s="787" t="s">
        <v>528</v>
      </c>
      <c r="G730" s="996" t="s">
        <v>2208</v>
      </c>
      <c r="H730" s="1012">
        <v>5931000</v>
      </c>
      <c r="I730" s="1012">
        <v>500000</v>
      </c>
      <c r="J730" s="1012">
        <v>0</v>
      </c>
      <c r="K730" s="1012">
        <v>200000</v>
      </c>
      <c r="L730" s="1013">
        <f t="shared" si="154"/>
        <v>6631000</v>
      </c>
      <c r="M730" s="1014">
        <v>21.7</v>
      </c>
      <c r="N730" s="1013">
        <f t="shared" si="137"/>
        <v>5534335</v>
      </c>
      <c r="O730" s="1015">
        <v>3</v>
      </c>
      <c r="P730" s="1013">
        <f t="shared" si="138"/>
        <v>765115</v>
      </c>
      <c r="Q730" s="1016">
        <v>0</v>
      </c>
      <c r="R730" s="1013">
        <f t="shared" si="139"/>
        <v>0</v>
      </c>
      <c r="S730" s="1013">
        <f t="shared" si="140"/>
        <v>6299450</v>
      </c>
      <c r="T730" s="1017">
        <v>0</v>
      </c>
      <c r="U730" s="785">
        <v>0</v>
      </c>
      <c r="V730" s="785">
        <v>200000</v>
      </c>
      <c r="W730" s="1017">
        <v>0</v>
      </c>
      <c r="X730" s="1017">
        <v>0</v>
      </c>
      <c r="Y730" s="1017">
        <v>300000</v>
      </c>
      <c r="Z730" s="1017">
        <v>273473</v>
      </c>
      <c r="AA730" s="1018"/>
      <c r="AB730" s="1013"/>
      <c r="AC730" s="1017">
        <v>100000</v>
      </c>
      <c r="AD730" s="1017">
        <v>0</v>
      </c>
      <c r="AE730" s="1013">
        <v>47819.714861751156</v>
      </c>
      <c r="AF730" s="1019"/>
      <c r="AG730" s="1019">
        <f t="shared" si="157"/>
        <v>7220743</v>
      </c>
      <c r="AH730" s="1014">
        <v>0</v>
      </c>
      <c r="AI730" s="1014">
        <v>0</v>
      </c>
      <c r="AJ730" s="1014">
        <v>0</v>
      </c>
      <c r="AK730" s="1018">
        <v>0</v>
      </c>
      <c r="AL730" s="1020">
        <v>0</v>
      </c>
      <c r="AM730" s="1013">
        <f t="shared" si="156"/>
        <v>0</v>
      </c>
      <c r="AN730" s="1045">
        <f t="shared" si="141"/>
        <v>7220743</v>
      </c>
      <c r="AO730" s="1013">
        <v>696255</v>
      </c>
      <c r="AP730" s="1013">
        <v>44100</v>
      </c>
      <c r="AQ730" s="1013">
        <v>0</v>
      </c>
      <c r="AR730" s="1013">
        <v>0</v>
      </c>
      <c r="AS730" s="1013">
        <v>0</v>
      </c>
      <c r="AT730" s="1045">
        <f t="shared" si="153"/>
        <v>6480388</v>
      </c>
      <c r="AU730" s="1004"/>
      <c r="AV730" s="870"/>
      <c r="AW730" s="782" t="s">
        <v>4707</v>
      </c>
      <c r="AX730" s="782" t="s">
        <v>4708</v>
      </c>
      <c r="AY730" s="1007" t="s">
        <v>287</v>
      </c>
      <c r="AZ730" s="1007">
        <v>627</v>
      </c>
      <c r="BA730" s="347" t="str">
        <f t="shared" si="155"/>
        <v>Box</v>
      </c>
      <c r="BB730" s="1008"/>
      <c r="BC730" s="1009"/>
      <c r="BD730" s="1009"/>
    </row>
    <row r="731" spans="1:56" s="1010" customFormat="1" ht="36.75" customHeight="1">
      <c r="A731" s="661">
        <f>SUBTOTAL(3,B$6:B731)</f>
        <v>726</v>
      </c>
      <c r="B731" s="661" t="s">
        <v>2262</v>
      </c>
      <c r="C731" s="662" t="s">
        <v>2263</v>
      </c>
      <c r="D731" s="1011">
        <v>41010</v>
      </c>
      <c r="E731" s="1011" t="s">
        <v>220</v>
      </c>
      <c r="F731" s="787" t="s">
        <v>528</v>
      </c>
      <c r="G731" s="996" t="s">
        <v>2264</v>
      </c>
      <c r="H731" s="1012">
        <v>5931000</v>
      </c>
      <c r="I731" s="1012">
        <v>900000</v>
      </c>
      <c r="J731" s="1012">
        <v>0</v>
      </c>
      <c r="K731" s="1012">
        <v>0</v>
      </c>
      <c r="L731" s="1013">
        <f t="shared" si="154"/>
        <v>6831000</v>
      </c>
      <c r="M731" s="1014">
        <v>23.9</v>
      </c>
      <c r="N731" s="1013">
        <f t="shared" si="137"/>
        <v>6279265</v>
      </c>
      <c r="O731" s="1015">
        <v>2</v>
      </c>
      <c r="P731" s="1013">
        <f t="shared" si="138"/>
        <v>525462</v>
      </c>
      <c r="Q731" s="1016">
        <v>0</v>
      </c>
      <c r="R731" s="1013">
        <f t="shared" si="139"/>
        <v>0</v>
      </c>
      <c r="S731" s="1013">
        <f t="shared" si="140"/>
        <v>6804727</v>
      </c>
      <c r="T731" s="1017">
        <v>0</v>
      </c>
      <c r="U731" s="785">
        <v>0</v>
      </c>
      <c r="V731" s="785">
        <v>200000</v>
      </c>
      <c r="W731" s="1017">
        <v>500000</v>
      </c>
      <c r="X731" s="1017">
        <v>0</v>
      </c>
      <c r="Y731" s="1017">
        <v>400000</v>
      </c>
      <c r="Z731" s="1017">
        <v>440457</v>
      </c>
      <c r="AA731" s="1018"/>
      <c r="AB731" s="1013"/>
      <c r="AC731" s="1017">
        <v>0</v>
      </c>
      <c r="AD731" s="1017">
        <v>0</v>
      </c>
      <c r="AE731" s="1013">
        <v>49262.016213389128</v>
      </c>
      <c r="AF731" s="1019"/>
      <c r="AG731" s="1019">
        <f t="shared" si="157"/>
        <v>8394446</v>
      </c>
      <c r="AH731" s="1014">
        <v>37.5</v>
      </c>
      <c r="AI731" s="1014">
        <v>0</v>
      </c>
      <c r="AJ731" s="1014">
        <v>0</v>
      </c>
      <c r="AK731" s="1018">
        <v>0</v>
      </c>
      <c r="AL731" s="1020">
        <v>0</v>
      </c>
      <c r="AM731" s="1013">
        <f t="shared" si="156"/>
        <v>1847326</v>
      </c>
      <c r="AN731" s="1045">
        <f t="shared" si="141"/>
        <v>10241772</v>
      </c>
      <c r="AO731" s="1013">
        <v>717255</v>
      </c>
      <c r="AP731" s="1013">
        <v>44100</v>
      </c>
      <c r="AQ731" s="1013">
        <v>0</v>
      </c>
      <c r="AR731" s="1013">
        <v>0</v>
      </c>
      <c r="AS731" s="1013">
        <v>0</v>
      </c>
      <c r="AT731" s="1045">
        <f t="shared" si="153"/>
        <v>9480417</v>
      </c>
      <c r="AU731" s="1004"/>
      <c r="AV731" s="870"/>
      <c r="AW731" s="782" t="s">
        <v>4709</v>
      </c>
      <c r="AX731" s="782" t="s">
        <v>4710</v>
      </c>
      <c r="AY731" s="1007" t="s">
        <v>288</v>
      </c>
      <c r="AZ731" s="1007">
        <v>627</v>
      </c>
      <c r="BA731" s="347" t="str">
        <f t="shared" si="155"/>
        <v>Bag</v>
      </c>
      <c r="BB731" s="1008"/>
      <c r="BC731" s="1009"/>
      <c r="BD731" s="1009"/>
    </row>
    <row r="732" spans="1:56" s="1010" customFormat="1" ht="36.75" customHeight="1">
      <c r="A732" s="661">
        <f>SUBTOTAL(3,B$6:B732)</f>
        <v>727</v>
      </c>
      <c r="B732" s="661" t="s">
        <v>2265</v>
      </c>
      <c r="C732" s="662" t="s">
        <v>2266</v>
      </c>
      <c r="D732" s="1011">
        <v>41298</v>
      </c>
      <c r="E732" s="1011" t="s">
        <v>220</v>
      </c>
      <c r="F732" s="787" t="s">
        <v>528</v>
      </c>
      <c r="G732" s="996" t="s">
        <v>2257</v>
      </c>
      <c r="H732" s="1012">
        <v>6248000</v>
      </c>
      <c r="I732" s="1012">
        <v>800000</v>
      </c>
      <c r="J732" s="1012">
        <v>0</v>
      </c>
      <c r="K732" s="1012">
        <v>600000</v>
      </c>
      <c r="L732" s="1013">
        <f t="shared" si="154"/>
        <v>7648000</v>
      </c>
      <c r="M732" s="1014">
        <v>24</v>
      </c>
      <c r="N732" s="1013">
        <f t="shared" si="137"/>
        <v>7059692</v>
      </c>
      <c r="O732" s="1015">
        <v>2</v>
      </c>
      <c r="P732" s="1013">
        <f t="shared" si="138"/>
        <v>588308</v>
      </c>
      <c r="Q732" s="1016">
        <v>0</v>
      </c>
      <c r="R732" s="1013">
        <f t="shared" si="139"/>
        <v>0</v>
      </c>
      <c r="S732" s="1013">
        <f t="shared" si="140"/>
        <v>7648000</v>
      </c>
      <c r="T732" s="1017">
        <v>0</v>
      </c>
      <c r="U732" s="785">
        <v>0</v>
      </c>
      <c r="V732" s="785">
        <v>200000</v>
      </c>
      <c r="W732" s="1017">
        <v>500000</v>
      </c>
      <c r="X732" s="1017">
        <v>0</v>
      </c>
      <c r="Y732" s="1017">
        <v>400000</v>
      </c>
      <c r="Z732" s="1017">
        <v>353762</v>
      </c>
      <c r="AA732" s="1018"/>
      <c r="AB732" s="1013"/>
      <c r="AC732" s="1017">
        <v>0</v>
      </c>
      <c r="AD732" s="1017">
        <v>0</v>
      </c>
      <c r="AE732" s="1013">
        <v>55153.84375</v>
      </c>
      <c r="AF732" s="1019"/>
      <c r="AG732" s="1019">
        <f t="shared" si="157"/>
        <v>9156916</v>
      </c>
      <c r="AH732" s="1014">
        <v>18</v>
      </c>
      <c r="AI732" s="1014">
        <v>0</v>
      </c>
      <c r="AJ732" s="1014">
        <v>0</v>
      </c>
      <c r="AK732" s="1018">
        <v>0</v>
      </c>
      <c r="AL732" s="1020">
        <v>0</v>
      </c>
      <c r="AM732" s="1013">
        <f t="shared" si="156"/>
        <v>992769</v>
      </c>
      <c r="AN732" s="1045">
        <f t="shared" si="141"/>
        <v>10149685</v>
      </c>
      <c r="AO732" s="1013">
        <v>803040</v>
      </c>
      <c r="AP732" s="1013">
        <v>44100</v>
      </c>
      <c r="AQ732" s="1013">
        <v>0</v>
      </c>
      <c r="AR732" s="1013">
        <v>0</v>
      </c>
      <c r="AS732" s="1013">
        <v>0</v>
      </c>
      <c r="AT732" s="1045">
        <f t="shared" si="153"/>
        <v>9302545</v>
      </c>
      <c r="AU732" s="1004"/>
      <c r="AV732" s="870"/>
      <c r="AW732" s="782" t="s">
        <v>4711</v>
      </c>
      <c r="AX732" s="782" t="s">
        <v>4712</v>
      </c>
      <c r="AY732" s="1007" t="s">
        <v>287</v>
      </c>
      <c r="AZ732" s="1007">
        <v>627</v>
      </c>
      <c r="BA732" s="347" t="str">
        <f t="shared" si="155"/>
        <v>Box</v>
      </c>
      <c r="BB732" s="1008"/>
      <c r="BC732" s="1009"/>
      <c r="BD732" s="1009"/>
    </row>
    <row r="733" spans="1:56" s="1010" customFormat="1" ht="36.75" customHeight="1">
      <c r="A733" s="661">
        <f>SUBTOTAL(3,B$6:B733)</f>
        <v>728</v>
      </c>
      <c r="B733" s="661" t="s">
        <v>2267</v>
      </c>
      <c r="C733" s="662" t="s">
        <v>2268</v>
      </c>
      <c r="D733" s="1011">
        <v>43438</v>
      </c>
      <c r="E733" s="1011" t="s">
        <v>220</v>
      </c>
      <c r="F733" s="787" t="s">
        <v>528</v>
      </c>
      <c r="G733" s="996" t="s">
        <v>2208</v>
      </c>
      <c r="H733" s="1012">
        <v>5931000</v>
      </c>
      <c r="I733" s="1012">
        <v>800000</v>
      </c>
      <c r="J733" s="1012">
        <v>0</v>
      </c>
      <c r="K733" s="1012">
        <v>0</v>
      </c>
      <c r="L733" s="1013">
        <f t="shared" si="154"/>
        <v>6731000</v>
      </c>
      <c r="M733" s="1014">
        <v>23</v>
      </c>
      <c r="N733" s="1013">
        <f t="shared" si="137"/>
        <v>5954346</v>
      </c>
      <c r="O733" s="1015">
        <v>3</v>
      </c>
      <c r="P733" s="1013">
        <f t="shared" si="138"/>
        <v>776654</v>
      </c>
      <c r="Q733" s="1016">
        <v>0</v>
      </c>
      <c r="R733" s="1013">
        <f t="shared" si="139"/>
        <v>0</v>
      </c>
      <c r="S733" s="1013">
        <f t="shared" si="140"/>
        <v>6731000</v>
      </c>
      <c r="T733" s="1017">
        <v>0</v>
      </c>
      <c r="U733" s="785">
        <v>0</v>
      </c>
      <c r="V733" s="785">
        <v>200000</v>
      </c>
      <c r="W733" s="1017">
        <v>500000</v>
      </c>
      <c r="X733" s="1017">
        <v>0</v>
      </c>
      <c r="Y733" s="1017">
        <v>400000</v>
      </c>
      <c r="Z733" s="1017">
        <v>355120</v>
      </c>
      <c r="AA733" s="1018"/>
      <c r="AB733" s="1013"/>
      <c r="AC733" s="1017">
        <v>0</v>
      </c>
      <c r="AD733" s="1017">
        <v>0</v>
      </c>
      <c r="AE733" s="1013">
        <v>0</v>
      </c>
      <c r="AF733" s="1019"/>
      <c r="AG733" s="1019">
        <f t="shared" si="157"/>
        <v>8186120</v>
      </c>
      <c r="AH733" s="1014">
        <v>16.5</v>
      </c>
      <c r="AI733" s="1014">
        <v>0</v>
      </c>
      <c r="AJ733" s="1014">
        <v>0</v>
      </c>
      <c r="AK733" s="1018">
        <v>0</v>
      </c>
      <c r="AL733" s="1020">
        <v>0</v>
      </c>
      <c r="AM733" s="1013">
        <f t="shared" si="156"/>
        <v>800924</v>
      </c>
      <c r="AN733" s="1045">
        <f t="shared" si="141"/>
        <v>8987044</v>
      </c>
      <c r="AO733" s="1013">
        <v>706755</v>
      </c>
      <c r="AP733" s="1013">
        <v>44100</v>
      </c>
      <c r="AQ733" s="1013">
        <v>0</v>
      </c>
      <c r="AR733" s="1013">
        <v>0</v>
      </c>
      <c r="AS733" s="1013">
        <v>0</v>
      </c>
      <c r="AT733" s="1045">
        <f t="shared" si="153"/>
        <v>8236189</v>
      </c>
      <c r="AU733" s="1004"/>
      <c r="AV733" s="870"/>
      <c r="AW733" s="782" t="s">
        <v>4713</v>
      </c>
      <c r="AX733" s="782" t="s">
        <v>4714</v>
      </c>
      <c r="AY733" s="1007" t="s">
        <v>287</v>
      </c>
      <c r="AZ733" s="1007">
        <v>627</v>
      </c>
      <c r="BA733" s="347" t="str">
        <f t="shared" si="155"/>
        <v>Box</v>
      </c>
      <c r="BB733" s="1008"/>
      <c r="BC733" s="1009"/>
      <c r="BD733" s="1009"/>
    </row>
    <row r="734" spans="1:56" s="1010" customFormat="1" ht="36.75" customHeight="1">
      <c r="A734" s="661">
        <f>SUBTOTAL(3,B$6:B734)</f>
        <v>729</v>
      </c>
      <c r="B734" s="661" t="s">
        <v>2269</v>
      </c>
      <c r="C734" s="662" t="s">
        <v>2270</v>
      </c>
      <c r="D734" s="1011">
        <v>43530</v>
      </c>
      <c r="E734" s="1011" t="s">
        <v>220</v>
      </c>
      <c r="F734" s="787" t="s">
        <v>528</v>
      </c>
      <c r="G734" s="996" t="s">
        <v>2257</v>
      </c>
      <c r="H734" s="1012">
        <v>6248000</v>
      </c>
      <c r="I734" s="1012">
        <v>1700000</v>
      </c>
      <c r="J734" s="1012">
        <v>0</v>
      </c>
      <c r="K734" s="1012">
        <v>0</v>
      </c>
      <c r="L734" s="1013">
        <f t="shared" si="154"/>
        <v>7948000</v>
      </c>
      <c r="M734" s="1014">
        <v>24</v>
      </c>
      <c r="N734" s="1013">
        <f t="shared" si="137"/>
        <v>7336615</v>
      </c>
      <c r="O734" s="1015">
        <v>2</v>
      </c>
      <c r="P734" s="1013">
        <f t="shared" si="138"/>
        <v>611385</v>
      </c>
      <c r="Q734" s="1016">
        <v>0</v>
      </c>
      <c r="R734" s="1013">
        <f t="shared" si="139"/>
        <v>0</v>
      </c>
      <c r="S734" s="1013">
        <f t="shared" si="140"/>
        <v>7948000</v>
      </c>
      <c r="T734" s="1017">
        <v>0</v>
      </c>
      <c r="U734" s="785">
        <v>0</v>
      </c>
      <c r="V734" s="785">
        <v>200000</v>
      </c>
      <c r="W734" s="1017">
        <v>500000</v>
      </c>
      <c r="X734" s="1017">
        <v>0</v>
      </c>
      <c r="Y734" s="1017">
        <v>400000</v>
      </c>
      <c r="Z734" s="1017">
        <v>353762</v>
      </c>
      <c r="AA734" s="1018"/>
      <c r="AB734" s="1013"/>
      <c r="AC734" s="1017">
        <v>100000</v>
      </c>
      <c r="AD734" s="1017">
        <v>0</v>
      </c>
      <c r="AE734" s="1013">
        <v>0</v>
      </c>
      <c r="AF734" s="1019"/>
      <c r="AG734" s="1019">
        <f t="shared" si="157"/>
        <v>9501762</v>
      </c>
      <c r="AH734" s="1014">
        <v>50.5</v>
      </c>
      <c r="AI734" s="1014">
        <v>0</v>
      </c>
      <c r="AJ734" s="1014">
        <v>0</v>
      </c>
      <c r="AK734" s="1018">
        <v>0</v>
      </c>
      <c r="AL734" s="1020">
        <v>0</v>
      </c>
      <c r="AM734" s="1013">
        <f t="shared" si="156"/>
        <v>2894524</v>
      </c>
      <c r="AN734" s="1045">
        <f t="shared" si="141"/>
        <v>12396286</v>
      </c>
      <c r="AO734" s="1013">
        <v>834540</v>
      </c>
      <c r="AP734" s="1013">
        <v>44100</v>
      </c>
      <c r="AQ734" s="1013">
        <v>0</v>
      </c>
      <c r="AR734" s="1013">
        <v>0</v>
      </c>
      <c r="AS734" s="1013">
        <v>0</v>
      </c>
      <c r="AT734" s="1045">
        <f t="shared" si="153"/>
        <v>11517646</v>
      </c>
      <c r="AU734" s="1004"/>
      <c r="AV734" s="870"/>
      <c r="AW734" s="782" t="s">
        <v>4715</v>
      </c>
      <c r="AX734" s="782" t="s">
        <v>4716</v>
      </c>
      <c r="AY734" s="1007" t="s">
        <v>288</v>
      </c>
      <c r="AZ734" s="1007">
        <v>627</v>
      </c>
      <c r="BA734" s="347" t="str">
        <f t="shared" si="155"/>
        <v>Bag</v>
      </c>
      <c r="BB734" s="1008"/>
      <c r="BC734" s="1009"/>
      <c r="BD734" s="1009"/>
    </row>
    <row r="735" spans="1:56" s="1010" customFormat="1" ht="36.75" customHeight="1">
      <c r="A735" s="661">
        <f>SUBTOTAL(3,B$6:B735)</f>
        <v>730</v>
      </c>
      <c r="B735" s="661" t="s">
        <v>2271</v>
      </c>
      <c r="C735" s="662" t="s">
        <v>2272</v>
      </c>
      <c r="D735" s="1011">
        <v>43532</v>
      </c>
      <c r="E735" s="1011" t="s">
        <v>220</v>
      </c>
      <c r="F735" s="787" t="s">
        <v>528</v>
      </c>
      <c r="G735" s="996" t="s">
        <v>2208</v>
      </c>
      <c r="H735" s="1012">
        <v>5931000</v>
      </c>
      <c r="I735" s="1012">
        <v>900000</v>
      </c>
      <c r="J735" s="1012">
        <v>0</v>
      </c>
      <c r="K735" s="1012">
        <v>0</v>
      </c>
      <c r="L735" s="1013">
        <f t="shared" si="154"/>
        <v>6831000</v>
      </c>
      <c r="M735" s="1014">
        <v>23</v>
      </c>
      <c r="N735" s="1013">
        <f t="shared" si="137"/>
        <v>6042808</v>
      </c>
      <c r="O735" s="1015">
        <v>3</v>
      </c>
      <c r="P735" s="1013">
        <f t="shared" si="138"/>
        <v>788192</v>
      </c>
      <c r="Q735" s="1016">
        <v>0</v>
      </c>
      <c r="R735" s="1013">
        <f t="shared" si="139"/>
        <v>0</v>
      </c>
      <c r="S735" s="1013">
        <f t="shared" si="140"/>
        <v>6831000</v>
      </c>
      <c r="T735" s="1017">
        <v>0</v>
      </c>
      <c r="U735" s="785">
        <v>0</v>
      </c>
      <c r="V735" s="785">
        <v>200000</v>
      </c>
      <c r="W735" s="1017">
        <v>500000</v>
      </c>
      <c r="X735" s="1017">
        <v>0</v>
      </c>
      <c r="Y735" s="1017">
        <v>400000</v>
      </c>
      <c r="Z735" s="1017">
        <v>379163</v>
      </c>
      <c r="AA735" s="1018"/>
      <c r="AB735" s="1013"/>
      <c r="AC735" s="1017">
        <v>0</v>
      </c>
      <c r="AD735" s="1017">
        <v>0</v>
      </c>
      <c r="AE735" s="1013">
        <v>49262.02173913044</v>
      </c>
      <c r="AF735" s="1019"/>
      <c r="AG735" s="1019">
        <f t="shared" si="157"/>
        <v>8359425</v>
      </c>
      <c r="AH735" s="1014">
        <v>14.5</v>
      </c>
      <c r="AI735" s="1014">
        <v>0</v>
      </c>
      <c r="AJ735" s="1014">
        <v>0</v>
      </c>
      <c r="AK735" s="1018">
        <v>0</v>
      </c>
      <c r="AL735" s="1020">
        <v>0</v>
      </c>
      <c r="AM735" s="1013">
        <f t="shared" si="156"/>
        <v>714299</v>
      </c>
      <c r="AN735" s="1045">
        <f t="shared" si="141"/>
        <v>9073724</v>
      </c>
      <c r="AO735" s="1013">
        <v>717255</v>
      </c>
      <c r="AP735" s="1013">
        <v>44100</v>
      </c>
      <c r="AQ735" s="1013">
        <v>0</v>
      </c>
      <c r="AR735" s="1013">
        <v>0</v>
      </c>
      <c r="AS735" s="1013">
        <v>0</v>
      </c>
      <c r="AT735" s="1045">
        <f t="shared" si="153"/>
        <v>8312369</v>
      </c>
      <c r="AU735" s="1004"/>
      <c r="AV735" s="870"/>
      <c r="AW735" s="782" t="s">
        <v>4717</v>
      </c>
      <c r="AX735" s="782" t="s">
        <v>4718</v>
      </c>
      <c r="AY735" s="1007" t="s">
        <v>288</v>
      </c>
      <c r="AZ735" s="1007">
        <v>627</v>
      </c>
      <c r="BA735" s="347" t="str">
        <f t="shared" si="155"/>
        <v>Bag</v>
      </c>
      <c r="BB735" s="1008"/>
      <c r="BC735" s="1009"/>
      <c r="BD735" s="1009"/>
    </row>
    <row r="736" spans="1:56" s="1010" customFormat="1" ht="36.75" customHeight="1">
      <c r="A736" s="661">
        <f>SUBTOTAL(3,B$6:B736)</f>
        <v>731</v>
      </c>
      <c r="B736" s="661" t="s">
        <v>2273</v>
      </c>
      <c r="C736" s="662" t="s">
        <v>2274</v>
      </c>
      <c r="D736" s="1011">
        <v>43532</v>
      </c>
      <c r="E736" s="1011" t="s">
        <v>220</v>
      </c>
      <c r="F736" s="787" t="s">
        <v>528</v>
      </c>
      <c r="G736" s="996" t="s">
        <v>2208</v>
      </c>
      <c r="H736" s="1012">
        <v>5931000</v>
      </c>
      <c r="I736" s="1012">
        <v>500000</v>
      </c>
      <c r="J736" s="1012">
        <v>0</v>
      </c>
      <c r="K736" s="1012">
        <v>100000</v>
      </c>
      <c r="L736" s="1013">
        <f t="shared" si="154"/>
        <v>6531000</v>
      </c>
      <c r="M736" s="1014">
        <v>21.9</v>
      </c>
      <c r="N736" s="1013">
        <f t="shared" si="137"/>
        <v>5501112</v>
      </c>
      <c r="O736" s="1015">
        <v>3</v>
      </c>
      <c r="P736" s="1013">
        <f t="shared" si="138"/>
        <v>753577</v>
      </c>
      <c r="Q736" s="1016">
        <v>0</v>
      </c>
      <c r="R736" s="1013">
        <f t="shared" si="139"/>
        <v>0</v>
      </c>
      <c r="S736" s="1013">
        <f t="shared" si="140"/>
        <v>6254689</v>
      </c>
      <c r="T736" s="1017">
        <v>0</v>
      </c>
      <c r="U736" s="785">
        <v>0</v>
      </c>
      <c r="V736" s="785">
        <v>200000</v>
      </c>
      <c r="W736" s="1017">
        <v>0</v>
      </c>
      <c r="X736" s="1017">
        <v>0</v>
      </c>
      <c r="Y736" s="1017">
        <v>300000</v>
      </c>
      <c r="Z736" s="1017">
        <v>406114</v>
      </c>
      <c r="AA736" s="1018"/>
      <c r="AB736" s="1013"/>
      <c r="AC736" s="1017">
        <v>0</v>
      </c>
      <c r="AD736" s="1017">
        <v>0</v>
      </c>
      <c r="AE736" s="1013">
        <v>0</v>
      </c>
      <c r="AF736" s="1019"/>
      <c r="AG736" s="1019">
        <f t="shared" si="157"/>
        <v>7160803</v>
      </c>
      <c r="AH736" s="1014">
        <v>37.5</v>
      </c>
      <c r="AI736" s="1014">
        <v>0</v>
      </c>
      <c r="AJ736" s="1014">
        <v>0</v>
      </c>
      <c r="AK736" s="1018">
        <v>0</v>
      </c>
      <c r="AL736" s="1020">
        <v>0</v>
      </c>
      <c r="AM736" s="1013">
        <f t="shared" si="156"/>
        <v>1766196</v>
      </c>
      <c r="AN736" s="1045">
        <f t="shared" si="141"/>
        <v>8926999</v>
      </c>
      <c r="AO736" s="1013">
        <v>685755</v>
      </c>
      <c r="AP736" s="1013">
        <v>44100</v>
      </c>
      <c r="AQ736" s="1013">
        <v>0</v>
      </c>
      <c r="AR736" s="1013">
        <v>0</v>
      </c>
      <c r="AS736" s="1013">
        <v>0</v>
      </c>
      <c r="AT736" s="1045">
        <f t="shared" si="153"/>
        <v>8197144</v>
      </c>
      <c r="AU736" s="1004"/>
      <c r="AV736" s="870"/>
      <c r="AW736" s="782" t="s">
        <v>4719</v>
      </c>
      <c r="AX736" s="782" t="s">
        <v>4720</v>
      </c>
      <c r="AY736" s="1007" t="s">
        <v>288</v>
      </c>
      <c r="AZ736" s="1007">
        <v>627</v>
      </c>
      <c r="BA736" s="347" t="str">
        <f t="shared" si="155"/>
        <v>Bag</v>
      </c>
      <c r="BB736" s="1008"/>
      <c r="BC736" s="1009"/>
      <c r="BD736" s="1009"/>
    </row>
    <row r="737" spans="1:56" s="1010" customFormat="1" ht="36.75" customHeight="1">
      <c r="A737" s="661">
        <f>SUBTOTAL(3,B$6:B737)</f>
        <v>732</v>
      </c>
      <c r="B737" s="661" t="s">
        <v>2275</v>
      </c>
      <c r="C737" s="662" t="s">
        <v>2276</v>
      </c>
      <c r="D737" s="1011">
        <v>44063</v>
      </c>
      <c r="E737" s="1011" t="s">
        <v>220</v>
      </c>
      <c r="F737" s="787" t="s">
        <v>543</v>
      </c>
      <c r="G737" s="996" t="s">
        <v>2277</v>
      </c>
      <c r="H737" s="1012">
        <v>11000000</v>
      </c>
      <c r="I737" s="1012">
        <v>3000000</v>
      </c>
      <c r="J737" s="1012">
        <v>0</v>
      </c>
      <c r="K737" s="1012">
        <v>0</v>
      </c>
      <c r="L737" s="1013">
        <f t="shared" si="154"/>
        <v>14000000</v>
      </c>
      <c r="M737" s="1014">
        <v>24</v>
      </c>
      <c r="N737" s="1013">
        <f t="shared" si="137"/>
        <v>12923077</v>
      </c>
      <c r="O737" s="1015">
        <v>2</v>
      </c>
      <c r="P737" s="1013">
        <f t="shared" si="138"/>
        <v>1076923</v>
      </c>
      <c r="Q737" s="1016">
        <v>0</v>
      </c>
      <c r="R737" s="1013">
        <f t="shared" si="139"/>
        <v>0</v>
      </c>
      <c r="S737" s="1013">
        <f t="shared" si="140"/>
        <v>14000000</v>
      </c>
      <c r="T737" s="1017">
        <v>500000</v>
      </c>
      <c r="U737" s="785">
        <v>0</v>
      </c>
      <c r="V737" s="785">
        <v>0</v>
      </c>
      <c r="W737" s="1017">
        <v>0</v>
      </c>
      <c r="X737" s="1017">
        <v>0</v>
      </c>
      <c r="Y737" s="1017">
        <v>0</v>
      </c>
      <c r="Z737" s="1017">
        <v>0</v>
      </c>
      <c r="AA737" s="1018"/>
      <c r="AB737" s="1013"/>
      <c r="AC737" s="1017">
        <v>0</v>
      </c>
      <c r="AD737" s="1017">
        <v>0</v>
      </c>
      <c r="AE737" s="1013">
        <v>100961.5390625</v>
      </c>
      <c r="AF737" s="1019"/>
      <c r="AG737" s="1019">
        <f t="shared" si="157"/>
        <v>14600962</v>
      </c>
      <c r="AH737" s="1014">
        <v>0</v>
      </c>
      <c r="AI737" s="1014">
        <v>0</v>
      </c>
      <c r="AJ737" s="1014">
        <v>0</v>
      </c>
      <c r="AK737" s="1018">
        <v>0</v>
      </c>
      <c r="AL737" s="1020">
        <v>0</v>
      </c>
      <c r="AM737" s="1013">
        <f t="shared" si="156"/>
        <v>0</v>
      </c>
      <c r="AN737" s="1045">
        <f t="shared" si="141"/>
        <v>14600962</v>
      </c>
      <c r="AO737" s="1013">
        <v>1470000</v>
      </c>
      <c r="AP737" s="1013">
        <v>44100</v>
      </c>
      <c r="AQ737" s="1013">
        <v>0</v>
      </c>
      <c r="AR737" s="1013">
        <v>0</v>
      </c>
      <c r="AS737" s="1013">
        <v>0</v>
      </c>
      <c r="AT737" s="1045">
        <f t="shared" si="153"/>
        <v>13086862</v>
      </c>
      <c r="AU737" s="1004"/>
      <c r="AV737" s="870"/>
      <c r="AW737" s="782" t="s">
        <v>4233</v>
      </c>
      <c r="AX737" s="782" t="s">
        <v>4721</v>
      </c>
      <c r="AY737" s="1007" t="s">
        <v>221</v>
      </c>
      <c r="AZ737" s="1007">
        <v>642</v>
      </c>
      <c r="BA737" s="347" t="s">
        <v>1</v>
      </c>
      <c r="BB737" s="1008"/>
      <c r="BC737" s="1009"/>
      <c r="BD737" s="1009"/>
    </row>
    <row r="738" spans="1:56" s="1010" customFormat="1" ht="36.75" customHeight="1">
      <c r="A738" s="661">
        <f>SUBTOTAL(3,B$6:B738)</f>
        <v>733</v>
      </c>
      <c r="B738" s="661" t="s">
        <v>2278</v>
      </c>
      <c r="C738" s="662" t="s">
        <v>2279</v>
      </c>
      <c r="D738" s="1011">
        <v>44727</v>
      </c>
      <c r="E738" s="1011" t="s">
        <v>220</v>
      </c>
      <c r="F738" s="787" t="s">
        <v>543</v>
      </c>
      <c r="G738" s="996" t="s">
        <v>2277</v>
      </c>
      <c r="H738" s="1012">
        <v>10500000</v>
      </c>
      <c r="I738" s="1012">
        <v>1600000</v>
      </c>
      <c r="J738" s="1012">
        <v>0</v>
      </c>
      <c r="K738" s="1012">
        <v>0</v>
      </c>
      <c r="L738" s="1013">
        <f t="shared" si="154"/>
        <v>12100000</v>
      </c>
      <c r="M738" s="1014">
        <v>23</v>
      </c>
      <c r="N738" s="1013">
        <f t="shared" si="137"/>
        <v>10703846</v>
      </c>
      <c r="O738" s="1015">
        <v>2</v>
      </c>
      <c r="P738" s="1013">
        <f t="shared" si="138"/>
        <v>930769</v>
      </c>
      <c r="Q738" s="1016">
        <v>0</v>
      </c>
      <c r="R738" s="1013">
        <f t="shared" si="139"/>
        <v>0</v>
      </c>
      <c r="S738" s="1013">
        <f t="shared" si="140"/>
        <v>11634615</v>
      </c>
      <c r="T738" s="1017">
        <v>480769</v>
      </c>
      <c r="U738" s="785">
        <v>0</v>
      </c>
      <c r="V738" s="785">
        <v>0</v>
      </c>
      <c r="W738" s="1017">
        <v>0</v>
      </c>
      <c r="X738" s="1017">
        <v>0</v>
      </c>
      <c r="Y738" s="1017">
        <v>0</v>
      </c>
      <c r="Z738" s="1017">
        <v>0</v>
      </c>
      <c r="AA738" s="1018"/>
      <c r="AB738" s="1013"/>
      <c r="AC738" s="1017">
        <v>0</v>
      </c>
      <c r="AD738" s="1017">
        <v>0</v>
      </c>
      <c r="AE738" s="1013">
        <v>87259.614130434784</v>
      </c>
      <c r="AF738" s="1019"/>
      <c r="AG738" s="1019">
        <f t="shared" si="157"/>
        <v>12202644</v>
      </c>
      <c r="AH738" s="1014">
        <v>0</v>
      </c>
      <c r="AI738" s="1014">
        <v>0</v>
      </c>
      <c r="AJ738" s="1014">
        <v>0</v>
      </c>
      <c r="AK738" s="1018">
        <v>0</v>
      </c>
      <c r="AL738" s="1020">
        <v>0</v>
      </c>
      <c r="AM738" s="1013">
        <f t="shared" si="156"/>
        <v>0</v>
      </c>
      <c r="AN738" s="1045">
        <f t="shared" si="141"/>
        <v>12202644</v>
      </c>
      <c r="AO738" s="1013">
        <v>1270500</v>
      </c>
      <c r="AP738" s="1013">
        <v>44100</v>
      </c>
      <c r="AQ738" s="1013">
        <v>0</v>
      </c>
      <c r="AR738" s="1013">
        <v>0</v>
      </c>
      <c r="AS738" s="1013">
        <v>0</v>
      </c>
      <c r="AT738" s="1045">
        <f t="shared" si="153"/>
        <v>10888044</v>
      </c>
      <c r="AU738" s="1004"/>
      <c r="AV738" s="870"/>
      <c r="AW738" s="782" t="s">
        <v>4722</v>
      </c>
      <c r="AX738" s="782" t="s">
        <v>4723</v>
      </c>
      <c r="AY738" s="1007" t="s">
        <v>221</v>
      </c>
      <c r="AZ738" s="1007">
        <v>642</v>
      </c>
      <c r="BA738" s="347" t="s">
        <v>1</v>
      </c>
      <c r="BB738" s="1008"/>
      <c r="BC738" s="1009"/>
      <c r="BD738" s="1009"/>
    </row>
    <row r="739" spans="1:56" s="1010" customFormat="1" ht="36.75" customHeight="1">
      <c r="A739" s="661">
        <f>SUBTOTAL(3,B$6:B739)</f>
        <v>734</v>
      </c>
      <c r="B739" s="661" t="s">
        <v>2280</v>
      </c>
      <c r="C739" s="662" t="s">
        <v>2281</v>
      </c>
      <c r="D739" s="1011">
        <v>45356</v>
      </c>
      <c r="E739" s="1011" t="s">
        <v>220</v>
      </c>
      <c r="F739" s="787" t="s">
        <v>543</v>
      </c>
      <c r="G739" s="996" t="s">
        <v>2277</v>
      </c>
      <c r="H739" s="1012">
        <v>9000000</v>
      </c>
      <c r="I739" s="1012">
        <v>1400000</v>
      </c>
      <c r="J739" s="1012">
        <v>0</v>
      </c>
      <c r="K739" s="1012">
        <v>0</v>
      </c>
      <c r="L739" s="1013">
        <f t="shared" si="154"/>
        <v>10400000</v>
      </c>
      <c r="M739" s="1014">
        <v>22.9</v>
      </c>
      <c r="N739" s="1013">
        <f t="shared" si="137"/>
        <v>9160000</v>
      </c>
      <c r="O739" s="1015">
        <v>3</v>
      </c>
      <c r="P739" s="1013">
        <f t="shared" si="138"/>
        <v>1200000</v>
      </c>
      <c r="Q739" s="1016">
        <v>0</v>
      </c>
      <c r="R739" s="1013">
        <f t="shared" si="139"/>
        <v>0</v>
      </c>
      <c r="S739" s="1013">
        <f t="shared" si="140"/>
        <v>10360000</v>
      </c>
      <c r="T739" s="1017">
        <v>498077</v>
      </c>
      <c r="U739" s="785">
        <v>21000</v>
      </c>
      <c r="V739" s="785">
        <v>0</v>
      </c>
      <c r="W739" s="1017">
        <v>0</v>
      </c>
      <c r="X739" s="1017">
        <v>0</v>
      </c>
      <c r="Y739" s="1017">
        <v>0</v>
      </c>
      <c r="Z739" s="1017">
        <v>0</v>
      </c>
      <c r="AA739" s="1018"/>
      <c r="AB739" s="1013"/>
      <c r="AC739" s="1017">
        <v>0</v>
      </c>
      <c r="AD739" s="1017">
        <v>0</v>
      </c>
      <c r="AE739" s="1013">
        <v>0</v>
      </c>
      <c r="AF739" s="1019"/>
      <c r="AG739" s="1019">
        <f t="shared" si="157"/>
        <v>10879077</v>
      </c>
      <c r="AH739" s="1014">
        <v>33.5</v>
      </c>
      <c r="AI739" s="1014">
        <v>0</v>
      </c>
      <c r="AJ739" s="1014">
        <v>0</v>
      </c>
      <c r="AK739" s="1018">
        <v>0</v>
      </c>
      <c r="AL739" s="1020">
        <v>0</v>
      </c>
      <c r="AM739" s="1013">
        <f t="shared" si="156"/>
        <v>2512500</v>
      </c>
      <c r="AN739" s="1045">
        <f t="shared" si="141"/>
        <v>13391577</v>
      </c>
      <c r="AO739" s="1013">
        <v>1092000</v>
      </c>
      <c r="AP739" s="1013">
        <v>44100</v>
      </c>
      <c r="AQ739" s="1013">
        <v>3200</v>
      </c>
      <c r="AR739" s="1013">
        <v>0</v>
      </c>
      <c r="AS739" s="1013">
        <v>0</v>
      </c>
      <c r="AT739" s="1045">
        <f t="shared" si="153"/>
        <v>12252277</v>
      </c>
      <c r="AU739" s="1004"/>
      <c r="AV739" s="870"/>
      <c r="AW739" s="782" t="s">
        <v>4724</v>
      </c>
      <c r="AX739" s="782" t="s">
        <v>4725</v>
      </c>
      <c r="AY739" s="1007" t="s">
        <v>288</v>
      </c>
      <c r="AZ739" s="1007">
        <v>642</v>
      </c>
      <c r="BA739" s="347" t="s">
        <v>1</v>
      </c>
      <c r="BB739" s="1008"/>
      <c r="BC739" s="1009"/>
      <c r="BD739" s="1009"/>
    </row>
    <row r="740" spans="1:56" s="1010" customFormat="1" ht="36.75" customHeight="1">
      <c r="A740" s="661">
        <f>SUBTOTAL(3,B$6:B740)</f>
        <v>735</v>
      </c>
      <c r="B740" s="661" t="s">
        <v>2282</v>
      </c>
      <c r="C740" s="662" t="s">
        <v>2283</v>
      </c>
      <c r="D740" s="1011">
        <v>45365</v>
      </c>
      <c r="E740" s="1011" t="s">
        <v>220</v>
      </c>
      <c r="F740" s="787" t="s">
        <v>543</v>
      </c>
      <c r="G740" s="996" t="s">
        <v>2284</v>
      </c>
      <c r="H740" s="1012">
        <v>10000000</v>
      </c>
      <c r="I740" s="1012">
        <v>2000000</v>
      </c>
      <c r="J740" s="1012">
        <v>0</v>
      </c>
      <c r="K740" s="1012">
        <v>0</v>
      </c>
      <c r="L740" s="1013">
        <f t="shared" si="0"/>
        <v>12000000</v>
      </c>
      <c r="M740" s="1014">
        <v>22.6</v>
      </c>
      <c r="N740" s="1013">
        <f t="shared" si="82"/>
        <v>10430769</v>
      </c>
      <c r="O740" s="1015">
        <v>2</v>
      </c>
      <c r="P740" s="1013">
        <f t="shared" si="83"/>
        <v>923077</v>
      </c>
      <c r="Q740" s="1016">
        <v>0</v>
      </c>
      <c r="R740" s="1013">
        <f t="shared" si="84"/>
        <v>0</v>
      </c>
      <c r="S740" s="1013">
        <f t="shared" si="85"/>
        <v>11353846</v>
      </c>
      <c r="T740" s="1017">
        <v>473077</v>
      </c>
      <c r="U740" s="785">
        <v>0</v>
      </c>
      <c r="V740" s="785">
        <v>0</v>
      </c>
      <c r="W740" s="1017">
        <v>0</v>
      </c>
      <c r="X740" s="1017">
        <v>0</v>
      </c>
      <c r="Y740" s="1017">
        <v>0</v>
      </c>
      <c r="Z740" s="1017">
        <v>0</v>
      </c>
      <c r="AA740" s="1018"/>
      <c r="AB740" s="1013"/>
      <c r="AC740" s="1017">
        <v>0</v>
      </c>
      <c r="AD740" s="1017">
        <v>0</v>
      </c>
      <c r="AE740" s="1013">
        <v>86538.459623893796</v>
      </c>
      <c r="AF740" s="1019"/>
      <c r="AG740" s="1019">
        <f t="shared" si="157"/>
        <v>11913461</v>
      </c>
      <c r="AH740" s="1014">
        <v>0</v>
      </c>
      <c r="AI740" s="1014">
        <v>0</v>
      </c>
      <c r="AJ740" s="1014">
        <v>0</v>
      </c>
      <c r="AK740" s="1018">
        <v>0</v>
      </c>
      <c r="AL740" s="1020">
        <v>0</v>
      </c>
      <c r="AM740" s="1013">
        <f t="shared" si="156"/>
        <v>0</v>
      </c>
      <c r="AN740" s="1045">
        <f t="shared" si="118"/>
        <v>11913461</v>
      </c>
      <c r="AO740" s="1013">
        <v>1260000</v>
      </c>
      <c r="AP740" s="1013">
        <v>44100</v>
      </c>
      <c r="AQ740" s="1013">
        <v>0</v>
      </c>
      <c r="AR740" s="1013">
        <v>0</v>
      </c>
      <c r="AS740" s="1013">
        <v>0</v>
      </c>
      <c r="AT740" s="1045">
        <f t="shared" si="153"/>
        <v>10609361</v>
      </c>
      <c r="AU740" s="1004"/>
      <c r="AV740" s="870"/>
      <c r="AW740" s="782" t="s">
        <v>4726</v>
      </c>
      <c r="AX740" s="782" t="s">
        <v>4727</v>
      </c>
      <c r="AY740" s="1007" t="s">
        <v>287</v>
      </c>
      <c r="AZ740" s="1007">
        <v>642</v>
      </c>
      <c r="BA740" s="347" t="s">
        <v>1</v>
      </c>
      <c r="BB740" s="1008"/>
      <c r="BC740" s="1009"/>
      <c r="BD740" s="1009"/>
    </row>
    <row r="741" spans="1:56" s="1010" customFormat="1" ht="36.75" customHeight="1">
      <c r="A741" s="661">
        <f>SUBTOTAL(3,B$6:B741)</f>
        <v>736</v>
      </c>
      <c r="B741" s="661" t="s">
        <v>2285</v>
      </c>
      <c r="C741" s="662" t="s">
        <v>2286</v>
      </c>
      <c r="D741" s="1011">
        <v>41442</v>
      </c>
      <c r="E741" s="1011" t="s">
        <v>220</v>
      </c>
      <c r="F741" s="787" t="s">
        <v>543</v>
      </c>
      <c r="G741" s="996" t="s">
        <v>2284</v>
      </c>
      <c r="H741" s="1012">
        <v>10200000</v>
      </c>
      <c r="I741" s="1012">
        <v>4200000</v>
      </c>
      <c r="J741" s="1012">
        <v>0</v>
      </c>
      <c r="K741" s="1012">
        <v>0</v>
      </c>
      <c r="L741" s="1013">
        <f t="shared" si="0"/>
        <v>14400000</v>
      </c>
      <c r="M741" s="1014">
        <v>24</v>
      </c>
      <c r="N741" s="1013">
        <f t="shared" si="82"/>
        <v>13292308</v>
      </c>
      <c r="O741" s="1015">
        <v>2</v>
      </c>
      <c r="P741" s="1013">
        <f t="shared" si="83"/>
        <v>1107692</v>
      </c>
      <c r="Q741" s="1016">
        <v>0</v>
      </c>
      <c r="R741" s="1013">
        <f t="shared" si="84"/>
        <v>0</v>
      </c>
      <c r="S741" s="1013">
        <f t="shared" si="85"/>
        <v>14400000</v>
      </c>
      <c r="T741" s="1017">
        <v>500000</v>
      </c>
      <c r="U741" s="785">
        <v>0</v>
      </c>
      <c r="V741" s="785">
        <v>0</v>
      </c>
      <c r="W741" s="1017">
        <v>0</v>
      </c>
      <c r="X741" s="1017">
        <v>0</v>
      </c>
      <c r="Y741" s="1017">
        <v>0</v>
      </c>
      <c r="Z741" s="1017">
        <v>0</v>
      </c>
      <c r="AA741" s="1018"/>
      <c r="AB741" s="1013"/>
      <c r="AC741" s="1017">
        <v>100000</v>
      </c>
      <c r="AD741" s="1017">
        <v>0</v>
      </c>
      <c r="AE741" s="1013">
        <v>103846.15625</v>
      </c>
      <c r="AF741" s="1019"/>
      <c r="AG741" s="1019">
        <f t="shared" si="157"/>
        <v>15103846</v>
      </c>
      <c r="AH741" s="1014">
        <v>0</v>
      </c>
      <c r="AI741" s="1014">
        <v>0</v>
      </c>
      <c r="AJ741" s="1014">
        <v>0</v>
      </c>
      <c r="AK741" s="1018">
        <v>0</v>
      </c>
      <c r="AL741" s="1020">
        <v>0</v>
      </c>
      <c r="AM741" s="1013">
        <f t="shared" si="156"/>
        <v>0</v>
      </c>
      <c r="AN741" s="1045">
        <f t="shared" si="118"/>
        <v>15103846</v>
      </c>
      <c r="AO741" s="1013">
        <v>1512000</v>
      </c>
      <c r="AP741" s="1013">
        <v>44100</v>
      </c>
      <c r="AQ741" s="1013">
        <v>0</v>
      </c>
      <c r="AR741" s="1013">
        <v>0</v>
      </c>
      <c r="AS741" s="1013">
        <v>0</v>
      </c>
      <c r="AT741" s="1045">
        <f t="shared" si="153"/>
        <v>13547746</v>
      </c>
      <c r="AU741" s="1004"/>
      <c r="AV741" s="870"/>
      <c r="AW741" s="782" t="s">
        <v>4728</v>
      </c>
      <c r="AX741" s="782" t="s">
        <v>4729</v>
      </c>
      <c r="AY741" s="1007" t="s">
        <v>288</v>
      </c>
      <c r="AZ741" s="1007">
        <v>642</v>
      </c>
      <c r="BA741" s="347" t="s">
        <v>1</v>
      </c>
      <c r="BB741" s="1008"/>
      <c r="BC741" s="1009"/>
      <c r="BD741" s="1009"/>
    </row>
    <row r="742" spans="1:56" s="1010" customFormat="1" ht="36.75" customHeight="1">
      <c r="A742" s="661">
        <f>SUBTOTAL(3,B$6:B742)</f>
        <v>737</v>
      </c>
      <c r="B742" s="661" t="s">
        <v>2287</v>
      </c>
      <c r="C742" s="662" t="s">
        <v>2288</v>
      </c>
      <c r="D742" s="1011">
        <v>39874</v>
      </c>
      <c r="E742" s="1011" t="s">
        <v>220</v>
      </c>
      <c r="F742" s="787" t="s">
        <v>543</v>
      </c>
      <c r="G742" s="996" t="s">
        <v>2289</v>
      </c>
      <c r="H742" s="1012">
        <v>17700000</v>
      </c>
      <c r="I742" s="1012">
        <v>16200000</v>
      </c>
      <c r="J742" s="1012">
        <v>0</v>
      </c>
      <c r="K742" s="1012">
        <v>0</v>
      </c>
      <c r="L742" s="1013">
        <f t="shared" si="0"/>
        <v>33900000</v>
      </c>
      <c r="M742" s="1014">
        <v>24</v>
      </c>
      <c r="N742" s="1013">
        <f t="shared" si="82"/>
        <v>31292308</v>
      </c>
      <c r="O742" s="1015">
        <v>2</v>
      </c>
      <c r="P742" s="1013">
        <f t="shared" si="83"/>
        <v>2607692</v>
      </c>
      <c r="Q742" s="1016">
        <v>0</v>
      </c>
      <c r="R742" s="1013">
        <f t="shared" si="84"/>
        <v>0</v>
      </c>
      <c r="S742" s="1013">
        <f t="shared" si="85"/>
        <v>33900000</v>
      </c>
      <c r="T742" s="1017">
        <v>500000</v>
      </c>
      <c r="U742" s="785">
        <v>0</v>
      </c>
      <c r="V742" s="785">
        <v>0</v>
      </c>
      <c r="W742" s="1017">
        <v>0</v>
      </c>
      <c r="X742" s="1017">
        <v>0</v>
      </c>
      <c r="Y742" s="1017">
        <v>0</v>
      </c>
      <c r="Z742" s="1017">
        <v>0</v>
      </c>
      <c r="AA742" s="1018"/>
      <c r="AB742" s="1013"/>
      <c r="AC742" s="1017">
        <v>0</v>
      </c>
      <c r="AD742" s="1017">
        <v>0</v>
      </c>
      <c r="AE742" s="1013">
        <v>244471.15625</v>
      </c>
      <c r="AF742" s="1019"/>
      <c r="AG742" s="1019">
        <f t="shared" si="157"/>
        <v>34644471</v>
      </c>
      <c r="AH742" s="1014">
        <v>0</v>
      </c>
      <c r="AI742" s="1014">
        <v>0</v>
      </c>
      <c r="AJ742" s="1014">
        <v>0</v>
      </c>
      <c r="AK742" s="1018">
        <v>0</v>
      </c>
      <c r="AL742" s="1020">
        <v>0</v>
      </c>
      <c r="AM742" s="1013">
        <f t="shared" si="156"/>
        <v>0</v>
      </c>
      <c r="AN742" s="1045">
        <f t="shared" si="118"/>
        <v>34644471</v>
      </c>
      <c r="AO742" s="1013">
        <v>3559500</v>
      </c>
      <c r="AP742" s="1013">
        <v>0</v>
      </c>
      <c r="AQ742" s="1013">
        <v>882746</v>
      </c>
      <c r="AR742" s="1013">
        <v>0</v>
      </c>
      <c r="AS742" s="1013">
        <v>0</v>
      </c>
      <c r="AT742" s="1045">
        <f t="shared" si="153"/>
        <v>30202225</v>
      </c>
      <c r="AU742" s="1004"/>
      <c r="AV742" s="870"/>
      <c r="AW742" s="782" t="s">
        <v>4730</v>
      </c>
      <c r="AX742" s="782" t="s">
        <v>4731</v>
      </c>
      <c r="AY742" s="1007" t="s">
        <v>221</v>
      </c>
      <c r="AZ742" s="1007">
        <v>642</v>
      </c>
      <c r="BA742" s="347" t="s">
        <v>78</v>
      </c>
      <c r="BB742" s="1008"/>
      <c r="BC742" s="1009"/>
      <c r="BD742" s="1009"/>
    </row>
    <row r="743" spans="1:56" s="1010" customFormat="1" ht="36.75" customHeight="1">
      <c r="A743" s="661">
        <f>SUBTOTAL(3,B$6:B743)</f>
        <v>738</v>
      </c>
      <c r="B743" s="661" t="s">
        <v>2290</v>
      </c>
      <c r="C743" s="662" t="s">
        <v>2291</v>
      </c>
      <c r="D743" s="1011">
        <v>39904</v>
      </c>
      <c r="E743" s="1011" t="s">
        <v>220</v>
      </c>
      <c r="F743" s="787" t="s">
        <v>543</v>
      </c>
      <c r="G743" s="996" t="s">
        <v>2292</v>
      </c>
      <c r="H743" s="1012">
        <v>16200000</v>
      </c>
      <c r="I743" s="1012">
        <v>13800000</v>
      </c>
      <c r="J743" s="1012">
        <v>0</v>
      </c>
      <c r="K743" s="1012">
        <v>0</v>
      </c>
      <c r="L743" s="1013">
        <f t="shared" si="0"/>
        <v>30000000</v>
      </c>
      <c r="M743" s="1014">
        <v>24</v>
      </c>
      <c r="N743" s="1013">
        <f t="shared" si="82"/>
        <v>27692308</v>
      </c>
      <c r="O743" s="1015">
        <v>2</v>
      </c>
      <c r="P743" s="1013">
        <f t="shared" si="83"/>
        <v>2307692</v>
      </c>
      <c r="Q743" s="1016">
        <v>0</v>
      </c>
      <c r="R743" s="1013">
        <f t="shared" si="84"/>
        <v>0</v>
      </c>
      <c r="S743" s="1013">
        <f t="shared" si="85"/>
        <v>30000000</v>
      </c>
      <c r="T743" s="1017">
        <v>500000</v>
      </c>
      <c r="U743" s="785">
        <v>0</v>
      </c>
      <c r="V743" s="785">
        <v>0</v>
      </c>
      <c r="W743" s="1017">
        <v>0</v>
      </c>
      <c r="X743" s="1017">
        <v>0</v>
      </c>
      <c r="Y743" s="1017">
        <v>0</v>
      </c>
      <c r="Z743" s="1017">
        <v>0</v>
      </c>
      <c r="AA743" s="1018"/>
      <c r="AB743" s="1013"/>
      <c r="AC743" s="1017">
        <v>0</v>
      </c>
      <c r="AD743" s="1017">
        <v>0</v>
      </c>
      <c r="AE743" s="1013">
        <v>0</v>
      </c>
      <c r="AF743" s="1019"/>
      <c r="AG743" s="1019">
        <f t="shared" si="157"/>
        <v>30500000</v>
      </c>
      <c r="AH743" s="1014">
        <v>0</v>
      </c>
      <c r="AI743" s="1014">
        <v>0</v>
      </c>
      <c r="AJ743" s="1014">
        <v>0</v>
      </c>
      <c r="AK743" s="1018">
        <v>0</v>
      </c>
      <c r="AL743" s="1020">
        <v>0</v>
      </c>
      <c r="AM743" s="1013">
        <f t="shared" si="156"/>
        <v>0</v>
      </c>
      <c r="AN743" s="1045">
        <f t="shared" si="118"/>
        <v>30500000</v>
      </c>
      <c r="AO743" s="1013">
        <v>3150000</v>
      </c>
      <c r="AP743" s="1013">
        <v>0</v>
      </c>
      <c r="AQ743" s="1013">
        <v>465000</v>
      </c>
      <c r="AR743" s="1013">
        <v>0</v>
      </c>
      <c r="AS743" s="1013">
        <v>0</v>
      </c>
      <c r="AT743" s="1045">
        <f t="shared" si="153"/>
        <v>26885000</v>
      </c>
      <c r="AU743" s="1004"/>
      <c r="AV743" s="870"/>
      <c r="AW743" s="782" t="s">
        <v>4732</v>
      </c>
      <c r="AX743" s="782" t="s">
        <v>4733</v>
      </c>
      <c r="AY743" s="1007" t="s">
        <v>288</v>
      </c>
      <c r="AZ743" s="1007">
        <v>642</v>
      </c>
      <c r="BA743" s="347" t="s">
        <v>78</v>
      </c>
      <c r="BB743" s="1008"/>
      <c r="BC743" s="1009"/>
      <c r="BD743" s="1009"/>
    </row>
    <row r="744" spans="1:56" s="1010" customFormat="1" ht="36.75" customHeight="1">
      <c r="A744" s="661">
        <f>SUBTOTAL(3,B$6:B744)</f>
        <v>739</v>
      </c>
      <c r="B744" s="661" t="s">
        <v>2293</v>
      </c>
      <c r="C744" s="662" t="s">
        <v>2294</v>
      </c>
      <c r="D744" s="1011">
        <v>41001</v>
      </c>
      <c r="E744" s="1011" t="s">
        <v>220</v>
      </c>
      <c r="F744" s="787" t="s">
        <v>543</v>
      </c>
      <c r="G744" s="996" t="s">
        <v>2277</v>
      </c>
      <c r="H744" s="1012">
        <v>11600000</v>
      </c>
      <c r="I744" s="1012">
        <v>4300000</v>
      </c>
      <c r="J744" s="1012">
        <v>0</v>
      </c>
      <c r="K744" s="1012">
        <v>0</v>
      </c>
      <c r="L744" s="1013">
        <f t="shared" si="0"/>
        <v>15900000</v>
      </c>
      <c r="M744" s="1014">
        <v>23</v>
      </c>
      <c r="N744" s="1013">
        <f t="shared" si="82"/>
        <v>14065385</v>
      </c>
      <c r="O744" s="1015">
        <v>2</v>
      </c>
      <c r="P744" s="1013">
        <f t="shared" si="83"/>
        <v>1223077</v>
      </c>
      <c r="Q744" s="1016">
        <v>0</v>
      </c>
      <c r="R744" s="1013">
        <f t="shared" si="84"/>
        <v>0</v>
      </c>
      <c r="S744" s="1013">
        <f t="shared" si="85"/>
        <v>15288462</v>
      </c>
      <c r="T744" s="1017">
        <v>480769</v>
      </c>
      <c r="U744" s="785">
        <v>0</v>
      </c>
      <c r="V744" s="785">
        <v>0</v>
      </c>
      <c r="W744" s="1017">
        <v>0</v>
      </c>
      <c r="X744" s="1017">
        <v>0</v>
      </c>
      <c r="Y744" s="1017">
        <v>0</v>
      </c>
      <c r="Z744" s="1017">
        <v>0</v>
      </c>
      <c r="AA744" s="1018"/>
      <c r="AB744" s="1013"/>
      <c r="AC744" s="1017">
        <v>0</v>
      </c>
      <c r="AD744" s="1017">
        <v>0</v>
      </c>
      <c r="AE744" s="1013">
        <v>0</v>
      </c>
      <c r="AF744" s="1019"/>
      <c r="AG744" s="1019">
        <f t="shared" si="157"/>
        <v>15769231</v>
      </c>
      <c r="AH744" s="1014">
        <v>0</v>
      </c>
      <c r="AI744" s="1014">
        <v>0</v>
      </c>
      <c r="AJ744" s="1014">
        <v>0</v>
      </c>
      <c r="AK744" s="1018">
        <v>0</v>
      </c>
      <c r="AL744" s="1020">
        <v>0</v>
      </c>
      <c r="AM744" s="1013">
        <f t="shared" si="156"/>
        <v>0</v>
      </c>
      <c r="AN744" s="1045">
        <f t="shared" si="118"/>
        <v>15769231</v>
      </c>
      <c r="AO744" s="1013">
        <v>1669500</v>
      </c>
      <c r="AP744" s="1013">
        <v>44100</v>
      </c>
      <c r="AQ744" s="1013">
        <v>0</v>
      </c>
      <c r="AR744" s="1013">
        <v>0</v>
      </c>
      <c r="AS744" s="1013">
        <v>0</v>
      </c>
      <c r="AT744" s="1045">
        <f t="shared" si="153"/>
        <v>14055631</v>
      </c>
      <c r="AU744" s="1004"/>
      <c r="AV744" s="870"/>
      <c r="AW744" s="782" t="s">
        <v>4734</v>
      </c>
      <c r="AX744" s="782" t="s">
        <v>4735</v>
      </c>
      <c r="AY744" s="1007" t="s">
        <v>287</v>
      </c>
      <c r="AZ744" s="1007">
        <v>642</v>
      </c>
      <c r="BA744" s="347" t="s">
        <v>1</v>
      </c>
      <c r="BB744" s="1008"/>
      <c r="BC744" s="1009"/>
      <c r="BD744" s="1009"/>
    </row>
    <row r="745" spans="1:56" s="1010" customFormat="1" ht="36.75" customHeight="1">
      <c r="A745" s="661">
        <f>SUBTOTAL(3,B$6:B745)</f>
        <v>740</v>
      </c>
      <c r="B745" s="661" t="s">
        <v>2295</v>
      </c>
      <c r="C745" s="662" t="s">
        <v>2296</v>
      </c>
      <c r="D745" s="1011">
        <v>41218</v>
      </c>
      <c r="E745" s="1011" t="s">
        <v>220</v>
      </c>
      <c r="F745" s="787" t="s">
        <v>543</v>
      </c>
      <c r="G745" s="996" t="s">
        <v>2277</v>
      </c>
      <c r="H745" s="1012">
        <v>11700000</v>
      </c>
      <c r="I745" s="1012">
        <v>6000000</v>
      </c>
      <c r="J745" s="1012">
        <v>0</v>
      </c>
      <c r="K745" s="1012">
        <v>0</v>
      </c>
      <c r="L745" s="1013">
        <f t="shared" si="0"/>
        <v>17700000</v>
      </c>
      <c r="M745" s="1014">
        <v>23.5</v>
      </c>
      <c r="N745" s="1013">
        <f t="shared" si="82"/>
        <v>15998077</v>
      </c>
      <c r="O745" s="1015">
        <v>2</v>
      </c>
      <c r="P745" s="1013">
        <f t="shared" si="83"/>
        <v>1361538</v>
      </c>
      <c r="Q745" s="1016">
        <v>0</v>
      </c>
      <c r="R745" s="1013">
        <f t="shared" si="84"/>
        <v>0</v>
      </c>
      <c r="S745" s="1013">
        <f t="shared" si="85"/>
        <v>17359615</v>
      </c>
      <c r="T745" s="1017">
        <v>490385</v>
      </c>
      <c r="U745" s="785">
        <v>0</v>
      </c>
      <c r="V745" s="785">
        <v>0</v>
      </c>
      <c r="W745" s="1017">
        <v>0</v>
      </c>
      <c r="X745" s="1017">
        <v>0</v>
      </c>
      <c r="Y745" s="1017">
        <v>0</v>
      </c>
      <c r="Z745" s="1017">
        <v>0</v>
      </c>
      <c r="AA745" s="1018"/>
      <c r="AB745" s="1013"/>
      <c r="AC745" s="1017">
        <v>0</v>
      </c>
      <c r="AD745" s="1017">
        <v>0</v>
      </c>
      <c r="AE745" s="1013">
        <v>127644.23138297873</v>
      </c>
      <c r="AF745" s="1019"/>
      <c r="AG745" s="1019">
        <f t="shared" si="157"/>
        <v>17977644</v>
      </c>
      <c r="AH745" s="1014">
        <v>0</v>
      </c>
      <c r="AI745" s="1014">
        <v>0</v>
      </c>
      <c r="AJ745" s="1014">
        <v>0</v>
      </c>
      <c r="AK745" s="1018">
        <v>0</v>
      </c>
      <c r="AL745" s="1020">
        <v>0</v>
      </c>
      <c r="AM745" s="1013">
        <f t="shared" si="156"/>
        <v>0</v>
      </c>
      <c r="AN745" s="1045">
        <f t="shared" si="118"/>
        <v>17977644</v>
      </c>
      <c r="AO745" s="1013">
        <v>1858500</v>
      </c>
      <c r="AP745" s="1013">
        <v>44100</v>
      </c>
      <c r="AQ745" s="1013">
        <v>0</v>
      </c>
      <c r="AR745" s="1013">
        <v>0</v>
      </c>
      <c r="AS745" s="1013">
        <v>0</v>
      </c>
      <c r="AT745" s="1045">
        <f t="shared" si="153"/>
        <v>16075044</v>
      </c>
      <c r="AU745" s="1004"/>
      <c r="AV745" s="870"/>
      <c r="AW745" s="782" t="s">
        <v>4736</v>
      </c>
      <c r="AX745" s="782" t="s">
        <v>4737</v>
      </c>
      <c r="AY745" s="1007" t="s">
        <v>288</v>
      </c>
      <c r="AZ745" s="1007">
        <v>642</v>
      </c>
      <c r="BA745" s="347" t="s">
        <v>1</v>
      </c>
      <c r="BB745" s="1008"/>
      <c r="BC745" s="1009"/>
      <c r="BD745" s="1009"/>
    </row>
    <row r="746" spans="1:56" s="1010" customFormat="1" ht="36.75" customHeight="1">
      <c r="A746" s="661">
        <f>SUBTOTAL(3,B$6:B746)</f>
        <v>741</v>
      </c>
      <c r="B746" s="661" t="s">
        <v>2297</v>
      </c>
      <c r="C746" s="662" t="s">
        <v>2298</v>
      </c>
      <c r="D746" s="1011">
        <v>44320</v>
      </c>
      <c r="E746" s="1011" t="s">
        <v>220</v>
      </c>
      <c r="F746" s="787" t="s">
        <v>529</v>
      </c>
      <c r="G746" s="996" t="s">
        <v>1322</v>
      </c>
      <c r="H746" s="1012">
        <v>5931000</v>
      </c>
      <c r="I746" s="1012">
        <v>1100000</v>
      </c>
      <c r="J746" s="1012">
        <v>0</v>
      </c>
      <c r="K746" s="1012">
        <v>0</v>
      </c>
      <c r="L746" s="1013">
        <f t="shared" si="0"/>
        <v>7031000</v>
      </c>
      <c r="M746" s="1014">
        <v>22.8</v>
      </c>
      <c r="N746" s="1013">
        <f t="shared" si="82"/>
        <v>6165646</v>
      </c>
      <c r="O746" s="1015">
        <v>3</v>
      </c>
      <c r="P746" s="1013">
        <f t="shared" si="83"/>
        <v>811269</v>
      </c>
      <c r="Q746" s="1016">
        <v>0</v>
      </c>
      <c r="R746" s="1013">
        <f t="shared" si="84"/>
        <v>0</v>
      </c>
      <c r="S746" s="1013">
        <f t="shared" si="85"/>
        <v>6976915</v>
      </c>
      <c r="T746" s="1017">
        <v>0</v>
      </c>
      <c r="U746" s="785">
        <v>0</v>
      </c>
      <c r="V746" s="785">
        <v>200000</v>
      </c>
      <c r="W746" s="1017">
        <v>500000</v>
      </c>
      <c r="X746" s="1017">
        <v>0</v>
      </c>
      <c r="Y746" s="1017">
        <v>400000</v>
      </c>
      <c r="Z746" s="1017">
        <v>665000</v>
      </c>
      <c r="AA746" s="1018"/>
      <c r="AB746" s="1013"/>
      <c r="AC746" s="1017">
        <v>0</v>
      </c>
      <c r="AD746" s="1017">
        <v>0</v>
      </c>
      <c r="AE746" s="1013">
        <v>0</v>
      </c>
      <c r="AF746" s="1019"/>
      <c r="AG746" s="1019">
        <f t="shared" si="157"/>
        <v>8741915</v>
      </c>
      <c r="AH746" s="1014">
        <v>21</v>
      </c>
      <c r="AI746" s="1014">
        <v>0</v>
      </c>
      <c r="AJ746" s="1014">
        <v>0</v>
      </c>
      <c r="AK746" s="1018">
        <v>0</v>
      </c>
      <c r="AL746" s="1020">
        <v>0</v>
      </c>
      <c r="AM746" s="1013">
        <f t="shared" si="156"/>
        <v>1064791</v>
      </c>
      <c r="AN746" s="1045">
        <f t="shared" si="118"/>
        <v>9806706</v>
      </c>
      <c r="AO746" s="1013">
        <v>738255</v>
      </c>
      <c r="AP746" s="1013">
        <v>44100</v>
      </c>
      <c r="AQ746" s="1013">
        <v>0</v>
      </c>
      <c r="AR746" s="1013">
        <v>0</v>
      </c>
      <c r="AS746" s="1013">
        <v>0</v>
      </c>
      <c r="AT746" s="1045">
        <f t="shared" si="153"/>
        <v>9024351</v>
      </c>
      <c r="AU746" s="1004"/>
      <c r="AV746" s="870"/>
      <c r="AW746" s="782" t="s">
        <v>4738</v>
      </c>
      <c r="AX746" s="782" t="s">
        <v>4739</v>
      </c>
      <c r="AY746" s="1007" t="s">
        <v>288</v>
      </c>
      <c r="AZ746" s="1007">
        <v>622</v>
      </c>
      <c r="BA746" s="347" t="str">
        <f t="shared" ref="BA746:BA757" si="158">+IF(AY746="SK1 Box","Box",IF(AY746="Seaman","Seaman","Bag"))</f>
        <v>Bag</v>
      </c>
      <c r="BB746" s="1008"/>
      <c r="BC746" s="1009"/>
      <c r="BD746" s="1009"/>
    </row>
    <row r="747" spans="1:56" s="1010" customFormat="1" ht="36.75" customHeight="1">
      <c r="A747" s="661">
        <f>SUBTOTAL(3,B$6:B747)</f>
        <v>742</v>
      </c>
      <c r="B747" s="661" t="s">
        <v>2299</v>
      </c>
      <c r="C747" s="662" t="s">
        <v>2300</v>
      </c>
      <c r="D747" s="1011">
        <v>39601</v>
      </c>
      <c r="E747" s="1011" t="s">
        <v>220</v>
      </c>
      <c r="F747" s="787" t="s">
        <v>530</v>
      </c>
      <c r="G747" s="996" t="s">
        <v>2301</v>
      </c>
      <c r="H747" s="1012">
        <v>9118000</v>
      </c>
      <c r="I747" s="1012">
        <v>8200000</v>
      </c>
      <c r="J747" s="1012">
        <v>456000</v>
      </c>
      <c r="K747" s="1012">
        <v>0</v>
      </c>
      <c r="L747" s="1013">
        <f t="shared" si="0"/>
        <v>17774000</v>
      </c>
      <c r="M747" s="1014">
        <v>23</v>
      </c>
      <c r="N747" s="1013">
        <f t="shared" si="82"/>
        <v>15723154</v>
      </c>
      <c r="O747" s="1015">
        <v>3</v>
      </c>
      <c r="P747" s="1013">
        <f t="shared" si="83"/>
        <v>2050846</v>
      </c>
      <c r="Q747" s="1016">
        <v>0</v>
      </c>
      <c r="R747" s="1013">
        <f t="shared" si="84"/>
        <v>0</v>
      </c>
      <c r="S747" s="1013">
        <f t="shared" si="85"/>
        <v>17774000</v>
      </c>
      <c r="T747" s="1017">
        <v>0</v>
      </c>
      <c r="U747" s="785">
        <v>42000</v>
      </c>
      <c r="V747" s="785">
        <v>200000</v>
      </c>
      <c r="W747" s="1017">
        <v>500000</v>
      </c>
      <c r="X747" s="1017">
        <v>0</v>
      </c>
      <c r="Y747" s="1017">
        <v>400000</v>
      </c>
      <c r="Z747" s="1017">
        <v>0</v>
      </c>
      <c r="AA747" s="1018"/>
      <c r="AB747" s="1013"/>
      <c r="AC747" s="1017">
        <v>0</v>
      </c>
      <c r="AD747" s="1017">
        <v>0</v>
      </c>
      <c r="AE747" s="1013">
        <v>0</v>
      </c>
      <c r="AF747" s="1019"/>
      <c r="AG747" s="1019">
        <f t="shared" si="157"/>
        <v>18916000</v>
      </c>
      <c r="AH747" s="1014">
        <v>29.5</v>
      </c>
      <c r="AI747" s="1014">
        <v>8</v>
      </c>
      <c r="AJ747" s="1014">
        <v>0</v>
      </c>
      <c r="AK747" s="1018">
        <v>0</v>
      </c>
      <c r="AL747" s="1020">
        <v>0</v>
      </c>
      <c r="AM747" s="1013">
        <f t="shared" si="156"/>
        <v>5148478</v>
      </c>
      <c r="AN747" s="1045">
        <f t="shared" si="118"/>
        <v>24064478</v>
      </c>
      <c r="AO747" s="1013">
        <v>1866270</v>
      </c>
      <c r="AP747" s="1013">
        <v>44100</v>
      </c>
      <c r="AQ747" s="1013">
        <v>247709</v>
      </c>
      <c r="AR747" s="1013">
        <v>0</v>
      </c>
      <c r="AS747" s="1013">
        <v>0</v>
      </c>
      <c r="AT747" s="1045">
        <f t="shared" si="153"/>
        <v>21906399</v>
      </c>
      <c r="AU747" s="1004"/>
      <c r="AV747" s="870"/>
      <c r="AW747" s="782" t="s">
        <v>4740</v>
      </c>
      <c r="AX747" s="782" t="s">
        <v>4741</v>
      </c>
      <c r="AY747" s="1007" t="s">
        <v>287</v>
      </c>
      <c r="AZ747" s="1007">
        <v>622</v>
      </c>
      <c r="BA747" s="347" t="str">
        <f t="shared" si="158"/>
        <v>Box</v>
      </c>
      <c r="BB747" s="1008"/>
      <c r="BC747" s="1009"/>
      <c r="BD747" s="1009"/>
    </row>
    <row r="748" spans="1:56" s="1010" customFormat="1" ht="36.75" customHeight="1">
      <c r="A748" s="661">
        <f>SUBTOTAL(3,B$6:B748)</f>
        <v>743</v>
      </c>
      <c r="B748" s="661" t="s">
        <v>2302</v>
      </c>
      <c r="C748" s="662" t="s">
        <v>2303</v>
      </c>
      <c r="D748" s="1011">
        <v>43787</v>
      </c>
      <c r="E748" s="1011" t="s">
        <v>220</v>
      </c>
      <c r="F748" s="787" t="s">
        <v>530</v>
      </c>
      <c r="G748" s="996" t="s">
        <v>2304</v>
      </c>
      <c r="H748" s="1012">
        <v>7566000</v>
      </c>
      <c r="I748" s="1012">
        <v>4500000</v>
      </c>
      <c r="J748" s="1012">
        <v>378000</v>
      </c>
      <c r="K748" s="1012">
        <v>700000</v>
      </c>
      <c r="L748" s="1013">
        <f t="shared" ref="L748:L811" si="159">SUM(H748:K748)</f>
        <v>13144000</v>
      </c>
      <c r="M748" s="1014">
        <v>24</v>
      </c>
      <c r="N748" s="1013">
        <f t="shared" si="82"/>
        <v>12132923</v>
      </c>
      <c r="O748" s="1015">
        <v>2</v>
      </c>
      <c r="P748" s="1013">
        <f t="shared" si="83"/>
        <v>1011077</v>
      </c>
      <c r="Q748" s="1016">
        <v>0</v>
      </c>
      <c r="R748" s="1013">
        <f t="shared" si="84"/>
        <v>0</v>
      </c>
      <c r="S748" s="1013">
        <f t="shared" si="85"/>
        <v>13144000</v>
      </c>
      <c r="T748" s="1017">
        <v>0</v>
      </c>
      <c r="U748" s="785">
        <v>0</v>
      </c>
      <c r="V748" s="785">
        <v>200000</v>
      </c>
      <c r="W748" s="1017">
        <v>500000</v>
      </c>
      <c r="X748" s="1017">
        <v>0</v>
      </c>
      <c r="Y748" s="1017">
        <v>400000</v>
      </c>
      <c r="Z748" s="1017">
        <v>0</v>
      </c>
      <c r="AA748" s="1018"/>
      <c r="AB748" s="1013"/>
      <c r="AC748" s="1017">
        <v>100000</v>
      </c>
      <c r="AD748" s="1017">
        <v>0</v>
      </c>
      <c r="AE748" s="1013">
        <v>0</v>
      </c>
      <c r="AF748" s="1019"/>
      <c r="AG748" s="1019">
        <f t="shared" si="157"/>
        <v>14344000</v>
      </c>
      <c r="AH748" s="1014">
        <v>42.5</v>
      </c>
      <c r="AI748" s="1014">
        <v>0</v>
      </c>
      <c r="AJ748" s="1014">
        <v>0</v>
      </c>
      <c r="AK748" s="1018">
        <v>0</v>
      </c>
      <c r="AL748" s="1020">
        <v>0</v>
      </c>
      <c r="AM748" s="1013">
        <f t="shared" si="156"/>
        <v>4028510</v>
      </c>
      <c r="AN748" s="1045">
        <f t="shared" si="118"/>
        <v>18372510</v>
      </c>
      <c r="AO748" s="1013">
        <v>1380120</v>
      </c>
      <c r="AP748" s="1013">
        <v>44100</v>
      </c>
      <c r="AQ748" s="1013">
        <v>0</v>
      </c>
      <c r="AR748" s="1013">
        <v>0</v>
      </c>
      <c r="AS748" s="1013">
        <v>0</v>
      </c>
      <c r="AT748" s="1045">
        <f t="shared" si="153"/>
        <v>16948290</v>
      </c>
      <c r="AU748" s="1004"/>
      <c r="AV748" s="870"/>
      <c r="AW748" s="782" t="s">
        <v>4742</v>
      </c>
      <c r="AX748" s="782" t="s">
        <v>4743</v>
      </c>
      <c r="AY748" s="1007" t="s">
        <v>288</v>
      </c>
      <c r="AZ748" s="1007">
        <v>622</v>
      </c>
      <c r="BA748" s="347" t="str">
        <f t="shared" si="158"/>
        <v>Bag</v>
      </c>
      <c r="BB748" s="1008"/>
      <c r="BC748" s="1009"/>
      <c r="BD748" s="1009"/>
    </row>
    <row r="749" spans="1:56" s="1010" customFormat="1" ht="36.75" customHeight="1">
      <c r="A749" s="661">
        <f>SUBTOTAL(3,B$6:B749)</f>
        <v>744</v>
      </c>
      <c r="B749" s="661" t="s">
        <v>2305</v>
      </c>
      <c r="C749" s="662" t="s">
        <v>2306</v>
      </c>
      <c r="D749" s="1011">
        <v>44081</v>
      </c>
      <c r="E749" s="1011" t="s">
        <v>220</v>
      </c>
      <c r="F749" s="787" t="s">
        <v>530</v>
      </c>
      <c r="G749" s="996" t="s">
        <v>2307</v>
      </c>
      <c r="H749" s="1012">
        <v>6520000</v>
      </c>
      <c r="I749" s="1012">
        <v>1800000</v>
      </c>
      <c r="J749" s="1012">
        <v>0</v>
      </c>
      <c r="K749" s="1012">
        <v>800000</v>
      </c>
      <c r="L749" s="1013">
        <f t="shared" si="159"/>
        <v>9120000</v>
      </c>
      <c r="M749" s="1014">
        <v>22.8</v>
      </c>
      <c r="N749" s="1013">
        <f t="shared" ref="N749:N812" si="160">ROUND((H749+I749+J749+K749)/IF($M$2&gt;26,26,$M$2)*M749,0)</f>
        <v>7997538</v>
      </c>
      <c r="O749" s="1015">
        <v>3</v>
      </c>
      <c r="P749" s="1013">
        <f t="shared" ref="P749:P812" si="161">ROUND((H749+I749+J749+K749)/IF($M$2&gt;26,26,$M$2)*O749,0)</f>
        <v>1052308</v>
      </c>
      <c r="Q749" s="1016">
        <v>0</v>
      </c>
      <c r="R749" s="1013">
        <f t="shared" ref="R749:R812" si="162">IF(M749&gt;0,ROUND(N749/IF(M749&gt;26,26,M749)/8*Q749*30%,0),0)</f>
        <v>0</v>
      </c>
      <c r="S749" s="1013">
        <f t="shared" ref="S749:S812" si="163">N749+P749+R749</f>
        <v>9049846</v>
      </c>
      <c r="T749" s="1017">
        <v>0</v>
      </c>
      <c r="U749" s="785">
        <v>0</v>
      </c>
      <c r="V749" s="785">
        <v>200000</v>
      </c>
      <c r="W749" s="1017">
        <v>500000</v>
      </c>
      <c r="X749" s="1017">
        <v>0</v>
      </c>
      <c r="Y749" s="1017">
        <v>400000</v>
      </c>
      <c r="Z749" s="1017">
        <v>0</v>
      </c>
      <c r="AA749" s="1018"/>
      <c r="AB749" s="1013"/>
      <c r="AC749" s="1017">
        <v>0</v>
      </c>
      <c r="AD749" s="1017">
        <v>0</v>
      </c>
      <c r="AE749" s="1013">
        <v>65769.226973684214</v>
      </c>
      <c r="AF749" s="1019"/>
      <c r="AG749" s="1019">
        <f t="shared" si="157"/>
        <v>10215615</v>
      </c>
      <c r="AH749" s="1014">
        <v>0</v>
      </c>
      <c r="AI749" s="1014">
        <v>0</v>
      </c>
      <c r="AJ749" s="1014">
        <v>0</v>
      </c>
      <c r="AK749" s="1018">
        <v>0</v>
      </c>
      <c r="AL749" s="1020">
        <v>0</v>
      </c>
      <c r="AM749" s="1013">
        <f t="shared" si="156"/>
        <v>0</v>
      </c>
      <c r="AN749" s="1045">
        <f t="shared" si="118"/>
        <v>10215615</v>
      </c>
      <c r="AO749" s="1013">
        <v>957600</v>
      </c>
      <c r="AP749" s="1013">
        <v>44100</v>
      </c>
      <c r="AQ749" s="1013">
        <v>0</v>
      </c>
      <c r="AR749" s="1013">
        <v>0</v>
      </c>
      <c r="AS749" s="1013">
        <v>0</v>
      </c>
      <c r="AT749" s="1045">
        <f t="shared" ref="AT749:AT812" si="164">+ROUND(SUM(AN749:AN749)-SUM(AO749:AS749),0)</f>
        <v>9213915</v>
      </c>
      <c r="AU749" s="1004"/>
      <c r="AV749" s="870"/>
      <c r="AW749" s="782" t="s">
        <v>4744</v>
      </c>
      <c r="AX749" s="782" t="s">
        <v>4745</v>
      </c>
      <c r="AY749" s="1007" t="s">
        <v>287</v>
      </c>
      <c r="AZ749" s="1007">
        <v>622</v>
      </c>
      <c r="BA749" s="347" t="str">
        <f t="shared" si="158"/>
        <v>Box</v>
      </c>
      <c r="BB749" s="1008"/>
      <c r="BC749" s="1009"/>
      <c r="BD749" s="1009"/>
    </row>
    <row r="750" spans="1:56" s="1010" customFormat="1" ht="36.75" customHeight="1">
      <c r="A750" s="661">
        <f>SUBTOTAL(3,B$6:B750)</f>
        <v>745</v>
      </c>
      <c r="B750" s="661" t="s">
        <v>2308</v>
      </c>
      <c r="C750" s="662" t="s">
        <v>2309</v>
      </c>
      <c r="D750" s="1011">
        <v>44322</v>
      </c>
      <c r="E750" s="1011" t="s">
        <v>220</v>
      </c>
      <c r="F750" s="787" t="s">
        <v>530</v>
      </c>
      <c r="G750" s="996" t="s">
        <v>2310</v>
      </c>
      <c r="H750" s="1012">
        <v>9220000</v>
      </c>
      <c r="I750" s="1012">
        <v>1000000</v>
      </c>
      <c r="J750" s="1012">
        <v>0</v>
      </c>
      <c r="K750" s="1012">
        <v>0</v>
      </c>
      <c r="L750" s="1013">
        <f t="shared" si="159"/>
        <v>10220000</v>
      </c>
      <c r="M750" s="1014">
        <v>24</v>
      </c>
      <c r="N750" s="1013">
        <f t="shared" si="160"/>
        <v>9433846</v>
      </c>
      <c r="O750" s="1015">
        <v>2</v>
      </c>
      <c r="P750" s="1013">
        <f t="shared" si="161"/>
        <v>786154</v>
      </c>
      <c r="Q750" s="1016">
        <v>0</v>
      </c>
      <c r="R750" s="1013">
        <f t="shared" si="162"/>
        <v>0</v>
      </c>
      <c r="S750" s="1013">
        <f t="shared" si="163"/>
        <v>10220000</v>
      </c>
      <c r="T750" s="1017">
        <v>500000</v>
      </c>
      <c r="U750" s="785">
        <v>0</v>
      </c>
      <c r="V750" s="785">
        <v>0</v>
      </c>
      <c r="W750" s="1017">
        <v>0</v>
      </c>
      <c r="X750" s="1017">
        <v>0</v>
      </c>
      <c r="Y750" s="1017">
        <v>0</v>
      </c>
      <c r="Z750" s="1017">
        <v>0</v>
      </c>
      <c r="AA750" s="1018"/>
      <c r="AB750" s="1013"/>
      <c r="AC750" s="1017">
        <v>0</v>
      </c>
      <c r="AD750" s="1017">
        <v>0</v>
      </c>
      <c r="AE750" s="1013">
        <v>0</v>
      </c>
      <c r="AF750" s="1019"/>
      <c r="AG750" s="1019">
        <f t="shared" si="157"/>
        <v>10720000</v>
      </c>
      <c r="AH750" s="1014">
        <v>0</v>
      </c>
      <c r="AI750" s="1014">
        <v>0</v>
      </c>
      <c r="AJ750" s="1014">
        <v>0</v>
      </c>
      <c r="AK750" s="1018">
        <v>0</v>
      </c>
      <c r="AL750" s="1020">
        <v>0</v>
      </c>
      <c r="AM750" s="1013">
        <f t="shared" si="156"/>
        <v>0</v>
      </c>
      <c r="AN750" s="1045">
        <f t="shared" si="118"/>
        <v>10720000</v>
      </c>
      <c r="AO750" s="1013">
        <v>1073100</v>
      </c>
      <c r="AP750" s="1013">
        <v>44100</v>
      </c>
      <c r="AQ750" s="1013">
        <v>0</v>
      </c>
      <c r="AR750" s="1013">
        <v>0</v>
      </c>
      <c r="AS750" s="1013">
        <v>0</v>
      </c>
      <c r="AT750" s="1045">
        <f t="shared" si="164"/>
        <v>9602800</v>
      </c>
      <c r="AU750" s="1004"/>
      <c r="AV750" s="870"/>
      <c r="AW750" s="782" t="s">
        <v>4746</v>
      </c>
      <c r="AX750" s="782" t="s">
        <v>4747</v>
      </c>
      <c r="AY750" s="1007" t="s">
        <v>288</v>
      </c>
      <c r="AZ750" s="1007">
        <v>622</v>
      </c>
      <c r="BA750" s="347" t="str">
        <f t="shared" si="158"/>
        <v>Bag</v>
      </c>
      <c r="BB750" s="1008"/>
      <c r="BC750" s="1009"/>
      <c r="BD750" s="1009"/>
    </row>
    <row r="751" spans="1:56" s="1010" customFormat="1" ht="36.75" customHeight="1">
      <c r="A751" s="661">
        <f>SUBTOTAL(3,B$6:B751)</f>
        <v>746</v>
      </c>
      <c r="B751" s="661" t="s">
        <v>2311</v>
      </c>
      <c r="C751" s="662" t="s">
        <v>2312</v>
      </c>
      <c r="D751" s="1011">
        <v>44848</v>
      </c>
      <c r="E751" s="1011" t="s">
        <v>220</v>
      </c>
      <c r="F751" s="787" t="s">
        <v>530</v>
      </c>
      <c r="G751" s="996" t="s">
        <v>2313</v>
      </c>
      <c r="H751" s="1012">
        <v>5765000</v>
      </c>
      <c r="I751" s="1012">
        <v>3200000</v>
      </c>
      <c r="J751" s="1012">
        <v>288000</v>
      </c>
      <c r="K751" s="1012">
        <v>0</v>
      </c>
      <c r="L751" s="1013">
        <f t="shared" si="159"/>
        <v>9253000</v>
      </c>
      <c r="M751" s="1014">
        <v>23.5</v>
      </c>
      <c r="N751" s="1013">
        <f t="shared" si="160"/>
        <v>8363288</v>
      </c>
      <c r="O751" s="1015">
        <v>2</v>
      </c>
      <c r="P751" s="1013">
        <f t="shared" si="161"/>
        <v>711769</v>
      </c>
      <c r="Q751" s="1016">
        <v>0</v>
      </c>
      <c r="R751" s="1013">
        <f t="shared" si="162"/>
        <v>0</v>
      </c>
      <c r="S751" s="1013">
        <f t="shared" si="163"/>
        <v>9075057</v>
      </c>
      <c r="T751" s="1017">
        <v>0</v>
      </c>
      <c r="U751" s="785">
        <v>0</v>
      </c>
      <c r="V751" s="785">
        <v>200000</v>
      </c>
      <c r="W751" s="1017">
        <v>500000</v>
      </c>
      <c r="X751" s="1017">
        <v>0</v>
      </c>
      <c r="Y751" s="1017">
        <v>400000</v>
      </c>
      <c r="Z751" s="1017">
        <v>0</v>
      </c>
      <c r="AA751" s="1018"/>
      <c r="AB751" s="1013"/>
      <c r="AC751" s="1017">
        <v>0</v>
      </c>
      <c r="AD751" s="1017">
        <v>0</v>
      </c>
      <c r="AE751" s="1013">
        <v>0</v>
      </c>
      <c r="AF751" s="1019"/>
      <c r="AG751" s="1019">
        <f t="shared" si="157"/>
        <v>10175057</v>
      </c>
      <c r="AH751" s="1014">
        <v>36</v>
      </c>
      <c r="AI751" s="1014">
        <v>0</v>
      </c>
      <c r="AJ751" s="1014">
        <v>0</v>
      </c>
      <c r="AK751" s="1018">
        <v>0</v>
      </c>
      <c r="AL751" s="1020">
        <v>0</v>
      </c>
      <c r="AM751" s="1013">
        <f t="shared" si="156"/>
        <v>2402221</v>
      </c>
      <c r="AN751" s="1045">
        <f t="shared" si="118"/>
        <v>12577278</v>
      </c>
      <c r="AO751" s="1013">
        <v>971565</v>
      </c>
      <c r="AP751" s="1013">
        <v>44100</v>
      </c>
      <c r="AQ751" s="1013">
        <v>0</v>
      </c>
      <c r="AR751" s="1013">
        <v>33500</v>
      </c>
      <c r="AS751" s="1013">
        <v>0</v>
      </c>
      <c r="AT751" s="1045">
        <f t="shared" si="164"/>
        <v>11528113</v>
      </c>
      <c r="AU751" s="1004"/>
      <c r="AV751" s="870"/>
      <c r="AW751" s="782" t="s">
        <v>4748</v>
      </c>
      <c r="AX751" s="782" t="s">
        <v>4749</v>
      </c>
      <c r="AY751" s="1007" t="s">
        <v>288</v>
      </c>
      <c r="AZ751" s="1007">
        <v>622</v>
      </c>
      <c r="BA751" s="347" t="str">
        <f t="shared" si="158"/>
        <v>Bag</v>
      </c>
      <c r="BB751" s="1008"/>
      <c r="BC751" s="1009"/>
      <c r="BD751" s="1009"/>
    </row>
    <row r="752" spans="1:56" s="1010" customFormat="1" ht="36.75" customHeight="1">
      <c r="A752" s="661">
        <f>SUBTOTAL(3,B$6:B752)</f>
        <v>747</v>
      </c>
      <c r="B752" s="661" t="s">
        <v>2314</v>
      </c>
      <c r="C752" s="662" t="s">
        <v>2315</v>
      </c>
      <c r="D752" s="1011">
        <v>45341</v>
      </c>
      <c r="E752" s="1011" t="s">
        <v>220</v>
      </c>
      <c r="F752" s="787" t="s">
        <v>530</v>
      </c>
      <c r="G752" s="996" t="s">
        <v>2310</v>
      </c>
      <c r="H752" s="1012">
        <v>7500000</v>
      </c>
      <c r="I752" s="1012">
        <v>2500000</v>
      </c>
      <c r="J752" s="1012">
        <v>0</v>
      </c>
      <c r="K752" s="1012">
        <v>0</v>
      </c>
      <c r="L752" s="1013">
        <f t="shared" si="159"/>
        <v>10000000</v>
      </c>
      <c r="M752" s="1014">
        <v>24</v>
      </c>
      <c r="N752" s="1013">
        <f t="shared" si="160"/>
        <v>9230769</v>
      </c>
      <c r="O752" s="1015">
        <v>2</v>
      </c>
      <c r="P752" s="1013">
        <f t="shared" si="161"/>
        <v>769231</v>
      </c>
      <c r="Q752" s="1016">
        <v>0</v>
      </c>
      <c r="R752" s="1013">
        <f t="shared" si="162"/>
        <v>0</v>
      </c>
      <c r="S752" s="1013">
        <f t="shared" si="163"/>
        <v>10000000</v>
      </c>
      <c r="T752" s="1017">
        <v>500000</v>
      </c>
      <c r="U752" s="785">
        <v>0</v>
      </c>
      <c r="V752" s="785">
        <v>0</v>
      </c>
      <c r="W752" s="1017">
        <v>0</v>
      </c>
      <c r="X752" s="1017">
        <v>0</v>
      </c>
      <c r="Y752" s="1017">
        <v>0</v>
      </c>
      <c r="Z752" s="1017">
        <v>0</v>
      </c>
      <c r="AA752" s="1018"/>
      <c r="AB752" s="1013"/>
      <c r="AC752" s="1017">
        <v>0</v>
      </c>
      <c r="AD752" s="1017">
        <v>0</v>
      </c>
      <c r="AE752" s="1013">
        <v>0</v>
      </c>
      <c r="AF752" s="1019"/>
      <c r="AG752" s="1019">
        <f t="shared" si="157"/>
        <v>10500000</v>
      </c>
      <c r="AH752" s="1014">
        <v>0</v>
      </c>
      <c r="AI752" s="1014">
        <v>0</v>
      </c>
      <c r="AJ752" s="1014">
        <v>0</v>
      </c>
      <c r="AK752" s="1018">
        <v>0</v>
      </c>
      <c r="AL752" s="1020">
        <v>0</v>
      </c>
      <c r="AM752" s="1013">
        <f t="shared" si="156"/>
        <v>0</v>
      </c>
      <c r="AN752" s="1045">
        <f t="shared" si="118"/>
        <v>10500000</v>
      </c>
      <c r="AO752" s="1013">
        <v>1050000</v>
      </c>
      <c r="AP752" s="1013">
        <v>44100</v>
      </c>
      <c r="AQ752" s="1013">
        <v>0</v>
      </c>
      <c r="AR752" s="1013">
        <v>0</v>
      </c>
      <c r="AS752" s="1013">
        <v>0</v>
      </c>
      <c r="AT752" s="1045">
        <f t="shared" si="164"/>
        <v>9405900</v>
      </c>
      <c r="AU752" s="1004"/>
      <c r="AV752" s="870"/>
      <c r="AW752" s="782" t="s">
        <v>4750</v>
      </c>
      <c r="AX752" s="782" t="s">
        <v>4751</v>
      </c>
      <c r="AY752" s="1007" t="s">
        <v>288</v>
      </c>
      <c r="AZ752" s="1007">
        <v>622</v>
      </c>
      <c r="BA752" s="347" t="str">
        <f t="shared" si="158"/>
        <v>Bag</v>
      </c>
      <c r="BB752" s="1008"/>
      <c r="BC752" s="1009"/>
      <c r="BD752" s="1009"/>
    </row>
    <row r="753" spans="1:56" s="1010" customFormat="1" ht="36.75" customHeight="1">
      <c r="A753" s="661">
        <f>SUBTOTAL(3,B$6:B753)</f>
        <v>748</v>
      </c>
      <c r="B753" s="661" t="s">
        <v>1451</v>
      </c>
      <c r="C753" s="662" t="s">
        <v>1452</v>
      </c>
      <c r="D753" s="1011">
        <v>45720</v>
      </c>
      <c r="E753" s="1011" t="s">
        <v>220</v>
      </c>
      <c r="F753" s="787" t="s">
        <v>530</v>
      </c>
      <c r="G753" s="996" t="s">
        <v>2313</v>
      </c>
      <c r="H753" s="1012">
        <v>5023000</v>
      </c>
      <c r="I753" s="1012">
        <v>1200000</v>
      </c>
      <c r="J753" s="1012">
        <v>252000</v>
      </c>
      <c r="K753" s="1012">
        <v>1000000</v>
      </c>
      <c r="L753" s="1013">
        <f t="shared" si="159"/>
        <v>7475000</v>
      </c>
      <c r="M753" s="1014">
        <v>23.8</v>
      </c>
      <c r="N753" s="1013">
        <f t="shared" si="160"/>
        <v>6842500</v>
      </c>
      <c r="O753" s="1015">
        <v>2</v>
      </c>
      <c r="P753" s="1013">
        <f t="shared" si="161"/>
        <v>575000</v>
      </c>
      <c r="Q753" s="1016">
        <v>0</v>
      </c>
      <c r="R753" s="1013">
        <f t="shared" si="162"/>
        <v>0</v>
      </c>
      <c r="S753" s="1013">
        <f t="shared" si="163"/>
        <v>7417500</v>
      </c>
      <c r="T753" s="1017">
        <v>0</v>
      </c>
      <c r="U753" s="785">
        <v>0</v>
      </c>
      <c r="V753" s="785">
        <v>200000</v>
      </c>
      <c r="W753" s="1017">
        <v>500000</v>
      </c>
      <c r="X753" s="1017">
        <v>0</v>
      </c>
      <c r="Y753" s="1017">
        <v>400000</v>
      </c>
      <c r="Z753" s="1017">
        <v>0</v>
      </c>
      <c r="AA753" s="1018"/>
      <c r="AB753" s="1013"/>
      <c r="AC753" s="1017">
        <v>0</v>
      </c>
      <c r="AD753" s="1017">
        <v>0</v>
      </c>
      <c r="AE753" s="1013">
        <v>0</v>
      </c>
      <c r="AF753" s="1019"/>
      <c r="AG753" s="1019">
        <f t="shared" si="157"/>
        <v>8517500</v>
      </c>
      <c r="AH753" s="1014">
        <v>32</v>
      </c>
      <c r="AI753" s="1014">
        <v>0</v>
      </c>
      <c r="AJ753" s="1014">
        <v>0</v>
      </c>
      <c r="AK753" s="1018">
        <v>0</v>
      </c>
      <c r="AL753" s="1020">
        <v>0</v>
      </c>
      <c r="AM753" s="1013">
        <f t="shared" si="156"/>
        <v>1725000</v>
      </c>
      <c r="AN753" s="1045">
        <f t="shared" si="118"/>
        <v>10242500</v>
      </c>
      <c r="AO753" s="1013">
        <v>784875</v>
      </c>
      <c r="AP753" s="1013">
        <v>44100</v>
      </c>
      <c r="AQ753" s="1013">
        <v>0</v>
      </c>
      <c r="AR753" s="1013">
        <v>0</v>
      </c>
      <c r="AS753" s="1013">
        <v>39923</v>
      </c>
      <c r="AT753" s="1045">
        <f t="shared" si="164"/>
        <v>9373602</v>
      </c>
      <c r="AU753" s="1004"/>
      <c r="AV753" s="870"/>
      <c r="AW753" s="782" t="s">
        <v>3949</v>
      </c>
      <c r="AX753" s="782" t="s">
        <v>3950</v>
      </c>
      <c r="AY753" s="1007" t="s">
        <v>287</v>
      </c>
      <c r="AZ753" s="1007">
        <v>622</v>
      </c>
      <c r="BA753" s="347" t="str">
        <f t="shared" si="158"/>
        <v>Box</v>
      </c>
      <c r="BB753" s="1008"/>
      <c r="BC753" s="1009"/>
      <c r="BD753" s="1009"/>
    </row>
    <row r="754" spans="1:56" s="1010" customFormat="1" ht="36.75" customHeight="1">
      <c r="A754" s="661">
        <f>SUBTOTAL(3,B$6:B754)</f>
        <v>749</v>
      </c>
      <c r="B754" s="661" t="s">
        <v>2317</v>
      </c>
      <c r="C754" s="662" t="s">
        <v>2318</v>
      </c>
      <c r="D754" s="1011">
        <v>40133</v>
      </c>
      <c r="E754" s="1011" t="s">
        <v>220</v>
      </c>
      <c r="F754" s="787" t="s">
        <v>530</v>
      </c>
      <c r="G754" s="996" t="s">
        <v>2319</v>
      </c>
      <c r="H754" s="1012">
        <v>7209000</v>
      </c>
      <c r="I754" s="1012">
        <v>5200000</v>
      </c>
      <c r="J754" s="1012">
        <v>360000</v>
      </c>
      <c r="K754" s="1012">
        <v>300000</v>
      </c>
      <c r="L754" s="1013">
        <f t="shared" si="159"/>
        <v>13069000</v>
      </c>
      <c r="M754" s="1014">
        <v>24</v>
      </c>
      <c r="N754" s="1013">
        <f t="shared" si="160"/>
        <v>12063692</v>
      </c>
      <c r="O754" s="1015">
        <v>2</v>
      </c>
      <c r="P754" s="1013">
        <f t="shared" si="161"/>
        <v>1005308</v>
      </c>
      <c r="Q754" s="1016">
        <v>0</v>
      </c>
      <c r="R754" s="1013">
        <f t="shared" si="162"/>
        <v>0</v>
      </c>
      <c r="S754" s="1013">
        <f t="shared" si="163"/>
        <v>13069000</v>
      </c>
      <c r="T754" s="1017">
        <v>0</v>
      </c>
      <c r="U754" s="785">
        <v>0</v>
      </c>
      <c r="V754" s="785">
        <v>200000</v>
      </c>
      <c r="W754" s="1017">
        <v>500000</v>
      </c>
      <c r="X754" s="1017">
        <v>882000</v>
      </c>
      <c r="Y754" s="1017">
        <v>400000</v>
      </c>
      <c r="Z754" s="1017">
        <v>0</v>
      </c>
      <c r="AA754" s="1018"/>
      <c r="AB754" s="1013"/>
      <c r="AC754" s="1017">
        <v>0</v>
      </c>
      <c r="AD754" s="1017">
        <v>0</v>
      </c>
      <c r="AE754" s="1013">
        <v>0</v>
      </c>
      <c r="AF754" s="1019"/>
      <c r="AG754" s="1019">
        <f t="shared" si="157"/>
        <v>15051000</v>
      </c>
      <c r="AH754" s="1014">
        <v>40</v>
      </c>
      <c r="AI754" s="1014">
        <v>0</v>
      </c>
      <c r="AJ754" s="1014">
        <v>0</v>
      </c>
      <c r="AK754" s="1018">
        <v>0</v>
      </c>
      <c r="AL754" s="1020">
        <v>0</v>
      </c>
      <c r="AM754" s="1013">
        <f t="shared" si="156"/>
        <v>3769904</v>
      </c>
      <c r="AN754" s="1045">
        <f t="shared" si="118"/>
        <v>18820904</v>
      </c>
      <c r="AO754" s="1013">
        <v>1372245</v>
      </c>
      <c r="AP754" s="1013">
        <v>44100</v>
      </c>
      <c r="AQ754" s="1013">
        <v>0</v>
      </c>
      <c r="AR754" s="1013">
        <v>0</v>
      </c>
      <c r="AS754" s="1013">
        <v>0</v>
      </c>
      <c r="AT754" s="1045">
        <f t="shared" si="164"/>
        <v>17404559</v>
      </c>
      <c r="AU754" s="1004"/>
      <c r="AV754" s="870"/>
      <c r="AW754" s="782" t="s">
        <v>3921</v>
      </c>
      <c r="AX754" s="782" t="s">
        <v>4752</v>
      </c>
      <c r="AY754" s="1007" t="s">
        <v>287</v>
      </c>
      <c r="AZ754" s="1007">
        <v>622</v>
      </c>
      <c r="BA754" s="347" t="str">
        <f t="shared" si="158"/>
        <v>Box</v>
      </c>
      <c r="BB754" s="1008"/>
      <c r="BC754" s="1009"/>
      <c r="BD754" s="1009"/>
    </row>
    <row r="755" spans="1:56" s="1010" customFormat="1" ht="36.75" customHeight="1">
      <c r="A755" s="661">
        <f>SUBTOTAL(3,B$6:B755)</f>
        <v>750</v>
      </c>
      <c r="B755" s="661" t="s">
        <v>2320</v>
      </c>
      <c r="C755" s="662" t="s">
        <v>2321</v>
      </c>
      <c r="D755" s="1011">
        <v>40968</v>
      </c>
      <c r="E755" s="1011" t="s">
        <v>220</v>
      </c>
      <c r="F755" s="787" t="s">
        <v>530</v>
      </c>
      <c r="G755" s="996" t="s">
        <v>2316</v>
      </c>
      <c r="H755" s="1012">
        <v>6908000</v>
      </c>
      <c r="I755" s="1012">
        <v>5000000</v>
      </c>
      <c r="J755" s="1012">
        <v>345000</v>
      </c>
      <c r="K755" s="1012">
        <v>300000</v>
      </c>
      <c r="L755" s="1013">
        <f t="shared" si="159"/>
        <v>12553000</v>
      </c>
      <c r="M755" s="1014">
        <v>23.6</v>
      </c>
      <c r="N755" s="1013">
        <f t="shared" si="160"/>
        <v>11394262</v>
      </c>
      <c r="O755" s="1015">
        <v>2</v>
      </c>
      <c r="P755" s="1013">
        <f t="shared" si="161"/>
        <v>965615</v>
      </c>
      <c r="Q755" s="1016">
        <v>0</v>
      </c>
      <c r="R755" s="1013">
        <f t="shared" si="162"/>
        <v>0</v>
      </c>
      <c r="S755" s="1013">
        <f t="shared" si="163"/>
        <v>12359877</v>
      </c>
      <c r="T755" s="1017">
        <v>0</v>
      </c>
      <c r="U755" s="785">
        <v>42000</v>
      </c>
      <c r="V755" s="785">
        <v>200000</v>
      </c>
      <c r="W755" s="1017">
        <v>500000</v>
      </c>
      <c r="X755" s="1017">
        <v>0</v>
      </c>
      <c r="Y755" s="1017">
        <v>400000</v>
      </c>
      <c r="Z755" s="1017">
        <v>0</v>
      </c>
      <c r="AA755" s="1018"/>
      <c r="AB755" s="1013"/>
      <c r="AC755" s="1017">
        <v>0</v>
      </c>
      <c r="AD755" s="1017">
        <v>0</v>
      </c>
      <c r="AE755" s="1013">
        <v>0</v>
      </c>
      <c r="AF755" s="1019"/>
      <c r="AG755" s="1019">
        <f t="shared" si="157"/>
        <v>13501877</v>
      </c>
      <c r="AH755" s="1014">
        <v>52</v>
      </c>
      <c r="AI755" s="1014">
        <v>8</v>
      </c>
      <c r="AJ755" s="1014">
        <v>0</v>
      </c>
      <c r="AK755" s="1018">
        <v>0</v>
      </c>
      <c r="AL755" s="1020">
        <v>0</v>
      </c>
      <c r="AM755" s="1013">
        <f t="shared" si="156"/>
        <v>5672991</v>
      </c>
      <c r="AN755" s="1045">
        <f t="shared" si="118"/>
        <v>19174868</v>
      </c>
      <c r="AO755" s="1013">
        <v>1318065</v>
      </c>
      <c r="AP755" s="1013">
        <v>44100</v>
      </c>
      <c r="AQ755" s="1013">
        <v>0</v>
      </c>
      <c r="AR755" s="1013">
        <v>0</v>
      </c>
      <c r="AS755" s="1013">
        <v>0</v>
      </c>
      <c r="AT755" s="1045">
        <f t="shared" si="164"/>
        <v>17812703</v>
      </c>
      <c r="AU755" s="1004"/>
      <c r="AV755" s="870"/>
      <c r="AW755" s="782" t="s">
        <v>4753</v>
      </c>
      <c r="AX755" s="782" t="s">
        <v>4754</v>
      </c>
      <c r="AY755" s="1007" t="s">
        <v>288</v>
      </c>
      <c r="AZ755" s="1007">
        <v>622</v>
      </c>
      <c r="BA755" s="347" t="str">
        <f t="shared" si="158"/>
        <v>Bag</v>
      </c>
      <c r="BB755" s="1008"/>
      <c r="BC755" s="1009"/>
      <c r="BD755" s="1009"/>
    </row>
    <row r="756" spans="1:56" s="1010" customFormat="1" ht="36.75" customHeight="1">
      <c r="A756" s="661">
        <f>SUBTOTAL(3,B$6:B756)</f>
        <v>751</v>
      </c>
      <c r="B756" s="661" t="s">
        <v>2322</v>
      </c>
      <c r="C756" s="662" t="s">
        <v>2323</v>
      </c>
      <c r="D756" s="1011">
        <v>41200</v>
      </c>
      <c r="E756" s="1011" t="s">
        <v>220</v>
      </c>
      <c r="F756" s="787" t="s">
        <v>530</v>
      </c>
      <c r="G756" s="996" t="s">
        <v>2316</v>
      </c>
      <c r="H756" s="1012">
        <v>6908000</v>
      </c>
      <c r="I756" s="1012">
        <v>5000000</v>
      </c>
      <c r="J756" s="1012">
        <v>345000</v>
      </c>
      <c r="K756" s="1012">
        <v>800000</v>
      </c>
      <c r="L756" s="1013">
        <f t="shared" si="159"/>
        <v>13053000</v>
      </c>
      <c r="M756" s="1014">
        <v>23.7</v>
      </c>
      <c r="N756" s="1013">
        <f t="shared" si="160"/>
        <v>11898312</v>
      </c>
      <c r="O756" s="1015">
        <v>2</v>
      </c>
      <c r="P756" s="1013">
        <f t="shared" si="161"/>
        <v>1004077</v>
      </c>
      <c r="Q756" s="1016">
        <v>0</v>
      </c>
      <c r="R756" s="1013">
        <f t="shared" si="162"/>
        <v>0</v>
      </c>
      <c r="S756" s="1013">
        <f t="shared" si="163"/>
        <v>12902389</v>
      </c>
      <c r="T756" s="1017">
        <v>0</v>
      </c>
      <c r="U756" s="785">
        <v>42000</v>
      </c>
      <c r="V756" s="785">
        <v>200000</v>
      </c>
      <c r="W756" s="1017">
        <v>500000</v>
      </c>
      <c r="X756" s="1017">
        <v>0</v>
      </c>
      <c r="Y756" s="1017">
        <v>400000</v>
      </c>
      <c r="Z756" s="1017">
        <v>0</v>
      </c>
      <c r="AA756" s="1018"/>
      <c r="AB756" s="1013"/>
      <c r="AC756" s="1017">
        <v>0</v>
      </c>
      <c r="AD756" s="1017">
        <v>0</v>
      </c>
      <c r="AE756" s="1013">
        <v>0</v>
      </c>
      <c r="AF756" s="1019"/>
      <c r="AG756" s="1019">
        <f t="shared" si="157"/>
        <v>14044389</v>
      </c>
      <c r="AH756" s="1014">
        <v>44</v>
      </c>
      <c r="AI756" s="1014">
        <v>8</v>
      </c>
      <c r="AJ756" s="1014">
        <v>0</v>
      </c>
      <c r="AK756" s="1018">
        <v>0</v>
      </c>
      <c r="AL756" s="1020">
        <v>0</v>
      </c>
      <c r="AM756" s="1013">
        <f t="shared" si="156"/>
        <v>5145894</v>
      </c>
      <c r="AN756" s="1045">
        <f t="shared" si="118"/>
        <v>19190283</v>
      </c>
      <c r="AO756" s="1013">
        <v>1370565</v>
      </c>
      <c r="AP756" s="1013">
        <v>44100</v>
      </c>
      <c r="AQ756" s="1013">
        <v>0</v>
      </c>
      <c r="AR756" s="1013">
        <v>0</v>
      </c>
      <c r="AS756" s="1013">
        <v>0</v>
      </c>
      <c r="AT756" s="1045">
        <f t="shared" si="164"/>
        <v>17775618</v>
      </c>
      <c r="AU756" s="1004"/>
      <c r="AV756" s="870"/>
      <c r="AW756" s="782" t="s">
        <v>4755</v>
      </c>
      <c r="AX756" s="782" t="s">
        <v>4756</v>
      </c>
      <c r="AY756" s="1007" t="s">
        <v>287</v>
      </c>
      <c r="AZ756" s="1007">
        <v>622</v>
      </c>
      <c r="BA756" s="347" t="str">
        <f t="shared" si="158"/>
        <v>Box</v>
      </c>
      <c r="BB756" s="1008"/>
      <c r="BC756" s="1009"/>
      <c r="BD756" s="1009"/>
    </row>
    <row r="757" spans="1:56" s="1010" customFormat="1" ht="36.75" customHeight="1">
      <c r="A757" s="661">
        <f>SUBTOTAL(3,B$6:B757)</f>
        <v>752</v>
      </c>
      <c r="B757" s="661" t="s">
        <v>2324</v>
      </c>
      <c r="C757" s="662" t="s">
        <v>2325</v>
      </c>
      <c r="D757" s="1011">
        <v>43508</v>
      </c>
      <c r="E757" s="1011" t="s">
        <v>220</v>
      </c>
      <c r="F757" s="787" t="s">
        <v>530</v>
      </c>
      <c r="G757" s="996" t="s">
        <v>2316</v>
      </c>
      <c r="H757" s="1012">
        <v>5825000</v>
      </c>
      <c r="I757" s="1012">
        <v>5000000</v>
      </c>
      <c r="J757" s="1012">
        <v>292000</v>
      </c>
      <c r="K757" s="1012">
        <v>1000000</v>
      </c>
      <c r="L757" s="1013">
        <f t="shared" si="159"/>
        <v>12117000</v>
      </c>
      <c r="M757" s="1014">
        <v>24</v>
      </c>
      <c r="N757" s="1013">
        <f t="shared" si="160"/>
        <v>11184923</v>
      </c>
      <c r="O757" s="1015">
        <v>2</v>
      </c>
      <c r="P757" s="1013">
        <f t="shared" si="161"/>
        <v>932077</v>
      </c>
      <c r="Q757" s="1016">
        <v>0</v>
      </c>
      <c r="R757" s="1013">
        <f t="shared" si="162"/>
        <v>0</v>
      </c>
      <c r="S757" s="1013">
        <f t="shared" si="163"/>
        <v>12117000</v>
      </c>
      <c r="T757" s="1017">
        <v>0</v>
      </c>
      <c r="U757" s="785">
        <v>42000</v>
      </c>
      <c r="V757" s="785">
        <v>200000</v>
      </c>
      <c r="W757" s="1017">
        <v>500000</v>
      </c>
      <c r="X757" s="1017">
        <v>0</v>
      </c>
      <c r="Y757" s="1017">
        <v>400000</v>
      </c>
      <c r="Z757" s="1017">
        <v>0</v>
      </c>
      <c r="AA757" s="1018"/>
      <c r="AB757" s="1013"/>
      <c r="AC757" s="1017">
        <v>100000</v>
      </c>
      <c r="AD757" s="1017">
        <v>0</v>
      </c>
      <c r="AE757" s="1013">
        <v>0</v>
      </c>
      <c r="AF757" s="1019"/>
      <c r="AG757" s="1019">
        <f t="shared" si="157"/>
        <v>13359000</v>
      </c>
      <c r="AH757" s="1014">
        <v>36</v>
      </c>
      <c r="AI757" s="1014">
        <v>8</v>
      </c>
      <c r="AJ757" s="1014">
        <v>0</v>
      </c>
      <c r="AK757" s="1018">
        <v>0</v>
      </c>
      <c r="AL757" s="1020">
        <v>0</v>
      </c>
      <c r="AM757" s="1013">
        <f t="shared" si="156"/>
        <v>4077837</v>
      </c>
      <c r="AN757" s="1045">
        <f t="shared" si="118"/>
        <v>17436837</v>
      </c>
      <c r="AO757" s="1013">
        <v>1272285</v>
      </c>
      <c r="AP757" s="1013">
        <v>44100</v>
      </c>
      <c r="AQ757" s="1013">
        <v>0</v>
      </c>
      <c r="AR757" s="1013">
        <v>0</v>
      </c>
      <c r="AS757" s="1013">
        <v>0</v>
      </c>
      <c r="AT757" s="1045">
        <f t="shared" si="164"/>
        <v>16120452</v>
      </c>
      <c r="AU757" s="1004"/>
      <c r="AV757" s="870"/>
      <c r="AW757" s="782" t="s">
        <v>4757</v>
      </c>
      <c r="AX757" s="782" t="s">
        <v>4758</v>
      </c>
      <c r="AY757" s="1007" t="s">
        <v>288</v>
      </c>
      <c r="AZ757" s="1007">
        <v>622</v>
      </c>
      <c r="BA757" s="347" t="str">
        <f t="shared" si="158"/>
        <v>Bag</v>
      </c>
      <c r="BB757" s="1008"/>
      <c r="BC757" s="1009"/>
      <c r="BD757" s="1009"/>
    </row>
    <row r="758" spans="1:56" s="1010" customFormat="1" ht="36.75" customHeight="1">
      <c r="A758" s="661">
        <f>SUBTOTAL(3,B$6:B758)</f>
        <v>753</v>
      </c>
      <c r="B758" s="661" t="s">
        <v>2326</v>
      </c>
      <c r="C758" s="662" t="s">
        <v>2327</v>
      </c>
      <c r="D758" s="1011">
        <v>43536</v>
      </c>
      <c r="E758" s="1011" t="s">
        <v>220</v>
      </c>
      <c r="F758" s="787" t="s">
        <v>530</v>
      </c>
      <c r="G758" s="996" t="s">
        <v>2328</v>
      </c>
      <c r="H758" s="1012">
        <v>14600000</v>
      </c>
      <c r="I758" s="1012">
        <v>5900000</v>
      </c>
      <c r="J758" s="1012">
        <v>0</v>
      </c>
      <c r="K758" s="1012">
        <v>0</v>
      </c>
      <c r="L758" s="1013">
        <f t="shared" si="159"/>
        <v>20500000</v>
      </c>
      <c r="M758" s="1014">
        <v>23.5</v>
      </c>
      <c r="N758" s="1013">
        <f t="shared" si="160"/>
        <v>18528846</v>
      </c>
      <c r="O758" s="1015">
        <v>2</v>
      </c>
      <c r="P758" s="1013">
        <f t="shared" si="161"/>
        <v>1576923</v>
      </c>
      <c r="Q758" s="1016">
        <v>0</v>
      </c>
      <c r="R758" s="1013">
        <f t="shared" si="162"/>
        <v>0</v>
      </c>
      <c r="S758" s="1013">
        <f t="shared" si="163"/>
        <v>20105769</v>
      </c>
      <c r="T758" s="1017">
        <v>490385</v>
      </c>
      <c r="U758" s="785">
        <v>0</v>
      </c>
      <c r="V758" s="785">
        <v>0</v>
      </c>
      <c r="W758" s="1017">
        <v>0</v>
      </c>
      <c r="X758" s="1017">
        <v>0</v>
      </c>
      <c r="Y758" s="1017">
        <v>0</v>
      </c>
      <c r="Z758" s="1017">
        <v>0</v>
      </c>
      <c r="AA758" s="1018"/>
      <c r="AB758" s="1013"/>
      <c r="AC758" s="1017">
        <v>100000</v>
      </c>
      <c r="AD758" s="1017">
        <v>0</v>
      </c>
      <c r="AE758" s="1013">
        <v>0</v>
      </c>
      <c r="AF758" s="1019"/>
      <c r="AG758" s="1019">
        <f t="shared" si="157"/>
        <v>20696154</v>
      </c>
      <c r="AH758" s="1014">
        <v>0</v>
      </c>
      <c r="AI758" s="1014">
        <v>0</v>
      </c>
      <c r="AJ758" s="1014">
        <v>0</v>
      </c>
      <c r="AK758" s="1018">
        <v>0</v>
      </c>
      <c r="AL758" s="1020">
        <v>0</v>
      </c>
      <c r="AM758" s="1013">
        <f t="shared" si="156"/>
        <v>0</v>
      </c>
      <c r="AN758" s="1045">
        <f t="shared" si="118"/>
        <v>20696154</v>
      </c>
      <c r="AO758" s="1013">
        <v>2152500</v>
      </c>
      <c r="AP758" s="1013">
        <v>44100</v>
      </c>
      <c r="AQ758" s="1013">
        <v>137663</v>
      </c>
      <c r="AR758" s="1013">
        <v>0</v>
      </c>
      <c r="AS758" s="1013">
        <v>0</v>
      </c>
      <c r="AT758" s="1045">
        <f t="shared" si="164"/>
        <v>18361891</v>
      </c>
      <c r="AU758" s="1004"/>
      <c r="AV758" s="870"/>
      <c r="AW758" s="782" t="s">
        <v>4759</v>
      </c>
      <c r="AX758" s="782" t="s">
        <v>4760</v>
      </c>
      <c r="AY758" s="1007" t="s">
        <v>287</v>
      </c>
      <c r="AZ758" s="1007">
        <v>622</v>
      </c>
      <c r="BA758" s="347" t="s">
        <v>78</v>
      </c>
      <c r="BB758" s="1008"/>
      <c r="BC758" s="1009"/>
      <c r="BD758" s="1009"/>
    </row>
    <row r="759" spans="1:56" s="1010" customFormat="1" ht="36.75" customHeight="1">
      <c r="A759" s="661">
        <f>SUBTOTAL(3,B$6:B759)</f>
        <v>754</v>
      </c>
      <c r="B759" s="661" t="s">
        <v>2329</v>
      </c>
      <c r="C759" s="662" t="s">
        <v>2330</v>
      </c>
      <c r="D759" s="1011">
        <v>43587</v>
      </c>
      <c r="E759" s="1011" t="s">
        <v>220</v>
      </c>
      <c r="F759" s="787" t="s">
        <v>544</v>
      </c>
      <c r="G759" s="996" t="s">
        <v>2331</v>
      </c>
      <c r="H759" s="1012">
        <v>20000000</v>
      </c>
      <c r="I759" s="1012">
        <v>9000000</v>
      </c>
      <c r="J759" s="1012">
        <v>0</v>
      </c>
      <c r="K759" s="1012">
        <v>0</v>
      </c>
      <c r="L759" s="1013">
        <f t="shared" si="159"/>
        <v>29000000</v>
      </c>
      <c r="M759" s="1014">
        <v>22.8</v>
      </c>
      <c r="N759" s="1013">
        <f t="shared" si="160"/>
        <v>25430769</v>
      </c>
      <c r="O759" s="1015">
        <v>2</v>
      </c>
      <c r="P759" s="1013">
        <f t="shared" si="161"/>
        <v>2230769</v>
      </c>
      <c r="Q759" s="1016">
        <v>0</v>
      </c>
      <c r="R759" s="1013">
        <f t="shared" si="162"/>
        <v>0</v>
      </c>
      <c r="S759" s="1013">
        <f t="shared" si="163"/>
        <v>27661538</v>
      </c>
      <c r="T759" s="1017">
        <v>476923</v>
      </c>
      <c r="U759" s="785">
        <v>0</v>
      </c>
      <c r="V759" s="785">
        <v>0</v>
      </c>
      <c r="W759" s="1017">
        <v>0</v>
      </c>
      <c r="X759" s="1017">
        <v>0</v>
      </c>
      <c r="Y759" s="1017">
        <v>0</v>
      </c>
      <c r="Z759" s="1017">
        <v>0</v>
      </c>
      <c r="AA759" s="1018"/>
      <c r="AB759" s="1013"/>
      <c r="AC759" s="1017">
        <v>100000</v>
      </c>
      <c r="AD759" s="1017">
        <v>0</v>
      </c>
      <c r="AE759" s="1013">
        <v>209134.61348684208</v>
      </c>
      <c r="AF759" s="1019"/>
      <c r="AG759" s="1019">
        <f t="shared" si="157"/>
        <v>28447596</v>
      </c>
      <c r="AH759" s="1014">
        <v>0</v>
      </c>
      <c r="AI759" s="1014">
        <v>0</v>
      </c>
      <c r="AJ759" s="1014">
        <v>0</v>
      </c>
      <c r="AK759" s="1018">
        <v>0</v>
      </c>
      <c r="AL759" s="1020">
        <v>0</v>
      </c>
      <c r="AM759" s="1013">
        <f t="shared" si="156"/>
        <v>0</v>
      </c>
      <c r="AN759" s="1045">
        <f t="shared" si="118"/>
        <v>28447596</v>
      </c>
      <c r="AO759" s="1013">
        <v>3045000</v>
      </c>
      <c r="AP759" s="1013">
        <v>44100</v>
      </c>
      <c r="AQ759" s="1013">
        <v>272567</v>
      </c>
      <c r="AR759" s="1013">
        <v>0</v>
      </c>
      <c r="AS759" s="1013">
        <v>0</v>
      </c>
      <c r="AT759" s="1045">
        <f t="shared" si="164"/>
        <v>25085929</v>
      </c>
      <c r="AU759" s="1004"/>
      <c r="AV759" s="870"/>
      <c r="AW759" s="782" t="s">
        <v>4761</v>
      </c>
      <c r="AX759" s="782" t="s">
        <v>4762</v>
      </c>
      <c r="AY759" s="1007" t="s">
        <v>288</v>
      </c>
      <c r="AZ759" s="1007">
        <v>642</v>
      </c>
      <c r="BA759" s="347" t="s">
        <v>78</v>
      </c>
      <c r="BB759" s="1008"/>
      <c r="BC759" s="1009"/>
      <c r="BD759" s="1009"/>
    </row>
    <row r="760" spans="1:56" s="1010" customFormat="1" ht="36.75" customHeight="1">
      <c r="A760" s="661">
        <f>SUBTOTAL(3,B$6:B760)</f>
        <v>755</v>
      </c>
      <c r="B760" s="661" t="s">
        <v>2332</v>
      </c>
      <c r="C760" s="662" t="s">
        <v>2333</v>
      </c>
      <c r="D760" s="1011">
        <v>43587</v>
      </c>
      <c r="E760" s="1011" t="s">
        <v>220</v>
      </c>
      <c r="F760" s="787" t="s">
        <v>544</v>
      </c>
      <c r="G760" s="996" t="s">
        <v>2334</v>
      </c>
      <c r="H760" s="1012">
        <v>11500000</v>
      </c>
      <c r="I760" s="1012">
        <v>4700000</v>
      </c>
      <c r="J760" s="1012">
        <v>0</v>
      </c>
      <c r="K760" s="1012">
        <v>0</v>
      </c>
      <c r="L760" s="1013">
        <f t="shared" si="159"/>
        <v>16200000</v>
      </c>
      <c r="M760" s="1014">
        <v>24</v>
      </c>
      <c r="N760" s="1013">
        <f t="shared" si="160"/>
        <v>14953846</v>
      </c>
      <c r="O760" s="1015">
        <v>2</v>
      </c>
      <c r="P760" s="1013">
        <f t="shared" si="161"/>
        <v>1246154</v>
      </c>
      <c r="Q760" s="1016">
        <v>0</v>
      </c>
      <c r="R760" s="1013">
        <f t="shared" si="162"/>
        <v>0</v>
      </c>
      <c r="S760" s="1013">
        <f t="shared" si="163"/>
        <v>16200000</v>
      </c>
      <c r="T760" s="1017">
        <v>500000</v>
      </c>
      <c r="U760" s="785">
        <v>0</v>
      </c>
      <c r="V760" s="785">
        <v>0</v>
      </c>
      <c r="W760" s="1017">
        <v>0</v>
      </c>
      <c r="X760" s="1017">
        <v>0</v>
      </c>
      <c r="Y760" s="1017">
        <v>0</v>
      </c>
      <c r="Z760" s="1017">
        <v>0</v>
      </c>
      <c r="AA760" s="1018"/>
      <c r="AB760" s="1013"/>
      <c r="AC760" s="1017">
        <v>100000</v>
      </c>
      <c r="AD760" s="1017">
        <v>0</v>
      </c>
      <c r="AE760" s="1013">
        <v>116826.921875</v>
      </c>
      <c r="AF760" s="1019"/>
      <c r="AG760" s="1019">
        <f t="shared" si="157"/>
        <v>16916827</v>
      </c>
      <c r="AH760" s="1014">
        <v>0</v>
      </c>
      <c r="AI760" s="1014">
        <v>0</v>
      </c>
      <c r="AJ760" s="1014">
        <v>0</v>
      </c>
      <c r="AK760" s="1018">
        <v>0</v>
      </c>
      <c r="AL760" s="1020">
        <v>0</v>
      </c>
      <c r="AM760" s="1013">
        <f t="shared" si="156"/>
        <v>0</v>
      </c>
      <c r="AN760" s="1045">
        <f t="shared" si="118"/>
        <v>16916827</v>
      </c>
      <c r="AO760" s="1013">
        <v>1701000</v>
      </c>
      <c r="AP760" s="1013">
        <v>44100</v>
      </c>
      <c r="AQ760" s="1013">
        <v>190791</v>
      </c>
      <c r="AR760" s="1013">
        <v>0</v>
      </c>
      <c r="AS760" s="1013">
        <v>0</v>
      </c>
      <c r="AT760" s="1045">
        <f t="shared" si="164"/>
        <v>14980936</v>
      </c>
      <c r="AU760" s="1004"/>
      <c r="AV760" s="870"/>
      <c r="AW760" s="782" t="s">
        <v>4763</v>
      </c>
      <c r="AX760" s="782" t="s">
        <v>4764</v>
      </c>
      <c r="AY760" s="1007" t="s">
        <v>287</v>
      </c>
      <c r="AZ760" s="1007">
        <v>642</v>
      </c>
      <c r="BA760" s="347" t="s">
        <v>1</v>
      </c>
      <c r="BB760" s="1008"/>
      <c r="BC760" s="1009"/>
      <c r="BD760" s="1009"/>
    </row>
    <row r="761" spans="1:56" s="1010" customFormat="1" ht="36.75" customHeight="1">
      <c r="A761" s="661">
        <f>SUBTOTAL(3,B$6:B761)</f>
        <v>756</v>
      </c>
      <c r="B761" s="661" t="s">
        <v>2335</v>
      </c>
      <c r="C761" s="662" t="s">
        <v>2336</v>
      </c>
      <c r="D761" s="1011">
        <v>43770</v>
      </c>
      <c r="E761" s="1011" t="s">
        <v>220</v>
      </c>
      <c r="F761" s="787" t="s">
        <v>544</v>
      </c>
      <c r="G761" s="996" t="s">
        <v>2334</v>
      </c>
      <c r="H761" s="1012">
        <v>10000000</v>
      </c>
      <c r="I761" s="1012">
        <v>5500000</v>
      </c>
      <c r="J761" s="1012">
        <v>0</v>
      </c>
      <c r="K761" s="1012">
        <v>0</v>
      </c>
      <c r="L761" s="1013">
        <f t="shared" si="159"/>
        <v>15500000</v>
      </c>
      <c r="M761" s="1014">
        <v>22</v>
      </c>
      <c r="N761" s="1013">
        <f t="shared" si="160"/>
        <v>13115385</v>
      </c>
      <c r="O761" s="1015">
        <v>2</v>
      </c>
      <c r="P761" s="1013">
        <f t="shared" si="161"/>
        <v>1192308</v>
      </c>
      <c r="Q761" s="1016">
        <v>0</v>
      </c>
      <c r="R761" s="1013">
        <f t="shared" si="162"/>
        <v>0</v>
      </c>
      <c r="S761" s="1013">
        <f t="shared" si="163"/>
        <v>14307693</v>
      </c>
      <c r="T761" s="1017">
        <v>461538</v>
      </c>
      <c r="U761" s="785">
        <v>0</v>
      </c>
      <c r="V761" s="785">
        <v>0</v>
      </c>
      <c r="W761" s="1017">
        <v>0</v>
      </c>
      <c r="X761" s="1017">
        <v>0</v>
      </c>
      <c r="Y761" s="1017">
        <v>0</v>
      </c>
      <c r="Z761" s="1017">
        <v>0</v>
      </c>
      <c r="AA761" s="1018"/>
      <c r="AB761" s="1013"/>
      <c r="AC761" s="1017">
        <v>0</v>
      </c>
      <c r="AD761" s="1017">
        <v>0</v>
      </c>
      <c r="AE761" s="1013">
        <v>111778.84943181818</v>
      </c>
      <c r="AF761" s="1019"/>
      <c r="AG761" s="1019">
        <f t="shared" si="157"/>
        <v>14881010</v>
      </c>
      <c r="AH761" s="1014">
        <v>0</v>
      </c>
      <c r="AI761" s="1014">
        <v>0</v>
      </c>
      <c r="AJ761" s="1014">
        <v>0</v>
      </c>
      <c r="AK761" s="1018">
        <v>0</v>
      </c>
      <c r="AL761" s="1020">
        <v>0</v>
      </c>
      <c r="AM761" s="1013">
        <f t="shared" si="156"/>
        <v>0</v>
      </c>
      <c r="AN761" s="1045">
        <f t="shared" si="118"/>
        <v>14881010</v>
      </c>
      <c r="AO761" s="1013">
        <v>1627500</v>
      </c>
      <c r="AP761" s="1013">
        <v>44100</v>
      </c>
      <c r="AQ761" s="1013">
        <v>94599</v>
      </c>
      <c r="AR761" s="1013">
        <v>0</v>
      </c>
      <c r="AS761" s="1013">
        <v>0</v>
      </c>
      <c r="AT761" s="1045">
        <f t="shared" si="164"/>
        <v>13114811</v>
      </c>
      <c r="AU761" s="1004"/>
      <c r="AV761" s="870"/>
      <c r="AW761" s="782" t="s">
        <v>4765</v>
      </c>
      <c r="AX761" s="782" t="s">
        <v>4766</v>
      </c>
      <c r="AY761" s="1007" t="s">
        <v>287</v>
      </c>
      <c r="AZ761" s="1007">
        <v>642</v>
      </c>
      <c r="BA761" s="347" t="s">
        <v>1</v>
      </c>
      <c r="BB761" s="1008"/>
      <c r="BC761" s="1009"/>
      <c r="BD761" s="1009"/>
    </row>
    <row r="762" spans="1:56" s="1010" customFormat="1" ht="36.75" customHeight="1">
      <c r="A762" s="661">
        <f>SUBTOTAL(3,B$6:B762)</f>
        <v>757</v>
      </c>
      <c r="B762" s="661" t="s">
        <v>2337</v>
      </c>
      <c r="C762" s="662" t="s">
        <v>1099</v>
      </c>
      <c r="D762" s="1011">
        <v>43922</v>
      </c>
      <c r="E762" s="1011" t="s">
        <v>220</v>
      </c>
      <c r="F762" s="787" t="s">
        <v>544</v>
      </c>
      <c r="G762" s="996" t="s">
        <v>2334</v>
      </c>
      <c r="H762" s="1012">
        <v>9000000</v>
      </c>
      <c r="I762" s="1012">
        <v>3500000</v>
      </c>
      <c r="J762" s="1012">
        <v>0</v>
      </c>
      <c r="K762" s="1012">
        <v>0</v>
      </c>
      <c r="L762" s="1013">
        <f t="shared" si="159"/>
        <v>12500000</v>
      </c>
      <c r="M762" s="1014">
        <v>24</v>
      </c>
      <c r="N762" s="1013">
        <f t="shared" si="160"/>
        <v>11538462</v>
      </c>
      <c r="O762" s="1015">
        <v>2</v>
      </c>
      <c r="P762" s="1013">
        <f t="shared" si="161"/>
        <v>961538</v>
      </c>
      <c r="Q762" s="1016">
        <v>0</v>
      </c>
      <c r="R762" s="1013">
        <f t="shared" si="162"/>
        <v>0</v>
      </c>
      <c r="S762" s="1013">
        <f t="shared" si="163"/>
        <v>12500000</v>
      </c>
      <c r="T762" s="1017">
        <v>500000</v>
      </c>
      <c r="U762" s="785">
        <v>0</v>
      </c>
      <c r="V762" s="785">
        <v>0</v>
      </c>
      <c r="W762" s="1017">
        <v>0</v>
      </c>
      <c r="X762" s="1017">
        <v>0</v>
      </c>
      <c r="Y762" s="1017">
        <v>0</v>
      </c>
      <c r="Z762" s="1017">
        <v>0</v>
      </c>
      <c r="AA762" s="1018"/>
      <c r="AB762" s="1013"/>
      <c r="AC762" s="1017">
        <v>100000</v>
      </c>
      <c r="AD762" s="1017">
        <v>0</v>
      </c>
      <c r="AE762" s="1013">
        <v>90144.234375</v>
      </c>
      <c r="AF762" s="1019"/>
      <c r="AG762" s="1019">
        <f t="shared" si="157"/>
        <v>13190144</v>
      </c>
      <c r="AH762" s="1014">
        <v>0</v>
      </c>
      <c r="AI762" s="1014">
        <v>0</v>
      </c>
      <c r="AJ762" s="1014">
        <v>0</v>
      </c>
      <c r="AK762" s="1018">
        <v>0</v>
      </c>
      <c r="AL762" s="1020">
        <v>0</v>
      </c>
      <c r="AM762" s="1013">
        <f t="shared" si="156"/>
        <v>0</v>
      </c>
      <c r="AN762" s="1045">
        <f t="shared" si="118"/>
        <v>13190144</v>
      </c>
      <c r="AO762" s="1013">
        <v>1312500</v>
      </c>
      <c r="AP762" s="1013">
        <v>44100</v>
      </c>
      <c r="AQ762" s="1013">
        <v>0</v>
      </c>
      <c r="AR762" s="1013">
        <v>0</v>
      </c>
      <c r="AS762" s="1013">
        <v>0</v>
      </c>
      <c r="AT762" s="1045">
        <f t="shared" si="164"/>
        <v>11833544</v>
      </c>
      <c r="AU762" s="1004"/>
      <c r="AV762" s="870"/>
      <c r="AW762" s="782" t="s">
        <v>3624</v>
      </c>
      <c r="AX762" s="782" t="s">
        <v>4767</v>
      </c>
      <c r="AY762" s="1007" t="s">
        <v>288</v>
      </c>
      <c r="AZ762" s="1007">
        <v>642</v>
      </c>
      <c r="BA762" s="347" t="s">
        <v>1</v>
      </c>
      <c r="BB762" s="1008"/>
      <c r="BC762" s="1009"/>
      <c r="BD762" s="1009"/>
    </row>
    <row r="763" spans="1:56" s="1010" customFormat="1" ht="36.75" customHeight="1">
      <c r="A763" s="661">
        <f>SUBTOTAL(3,B$6:B763)</f>
        <v>758</v>
      </c>
      <c r="B763" s="661" t="s">
        <v>2338</v>
      </c>
      <c r="C763" s="662" t="s">
        <v>2339</v>
      </c>
      <c r="D763" s="1011">
        <v>44648</v>
      </c>
      <c r="E763" s="1011" t="s">
        <v>220</v>
      </c>
      <c r="F763" s="787" t="s">
        <v>544</v>
      </c>
      <c r="G763" s="996" t="s">
        <v>2334</v>
      </c>
      <c r="H763" s="1012">
        <v>13000000</v>
      </c>
      <c r="I763" s="1012">
        <v>6500000</v>
      </c>
      <c r="J763" s="1012">
        <v>0</v>
      </c>
      <c r="K763" s="1012">
        <v>0</v>
      </c>
      <c r="L763" s="1013">
        <f t="shared" si="159"/>
        <v>19500000</v>
      </c>
      <c r="M763" s="1014">
        <v>23</v>
      </c>
      <c r="N763" s="1013">
        <f t="shared" si="160"/>
        <v>17250000</v>
      </c>
      <c r="O763" s="1015">
        <v>3</v>
      </c>
      <c r="P763" s="1013">
        <f t="shared" si="161"/>
        <v>2250000</v>
      </c>
      <c r="Q763" s="1016">
        <v>0</v>
      </c>
      <c r="R763" s="1013">
        <f t="shared" si="162"/>
        <v>0</v>
      </c>
      <c r="S763" s="1013">
        <f t="shared" si="163"/>
        <v>19500000</v>
      </c>
      <c r="T763" s="1017">
        <v>500000</v>
      </c>
      <c r="U763" s="785">
        <v>0</v>
      </c>
      <c r="V763" s="785">
        <v>0</v>
      </c>
      <c r="W763" s="1017">
        <v>0</v>
      </c>
      <c r="X763" s="1017">
        <v>0</v>
      </c>
      <c r="Y763" s="1017">
        <v>0</v>
      </c>
      <c r="Z763" s="1017">
        <v>0</v>
      </c>
      <c r="AA763" s="1018"/>
      <c r="AB763" s="1013"/>
      <c r="AC763" s="1017">
        <v>0</v>
      </c>
      <c r="AD763" s="1017">
        <v>0</v>
      </c>
      <c r="AE763" s="1013">
        <v>140625</v>
      </c>
      <c r="AF763" s="1019"/>
      <c r="AG763" s="1019">
        <f t="shared" si="157"/>
        <v>20140625</v>
      </c>
      <c r="AH763" s="1014">
        <v>0</v>
      </c>
      <c r="AI763" s="1014">
        <v>0</v>
      </c>
      <c r="AJ763" s="1014">
        <v>0</v>
      </c>
      <c r="AK763" s="1018">
        <v>0</v>
      </c>
      <c r="AL763" s="1020">
        <v>0</v>
      </c>
      <c r="AM763" s="1013">
        <f t="shared" si="156"/>
        <v>0</v>
      </c>
      <c r="AN763" s="1045">
        <f t="shared" si="118"/>
        <v>20140625</v>
      </c>
      <c r="AO763" s="1013">
        <v>2047500</v>
      </c>
      <c r="AP763" s="1013">
        <v>44100</v>
      </c>
      <c r="AQ763" s="1013">
        <v>114656</v>
      </c>
      <c r="AR763" s="1013">
        <v>0</v>
      </c>
      <c r="AS763" s="1013">
        <v>0</v>
      </c>
      <c r="AT763" s="1045">
        <f t="shared" si="164"/>
        <v>17934369</v>
      </c>
      <c r="AU763" s="1004"/>
      <c r="AV763" s="870"/>
      <c r="AW763" s="782" t="s">
        <v>4768</v>
      </c>
      <c r="AX763" s="782" t="s">
        <v>4769</v>
      </c>
      <c r="AY763" s="1007" t="s">
        <v>287</v>
      </c>
      <c r="AZ763" s="1007">
        <v>642</v>
      </c>
      <c r="BA763" s="347" t="s">
        <v>1</v>
      </c>
      <c r="BB763" s="1008"/>
      <c r="BC763" s="1009"/>
      <c r="BD763" s="1009"/>
    </row>
    <row r="764" spans="1:56" s="1010" customFormat="1" ht="36.75" customHeight="1">
      <c r="A764" s="661">
        <f>SUBTOTAL(3,B$6:B764)</f>
        <v>759</v>
      </c>
      <c r="B764" s="661" t="s">
        <v>2340</v>
      </c>
      <c r="C764" s="662" t="s">
        <v>2341</v>
      </c>
      <c r="D764" s="1011">
        <v>45124</v>
      </c>
      <c r="E764" s="1011" t="s">
        <v>220</v>
      </c>
      <c r="F764" s="787" t="s">
        <v>544</v>
      </c>
      <c r="G764" s="996" t="s">
        <v>2334</v>
      </c>
      <c r="H764" s="1012">
        <v>8800000</v>
      </c>
      <c r="I764" s="1012">
        <v>3000000</v>
      </c>
      <c r="J764" s="1012">
        <v>0</v>
      </c>
      <c r="K764" s="1012">
        <v>0</v>
      </c>
      <c r="L764" s="1013">
        <f t="shared" si="159"/>
        <v>11800000</v>
      </c>
      <c r="M764" s="1014">
        <v>23</v>
      </c>
      <c r="N764" s="1013">
        <f t="shared" si="160"/>
        <v>10438462</v>
      </c>
      <c r="O764" s="1015">
        <v>3</v>
      </c>
      <c r="P764" s="1013">
        <f t="shared" si="161"/>
        <v>1361538</v>
      </c>
      <c r="Q764" s="1016">
        <v>0</v>
      </c>
      <c r="R764" s="1013">
        <f t="shared" si="162"/>
        <v>0</v>
      </c>
      <c r="S764" s="1013">
        <f t="shared" si="163"/>
        <v>11800000</v>
      </c>
      <c r="T764" s="1017">
        <v>500000</v>
      </c>
      <c r="U764" s="785">
        <v>0</v>
      </c>
      <c r="V764" s="785">
        <v>0</v>
      </c>
      <c r="W764" s="1017">
        <v>0</v>
      </c>
      <c r="X764" s="1017">
        <v>0</v>
      </c>
      <c r="Y764" s="1017">
        <v>0</v>
      </c>
      <c r="Z764" s="1017">
        <v>0</v>
      </c>
      <c r="AA764" s="1018"/>
      <c r="AB764" s="1013"/>
      <c r="AC764" s="1017">
        <v>0</v>
      </c>
      <c r="AD764" s="1017">
        <v>0</v>
      </c>
      <c r="AE764" s="1013">
        <v>85096.157608695648</v>
      </c>
      <c r="AF764" s="1019"/>
      <c r="AG764" s="1019">
        <f t="shared" si="157"/>
        <v>12385096</v>
      </c>
      <c r="AH764" s="1014">
        <v>0</v>
      </c>
      <c r="AI764" s="1014">
        <v>0</v>
      </c>
      <c r="AJ764" s="1014">
        <v>0</v>
      </c>
      <c r="AK764" s="1018">
        <v>0</v>
      </c>
      <c r="AL764" s="1020">
        <v>0</v>
      </c>
      <c r="AM764" s="1013">
        <f t="shared" si="156"/>
        <v>0</v>
      </c>
      <c r="AN764" s="1045">
        <f t="shared" si="118"/>
        <v>12385096</v>
      </c>
      <c r="AO764" s="1013">
        <v>1239000</v>
      </c>
      <c r="AP764" s="1013">
        <v>44100</v>
      </c>
      <c r="AQ764" s="1013">
        <v>0</v>
      </c>
      <c r="AR764" s="1013">
        <v>0</v>
      </c>
      <c r="AS764" s="1013">
        <v>0</v>
      </c>
      <c r="AT764" s="1045">
        <f t="shared" si="164"/>
        <v>11101996</v>
      </c>
      <c r="AU764" s="1004"/>
      <c r="AV764" s="870"/>
      <c r="AW764" s="782" t="s">
        <v>4770</v>
      </c>
      <c r="AX764" s="782" t="s">
        <v>4771</v>
      </c>
      <c r="AY764" s="1007" t="s">
        <v>288</v>
      </c>
      <c r="AZ764" s="1007">
        <v>642</v>
      </c>
      <c r="BA764" s="347" t="s">
        <v>1</v>
      </c>
      <c r="BB764" s="1008"/>
      <c r="BC764" s="1009"/>
      <c r="BD764" s="1009"/>
    </row>
    <row r="765" spans="1:56" s="1010" customFormat="1" ht="36.75" customHeight="1">
      <c r="A765" s="661">
        <f>SUBTOTAL(3,B$6:B765)</f>
        <v>760</v>
      </c>
      <c r="B765" s="661" t="s">
        <v>2342</v>
      </c>
      <c r="C765" s="662" t="s">
        <v>2343</v>
      </c>
      <c r="D765" s="1011">
        <v>45425</v>
      </c>
      <c r="E765" s="1011" t="s">
        <v>220</v>
      </c>
      <c r="F765" s="787" t="s">
        <v>544</v>
      </c>
      <c r="G765" s="996" t="s">
        <v>2334</v>
      </c>
      <c r="H765" s="1012">
        <v>9300000</v>
      </c>
      <c r="I765" s="1012">
        <v>5300000</v>
      </c>
      <c r="J765" s="1012">
        <v>0</v>
      </c>
      <c r="K765" s="1012">
        <v>0</v>
      </c>
      <c r="L765" s="1013">
        <f t="shared" si="159"/>
        <v>14600000</v>
      </c>
      <c r="M765" s="1014">
        <v>23.8</v>
      </c>
      <c r="N765" s="1013">
        <f t="shared" si="160"/>
        <v>13364615</v>
      </c>
      <c r="O765" s="1015">
        <v>2</v>
      </c>
      <c r="P765" s="1013">
        <f t="shared" si="161"/>
        <v>1123077</v>
      </c>
      <c r="Q765" s="1016">
        <v>0</v>
      </c>
      <c r="R765" s="1013">
        <f t="shared" si="162"/>
        <v>0</v>
      </c>
      <c r="S765" s="1013">
        <f t="shared" si="163"/>
        <v>14487692</v>
      </c>
      <c r="T765" s="1017">
        <v>496154</v>
      </c>
      <c r="U765" s="785">
        <v>0</v>
      </c>
      <c r="V765" s="785">
        <v>0</v>
      </c>
      <c r="W765" s="1017">
        <v>0</v>
      </c>
      <c r="X765" s="1017">
        <v>0</v>
      </c>
      <c r="Y765" s="1017">
        <v>0</v>
      </c>
      <c r="Z765" s="1017">
        <v>0</v>
      </c>
      <c r="AA765" s="1018"/>
      <c r="AB765" s="1013"/>
      <c r="AC765" s="1017">
        <v>100000</v>
      </c>
      <c r="AD765" s="1017">
        <v>0</v>
      </c>
      <c r="AE765" s="1013">
        <v>105288.45850840336</v>
      </c>
      <c r="AF765" s="1019"/>
      <c r="AG765" s="1019">
        <f t="shared" si="157"/>
        <v>15189134</v>
      </c>
      <c r="AH765" s="1014">
        <v>0</v>
      </c>
      <c r="AI765" s="1014">
        <v>0</v>
      </c>
      <c r="AJ765" s="1014">
        <v>0</v>
      </c>
      <c r="AK765" s="1018">
        <v>0</v>
      </c>
      <c r="AL765" s="1020">
        <v>0</v>
      </c>
      <c r="AM765" s="1013">
        <f t="shared" si="156"/>
        <v>0</v>
      </c>
      <c r="AN765" s="1045">
        <f t="shared" si="118"/>
        <v>15189134</v>
      </c>
      <c r="AO765" s="1013">
        <v>1533000</v>
      </c>
      <c r="AP765" s="1013">
        <v>44100</v>
      </c>
      <c r="AQ765" s="1013">
        <v>112999</v>
      </c>
      <c r="AR765" s="1013">
        <v>0</v>
      </c>
      <c r="AS765" s="1013">
        <v>0</v>
      </c>
      <c r="AT765" s="1045">
        <f t="shared" si="164"/>
        <v>13499035</v>
      </c>
      <c r="AU765" s="1004"/>
      <c r="AV765" s="870"/>
      <c r="AW765" s="782" t="s">
        <v>4772</v>
      </c>
      <c r="AX765" s="782" t="s">
        <v>4773</v>
      </c>
      <c r="AY765" s="1007" t="s">
        <v>287</v>
      </c>
      <c r="AZ765" s="1007">
        <v>642</v>
      </c>
      <c r="BA765" s="347" t="s">
        <v>1</v>
      </c>
      <c r="BB765" s="1008"/>
      <c r="BC765" s="1009"/>
      <c r="BD765" s="1009"/>
    </row>
    <row r="766" spans="1:56" s="1010" customFormat="1" ht="36.75" customHeight="1">
      <c r="A766" s="661">
        <f>SUBTOTAL(3,B$6:B766)</f>
        <v>761</v>
      </c>
      <c r="B766" s="661" t="s">
        <v>2344</v>
      </c>
      <c r="C766" s="662" t="s">
        <v>2345</v>
      </c>
      <c r="D766" s="1011">
        <v>41520</v>
      </c>
      <c r="E766" s="1011" t="s">
        <v>220</v>
      </c>
      <c r="F766" s="787" t="s">
        <v>544</v>
      </c>
      <c r="G766" s="996" t="s">
        <v>2334</v>
      </c>
      <c r="H766" s="1012">
        <v>11100000</v>
      </c>
      <c r="I766" s="1012">
        <v>5000000</v>
      </c>
      <c r="J766" s="1012">
        <v>0</v>
      </c>
      <c r="K766" s="1012">
        <v>0</v>
      </c>
      <c r="L766" s="1013">
        <f t="shared" si="159"/>
        <v>16100000</v>
      </c>
      <c r="M766" s="1014">
        <v>1</v>
      </c>
      <c r="N766" s="1013">
        <f t="shared" si="160"/>
        <v>619231</v>
      </c>
      <c r="O766" s="1015">
        <v>0</v>
      </c>
      <c r="P766" s="1013">
        <f t="shared" si="161"/>
        <v>0</v>
      </c>
      <c r="Q766" s="1016">
        <v>0</v>
      </c>
      <c r="R766" s="1013">
        <f t="shared" si="162"/>
        <v>0</v>
      </c>
      <c r="S766" s="1013">
        <f t="shared" si="163"/>
        <v>619231</v>
      </c>
      <c r="T766" s="1017">
        <v>19231</v>
      </c>
      <c r="U766" s="785">
        <v>0</v>
      </c>
      <c r="V766" s="785">
        <v>0</v>
      </c>
      <c r="W766" s="1017">
        <v>0</v>
      </c>
      <c r="X766" s="1017">
        <v>0</v>
      </c>
      <c r="Y766" s="1017">
        <v>0</v>
      </c>
      <c r="Z766" s="1017">
        <v>0</v>
      </c>
      <c r="AA766" s="1018"/>
      <c r="AB766" s="1013"/>
      <c r="AC766" s="1017">
        <v>0</v>
      </c>
      <c r="AD766" s="1017">
        <v>0</v>
      </c>
      <c r="AE766" s="1013">
        <v>0</v>
      </c>
      <c r="AF766" s="1019"/>
      <c r="AG766" s="1019">
        <f t="shared" si="157"/>
        <v>638462</v>
      </c>
      <c r="AH766" s="1014">
        <v>0</v>
      </c>
      <c r="AI766" s="1014">
        <v>0</v>
      </c>
      <c r="AJ766" s="1014">
        <v>0</v>
      </c>
      <c r="AK766" s="1018">
        <v>0</v>
      </c>
      <c r="AL766" s="1020">
        <v>0</v>
      </c>
      <c r="AM766" s="1013">
        <f t="shared" si="156"/>
        <v>0</v>
      </c>
      <c r="AN766" s="1045">
        <f t="shared" si="118"/>
        <v>638462</v>
      </c>
      <c r="AO766" s="1013">
        <v>0</v>
      </c>
      <c r="AP766" s="1013">
        <v>44100</v>
      </c>
      <c r="AQ766" s="1013">
        <v>0</v>
      </c>
      <c r="AR766" s="1013">
        <v>0</v>
      </c>
      <c r="AS766" s="1013">
        <v>0</v>
      </c>
      <c r="AT766" s="1045">
        <f t="shared" si="164"/>
        <v>594362</v>
      </c>
      <c r="AU766" s="1004"/>
      <c r="AV766" s="870"/>
      <c r="AW766" s="782" t="s">
        <v>4774</v>
      </c>
      <c r="AX766" s="782" t="s">
        <v>4775</v>
      </c>
      <c r="AY766" s="1007" t="s">
        <v>287</v>
      </c>
      <c r="AZ766" s="1007">
        <v>642</v>
      </c>
      <c r="BA766" s="347" t="s">
        <v>1</v>
      </c>
      <c r="BB766" s="1008"/>
      <c r="BC766" s="1009"/>
      <c r="BD766" s="1009"/>
    </row>
    <row r="767" spans="1:56" s="1010" customFormat="1" ht="36.75" customHeight="1">
      <c r="A767" s="661">
        <f>SUBTOTAL(3,B$6:B767)</f>
        <v>762</v>
      </c>
      <c r="B767" s="661" t="s">
        <v>2346</v>
      </c>
      <c r="C767" s="662" t="s">
        <v>2347</v>
      </c>
      <c r="D767" s="1011">
        <v>40271</v>
      </c>
      <c r="E767" s="1011" t="s">
        <v>220</v>
      </c>
      <c r="F767" s="787" t="s">
        <v>544</v>
      </c>
      <c r="G767" s="996" t="s">
        <v>2334</v>
      </c>
      <c r="H767" s="1012">
        <v>13700000</v>
      </c>
      <c r="I767" s="1012">
        <v>5100000</v>
      </c>
      <c r="J767" s="1012">
        <v>0</v>
      </c>
      <c r="K767" s="1012">
        <v>0</v>
      </c>
      <c r="L767" s="1013">
        <f t="shared" si="159"/>
        <v>18800000</v>
      </c>
      <c r="M767" s="1014">
        <v>23</v>
      </c>
      <c r="N767" s="1013">
        <f t="shared" si="160"/>
        <v>16630769</v>
      </c>
      <c r="O767" s="1015">
        <v>3</v>
      </c>
      <c r="P767" s="1013">
        <f t="shared" si="161"/>
        <v>2169231</v>
      </c>
      <c r="Q767" s="1016">
        <v>0</v>
      </c>
      <c r="R767" s="1013">
        <f t="shared" si="162"/>
        <v>0</v>
      </c>
      <c r="S767" s="1013">
        <f t="shared" si="163"/>
        <v>18800000</v>
      </c>
      <c r="T767" s="1017">
        <v>500000</v>
      </c>
      <c r="U767" s="785">
        <v>0</v>
      </c>
      <c r="V767" s="785">
        <v>0</v>
      </c>
      <c r="W767" s="1017">
        <v>0</v>
      </c>
      <c r="X767" s="1017">
        <v>0</v>
      </c>
      <c r="Y767" s="1017">
        <v>0</v>
      </c>
      <c r="Z767" s="1017">
        <v>0</v>
      </c>
      <c r="AA767" s="1018"/>
      <c r="AB767" s="1013"/>
      <c r="AC767" s="1017">
        <v>100000</v>
      </c>
      <c r="AD767" s="1017">
        <v>0</v>
      </c>
      <c r="AE767" s="1013">
        <v>135576.92119565216</v>
      </c>
      <c r="AF767" s="1019"/>
      <c r="AG767" s="1019">
        <f t="shared" si="157"/>
        <v>19535577</v>
      </c>
      <c r="AH767" s="1014">
        <v>0</v>
      </c>
      <c r="AI767" s="1014">
        <v>0</v>
      </c>
      <c r="AJ767" s="1014">
        <v>0</v>
      </c>
      <c r="AK767" s="1018">
        <v>0</v>
      </c>
      <c r="AL767" s="1020">
        <v>0</v>
      </c>
      <c r="AM767" s="1013">
        <f t="shared" si="156"/>
        <v>0</v>
      </c>
      <c r="AN767" s="1045">
        <f t="shared" si="118"/>
        <v>19535577</v>
      </c>
      <c r="AO767" s="1013">
        <v>1974000</v>
      </c>
      <c r="AP767" s="1013">
        <v>44100</v>
      </c>
      <c r="AQ767" s="1013">
        <v>0</v>
      </c>
      <c r="AR767" s="1013">
        <v>0</v>
      </c>
      <c r="AS767" s="1013">
        <v>0</v>
      </c>
      <c r="AT767" s="1045">
        <f t="shared" si="164"/>
        <v>17517477</v>
      </c>
      <c r="AU767" s="1004"/>
      <c r="AV767" s="870"/>
      <c r="AW767" s="782" t="s">
        <v>4776</v>
      </c>
      <c r="AX767" s="782" t="s">
        <v>4777</v>
      </c>
      <c r="AY767" s="1007" t="s">
        <v>288</v>
      </c>
      <c r="AZ767" s="1007">
        <v>642</v>
      </c>
      <c r="BA767" s="347" t="s">
        <v>1</v>
      </c>
      <c r="BB767" s="1008"/>
      <c r="BC767" s="1009"/>
      <c r="BD767" s="1009"/>
    </row>
    <row r="768" spans="1:56" s="1010" customFormat="1" ht="36.75" customHeight="1">
      <c r="A768" s="661">
        <f>SUBTOTAL(3,B$6:B768)</f>
        <v>763</v>
      </c>
      <c r="B768" s="661" t="s">
        <v>2348</v>
      </c>
      <c r="C768" s="662" t="s">
        <v>2349</v>
      </c>
      <c r="D768" s="1011">
        <v>40948</v>
      </c>
      <c r="E768" s="1011" t="s">
        <v>220</v>
      </c>
      <c r="F768" s="787" t="s">
        <v>544</v>
      </c>
      <c r="G768" s="996" t="s">
        <v>2331</v>
      </c>
      <c r="H768" s="1012">
        <v>18500000</v>
      </c>
      <c r="I768" s="1012">
        <v>8800000</v>
      </c>
      <c r="J768" s="1012">
        <v>0</v>
      </c>
      <c r="K768" s="1012">
        <v>0</v>
      </c>
      <c r="L768" s="1013">
        <f t="shared" si="159"/>
        <v>27300000</v>
      </c>
      <c r="M768" s="1014">
        <v>23</v>
      </c>
      <c r="N768" s="1013">
        <f t="shared" si="160"/>
        <v>24150000</v>
      </c>
      <c r="O768" s="1015">
        <v>2</v>
      </c>
      <c r="P768" s="1013">
        <f t="shared" si="161"/>
        <v>2100000</v>
      </c>
      <c r="Q768" s="1016">
        <v>0</v>
      </c>
      <c r="R768" s="1013">
        <f t="shared" si="162"/>
        <v>0</v>
      </c>
      <c r="S768" s="1013">
        <f t="shared" si="163"/>
        <v>26250000</v>
      </c>
      <c r="T768" s="1017">
        <v>480769</v>
      </c>
      <c r="U768" s="785">
        <v>0</v>
      </c>
      <c r="V768" s="785">
        <v>0</v>
      </c>
      <c r="W768" s="1017">
        <v>0</v>
      </c>
      <c r="X768" s="1017">
        <v>0</v>
      </c>
      <c r="Y768" s="1017">
        <v>0</v>
      </c>
      <c r="Z768" s="1017">
        <v>0</v>
      </c>
      <c r="AA768" s="1018"/>
      <c r="AB768" s="1013"/>
      <c r="AC768" s="1017">
        <v>200000</v>
      </c>
      <c r="AD768" s="1017">
        <v>0</v>
      </c>
      <c r="AE768" s="1013">
        <v>196875</v>
      </c>
      <c r="AF768" s="1019"/>
      <c r="AG768" s="1019">
        <f t="shared" si="157"/>
        <v>27127644</v>
      </c>
      <c r="AH768" s="1014">
        <v>0</v>
      </c>
      <c r="AI768" s="1014">
        <v>0</v>
      </c>
      <c r="AJ768" s="1014">
        <v>0</v>
      </c>
      <c r="AK768" s="1018">
        <v>0</v>
      </c>
      <c r="AL768" s="1020">
        <v>0</v>
      </c>
      <c r="AM768" s="1013">
        <f t="shared" si="156"/>
        <v>0</v>
      </c>
      <c r="AN768" s="1045">
        <f t="shared" si="118"/>
        <v>27127644</v>
      </c>
      <c r="AO768" s="1013">
        <v>2866500</v>
      </c>
      <c r="AP768" s="1013">
        <v>44100</v>
      </c>
      <c r="AQ768" s="1013">
        <v>0</v>
      </c>
      <c r="AR768" s="1013">
        <v>0</v>
      </c>
      <c r="AS768" s="1013">
        <v>0</v>
      </c>
      <c r="AT768" s="1045">
        <f t="shared" si="164"/>
        <v>24217044</v>
      </c>
      <c r="AU768" s="1004"/>
      <c r="AV768" s="870"/>
      <c r="AW768" s="782" t="s">
        <v>4778</v>
      </c>
      <c r="AX768" s="782" t="s">
        <v>4779</v>
      </c>
      <c r="AY768" s="1007" t="s">
        <v>288</v>
      </c>
      <c r="AZ768" s="1007">
        <v>642</v>
      </c>
      <c r="BA768" s="347" t="s">
        <v>78</v>
      </c>
      <c r="BB768" s="1008"/>
      <c r="BC768" s="1009"/>
      <c r="BD768" s="1009"/>
    </row>
    <row r="769" spans="1:56" s="1010" customFormat="1" ht="36.75" customHeight="1">
      <c r="A769" s="661">
        <f>SUBTOTAL(3,B$6:B769)</f>
        <v>764</v>
      </c>
      <c r="B769" s="661" t="s">
        <v>2350</v>
      </c>
      <c r="C769" s="662" t="s">
        <v>2351</v>
      </c>
      <c r="D769" s="1011">
        <v>39707</v>
      </c>
      <c r="E769" s="1011" t="s">
        <v>220</v>
      </c>
      <c r="F769" s="787" t="s">
        <v>267</v>
      </c>
      <c r="G769" s="996" t="s">
        <v>2352</v>
      </c>
      <c r="H769" s="1012">
        <v>8740000</v>
      </c>
      <c r="I769" s="1012">
        <v>5220000</v>
      </c>
      <c r="J769" s="1012">
        <v>0</v>
      </c>
      <c r="K769" s="1012">
        <v>0</v>
      </c>
      <c r="L769" s="1013">
        <f t="shared" si="159"/>
        <v>13960000</v>
      </c>
      <c r="M769" s="1014">
        <v>23.8</v>
      </c>
      <c r="N769" s="1013">
        <f t="shared" si="160"/>
        <v>12778769</v>
      </c>
      <c r="O769" s="1015">
        <v>2</v>
      </c>
      <c r="P769" s="1013">
        <f t="shared" si="161"/>
        <v>1073846</v>
      </c>
      <c r="Q769" s="1016">
        <v>0</v>
      </c>
      <c r="R769" s="1013">
        <f t="shared" si="162"/>
        <v>0</v>
      </c>
      <c r="S769" s="1013">
        <f t="shared" si="163"/>
        <v>13852615</v>
      </c>
      <c r="T769" s="1017">
        <v>496154</v>
      </c>
      <c r="U769" s="785">
        <v>0</v>
      </c>
      <c r="V769" s="785">
        <v>0</v>
      </c>
      <c r="W769" s="1017">
        <v>0</v>
      </c>
      <c r="X769" s="1017">
        <v>0</v>
      </c>
      <c r="Y769" s="1017">
        <v>0</v>
      </c>
      <c r="Z769" s="1017">
        <v>0</v>
      </c>
      <c r="AA769" s="1018"/>
      <c r="AB769" s="1013"/>
      <c r="AC769" s="1017">
        <v>100000</v>
      </c>
      <c r="AD769" s="1017">
        <v>0</v>
      </c>
      <c r="AE769" s="1013">
        <v>100673.07510504201</v>
      </c>
      <c r="AF769" s="1019"/>
      <c r="AG769" s="1019">
        <f t="shared" si="157"/>
        <v>14549442</v>
      </c>
      <c r="AH769" s="1014">
        <v>0</v>
      </c>
      <c r="AI769" s="1014">
        <v>0</v>
      </c>
      <c r="AJ769" s="1014">
        <v>0</v>
      </c>
      <c r="AK769" s="1018">
        <v>0</v>
      </c>
      <c r="AL769" s="1020">
        <v>0</v>
      </c>
      <c r="AM769" s="1013">
        <f t="shared" si="156"/>
        <v>0</v>
      </c>
      <c r="AN769" s="1045">
        <f t="shared" si="118"/>
        <v>14549442</v>
      </c>
      <c r="AO769" s="1013">
        <v>1465800</v>
      </c>
      <c r="AP769" s="1013">
        <v>44100</v>
      </c>
      <c r="AQ769" s="1013">
        <v>0</v>
      </c>
      <c r="AR769" s="1013">
        <v>0</v>
      </c>
      <c r="AS769" s="1013">
        <v>0</v>
      </c>
      <c r="AT769" s="1045">
        <f t="shared" si="164"/>
        <v>13039542</v>
      </c>
      <c r="AU769" s="1004"/>
      <c r="AV769" s="870"/>
      <c r="AW769" s="782" t="s">
        <v>4780</v>
      </c>
      <c r="AX769" s="782" t="s">
        <v>4781</v>
      </c>
      <c r="AY769" s="1007" t="s">
        <v>287</v>
      </c>
      <c r="AZ769" s="1007">
        <v>622</v>
      </c>
      <c r="BA769" s="347" t="str">
        <f t="shared" ref="BA769:BA771" si="165">+IF(AY769="SK1 Box","Box",IF(AY769="Seaman","Seaman","Bag"))</f>
        <v>Box</v>
      </c>
      <c r="BB769" s="1008"/>
      <c r="BC769" s="1009"/>
      <c r="BD769" s="1009"/>
    </row>
    <row r="770" spans="1:56" s="1010" customFormat="1" ht="36.75" customHeight="1">
      <c r="A770" s="661">
        <f>SUBTOTAL(3,B$6:B770)</f>
        <v>765</v>
      </c>
      <c r="B770" s="661" t="s">
        <v>2353</v>
      </c>
      <c r="C770" s="662" t="s">
        <v>2354</v>
      </c>
      <c r="D770" s="1011">
        <v>43613</v>
      </c>
      <c r="E770" s="1011" t="s">
        <v>220</v>
      </c>
      <c r="F770" s="787" t="s">
        <v>267</v>
      </c>
      <c r="G770" s="996" t="s">
        <v>2355</v>
      </c>
      <c r="H770" s="1012">
        <v>5931000</v>
      </c>
      <c r="I770" s="1012">
        <v>1500000</v>
      </c>
      <c r="J770" s="1012">
        <v>0</v>
      </c>
      <c r="K770" s="1012">
        <v>0</v>
      </c>
      <c r="L770" s="1013">
        <f t="shared" si="159"/>
        <v>7431000</v>
      </c>
      <c r="M770" s="1014">
        <v>23.8</v>
      </c>
      <c r="N770" s="1013">
        <f t="shared" si="160"/>
        <v>6802223</v>
      </c>
      <c r="O770" s="1015">
        <v>2</v>
      </c>
      <c r="P770" s="1013">
        <f t="shared" si="161"/>
        <v>571615</v>
      </c>
      <c r="Q770" s="1016">
        <v>0</v>
      </c>
      <c r="R770" s="1013">
        <f t="shared" si="162"/>
        <v>0</v>
      </c>
      <c r="S770" s="1013">
        <f t="shared" si="163"/>
        <v>7373838</v>
      </c>
      <c r="T770" s="1017">
        <v>0</v>
      </c>
      <c r="U770" s="785">
        <v>0</v>
      </c>
      <c r="V770" s="785">
        <v>200000</v>
      </c>
      <c r="W770" s="1017">
        <v>500000</v>
      </c>
      <c r="X770" s="1017">
        <v>0</v>
      </c>
      <c r="Y770" s="1017">
        <v>400000</v>
      </c>
      <c r="Z770" s="1017">
        <v>0</v>
      </c>
      <c r="AA770" s="1018"/>
      <c r="AB770" s="1013"/>
      <c r="AC770" s="1017">
        <v>0</v>
      </c>
      <c r="AD770" s="1017">
        <v>0</v>
      </c>
      <c r="AE770" s="1013">
        <v>0</v>
      </c>
      <c r="AF770" s="1019"/>
      <c r="AG770" s="1019">
        <f t="shared" si="157"/>
        <v>8473838</v>
      </c>
      <c r="AH770" s="1014">
        <v>40</v>
      </c>
      <c r="AI770" s="1014">
        <v>0</v>
      </c>
      <c r="AJ770" s="1014">
        <v>0</v>
      </c>
      <c r="AK770" s="1018">
        <v>0</v>
      </c>
      <c r="AL770" s="1020">
        <v>0</v>
      </c>
      <c r="AM770" s="1013">
        <f t="shared" si="156"/>
        <v>2143558</v>
      </c>
      <c r="AN770" s="1045">
        <f t="shared" si="118"/>
        <v>10617396</v>
      </c>
      <c r="AO770" s="1013">
        <v>780255</v>
      </c>
      <c r="AP770" s="1013">
        <v>44100</v>
      </c>
      <c r="AQ770" s="1013">
        <v>0</v>
      </c>
      <c r="AR770" s="1013">
        <v>0</v>
      </c>
      <c r="AS770" s="1013">
        <v>0</v>
      </c>
      <c r="AT770" s="1045">
        <f t="shared" si="164"/>
        <v>9793041</v>
      </c>
      <c r="AU770" s="1004"/>
      <c r="AV770" s="870"/>
      <c r="AW770" s="782" t="s">
        <v>4782</v>
      </c>
      <c r="AX770" s="782" t="s">
        <v>4783</v>
      </c>
      <c r="AY770" s="1007" t="s">
        <v>288</v>
      </c>
      <c r="AZ770" s="1007">
        <v>622</v>
      </c>
      <c r="BA770" s="347" t="str">
        <f t="shared" si="165"/>
        <v>Bag</v>
      </c>
      <c r="BB770" s="1008"/>
      <c r="BC770" s="1009"/>
      <c r="BD770" s="1009"/>
    </row>
    <row r="771" spans="1:56" s="1010" customFormat="1" ht="36.75" customHeight="1">
      <c r="A771" s="661">
        <f>SUBTOTAL(3,B$6:B771)</f>
        <v>766</v>
      </c>
      <c r="B771" s="661" t="s">
        <v>2356</v>
      </c>
      <c r="C771" s="662" t="s">
        <v>2357</v>
      </c>
      <c r="D771" s="1011">
        <v>45321</v>
      </c>
      <c r="E771" s="1011" t="s">
        <v>220</v>
      </c>
      <c r="F771" s="787" t="s">
        <v>267</v>
      </c>
      <c r="G771" s="996" t="s">
        <v>2355</v>
      </c>
      <c r="H771" s="1012">
        <v>5538000</v>
      </c>
      <c r="I771" s="1012">
        <v>1500000</v>
      </c>
      <c r="J771" s="1012">
        <v>0</v>
      </c>
      <c r="K771" s="1012">
        <v>0</v>
      </c>
      <c r="L771" s="1013">
        <f t="shared" si="159"/>
        <v>7038000</v>
      </c>
      <c r="M771" s="1014">
        <v>24</v>
      </c>
      <c r="N771" s="1013">
        <f t="shared" si="160"/>
        <v>6496615</v>
      </c>
      <c r="O771" s="1015">
        <v>2</v>
      </c>
      <c r="P771" s="1013">
        <f t="shared" si="161"/>
        <v>541385</v>
      </c>
      <c r="Q771" s="1016">
        <v>0</v>
      </c>
      <c r="R771" s="1013">
        <f t="shared" si="162"/>
        <v>0</v>
      </c>
      <c r="S771" s="1013">
        <f t="shared" si="163"/>
        <v>7038000</v>
      </c>
      <c r="T771" s="1017">
        <v>0</v>
      </c>
      <c r="U771" s="785">
        <v>0</v>
      </c>
      <c r="V771" s="785">
        <v>200000</v>
      </c>
      <c r="W771" s="1017">
        <v>500000</v>
      </c>
      <c r="X771" s="1017">
        <v>0</v>
      </c>
      <c r="Y771" s="1017">
        <v>400000</v>
      </c>
      <c r="Z771" s="1017">
        <v>0</v>
      </c>
      <c r="AA771" s="1018"/>
      <c r="AB771" s="1013"/>
      <c r="AC771" s="1017">
        <v>0</v>
      </c>
      <c r="AD771" s="1017">
        <v>0</v>
      </c>
      <c r="AE771" s="1013">
        <v>0</v>
      </c>
      <c r="AF771" s="1019"/>
      <c r="AG771" s="1019">
        <f t="shared" si="157"/>
        <v>8138000</v>
      </c>
      <c r="AH771" s="1014">
        <v>53</v>
      </c>
      <c r="AI771" s="1014">
        <v>0</v>
      </c>
      <c r="AJ771" s="1014">
        <v>0</v>
      </c>
      <c r="AK771" s="1018">
        <v>0</v>
      </c>
      <c r="AL771" s="1020">
        <v>0</v>
      </c>
      <c r="AM771" s="1013">
        <f t="shared" si="156"/>
        <v>2690005</v>
      </c>
      <c r="AN771" s="1045">
        <f t="shared" si="118"/>
        <v>10828005</v>
      </c>
      <c r="AO771" s="1013">
        <v>738990</v>
      </c>
      <c r="AP771" s="1013">
        <v>44100</v>
      </c>
      <c r="AQ771" s="1013">
        <v>0</v>
      </c>
      <c r="AR771" s="1013">
        <v>0</v>
      </c>
      <c r="AS771" s="1013">
        <v>0</v>
      </c>
      <c r="AT771" s="1045">
        <f t="shared" si="164"/>
        <v>10044915</v>
      </c>
      <c r="AU771" s="1004"/>
      <c r="AV771" s="870"/>
      <c r="AW771" s="782" t="s">
        <v>4784</v>
      </c>
      <c r="AX771" s="782" t="s">
        <v>4785</v>
      </c>
      <c r="AY771" s="1007" t="s">
        <v>288</v>
      </c>
      <c r="AZ771" s="1007">
        <v>622</v>
      </c>
      <c r="BA771" s="347" t="str">
        <f t="shared" si="165"/>
        <v>Bag</v>
      </c>
      <c r="BB771" s="1008"/>
      <c r="BC771" s="1009"/>
      <c r="BD771" s="1009"/>
    </row>
    <row r="772" spans="1:56" s="1010" customFormat="1" ht="36.75" customHeight="1">
      <c r="A772" s="661">
        <f>SUBTOTAL(3,B$6:B772)</f>
        <v>767</v>
      </c>
      <c r="B772" s="661" t="s">
        <v>2358</v>
      </c>
      <c r="C772" s="662" t="s">
        <v>2359</v>
      </c>
      <c r="D772" s="1011">
        <v>45509</v>
      </c>
      <c r="E772" s="1011" t="s">
        <v>220</v>
      </c>
      <c r="F772" s="787" t="s">
        <v>267</v>
      </c>
      <c r="G772" s="996" t="s">
        <v>2360</v>
      </c>
      <c r="H772" s="1012">
        <v>10500000</v>
      </c>
      <c r="I772" s="1012">
        <v>6000000</v>
      </c>
      <c r="J772" s="1012">
        <v>0</v>
      </c>
      <c r="K772" s="1012">
        <v>0</v>
      </c>
      <c r="L772" s="1013">
        <f t="shared" si="159"/>
        <v>16500000</v>
      </c>
      <c r="M772" s="1014">
        <v>23</v>
      </c>
      <c r="N772" s="1013">
        <f t="shared" si="160"/>
        <v>14596154</v>
      </c>
      <c r="O772" s="1015">
        <v>2</v>
      </c>
      <c r="P772" s="1013">
        <f t="shared" si="161"/>
        <v>1269231</v>
      </c>
      <c r="Q772" s="1016">
        <v>0</v>
      </c>
      <c r="R772" s="1013">
        <f t="shared" si="162"/>
        <v>0</v>
      </c>
      <c r="S772" s="1013">
        <f t="shared" si="163"/>
        <v>15865385</v>
      </c>
      <c r="T772" s="1017">
        <v>480769</v>
      </c>
      <c r="U772" s="785">
        <v>0</v>
      </c>
      <c r="V772" s="785">
        <v>0</v>
      </c>
      <c r="W772" s="1017">
        <v>0</v>
      </c>
      <c r="X772" s="1017">
        <v>0</v>
      </c>
      <c r="Y772" s="1017">
        <v>0</v>
      </c>
      <c r="Z772" s="1017">
        <v>0</v>
      </c>
      <c r="AA772" s="1018"/>
      <c r="AB772" s="1013"/>
      <c r="AC772" s="1017">
        <v>200000</v>
      </c>
      <c r="AD772" s="1017">
        <v>0</v>
      </c>
      <c r="AE772" s="1013">
        <v>0</v>
      </c>
      <c r="AF772" s="1019"/>
      <c r="AG772" s="1019">
        <f t="shared" si="157"/>
        <v>16546154</v>
      </c>
      <c r="AH772" s="1014">
        <v>0</v>
      </c>
      <c r="AI772" s="1014">
        <v>0</v>
      </c>
      <c r="AJ772" s="1014">
        <v>0</v>
      </c>
      <c r="AK772" s="1018">
        <v>0</v>
      </c>
      <c r="AL772" s="1020">
        <v>0</v>
      </c>
      <c r="AM772" s="1013">
        <f t="shared" si="156"/>
        <v>0</v>
      </c>
      <c r="AN772" s="1045">
        <f t="shared" si="118"/>
        <v>16546154</v>
      </c>
      <c r="AO772" s="1013">
        <v>1732500</v>
      </c>
      <c r="AP772" s="1013">
        <v>44100</v>
      </c>
      <c r="AQ772" s="1013">
        <v>0</v>
      </c>
      <c r="AR772" s="1013">
        <v>0</v>
      </c>
      <c r="AS772" s="1013">
        <v>0</v>
      </c>
      <c r="AT772" s="1045">
        <f t="shared" si="164"/>
        <v>14769554</v>
      </c>
      <c r="AU772" s="1004"/>
      <c r="AV772" s="870"/>
      <c r="AW772" s="782" t="s">
        <v>4786</v>
      </c>
      <c r="AX772" s="782" t="s">
        <v>4787</v>
      </c>
      <c r="AY772" s="1007" t="s">
        <v>288</v>
      </c>
      <c r="AZ772" s="1007">
        <v>622</v>
      </c>
      <c r="BA772" s="347" t="s">
        <v>78</v>
      </c>
      <c r="BB772" s="1008"/>
      <c r="BC772" s="1009"/>
      <c r="BD772" s="1009"/>
    </row>
    <row r="773" spans="1:56" s="1010" customFormat="1" ht="36.75" customHeight="1">
      <c r="A773" s="661">
        <f>SUBTOTAL(3,B$6:B773)</f>
        <v>768</v>
      </c>
      <c r="B773" s="661" t="s">
        <v>2361</v>
      </c>
      <c r="C773" s="662" t="s">
        <v>2362</v>
      </c>
      <c r="D773" s="1011">
        <v>45615</v>
      </c>
      <c r="E773" s="1011" t="s">
        <v>220</v>
      </c>
      <c r="F773" s="787" t="s">
        <v>267</v>
      </c>
      <c r="G773" s="996" t="s">
        <v>2355</v>
      </c>
      <c r="H773" s="1012">
        <v>5023000</v>
      </c>
      <c r="I773" s="1012">
        <v>1500000</v>
      </c>
      <c r="J773" s="1012">
        <v>0</v>
      </c>
      <c r="K773" s="1012">
        <v>0</v>
      </c>
      <c r="L773" s="1013">
        <f t="shared" si="159"/>
        <v>6523000</v>
      </c>
      <c r="M773" s="1014">
        <v>22.5</v>
      </c>
      <c r="N773" s="1013">
        <f t="shared" si="160"/>
        <v>5644904</v>
      </c>
      <c r="O773" s="1015">
        <v>3</v>
      </c>
      <c r="P773" s="1013">
        <f t="shared" si="161"/>
        <v>752654</v>
      </c>
      <c r="Q773" s="1016">
        <v>0</v>
      </c>
      <c r="R773" s="1013">
        <f t="shared" si="162"/>
        <v>0</v>
      </c>
      <c r="S773" s="1013">
        <f t="shared" si="163"/>
        <v>6397558</v>
      </c>
      <c r="T773" s="1017">
        <v>0</v>
      </c>
      <c r="U773" s="785">
        <v>0</v>
      </c>
      <c r="V773" s="785">
        <v>200000</v>
      </c>
      <c r="W773" s="1017">
        <v>500000</v>
      </c>
      <c r="X773" s="1017">
        <v>0</v>
      </c>
      <c r="Y773" s="1017">
        <v>400000</v>
      </c>
      <c r="Z773" s="1017">
        <v>0</v>
      </c>
      <c r="AA773" s="1018"/>
      <c r="AB773" s="1013"/>
      <c r="AC773" s="1017">
        <v>0</v>
      </c>
      <c r="AD773" s="1017">
        <v>0</v>
      </c>
      <c r="AE773" s="1013">
        <v>0</v>
      </c>
      <c r="AF773" s="1019"/>
      <c r="AG773" s="1019">
        <f t="shared" si="157"/>
        <v>7497558</v>
      </c>
      <c r="AH773" s="1014">
        <v>47.5</v>
      </c>
      <c r="AI773" s="1014">
        <v>0</v>
      </c>
      <c r="AJ773" s="1014">
        <v>0</v>
      </c>
      <c r="AK773" s="1018">
        <v>0</v>
      </c>
      <c r="AL773" s="1020">
        <v>0</v>
      </c>
      <c r="AM773" s="1013">
        <f t="shared" si="156"/>
        <v>2234441</v>
      </c>
      <c r="AN773" s="1045">
        <f t="shared" si="118"/>
        <v>9731999</v>
      </c>
      <c r="AO773" s="1013">
        <v>684915</v>
      </c>
      <c r="AP773" s="1013">
        <v>44100</v>
      </c>
      <c r="AQ773" s="1013">
        <v>0</v>
      </c>
      <c r="AR773" s="1013">
        <v>0</v>
      </c>
      <c r="AS773" s="1013">
        <v>0</v>
      </c>
      <c r="AT773" s="1045">
        <f t="shared" si="164"/>
        <v>9002984</v>
      </c>
      <c r="AU773" s="1004"/>
      <c r="AV773" s="870"/>
      <c r="AW773" s="782" t="s">
        <v>4788</v>
      </c>
      <c r="AX773" s="782" t="s">
        <v>4789</v>
      </c>
      <c r="AY773" s="1007" t="s">
        <v>288</v>
      </c>
      <c r="AZ773" s="1007">
        <v>622</v>
      </c>
      <c r="BA773" s="347" t="str">
        <f t="shared" ref="BA773:BA786" si="166">+IF(AY773="SK1 Box","Box",IF(AY773="Seaman","Seaman","Bag"))</f>
        <v>Bag</v>
      </c>
      <c r="BB773" s="1008"/>
      <c r="BC773" s="1009"/>
      <c r="BD773" s="1009"/>
    </row>
    <row r="774" spans="1:56" s="1010" customFormat="1" ht="36.75" customHeight="1">
      <c r="A774" s="661">
        <f>SUBTOTAL(3,B$6:B774)</f>
        <v>769</v>
      </c>
      <c r="B774" s="661" t="s">
        <v>2363</v>
      </c>
      <c r="C774" s="662" t="s">
        <v>2364</v>
      </c>
      <c r="D774" s="1011">
        <v>40254</v>
      </c>
      <c r="E774" s="1011" t="s">
        <v>220</v>
      </c>
      <c r="F774" s="787" t="s">
        <v>267</v>
      </c>
      <c r="G774" s="996" t="s">
        <v>2355</v>
      </c>
      <c r="H774" s="1012">
        <v>5931000</v>
      </c>
      <c r="I774" s="1012">
        <v>1500000</v>
      </c>
      <c r="J774" s="1012">
        <v>0</v>
      </c>
      <c r="K774" s="1012">
        <v>0</v>
      </c>
      <c r="L774" s="1013">
        <f t="shared" si="159"/>
        <v>7431000</v>
      </c>
      <c r="M774" s="1014">
        <v>24</v>
      </c>
      <c r="N774" s="1013">
        <f t="shared" si="160"/>
        <v>6859385</v>
      </c>
      <c r="O774" s="1015">
        <v>2</v>
      </c>
      <c r="P774" s="1013">
        <f t="shared" si="161"/>
        <v>571615</v>
      </c>
      <c r="Q774" s="1016">
        <v>0</v>
      </c>
      <c r="R774" s="1013">
        <f t="shared" si="162"/>
        <v>0</v>
      </c>
      <c r="S774" s="1013">
        <f t="shared" si="163"/>
        <v>7431000</v>
      </c>
      <c r="T774" s="1017">
        <v>0</v>
      </c>
      <c r="U774" s="785">
        <v>0</v>
      </c>
      <c r="V774" s="785">
        <v>200000</v>
      </c>
      <c r="W774" s="1017">
        <v>500000</v>
      </c>
      <c r="X774" s="1017">
        <v>0</v>
      </c>
      <c r="Y774" s="1017">
        <v>400000</v>
      </c>
      <c r="Z774" s="1017">
        <v>0</v>
      </c>
      <c r="AA774" s="1018"/>
      <c r="AB774" s="1013"/>
      <c r="AC774" s="1017">
        <v>0</v>
      </c>
      <c r="AD774" s="1017">
        <v>0</v>
      </c>
      <c r="AE774" s="1013">
        <v>0</v>
      </c>
      <c r="AF774" s="1019"/>
      <c r="AG774" s="1019">
        <f t="shared" si="157"/>
        <v>8531000</v>
      </c>
      <c r="AH774" s="1014">
        <v>43</v>
      </c>
      <c r="AI774" s="1014">
        <v>0</v>
      </c>
      <c r="AJ774" s="1014">
        <v>0</v>
      </c>
      <c r="AK774" s="1018">
        <v>0</v>
      </c>
      <c r="AL774" s="1020">
        <v>0</v>
      </c>
      <c r="AM774" s="1013">
        <f t="shared" si="156"/>
        <v>2304325</v>
      </c>
      <c r="AN774" s="1045">
        <f t="shared" si="118"/>
        <v>10835325</v>
      </c>
      <c r="AO774" s="1013">
        <v>780255</v>
      </c>
      <c r="AP774" s="1013">
        <v>44100</v>
      </c>
      <c r="AQ774" s="1013">
        <v>0</v>
      </c>
      <c r="AR774" s="1013">
        <v>0</v>
      </c>
      <c r="AS774" s="1013">
        <v>0</v>
      </c>
      <c r="AT774" s="1045">
        <f t="shared" si="164"/>
        <v>10010970</v>
      </c>
      <c r="AU774" s="1004"/>
      <c r="AV774" s="870"/>
      <c r="AW774" s="782" t="s">
        <v>4790</v>
      </c>
      <c r="AX774" s="782" t="s">
        <v>4791</v>
      </c>
      <c r="AY774" s="1007" t="s">
        <v>287</v>
      </c>
      <c r="AZ774" s="1007">
        <v>622</v>
      </c>
      <c r="BA774" s="347" t="str">
        <f t="shared" si="166"/>
        <v>Box</v>
      </c>
      <c r="BB774" s="1008"/>
      <c r="BC774" s="1009"/>
      <c r="BD774" s="1009"/>
    </row>
    <row r="775" spans="1:56" s="1010" customFormat="1" ht="36.75" customHeight="1">
      <c r="A775" s="661">
        <f>SUBTOTAL(3,B$6:B775)</f>
        <v>770</v>
      </c>
      <c r="B775" s="661" t="s">
        <v>2365</v>
      </c>
      <c r="C775" s="662" t="s">
        <v>2366</v>
      </c>
      <c r="D775" s="1011">
        <v>40943</v>
      </c>
      <c r="E775" s="1011" t="s">
        <v>220</v>
      </c>
      <c r="F775" s="787" t="s">
        <v>267</v>
      </c>
      <c r="G775" s="996" t="s">
        <v>2355</v>
      </c>
      <c r="H775" s="1012">
        <v>5931000</v>
      </c>
      <c r="I775" s="1012">
        <v>3000000</v>
      </c>
      <c r="J775" s="1012">
        <v>0</v>
      </c>
      <c r="K775" s="1012">
        <v>120000</v>
      </c>
      <c r="L775" s="1013">
        <f t="shared" si="159"/>
        <v>9051000</v>
      </c>
      <c r="M775" s="1014">
        <v>24</v>
      </c>
      <c r="N775" s="1013">
        <f t="shared" si="160"/>
        <v>8354769</v>
      </c>
      <c r="O775" s="1015">
        <v>2</v>
      </c>
      <c r="P775" s="1013">
        <f t="shared" si="161"/>
        <v>696231</v>
      </c>
      <c r="Q775" s="1016">
        <v>0</v>
      </c>
      <c r="R775" s="1013">
        <f t="shared" si="162"/>
        <v>0</v>
      </c>
      <c r="S775" s="1013">
        <f t="shared" si="163"/>
        <v>9051000</v>
      </c>
      <c r="T775" s="1017">
        <v>0</v>
      </c>
      <c r="U775" s="785">
        <v>0</v>
      </c>
      <c r="V775" s="785">
        <v>200000</v>
      </c>
      <c r="W775" s="1017">
        <v>500000</v>
      </c>
      <c r="X775" s="1017">
        <v>0</v>
      </c>
      <c r="Y775" s="1017">
        <v>400000</v>
      </c>
      <c r="Z775" s="1017">
        <v>0</v>
      </c>
      <c r="AA775" s="1018"/>
      <c r="AB775" s="1013"/>
      <c r="AC775" s="1017">
        <v>0</v>
      </c>
      <c r="AD775" s="1017">
        <v>0</v>
      </c>
      <c r="AE775" s="1013">
        <v>0</v>
      </c>
      <c r="AF775" s="1019"/>
      <c r="AG775" s="1019">
        <f t="shared" si="157"/>
        <v>10151000</v>
      </c>
      <c r="AH775" s="1014">
        <v>32</v>
      </c>
      <c r="AI775" s="1014">
        <v>0</v>
      </c>
      <c r="AJ775" s="1014">
        <v>0</v>
      </c>
      <c r="AK775" s="1018">
        <v>0</v>
      </c>
      <c r="AL775" s="1020">
        <v>0</v>
      </c>
      <c r="AM775" s="1013">
        <f t="shared" ref="AM775:AM838" si="167">ROUND((N775/IF(M775&gt;26,26,M775)/8*(AH775*$AH$5+AI775*$AI$5+AJ775*$AJ$5+AK775*$AK$5+AL775*$AL$5)),0)</f>
        <v>2088692</v>
      </c>
      <c r="AN775" s="1045">
        <f t="shared" si="118"/>
        <v>12239692</v>
      </c>
      <c r="AO775" s="1013">
        <v>950355</v>
      </c>
      <c r="AP775" s="1013">
        <v>44100</v>
      </c>
      <c r="AQ775" s="1013">
        <v>0</v>
      </c>
      <c r="AR775" s="1013">
        <v>0</v>
      </c>
      <c r="AS775" s="1013">
        <v>0</v>
      </c>
      <c r="AT775" s="1045">
        <f t="shared" si="164"/>
        <v>11245237</v>
      </c>
      <c r="AU775" s="1004"/>
      <c r="AV775" s="870"/>
      <c r="AW775" s="782" t="s">
        <v>4792</v>
      </c>
      <c r="AX775" s="782" t="s">
        <v>4793</v>
      </c>
      <c r="AY775" s="1007" t="s">
        <v>287</v>
      </c>
      <c r="AZ775" s="1007">
        <v>622</v>
      </c>
      <c r="BA775" s="347" t="str">
        <f t="shared" si="166"/>
        <v>Box</v>
      </c>
      <c r="BB775" s="1008"/>
      <c r="BC775" s="1009"/>
      <c r="BD775" s="1009"/>
    </row>
    <row r="776" spans="1:56" s="1010" customFormat="1" ht="36.75" customHeight="1">
      <c r="A776" s="661">
        <f>SUBTOTAL(3,B$6:B776)</f>
        <v>771</v>
      </c>
      <c r="B776" s="661" t="s">
        <v>2367</v>
      </c>
      <c r="C776" s="662" t="s">
        <v>1794</v>
      </c>
      <c r="D776" s="1011">
        <v>43308</v>
      </c>
      <c r="E776" s="1011" t="s">
        <v>220</v>
      </c>
      <c r="F776" s="787" t="s">
        <v>267</v>
      </c>
      <c r="G776" s="996" t="s">
        <v>2352</v>
      </c>
      <c r="H776" s="1012">
        <v>8137000</v>
      </c>
      <c r="I776" s="1012">
        <v>2495000</v>
      </c>
      <c r="J776" s="1012">
        <v>0</v>
      </c>
      <c r="K776" s="1012">
        <v>0</v>
      </c>
      <c r="L776" s="1013">
        <f t="shared" si="159"/>
        <v>10632000</v>
      </c>
      <c r="M776" s="1014">
        <v>20.7</v>
      </c>
      <c r="N776" s="1013">
        <f t="shared" si="160"/>
        <v>8464708</v>
      </c>
      <c r="O776" s="1015">
        <v>2</v>
      </c>
      <c r="P776" s="1013">
        <f t="shared" si="161"/>
        <v>817846</v>
      </c>
      <c r="Q776" s="1016">
        <v>0</v>
      </c>
      <c r="R776" s="1013">
        <f t="shared" si="162"/>
        <v>0</v>
      </c>
      <c r="S776" s="1013">
        <f t="shared" si="163"/>
        <v>9282554</v>
      </c>
      <c r="T776" s="1017">
        <v>218269</v>
      </c>
      <c r="U776" s="785">
        <v>0</v>
      </c>
      <c r="V776" s="785">
        <v>200000</v>
      </c>
      <c r="W776" s="1017">
        <v>0</v>
      </c>
      <c r="X776" s="1017">
        <v>0</v>
      </c>
      <c r="Y776" s="1017">
        <v>150000</v>
      </c>
      <c r="Z776" s="1017">
        <v>0</v>
      </c>
      <c r="AA776" s="1018"/>
      <c r="AB776" s="1013"/>
      <c r="AC776" s="1017">
        <v>100000</v>
      </c>
      <c r="AD776" s="1017">
        <v>0</v>
      </c>
      <c r="AE776" s="1013">
        <v>76673.079710144928</v>
      </c>
      <c r="AF776" s="1019"/>
      <c r="AG776" s="1019">
        <f t="shared" si="157"/>
        <v>10027496</v>
      </c>
      <c r="AH776" s="1014">
        <v>17</v>
      </c>
      <c r="AI776" s="1014">
        <v>0</v>
      </c>
      <c r="AJ776" s="1014">
        <v>0</v>
      </c>
      <c r="AK776" s="1018">
        <v>0</v>
      </c>
      <c r="AL776" s="1020">
        <v>0</v>
      </c>
      <c r="AM776" s="1013">
        <f t="shared" si="167"/>
        <v>1303442</v>
      </c>
      <c r="AN776" s="1045">
        <f t="shared" si="118"/>
        <v>11330938</v>
      </c>
      <c r="AO776" s="1013">
        <v>1116360</v>
      </c>
      <c r="AP776" s="1013">
        <v>44100</v>
      </c>
      <c r="AQ776" s="1013">
        <v>0</v>
      </c>
      <c r="AR776" s="1013">
        <v>0</v>
      </c>
      <c r="AS776" s="1013">
        <v>0</v>
      </c>
      <c r="AT776" s="1045">
        <f t="shared" si="164"/>
        <v>10170478</v>
      </c>
      <c r="AU776" s="1004"/>
      <c r="AV776" s="870"/>
      <c r="AW776" s="782" t="s">
        <v>4278</v>
      </c>
      <c r="AX776" s="782" t="s">
        <v>4794</v>
      </c>
      <c r="AY776" s="1007" t="s">
        <v>287</v>
      </c>
      <c r="AZ776" s="1007">
        <v>622</v>
      </c>
      <c r="BA776" s="347" t="str">
        <f t="shared" si="166"/>
        <v>Box</v>
      </c>
      <c r="BB776" s="1008"/>
      <c r="BC776" s="1009"/>
      <c r="BD776" s="1009"/>
    </row>
    <row r="777" spans="1:56" s="1010" customFormat="1" ht="36.75" customHeight="1">
      <c r="A777" s="661">
        <f>SUBTOTAL(3,B$6:B777)</f>
        <v>772</v>
      </c>
      <c r="B777" s="661" t="s">
        <v>2368</v>
      </c>
      <c r="C777" s="662" t="s">
        <v>2369</v>
      </c>
      <c r="D777" s="1011">
        <v>43452</v>
      </c>
      <c r="E777" s="1011" t="s">
        <v>220</v>
      </c>
      <c r="F777" s="787" t="s">
        <v>267</v>
      </c>
      <c r="G777" s="996" t="s">
        <v>2355</v>
      </c>
      <c r="H777" s="1012">
        <v>6105000</v>
      </c>
      <c r="I777" s="1012">
        <v>3000000</v>
      </c>
      <c r="J777" s="1012">
        <v>0</v>
      </c>
      <c r="K777" s="1012">
        <v>0</v>
      </c>
      <c r="L777" s="1013">
        <f t="shared" si="159"/>
        <v>9105000</v>
      </c>
      <c r="M777" s="1014">
        <v>24</v>
      </c>
      <c r="N777" s="1013">
        <f t="shared" si="160"/>
        <v>8404615</v>
      </c>
      <c r="O777" s="1015">
        <v>2</v>
      </c>
      <c r="P777" s="1013">
        <f t="shared" si="161"/>
        <v>700385</v>
      </c>
      <c r="Q777" s="1016">
        <v>0</v>
      </c>
      <c r="R777" s="1013">
        <f t="shared" si="162"/>
        <v>0</v>
      </c>
      <c r="S777" s="1013">
        <f t="shared" si="163"/>
        <v>9105000</v>
      </c>
      <c r="T777" s="1017">
        <v>0</v>
      </c>
      <c r="U777" s="785">
        <v>0</v>
      </c>
      <c r="V777" s="785">
        <v>200000</v>
      </c>
      <c r="W777" s="1017">
        <v>500000</v>
      </c>
      <c r="X777" s="1017">
        <v>0</v>
      </c>
      <c r="Y777" s="1017">
        <v>400000</v>
      </c>
      <c r="Z777" s="1017">
        <v>0</v>
      </c>
      <c r="AA777" s="1018"/>
      <c r="AB777" s="1013"/>
      <c r="AC777" s="1017">
        <v>0</v>
      </c>
      <c r="AD777" s="1017">
        <v>0</v>
      </c>
      <c r="AE777" s="1013">
        <v>0</v>
      </c>
      <c r="AF777" s="1019"/>
      <c r="AG777" s="1019">
        <f t="shared" si="157"/>
        <v>10205000</v>
      </c>
      <c r="AH777" s="1014">
        <v>40</v>
      </c>
      <c r="AI777" s="1014">
        <v>0</v>
      </c>
      <c r="AJ777" s="1014">
        <v>0</v>
      </c>
      <c r="AK777" s="1018">
        <v>0</v>
      </c>
      <c r="AL777" s="1020">
        <v>0</v>
      </c>
      <c r="AM777" s="1013">
        <f t="shared" si="167"/>
        <v>2626442</v>
      </c>
      <c r="AN777" s="1045">
        <f t="shared" si="118"/>
        <v>12831442</v>
      </c>
      <c r="AO777" s="1013">
        <v>956025</v>
      </c>
      <c r="AP777" s="1013">
        <v>44100</v>
      </c>
      <c r="AQ777" s="1013">
        <v>4997</v>
      </c>
      <c r="AR777" s="1013">
        <v>0</v>
      </c>
      <c r="AS777" s="1013">
        <v>0</v>
      </c>
      <c r="AT777" s="1045">
        <f t="shared" si="164"/>
        <v>11826320</v>
      </c>
      <c r="AU777" s="1004"/>
      <c r="AV777" s="870"/>
      <c r="AW777" s="782" t="s">
        <v>4795</v>
      </c>
      <c r="AX777" s="782" t="s">
        <v>4796</v>
      </c>
      <c r="AY777" s="1007" t="s">
        <v>288</v>
      </c>
      <c r="AZ777" s="1007">
        <v>622</v>
      </c>
      <c r="BA777" s="347" t="str">
        <f t="shared" si="166"/>
        <v>Bag</v>
      </c>
      <c r="BB777" s="1008"/>
      <c r="BC777" s="1009"/>
      <c r="BD777" s="1009"/>
    </row>
    <row r="778" spans="1:56" s="1010" customFormat="1" ht="36.75" customHeight="1">
      <c r="A778" s="661">
        <f>SUBTOTAL(3,B$6:B778)</f>
        <v>773</v>
      </c>
      <c r="B778" s="661" t="s">
        <v>2370</v>
      </c>
      <c r="C778" s="662" t="s">
        <v>2371</v>
      </c>
      <c r="D778" s="1011">
        <v>43529</v>
      </c>
      <c r="E778" s="1011" t="s">
        <v>220</v>
      </c>
      <c r="F778" s="787" t="s">
        <v>267</v>
      </c>
      <c r="G778" s="996" t="s">
        <v>2355</v>
      </c>
      <c r="H778" s="1012">
        <v>5931000</v>
      </c>
      <c r="I778" s="1012">
        <v>1500000</v>
      </c>
      <c r="J778" s="1012">
        <v>298000</v>
      </c>
      <c r="K778" s="1012">
        <v>0</v>
      </c>
      <c r="L778" s="1013">
        <f t="shared" si="159"/>
        <v>7729000</v>
      </c>
      <c r="M778" s="1014">
        <v>22.6</v>
      </c>
      <c r="N778" s="1013">
        <f t="shared" si="160"/>
        <v>6718285</v>
      </c>
      <c r="O778" s="1015">
        <v>3</v>
      </c>
      <c r="P778" s="1013">
        <f t="shared" si="161"/>
        <v>891808</v>
      </c>
      <c r="Q778" s="1016">
        <v>0</v>
      </c>
      <c r="R778" s="1013">
        <f t="shared" si="162"/>
        <v>0</v>
      </c>
      <c r="S778" s="1013">
        <f t="shared" si="163"/>
        <v>7610093</v>
      </c>
      <c r="T778" s="1017">
        <v>0</v>
      </c>
      <c r="U778" s="785">
        <v>0</v>
      </c>
      <c r="V778" s="785">
        <v>200000</v>
      </c>
      <c r="W778" s="1017">
        <v>500000</v>
      </c>
      <c r="X778" s="1017">
        <v>200000</v>
      </c>
      <c r="Y778" s="1017">
        <v>400000</v>
      </c>
      <c r="Z778" s="1017">
        <v>0</v>
      </c>
      <c r="AA778" s="1018"/>
      <c r="AB778" s="1013"/>
      <c r="AC778" s="1017">
        <v>0</v>
      </c>
      <c r="AD778" s="1017">
        <v>0</v>
      </c>
      <c r="AE778" s="1013">
        <v>0</v>
      </c>
      <c r="AF778" s="1019"/>
      <c r="AG778" s="1019">
        <f t="shared" si="157"/>
        <v>8910093</v>
      </c>
      <c r="AH778" s="1014">
        <v>49</v>
      </c>
      <c r="AI778" s="1014">
        <v>0</v>
      </c>
      <c r="AJ778" s="1014">
        <v>0</v>
      </c>
      <c r="AK778" s="1018">
        <v>0</v>
      </c>
      <c r="AL778" s="1020">
        <v>0</v>
      </c>
      <c r="AM778" s="1013">
        <f t="shared" si="167"/>
        <v>2731161</v>
      </c>
      <c r="AN778" s="1045">
        <f t="shared" si="118"/>
        <v>11641254</v>
      </c>
      <c r="AO778" s="1013">
        <v>811545</v>
      </c>
      <c r="AP778" s="1013">
        <v>44100</v>
      </c>
      <c r="AQ778" s="1013">
        <v>0</v>
      </c>
      <c r="AR778" s="1013">
        <v>0</v>
      </c>
      <c r="AS778" s="1013">
        <v>0</v>
      </c>
      <c r="AT778" s="1045">
        <f t="shared" si="164"/>
        <v>10785609</v>
      </c>
      <c r="AU778" s="1004"/>
      <c r="AV778" s="870"/>
      <c r="AW778" s="782" t="s">
        <v>4797</v>
      </c>
      <c r="AX778" s="782" t="s">
        <v>4798</v>
      </c>
      <c r="AY778" s="1007" t="s">
        <v>287</v>
      </c>
      <c r="AZ778" s="1007">
        <v>622</v>
      </c>
      <c r="BA778" s="347" t="str">
        <f t="shared" si="166"/>
        <v>Box</v>
      </c>
      <c r="BB778" s="1008"/>
      <c r="BC778" s="1009"/>
      <c r="BD778" s="1009"/>
    </row>
    <row r="779" spans="1:56" s="1010" customFormat="1" ht="36.75" customHeight="1">
      <c r="A779" s="661">
        <f>SUBTOTAL(3,B$6:B779)</f>
        <v>774</v>
      </c>
      <c r="B779" s="661" t="s">
        <v>2372</v>
      </c>
      <c r="C779" s="662" t="s">
        <v>2373</v>
      </c>
      <c r="D779" s="1011">
        <v>42583</v>
      </c>
      <c r="E779" s="1011" t="s">
        <v>220</v>
      </c>
      <c r="F779" s="787" t="s">
        <v>267</v>
      </c>
      <c r="G779" s="996" t="s">
        <v>2352</v>
      </c>
      <c r="H779" s="1012">
        <v>8000000</v>
      </c>
      <c r="I779" s="1012">
        <v>3500000</v>
      </c>
      <c r="J779" s="1012">
        <v>0</v>
      </c>
      <c r="K779" s="1012">
        <v>0</v>
      </c>
      <c r="L779" s="1013">
        <f t="shared" si="159"/>
        <v>11500000</v>
      </c>
      <c r="M779" s="1014">
        <v>22.6</v>
      </c>
      <c r="N779" s="1013">
        <f t="shared" si="160"/>
        <v>9996154</v>
      </c>
      <c r="O779" s="1015">
        <v>2</v>
      </c>
      <c r="P779" s="1013">
        <f t="shared" si="161"/>
        <v>884615</v>
      </c>
      <c r="Q779" s="1016">
        <v>0</v>
      </c>
      <c r="R779" s="1013">
        <f t="shared" si="162"/>
        <v>0</v>
      </c>
      <c r="S779" s="1013">
        <f t="shared" si="163"/>
        <v>10880769</v>
      </c>
      <c r="T779" s="1017">
        <v>473077</v>
      </c>
      <c r="U779" s="785">
        <v>0</v>
      </c>
      <c r="V779" s="785">
        <v>0</v>
      </c>
      <c r="W779" s="1017">
        <v>0</v>
      </c>
      <c r="X779" s="1017">
        <v>0</v>
      </c>
      <c r="Y779" s="1017">
        <v>0</v>
      </c>
      <c r="Z779" s="1017">
        <v>0</v>
      </c>
      <c r="AA779" s="1018"/>
      <c r="AB779" s="1013"/>
      <c r="AC779" s="1017">
        <v>100000</v>
      </c>
      <c r="AD779" s="1017">
        <v>0</v>
      </c>
      <c r="AE779" s="1013">
        <v>82932.693584070788</v>
      </c>
      <c r="AF779" s="1019"/>
      <c r="AG779" s="1019">
        <f t="shared" si="157"/>
        <v>11536779</v>
      </c>
      <c r="AH779" s="1014">
        <v>0</v>
      </c>
      <c r="AI779" s="1014">
        <v>0</v>
      </c>
      <c r="AJ779" s="1014">
        <v>0</v>
      </c>
      <c r="AK779" s="1018">
        <v>0</v>
      </c>
      <c r="AL779" s="1020">
        <v>0</v>
      </c>
      <c r="AM779" s="1013">
        <f t="shared" si="167"/>
        <v>0</v>
      </c>
      <c r="AN779" s="1045">
        <f t="shared" si="118"/>
        <v>11536779</v>
      </c>
      <c r="AO779" s="1013">
        <v>1207500</v>
      </c>
      <c r="AP779" s="1013">
        <v>44100</v>
      </c>
      <c r="AQ779" s="1013">
        <v>0</v>
      </c>
      <c r="AR779" s="1013">
        <v>0</v>
      </c>
      <c r="AS779" s="1013">
        <v>0</v>
      </c>
      <c r="AT779" s="1045">
        <f t="shared" si="164"/>
        <v>10285179</v>
      </c>
      <c r="AU779" s="1004"/>
      <c r="AV779" s="870"/>
      <c r="AW779" s="782" t="s">
        <v>4799</v>
      </c>
      <c r="AX779" s="782" t="s">
        <v>4800</v>
      </c>
      <c r="AY779" s="1007" t="s">
        <v>288</v>
      </c>
      <c r="AZ779" s="1007">
        <v>622</v>
      </c>
      <c r="BA779" s="347" t="str">
        <f t="shared" si="166"/>
        <v>Bag</v>
      </c>
      <c r="BB779" s="1008"/>
      <c r="BC779" s="1009"/>
      <c r="BD779" s="1009"/>
    </row>
    <row r="780" spans="1:56" s="1010" customFormat="1" ht="36.75" customHeight="1">
      <c r="A780" s="661">
        <f>SUBTOTAL(3,B$6:B780)</f>
        <v>775</v>
      </c>
      <c r="B780" s="661" t="s">
        <v>2374</v>
      </c>
      <c r="C780" s="662" t="s">
        <v>2375</v>
      </c>
      <c r="D780" s="1011">
        <v>40592</v>
      </c>
      <c r="E780" s="1011" t="s">
        <v>220</v>
      </c>
      <c r="F780" s="787" t="s">
        <v>284</v>
      </c>
      <c r="G780" s="996" t="s">
        <v>2376</v>
      </c>
      <c r="H780" s="1012">
        <v>5931000</v>
      </c>
      <c r="I780" s="1012">
        <v>3000000</v>
      </c>
      <c r="J780" s="1012">
        <v>0</v>
      </c>
      <c r="K780" s="1012">
        <v>2000000</v>
      </c>
      <c r="L780" s="1013">
        <f t="shared" si="159"/>
        <v>10931000</v>
      </c>
      <c r="M780" s="1014">
        <v>23</v>
      </c>
      <c r="N780" s="1013">
        <f t="shared" si="160"/>
        <v>9669731</v>
      </c>
      <c r="O780" s="1015">
        <v>3</v>
      </c>
      <c r="P780" s="1013">
        <f t="shared" si="161"/>
        <v>1261269</v>
      </c>
      <c r="Q780" s="1016">
        <v>0</v>
      </c>
      <c r="R780" s="1013">
        <f t="shared" si="162"/>
        <v>0</v>
      </c>
      <c r="S780" s="1013">
        <f t="shared" si="163"/>
        <v>10931000</v>
      </c>
      <c r="T780" s="1017">
        <v>0</v>
      </c>
      <c r="U780" s="785">
        <v>0</v>
      </c>
      <c r="V780" s="785">
        <v>200000</v>
      </c>
      <c r="W780" s="1017">
        <v>500000</v>
      </c>
      <c r="X780" s="1017">
        <v>0</v>
      </c>
      <c r="Y780" s="1017">
        <v>400000</v>
      </c>
      <c r="Z780" s="1017">
        <v>0</v>
      </c>
      <c r="AA780" s="1018"/>
      <c r="AB780" s="1013"/>
      <c r="AC780" s="1017">
        <v>0</v>
      </c>
      <c r="AD780" s="1017">
        <v>0</v>
      </c>
      <c r="AE780" s="1013">
        <v>0</v>
      </c>
      <c r="AF780" s="1019"/>
      <c r="AG780" s="1019">
        <f t="shared" si="157"/>
        <v>12031000</v>
      </c>
      <c r="AH780" s="1014">
        <v>28</v>
      </c>
      <c r="AI780" s="1014">
        <v>0</v>
      </c>
      <c r="AJ780" s="1014">
        <v>0</v>
      </c>
      <c r="AK780" s="1018">
        <v>0</v>
      </c>
      <c r="AL780" s="1020">
        <v>0</v>
      </c>
      <c r="AM780" s="1013">
        <f t="shared" si="167"/>
        <v>2207221</v>
      </c>
      <c r="AN780" s="1045">
        <f t="shared" si="118"/>
        <v>14238221</v>
      </c>
      <c r="AO780" s="1013">
        <v>1147755</v>
      </c>
      <c r="AP780" s="1013">
        <v>44100</v>
      </c>
      <c r="AQ780" s="1013">
        <v>72736</v>
      </c>
      <c r="AR780" s="1013">
        <v>0</v>
      </c>
      <c r="AS780" s="1013">
        <v>0</v>
      </c>
      <c r="AT780" s="1045">
        <f t="shared" si="164"/>
        <v>12973630</v>
      </c>
      <c r="AU780" s="1004"/>
      <c r="AV780" s="870"/>
      <c r="AW780" s="782" t="s">
        <v>4801</v>
      </c>
      <c r="AX780" s="782" t="s">
        <v>4802</v>
      </c>
      <c r="AY780" s="1007" t="s">
        <v>221</v>
      </c>
      <c r="AZ780" s="1007">
        <v>622</v>
      </c>
      <c r="BA780" s="347" t="str">
        <f t="shared" si="166"/>
        <v>Bag</v>
      </c>
      <c r="BB780" s="1008"/>
      <c r="BC780" s="1009"/>
      <c r="BD780" s="1009"/>
    </row>
    <row r="781" spans="1:56" s="1010" customFormat="1" ht="36.75" customHeight="1">
      <c r="A781" s="661">
        <f>SUBTOTAL(3,B$6:B781)</f>
        <v>776</v>
      </c>
      <c r="B781" s="661" t="s">
        <v>2377</v>
      </c>
      <c r="C781" s="662" t="s">
        <v>2378</v>
      </c>
      <c r="D781" s="1011">
        <v>40994</v>
      </c>
      <c r="E781" s="1011" t="s">
        <v>220</v>
      </c>
      <c r="F781" s="787" t="s">
        <v>284</v>
      </c>
      <c r="G781" s="996" t="s">
        <v>2376</v>
      </c>
      <c r="H781" s="1012">
        <v>5931000</v>
      </c>
      <c r="I781" s="1012">
        <v>3000000</v>
      </c>
      <c r="J781" s="1012">
        <v>0</v>
      </c>
      <c r="K781" s="1012">
        <v>800000</v>
      </c>
      <c r="L781" s="1013">
        <f t="shared" si="159"/>
        <v>9731000</v>
      </c>
      <c r="M781" s="1014">
        <v>22</v>
      </c>
      <c r="N781" s="1013">
        <f t="shared" si="160"/>
        <v>8233923</v>
      </c>
      <c r="O781" s="1015">
        <v>4</v>
      </c>
      <c r="P781" s="1013">
        <f t="shared" si="161"/>
        <v>1497077</v>
      </c>
      <c r="Q781" s="1016">
        <v>0</v>
      </c>
      <c r="R781" s="1013">
        <f t="shared" si="162"/>
        <v>0</v>
      </c>
      <c r="S781" s="1013">
        <f t="shared" si="163"/>
        <v>9731000</v>
      </c>
      <c r="T781" s="1017">
        <v>0</v>
      </c>
      <c r="U781" s="785">
        <v>0</v>
      </c>
      <c r="V781" s="785">
        <v>200000</v>
      </c>
      <c r="W781" s="1017">
        <v>500000</v>
      </c>
      <c r="X781" s="1017">
        <v>0</v>
      </c>
      <c r="Y781" s="1017">
        <v>400000</v>
      </c>
      <c r="Z781" s="1017">
        <v>0</v>
      </c>
      <c r="AA781" s="1018"/>
      <c r="AB781" s="1013"/>
      <c r="AC781" s="1017">
        <v>0</v>
      </c>
      <c r="AD781" s="1017">
        <v>0</v>
      </c>
      <c r="AE781" s="1013">
        <v>0</v>
      </c>
      <c r="AF781" s="1019"/>
      <c r="AG781" s="1019">
        <f t="shared" si="157"/>
        <v>10831000</v>
      </c>
      <c r="AH781" s="1014">
        <v>36</v>
      </c>
      <c r="AI781" s="1014">
        <v>0</v>
      </c>
      <c r="AJ781" s="1014">
        <v>0</v>
      </c>
      <c r="AK781" s="1018">
        <v>0</v>
      </c>
      <c r="AL781" s="1020">
        <v>0</v>
      </c>
      <c r="AM781" s="1013">
        <f t="shared" si="167"/>
        <v>2526317</v>
      </c>
      <c r="AN781" s="1045">
        <f t="shared" si="118"/>
        <v>13357317</v>
      </c>
      <c r="AO781" s="1013">
        <v>1021755</v>
      </c>
      <c r="AP781" s="1013">
        <v>44100</v>
      </c>
      <c r="AQ781" s="1013">
        <v>0</v>
      </c>
      <c r="AR781" s="1013">
        <v>0</v>
      </c>
      <c r="AS781" s="1013">
        <v>0</v>
      </c>
      <c r="AT781" s="1045">
        <f t="shared" si="164"/>
        <v>12291462</v>
      </c>
      <c r="AU781" s="1004"/>
      <c r="AV781" s="870"/>
      <c r="AW781" s="782" t="s">
        <v>4803</v>
      </c>
      <c r="AX781" s="782" t="s">
        <v>4804</v>
      </c>
      <c r="AY781" s="1007" t="s">
        <v>288</v>
      </c>
      <c r="AZ781" s="1007">
        <v>622</v>
      </c>
      <c r="BA781" s="347" t="str">
        <f t="shared" si="166"/>
        <v>Bag</v>
      </c>
      <c r="BB781" s="1008"/>
      <c r="BC781" s="1009"/>
      <c r="BD781" s="1009"/>
    </row>
    <row r="782" spans="1:56" s="1010" customFormat="1" ht="36.75" customHeight="1">
      <c r="A782" s="661">
        <f>SUBTOTAL(3,B$6:B782)</f>
        <v>777</v>
      </c>
      <c r="B782" s="661" t="s">
        <v>2379</v>
      </c>
      <c r="C782" s="662" t="s">
        <v>1099</v>
      </c>
      <c r="D782" s="1011">
        <v>44308</v>
      </c>
      <c r="E782" s="1011" t="s">
        <v>220</v>
      </c>
      <c r="F782" s="787" t="s">
        <v>658</v>
      </c>
      <c r="G782" s="996" t="s">
        <v>1322</v>
      </c>
      <c r="H782" s="1012">
        <v>5931000</v>
      </c>
      <c r="I782" s="1012">
        <v>1100000</v>
      </c>
      <c r="J782" s="1012">
        <v>0</v>
      </c>
      <c r="K782" s="1012">
        <v>0</v>
      </c>
      <c r="L782" s="1013">
        <f t="shared" si="159"/>
        <v>7031000</v>
      </c>
      <c r="M782" s="1014">
        <v>20.8</v>
      </c>
      <c r="N782" s="1013">
        <f t="shared" si="160"/>
        <v>5624800</v>
      </c>
      <c r="O782" s="1015">
        <v>3</v>
      </c>
      <c r="P782" s="1013">
        <f t="shared" si="161"/>
        <v>811269</v>
      </c>
      <c r="Q782" s="1016">
        <v>0</v>
      </c>
      <c r="R782" s="1013">
        <f t="shared" si="162"/>
        <v>0</v>
      </c>
      <c r="S782" s="1013">
        <f t="shared" si="163"/>
        <v>6436069</v>
      </c>
      <c r="T782" s="1017">
        <v>0</v>
      </c>
      <c r="U782" s="785">
        <v>0</v>
      </c>
      <c r="V782" s="785">
        <v>200000</v>
      </c>
      <c r="W782" s="1017">
        <v>0</v>
      </c>
      <c r="X782" s="1017">
        <v>0</v>
      </c>
      <c r="Y782" s="1017">
        <v>300000</v>
      </c>
      <c r="Z782" s="1017">
        <v>346700</v>
      </c>
      <c r="AA782" s="1018"/>
      <c r="AB782" s="1013"/>
      <c r="AC782" s="1017">
        <v>0</v>
      </c>
      <c r="AD782" s="1017">
        <v>0</v>
      </c>
      <c r="AE782" s="1013">
        <v>50704.326923076922</v>
      </c>
      <c r="AF782" s="1019"/>
      <c r="AG782" s="1019">
        <f t="shared" si="157"/>
        <v>7333473</v>
      </c>
      <c r="AH782" s="1014">
        <v>15.5</v>
      </c>
      <c r="AI782" s="1014">
        <v>0</v>
      </c>
      <c r="AJ782" s="1014">
        <v>0</v>
      </c>
      <c r="AK782" s="1018">
        <v>0</v>
      </c>
      <c r="AL782" s="1020">
        <v>0</v>
      </c>
      <c r="AM782" s="1013">
        <f t="shared" si="167"/>
        <v>785917</v>
      </c>
      <c r="AN782" s="1045">
        <f t="shared" si="118"/>
        <v>8119390</v>
      </c>
      <c r="AO782" s="1013">
        <v>738255</v>
      </c>
      <c r="AP782" s="1013">
        <v>44100</v>
      </c>
      <c r="AQ782" s="1013">
        <v>0</v>
      </c>
      <c r="AR782" s="1013">
        <v>0</v>
      </c>
      <c r="AS782" s="1013">
        <v>0</v>
      </c>
      <c r="AT782" s="1045">
        <f t="shared" si="164"/>
        <v>7337035</v>
      </c>
      <c r="AU782" s="1004"/>
      <c r="AV782" s="870"/>
      <c r="AW782" s="782" t="s">
        <v>3624</v>
      </c>
      <c r="AX782" s="782" t="s">
        <v>4805</v>
      </c>
      <c r="AY782" s="1007" t="s">
        <v>288</v>
      </c>
      <c r="AZ782" s="1007">
        <v>622</v>
      </c>
      <c r="BA782" s="347" t="str">
        <f t="shared" si="166"/>
        <v>Bag</v>
      </c>
      <c r="BB782" s="1008"/>
      <c r="BC782" s="1009"/>
      <c r="BD782" s="1009"/>
    </row>
    <row r="783" spans="1:56" s="1010" customFormat="1" ht="36.75" customHeight="1">
      <c r="A783" s="661">
        <f>SUBTOTAL(3,B$6:B783)</f>
        <v>778</v>
      </c>
      <c r="B783" s="661" t="s">
        <v>2380</v>
      </c>
      <c r="C783" s="662" t="s">
        <v>2381</v>
      </c>
      <c r="D783" s="1011">
        <v>45030</v>
      </c>
      <c r="E783" s="1011" t="s">
        <v>220</v>
      </c>
      <c r="F783" s="787" t="s">
        <v>658</v>
      </c>
      <c r="G783" s="996" t="s">
        <v>1322</v>
      </c>
      <c r="H783" s="1012">
        <v>5815000</v>
      </c>
      <c r="I783" s="1012">
        <v>700000</v>
      </c>
      <c r="J783" s="1012">
        <v>292000</v>
      </c>
      <c r="K783" s="1012">
        <v>0</v>
      </c>
      <c r="L783" s="1013">
        <f t="shared" si="159"/>
        <v>6807000</v>
      </c>
      <c r="M783" s="1014">
        <v>23.7</v>
      </c>
      <c r="N783" s="1013">
        <f t="shared" si="160"/>
        <v>6204842</v>
      </c>
      <c r="O783" s="1015">
        <v>2</v>
      </c>
      <c r="P783" s="1013">
        <f t="shared" si="161"/>
        <v>523615</v>
      </c>
      <c r="Q783" s="1016">
        <v>0</v>
      </c>
      <c r="R783" s="1013">
        <f t="shared" si="162"/>
        <v>0</v>
      </c>
      <c r="S783" s="1013">
        <f t="shared" si="163"/>
        <v>6728457</v>
      </c>
      <c r="T783" s="1017">
        <v>0</v>
      </c>
      <c r="U783" s="785">
        <v>0</v>
      </c>
      <c r="V783" s="785">
        <v>200000</v>
      </c>
      <c r="W783" s="1017">
        <v>500000</v>
      </c>
      <c r="X783" s="1017">
        <v>0</v>
      </c>
      <c r="Y783" s="1017">
        <v>400000</v>
      </c>
      <c r="Z783" s="1017">
        <v>395000</v>
      </c>
      <c r="AA783" s="1018"/>
      <c r="AB783" s="1013"/>
      <c r="AC783" s="1017">
        <v>0</v>
      </c>
      <c r="AD783" s="1017">
        <v>0</v>
      </c>
      <c r="AE783" s="1013">
        <v>0</v>
      </c>
      <c r="AF783" s="1019"/>
      <c r="AG783" s="1019">
        <f t="shared" si="157"/>
        <v>8223457</v>
      </c>
      <c r="AH783" s="1014">
        <v>24</v>
      </c>
      <c r="AI783" s="1014">
        <v>0</v>
      </c>
      <c r="AJ783" s="1014">
        <v>0</v>
      </c>
      <c r="AK783" s="1018">
        <v>0</v>
      </c>
      <c r="AL783" s="1020">
        <v>0</v>
      </c>
      <c r="AM783" s="1013">
        <f t="shared" si="167"/>
        <v>1178135</v>
      </c>
      <c r="AN783" s="1045">
        <f t="shared" si="118"/>
        <v>9401592</v>
      </c>
      <c r="AO783" s="1013">
        <v>714735</v>
      </c>
      <c r="AP783" s="1013">
        <v>44100</v>
      </c>
      <c r="AQ783" s="1013">
        <v>0</v>
      </c>
      <c r="AR783" s="1013">
        <v>0</v>
      </c>
      <c r="AS783" s="1013">
        <v>0</v>
      </c>
      <c r="AT783" s="1045">
        <f t="shared" si="164"/>
        <v>8642757</v>
      </c>
      <c r="AU783" s="1004"/>
      <c r="AV783" s="870"/>
      <c r="AW783" s="782" t="s">
        <v>4806</v>
      </c>
      <c r="AX783" s="782" t="s">
        <v>4807</v>
      </c>
      <c r="AY783" s="1007" t="s">
        <v>288</v>
      </c>
      <c r="AZ783" s="1007">
        <v>622</v>
      </c>
      <c r="BA783" s="347" t="str">
        <f t="shared" si="166"/>
        <v>Bag</v>
      </c>
      <c r="BB783" s="1008"/>
      <c r="BC783" s="1009"/>
      <c r="BD783" s="1009"/>
    </row>
    <row r="784" spans="1:56" s="1010" customFormat="1" ht="36.75" customHeight="1">
      <c r="A784" s="661">
        <f>SUBTOTAL(3,B$6:B784)</f>
        <v>779</v>
      </c>
      <c r="B784" s="661" t="s">
        <v>2383</v>
      </c>
      <c r="C784" s="662" t="s">
        <v>2384</v>
      </c>
      <c r="D784" s="1011">
        <v>43521</v>
      </c>
      <c r="E784" s="1011" t="s">
        <v>220</v>
      </c>
      <c r="F784" s="787" t="s">
        <v>658</v>
      </c>
      <c r="G784" s="996" t="s">
        <v>1322</v>
      </c>
      <c r="H784" s="1012">
        <v>5931000</v>
      </c>
      <c r="I784" s="1012">
        <v>1100000</v>
      </c>
      <c r="J784" s="1012">
        <v>0</v>
      </c>
      <c r="K784" s="1012">
        <v>0</v>
      </c>
      <c r="L784" s="1013">
        <f t="shared" si="159"/>
        <v>7031000</v>
      </c>
      <c r="M784" s="1014">
        <v>22.6</v>
      </c>
      <c r="N784" s="1013">
        <f t="shared" si="160"/>
        <v>6111562</v>
      </c>
      <c r="O784" s="1015">
        <v>3</v>
      </c>
      <c r="P784" s="1013">
        <f t="shared" si="161"/>
        <v>811269</v>
      </c>
      <c r="Q784" s="1016">
        <v>0</v>
      </c>
      <c r="R784" s="1013">
        <f t="shared" si="162"/>
        <v>0</v>
      </c>
      <c r="S784" s="1013">
        <f t="shared" si="163"/>
        <v>6922831</v>
      </c>
      <c r="T784" s="1017">
        <v>0</v>
      </c>
      <c r="U784" s="785">
        <v>0</v>
      </c>
      <c r="V784" s="785">
        <v>200000</v>
      </c>
      <c r="W784" s="1017">
        <v>500000</v>
      </c>
      <c r="X784" s="1017">
        <v>0</v>
      </c>
      <c r="Y784" s="1017">
        <v>400000</v>
      </c>
      <c r="Z784" s="1017">
        <v>376700</v>
      </c>
      <c r="AA784" s="1018"/>
      <c r="AB784" s="1013"/>
      <c r="AC784" s="1017">
        <v>0</v>
      </c>
      <c r="AD784" s="1017">
        <v>0</v>
      </c>
      <c r="AE784" s="1013">
        <v>50704.330752212387</v>
      </c>
      <c r="AF784" s="1019"/>
      <c r="AG784" s="1019">
        <f t="shared" si="157"/>
        <v>8450235</v>
      </c>
      <c r="AH784" s="1014">
        <v>14</v>
      </c>
      <c r="AI784" s="1014">
        <v>0</v>
      </c>
      <c r="AJ784" s="1014">
        <v>0</v>
      </c>
      <c r="AK784" s="1018">
        <v>0</v>
      </c>
      <c r="AL784" s="1020">
        <v>0</v>
      </c>
      <c r="AM784" s="1013">
        <f t="shared" si="167"/>
        <v>709861</v>
      </c>
      <c r="AN784" s="1045">
        <f t="shared" si="118"/>
        <v>9160096</v>
      </c>
      <c r="AO784" s="1013">
        <v>738255</v>
      </c>
      <c r="AP784" s="1013">
        <v>44100</v>
      </c>
      <c r="AQ784" s="1013">
        <v>0</v>
      </c>
      <c r="AR784" s="1013">
        <v>0</v>
      </c>
      <c r="AS784" s="1013">
        <v>0</v>
      </c>
      <c r="AT784" s="1045">
        <f t="shared" si="164"/>
        <v>8377741</v>
      </c>
      <c r="AU784" s="1004"/>
      <c r="AV784" s="870"/>
      <c r="AW784" s="782" t="s">
        <v>4809</v>
      </c>
      <c r="AX784" s="782" t="s">
        <v>4810</v>
      </c>
      <c r="AY784" s="1007" t="s">
        <v>221</v>
      </c>
      <c r="AZ784" s="1007">
        <v>622</v>
      </c>
      <c r="BA784" s="347" t="str">
        <f t="shared" si="166"/>
        <v>Bag</v>
      </c>
      <c r="BB784" s="1008"/>
      <c r="BC784" s="1009"/>
      <c r="BD784" s="1009"/>
    </row>
    <row r="785" spans="1:56" s="1010" customFormat="1" ht="36.75" customHeight="1">
      <c r="A785" s="661">
        <f>SUBTOTAL(3,B$6:B785)</f>
        <v>780</v>
      </c>
      <c r="B785" s="661" t="s">
        <v>2385</v>
      </c>
      <c r="C785" s="662" t="s">
        <v>1850</v>
      </c>
      <c r="D785" s="1011">
        <v>39608</v>
      </c>
      <c r="E785" s="1011" t="s">
        <v>220</v>
      </c>
      <c r="F785" s="787" t="s">
        <v>268</v>
      </c>
      <c r="G785" s="996" t="s">
        <v>2386</v>
      </c>
      <c r="H785" s="1012">
        <v>9179000</v>
      </c>
      <c r="I785" s="1012">
        <v>4200000</v>
      </c>
      <c r="J785" s="1012">
        <v>0</v>
      </c>
      <c r="K785" s="1012">
        <v>0</v>
      </c>
      <c r="L785" s="1013">
        <f t="shared" si="159"/>
        <v>13379000</v>
      </c>
      <c r="M785" s="1014">
        <v>10</v>
      </c>
      <c r="N785" s="1013">
        <f t="shared" si="160"/>
        <v>5145769</v>
      </c>
      <c r="O785" s="1015">
        <v>1</v>
      </c>
      <c r="P785" s="1013">
        <f t="shared" si="161"/>
        <v>514577</v>
      </c>
      <c r="Q785" s="1016">
        <v>0</v>
      </c>
      <c r="R785" s="1013">
        <f t="shared" si="162"/>
        <v>0</v>
      </c>
      <c r="S785" s="1013">
        <f t="shared" si="163"/>
        <v>5660346</v>
      </c>
      <c r="T785" s="1017">
        <v>211538</v>
      </c>
      <c r="U785" s="785">
        <v>0</v>
      </c>
      <c r="V785" s="785">
        <v>0</v>
      </c>
      <c r="W785" s="1017">
        <v>0</v>
      </c>
      <c r="X785" s="1017">
        <v>0</v>
      </c>
      <c r="Y785" s="1017">
        <v>0</v>
      </c>
      <c r="Z785" s="1017">
        <v>0</v>
      </c>
      <c r="AA785" s="1018"/>
      <c r="AB785" s="1013"/>
      <c r="AC785" s="1017">
        <v>0</v>
      </c>
      <c r="AD785" s="1017">
        <v>0</v>
      </c>
      <c r="AE785" s="1013">
        <v>0</v>
      </c>
      <c r="AF785" s="1019"/>
      <c r="AG785" s="1019">
        <f t="shared" ref="AG785:AG848" si="168">ROUND(SUM(S785:AF785)-AA785,0)</f>
        <v>5871884</v>
      </c>
      <c r="AH785" s="1014">
        <v>0</v>
      </c>
      <c r="AI785" s="1014">
        <v>0</v>
      </c>
      <c r="AJ785" s="1014">
        <v>0</v>
      </c>
      <c r="AK785" s="1018">
        <v>0</v>
      </c>
      <c r="AL785" s="1020">
        <v>0</v>
      </c>
      <c r="AM785" s="1013">
        <f t="shared" si="167"/>
        <v>0</v>
      </c>
      <c r="AN785" s="1045">
        <f t="shared" si="118"/>
        <v>5871884</v>
      </c>
      <c r="AO785" s="1013">
        <v>0</v>
      </c>
      <c r="AP785" s="1013">
        <v>44100</v>
      </c>
      <c r="AQ785" s="1013">
        <v>0</v>
      </c>
      <c r="AR785" s="1013">
        <v>0</v>
      </c>
      <c r="AS785" s="1013">
        <v>0</v>
      </c>
      <c r="AT785" s="1045">
        <f t="shared" si="164"/>
        <v>5827784</v>
      </c>
      <c r="AU785" s="1004"/>
      <c r="AV785" s="870"/>
      <c r="AW785" s="782" t="s">
        <v>4332</v>
      </c>
      <c r="AX785" s="782" t="s">
        <v>4811</v>
      </c>
      <c r="AY785" s="1007" t="s">
        <v>287</v>
      </c>
      <c r="AZ785" s="1007">
        <v>642</v>
      </c>
      <c r="BA785" s="347" t="str">
        <f t="shared" si="166"/>
        <v>Box</v>
      </c>
      <c r="BB785" s="1008"/>
      <c r="BC785" s="1009"/>
      <c r="BD785" s="1009"/>
    </row>
    <row r="786" spans="1:56" s="1010" customFormat="1" ht="36.75" customHeight="1">
      <c r="A786" s="661">
        <f>SUBTOTAL(3,B$6:B786)</f>
        <v>781</v>
      </c>
      <c r="B786" s="661" t="s">
        <v>2387</v>
      </c>
      <c r="C786" s="662" t="s">
        <v>2388</v>
      </c>
      <c r="D786" s="1011">
        <v>43557</v>
      </c>
      <c r="E786" s="1011" t="s">
        <v>220</v>
      </c>
      <c r="F786" s="787" t="s">
        <v>268</v>
      </c>
      <c r="G786" s="996" t="s">
        <v>2389</v>
      </c>
      <c r="H786" s="1012">
        <v>6348000</v>
      </c>
      <c r="I786" s="1012">
        <v>1300000</v>
      </c>
      <c r="J786" s="1012">
        <v>0</v>
      </c>
      <c r="K786" s="1012">
        <v>0</v>
      </c>
      <c r="L786" s="1013">
        <f t="shared" si="159"/>
        <v>7648000</v>
      </c>
      <c r="M786" s="1014">
        <v>22.7</v>
      </c>
      <c r="N786" s="1013">
        <f t="shared" si="160"/>
        <v>6677292</v>
      </c>
      <c r="O786" s="1015">
        <v>3</v>
      </c>
      <c r="P786" s="1013">
        <f t="shared" si="161"/>
        <v>882462</v>
      </c>
      <c r="Q786" s="1016">
        <v>0</v>
      </c>
      <c r="R786" s="1013">
        <f t="shared" si="162"/>
        <v>0</v>
      </c>
      <c r="S786" s="1013">
        <f t="shared" si="163"/>
        <v>7559754</v>
      </c>
      <c r="T786" s="1017">
        <v>0</v>
      </c>
      <c r="U786" s="785">
        <v>0</v>
      </c>
      <c r="V786" s="785">
        <v>200000</v>
      </c>
      <c r="W786" s="1017">
        <v>500000</v>
      </c>
      <c r="X786" s="1017">
        <v>0</v>
      </c>
      <c r="Y786" s="1017">
        <v>400000</v>
      </c>
      <c r="Z786" s="1017">
        <v>386732</v>
      </c>
      <c r="AA786" s="1018"/>
      <c r="AB786" s="1013"/>
      <c r="AC786" s="1017">
        <v>0</v>
      </c>
      <c r="AD786" s="1017">
        <v>0</v>
      </c>
      <c r="AE786" s="1013">
        <v>55153.8436123348</v>
      </c>
      <c r="AF786" s="1019"/>
      <c r="AG786" s="1019">
        <f t="shared" si="168"/>
        <v>9101640</v>
      </c>
      <c r="AH786" s="1014">
        <v>0</v>
      </c>
      <c r="AI786" s="1014">
        <v>0</v>
      </c>
      <c r="AJ786" s="1014">
        <v>0</v>
      </c>
      <c r="AK786" s="1018">
        <v>0</v>
      </c>
      <c r="AL786" s="1020">
        <v>0</v>
      </c>
      <c r="AM786" s="1013">
        <f t="shared" si="167"/>
        <v>0</v>
      </c>
      <c r="AN786" s="1045">
        <f t="shared" si="118"/>
        <v>9101640</v>
      </c>
      <c r="AO786" s="1013">
        <v>803040</v>
      </c>
      <c r="AP786" s="1013">
        <v>44100</v>
      </c>
      <c r="AQ786" s="1013">
        <v>0</v>
      </c>
      <c r="AR786" s="1013">
        <v>0</v>
      </c>
      <c r="AS786" s="1013">
        <v>0</v>
      </c>
      <c r="AT786" s="1045">
        <f t="shared" si="164"/>
        <v>8254500</v>
      </c>
      <c r="AU786" s="1004"/>
      <c r="AV786" s="870"/>
      <c r="AW786" s="782" t="s">
        <v>4812</v>
      </c>
      <c r="AX786" s="782" t="s">
        <v>4813</v>
      </c>
      <c r="AY786" s="1007" t="s">
        <v>288</v>
      </c>
      <c r="AZ786" s="1007">
        <v>642</v>
      </c>
      <c r="BA786" s="347" t="str">
        <f t="shared" si="166"/>
        <v>Bag</v>
      </c>
      <c r="BB786" s="1008"/>
      <c r="BC786" s="1009"/>
      <c r="BD786" s="1009"/>
    </row>
    <row r="787" spans="1:56" s="1010" customFormat="1" ht="36.75" customHeight="1">
      <c r="A787" s="661">
        <f>SUBTOTAL(3,B$6:B787)</f>
        <v>782</v>
      </c>
      <c r="B787" s="661" t="s">
        <v>177</v>
      </c>
      <c r="C787" s="662" t="s">
        <v>178</v>
      </c>
      <c r="D787" s="1011">
        <v>43682</v>
      </c>
      <c r="E787" s="1011" t="s">
        <v>220</v>
      </c>
      <c r="F787" s="787" t="s">
        <v>268</v>
      </c>
      <c r="G787" s="996" t="s">
        <v>2390</v>
      </c>
      <c r="H787" s="1012">
        <v>17500000</v>
      </c>
      <c r="I787" s="1012">
        <v>12700000</v>
      </c>
      <c r="J787" s="1012">
        <v>0</v>
      </c>
      <c r="K787" s="1012">
        <v>0</v>
      </c>
      <c r="L787" s="1013">
        <f t="shared" si="159"/>
        <v>30200000</v>
      </c>
      <c r="M787" s="1014">
        <v>24</v>
      </c>
      <c r="N787" s="1013">
        <f t="shared" si="160"/>
        <v>27876923</v>
      </c>
      <c r="O787" s="1015">
        <v>2</v>
      </c>
      <c r="P787" s="1013">
        <f t="shared" si="161"/>
        <v>2323077</v>
      </c>
      <c r="Q787" s="1016">
        <v>0</v>
      </c>
      <c r="R787" s="1013">
        <f t="shared" si="162"/>
        <v>0</v>
      </c>
      <c r="S787" s="1013">
        <f t="shared" si="163"/>
        <v>30200000</v>
      </c>
      <c r="T787" s="1017">
        <v>500000</v>
      </c>
      <c r="U787" s="785">
        <v>0</v>
      </c>
      <c r="V787" s="785">
        <v>0</v>
      </c>
      <c r="W787" s="1017">
        <v>0</v>
      </c>
      <c r="X787" s="1017">
        <v>0</v>
      </c>
      <c r="Y787" s="1017">
        <v>0</v>
      </c>
      <c r="Z787" s="1017">
        <v>0</v>
      </c>
      <c r="AA787" s="1018"/>
      <c r="AB787" s="1013"/>
      <c r="AC787" s="1017">
        <v>0</v>
      </c>
      <c r="AD787" s="1017">
        <v>0</v>
      </c>
      <c r="AE787" s="1013">
        <v>0</v>
      </c>
      <c r="AF787" s="1019"/>
      <c r="AG787" s="1019">
        <f t="shared" si="168"/>
        <v>30700000</v>
      </c>
      <c r="AH787" s="1014">
        <v>0</v>
      </c>
      <c r="AI787" s="1014">
        <v>0</v>
      </c>
      <c r="AJ787" s="1014">
        <v>0</v>
      </c>
      <c r="AK787" s="1018">
        <v>0</v>
      </c>
      <c r="AL787" s="1020">
        <v>0</v>
      </c>
      <c r="AM787" s="1013">
        <f t="shared" si="167"/>
        <v>0</v>
      </c>
      <c r="AN787" s="1045">
        <f t="shared" si="118"/>
        <v>30700000</v>
      </c>
      <c r="AO787" s="1013">
        <v>3171000</v>
      </c>
      <c r="AP787" s="1013">
        <v>44100</v>
      </c>
      <c r="AQ787" s="1013">
        <v>146450</v>
      </c>
      <c r="AR787" s="1013">
        <v>0</v>
      </c>
      <c r="AS787" s="1013">
        <v>0</v>
      </c>
      <c r="AT787" s="1045">
        <f t="shared" si="164"/>
        <v>27338450</v>
      </c>
      <c r="AU787" s="1004"/>
      <c r="AV787" s="870"/>
      <c r="AW787" s="782" t="s">
        <v>4814</v>
      </c>
      <c r="AX787" s="782" t="s">
        <v>4815</v>
      </c>
      <c r="AY787" s="1007" t="s">
        <v>288</v>
      </c>
      <c r="AZ787" s="1007">
        <v>642</v>
      </c>
      <c r="BA787" s="347" t="s">
        <v>78</v>
      </c>
      <c r="BB787" s="1008"/>
      <c r="BC787" s="1009"/>
      <c r="BD787" s="1009"/>
    </row>
    <row r="788" spans="1:56" s="1010" customFormat="1" ht="36.75" customHeight="1">
      <c r="A788" s="661">
        <f>SUBTOTAL(3,B$6:B788)</f>
        <v>783</v>
      </c>
      <c r="B788" s="661" t="s">
        <v>2391</v>
      </c>
      <c r="C788" s="662" t="s">
        <v>2392</v>
      </c>
      <c r="D788" s="1011">
        <v>43752</v>
      </c>
      <c r="E788" s="1011" t="s">
        <v>220</v>
      </c>
      <c r="F788" s="787" t="s">
        <v>268</v>
      </c>
      <c r="G788" s="996" t="s">
        <v>2393</v>
      </c>
      <c r="H788" s="1012">
        <v>9714000</v>
      </c>
      <c r="I788" s="1012">
        <v>3600000</v>
      </c>
      <c r="J788" s="1012">
        <v>0</v>
      </c>
      <c r="K788" s="1012">
        <v>0</v>
      </c>
      <c r="L788" s="1013">
        <f t="shared" si="159"/>
        <v>13314000</v>
      </c>
      <c r="M788" s="1014">
        <v>23.8</v>
      </c>
      <c r="N788" s="1013">
        <f t="shared" si="160"/>
        <v>12187431</v>
      </c>
      <c r="O788" s="1015">
        <v>2</v>
      </c>
      <c r="P788" s="1013">
        <f t="shared" si="161"/>
        <v>1024154</v>
      </c>
      <c r="Q788" s="1016">
        <v>0</v>
      </c>
      <c r="R788" s="1013">
        <f t="shared" si="162"/>
        <v>0</v>
      </c>
      <c r="S788" s="1013">
        <f t="shared" si="163"/>
        <v>13211585</v>
      </c>
      <c r="T788" s="1017">
        <v>0</v>
      </c>
      <c r="U788" s="785">
        <v>0</v>
      </c>
      <c r="V788" s="785">
        <v>0</v>
      </c>
      <c r="W788" s="1017">
        <v>0</v>
      </c>
      <c r="X788" s="1017">
        <v>0</v>
      </c>
      <c r="Y788" s="1017">
        <v>0</v>
      </c>
      <c r="Z788" s="1017">
        <v>0</v>
      </c>
      <c r="AA788" s="1018"/>
      <c r="AB788" s="1013"/>
      <c r="AC788" s="1017">
        <v>100000</v>
      </c>
      <c r="AD788" s="1017">
        <v>0</v>
      </c>
      <c r="AE788" s="1013">
        <v>96014.424894957978</v>
      </c>
      <c r="AF788" s="1019"/>
      <c r="AG788" s="1019">
        <f t="shared" si="168"/>
        <v>13407599</v>
      </c>
      <c r="AH788" s="1014">
        <v>0</v>
      </c>
      <c r="AI788" s="1014">
        <v>0</v>
      </c>
      <c r="AJ788" s="1014">
        <v>0</v>
      </c>
      <c r="AK788" s="1018">
        <v>0</v>
      </c>
      <c r="AL788" s="1020">
        <v>0</v>
      </c>
      <c r="AM788" s="1013">
        <f t="shared" si="167"/>
        <v>0</v>
      </c>
      <c r="AN788" s="1045">
        <f t="shared" si="118"/>
        <v>13407599</v>
      </c>
      <c r="AO788" s="1013">
        <v>1397970</v>
      </c>
      <c r="AP788" s="1013">
        <v>44100</v>
      </c>
      <c r="AQ788" s="1013">
        <v>0</v>
      </c>
      <c r="AR788" s="1013">
        <v>0</v>
      </c>
      <c r="AS788" s="1013">
        <v>0</v>
      </c>
      <c r="AT788" s="1045">
        <f t="shared" si="164"/>
        <v>11965529</v>
      </c>
      <c r="AU788" s="1004"/>
      <c r="AV788" s="870"/>
      <c r="AW788" s="782" t="s">
        <v>4816</v>
      </c>
      <c r="AX788" s="782" t="s">
        <v>4817</v>
      </c>
      <c r="AY788" s="1007" t="s">
        <v>287</v>
      </c>
      <c r="AZ788" s="1007">
        <v>642</v>
      </c>
      <c r="BA788" s="347" t="str">
        <f t="shared" ref="BA788:BA796" si="169">+IF(AY788="SK1 Box","Box",IF(AY788="Seaman","Seaman","Bag"))</f>
        <v>Box</v>
      </c>
      <c r="BB788" s="1008"/>
      <c r="BC788" s="1009"/>
      <c r="BD788" s="1009"/>
    </row>
    <row r="789" spans="1:56" s="1010" customFormat="1" ht="36.75" customHeight="1">
      <c r="A789" s="661">
        <f>SUBTOTAL(3,B$6:B789)</f>
        <v>784</v>
      </c>
      <c r="B789" s="661" t="s">
        <v>2394</v>
      </c>
      <c r="C789" s="662" t="s">
        <v>2395</v>
      </c>
      <c r="D789" s="1011">
        <v>44102</v>
      </c>
      <c r="E789" s="1011" t="s">
        <v>220</v>
      </c>
      <c r="F789" s="787" t="s">
        <v>268</v>
      </c>
      <c r="G789" s="996" t="s">
        <v>2389</v>
      </c>
      <c r="H789" s="1012">
        <v>6800000</v>
      </c>
      <c r="I789" s="1012">
        <v>3350000</v>
      </c>
      <c r="J789" s="1012">
        <v>0</v>
      </c>
      <c r="K789" s="1012">
        <v>0</v>
      </c>
      <c r="L789" s="1013">
        <f t="shared" si="159"/>
        <v>10150000</v>
      </c>
      <c r="M789" s="1014">
        <v>24</v>
      </c>
      <c r="N789" s="1013">
        <f t="shared" si="160"/>
        <v>9369231</v>
      </c>
      <c r="O789" s="1015">
        <v>2</v>
      </c>
      <c r="P789" s="1013">
        <f t="shared" si="161"/>
        <v>780769</v>
      </c>
      <c r="Q789" s="1016">
        <v>0</v>
      </c>
      <c r="R789" s="1013">
        <f t="shared" si="162"/>
        <v>0</v>
      </c>
      <c r="S789" s="1013">
        <f t="shared" si="163"/>
        <v>10150000</v>
      </c>
      <c r="T789" s="1017">
        <v>500000</v>
      </c>
      <c r="U789" s="785">
        <v>0</v>
      </c>
      <c r="V789" s="785">
        <v>0</v>
      </c>
      <c r="W789" s="1017">
        <v>0</v>
      </c>
      <c r="X789" s="1017">
        <v>0</v>
      </c>
      <c r="Y789" s="1017">
        <v>0</v>
      </c>
      <c r="Z789" s="1017">
        <v>0</v>
      </c>
      <c r="AA789" s="1018"/>
      <c r="AB789" s="1013"/>
      <c r="AC789" s="1017">
        <v>0</v>
      </c>
      <c r="AD789" s="1017">
        <v>0</v>
      </c>
      <c r="AE789" s="1013">
        <v>73197.1171875</v>
      </c>
      <c r="AF789" s="1019"/>
      <c r="AG789" s="1019">
        <f t="shared" si="168"/>
        <v>10723197</v>
      </c>
      <c r="AH789" s="1014">
        <v>0</v>
      </c>
      <c r="AI789" s="1014">
        <v>0</v>
      </c>
      <c r="AJ789" s="1014">
        <v>0</v>
      </c>
      <c r="AK789" s="1018">
        <v>0</v>
      </c>
      <c r="AL789" s="1020">
        <v>0</v>
      </c>
      <c r="AM789" s="1013">
        <f t="shared" si="167"/>
        <v>0</v>
      </c>
      <c r="AN789" s="1045">
        <f t="shared" si="118"/>
        <v>10723197</v>
      </c>
      <c r="AO789" s="1013">
        <v>1065750</v>
      </c>
      <c r="AP789" s="1013">
        <v>44100</v>
      </c>
      <c r="AQ789" s="1013">
        <v>0</v>
      </c>
      <c r="AR789" s="1013">
        <v>0</v>
      </c>
      <c r="AS789" s="1013">
        <v>0</v>
      </c>
      <c r="AT789" s="1045">
        <f t="shared" si="164"/>
        <v>9613347</v>
      </c>
      <c r="AU789" s="1004"/>
      <c r="AV789" s="870"/>
      <c r="AW789" s="782" t="s">
        <v>4818</v>
      </c>
      <c r="AX789" s="782" t="s">
        <v>4819</v>
      </c>
      <c r="AY789" s="1007" t="s">
        <v>287</v>
      </c>
      <c r="AZ789" s="1007">
        <v>642</v>
      </c>
      <c r="BA789" s="347" t="str">
        <f t="shared" si="169"/>
        <v>Box</v>
      </c>
      <c r="BB789" s="1008"/>
      <c r="BC789" s="1009"/>
      <c r="BD789" s="1009"/>
    </row>
    <row r="790" spans="1:56" s="1010" customFormat="1" ht="36.75" customHeight="1">
      <c r="A790" s="661">
        <f>SUBTOTAL(3,B$6:B790)</f>
        <v>785</v>
      </c>
      <c r="B790" s="661" t="s">
        <v>2397</v>
      </c>
      <c r="C790" s="662" t="s">
        <v>2398</v>
      </c>
      <c r="D790" s="1011">
        <v>44545</v>
      </c>
      <c r="E790" s="1011" t="s">
        <v>220</v>
      </c>
      <c r="F790" s="787" t="s">
        <v>268</v>
      </c>
      <c r="G790" s="996" t="s">
        <v>2389</v>
      </c>
      <c r="H790" s="1012">
        <v>6800000</v>
      </c>
      <c r="I790" s="1012">
        <v>4500000</v>
      </c>
      <c r="J790" s="1012">
        <v>0</v>
      </c>
      <c r="K790" s="1012">
        <v>0</v>
      </c>
      <c r="L790" s="1013">
        <f t="shared" si="159"/>
        <v>11300000</v>
      </c>
      <c r="M790" s="1014">
        <v>23.7</v>
      </c>
      <c r="N790" s="1013">
        <f t="shared" si="160"/>
        <v>10300385</v>
      </c>
      <c r="O790" s="1015">
        <v>2</v>
      </c>
      <c r="P790" s="1013">
        <f t="shared" si="161"/>
        <v>869231</v>
      </c>
      <c r="Q790" s="1016">
        <v>0</v>
      </c>
      <c r="R790" s="1013">
        <f t="shared" si="162"/>
        <v>0</v>
      </c>
      <c r="S790" s="1013">
        <f t="shared" si="163"/>
        <v>11169616</v>
      </c>
      <c r="T790" s="1017">
        <v>494231</v>
      </c>
      <c r="U790" s="785">
        <v>0</v>
      </c>
      <c r="V790" s="785">
        <v>0</v>
      </c>
      <c r="W790" s="1017">
        <v>0</v>
      </c>
      <c r="X790" s="1017">
        <v>0</v>
      </c>
      <c r="Y790" s="1017">
        <v>0</v>
      </c>
      <c r="Z790" s="1017">
        <v>0</v>
      </c>
      <c r="AA790" s="1018"/>
      <c r="AB790" s="1013"/>
      <c r="AC790" s="1017">
        <v>200000</v>
      </c>
      <c r="AD790" s="1017">
        <v>0</v>
      </c>
      <c r="AE790" s="1013">
        <v>81490.387658227846</v>
      </c>
      <c r="AF790" s="1019"/>
      <c r="AG790" s="1019">
        <f t="shared" si="168"/>
        <v>11945337</v>
      </c>
      <c r="AH790" s="1014">
        <v>0</v>
      </c>
      <c r="AI790" s="1014">
        <v>0</v>
      </c>
      <c r="AJ790" s="1014">
        <v>0</v>
      </c>
      <c r="AK790" s="1018">
        <v>0</v>
      </c>
      <c r="AL790" s="1020">
        <v>0</v>
      </c>
      <c r="AM790" s="1013">
        <f t="shared" si="167"/>
        <v>0</v>
      </c>
      <c r="AN790" s="1045">
        <f t="shared" si="118"/>
        <v>11945337</v>
      </c>
      <c r="AO790" s="1013">
        <v>1186500</v>
      </c>
      <c r="AP790" s="1013">
        <v>44100</v>
      </c>
      <c r="AQ790" s="1013">
        <v>0</v>
      </c>
      <c r="AR790" s="1013">
        <v>0</v>
      </c>
      <c r="AS790" s="1013">
        <v>0</v>
      </c>
      <c r="AT790" s="1045">
        <f t="shared" si="164"/>
        <v>10714737</v>
      </c>
      <c r="AU790" s="1004"/>
      <c r="AV790" s="870"/>
      <c r="AW790" s="782" t="s">
        <v>4820</v>
      </c>
      <c r="AX790" s="782" t="s">
        <v>4821</v>
      </c>
      <c r="AY790" s="1007" t="s">
        <v>287</v>
      </c>
      <c r="AZ790" s="1007">
        <v>642</v>
      </c>
      <c r="BA790" s="347" t="str">
        <f t="shared" si="169"/>
        <v>Box</v>
      </c>
      <c r="BB790" s="1008"/>
      <c r="BC790" s="1009"/>
      <c r="BD790" s="1009"/>
    </row>
    <row r="791" spans="1:56" s="1010" customFormat="1" ht="36.75" customHeight="1">
      <c r="A791" s="661">
        <f>SUBTOTAL(3,B$6:B791)</f>
        <v>786</v>
      </c>
      <c r="B791" s="661" t="s">
        <v>2399</v>
      </c>
      <c r="C791" s="662" t="s">
        <v>2382</v>
      </c>
      <c r="D791" s="1011">
        <v>44599</v>
      </c>
      <c r="E791" s="1011" t="s">
        <v>220</v>
      </c>
      <c r="F791" s="787" t="s">
        <v>268</v>
      </c>
      <c r="G791" s="996" t="s">
        <v>2389</v>
      </c>
      <c r="H791" s="1012">
        <v>7700000</v>
      </c>
      <c r="I791" s="1012">
        <v>6200000</v>
      </c>
      <c r="J791" s="1012">
        <v>0</v>
      </c>
      <c r="K791" s="1012">
        <v>0</v>
      </c>
      <c r="L791" s="1013">
        <f t="shared" si="159"/>
        <v>13900000</v>
      </c>
      <c r="M791" s="1014">
        <v>24</v>
      </c>
      <c r="N791" s="1013">
        <f t="shared" si="160"/>
        <v>12830769</v>
      </c>
      <c r="O791" s="1015">
        <v>2</v>
      </c>
      <c r="P791" s="1013">
        <f t="shared" si="161"/>
        <v>1069231</v>
      </c>
      <c r="Q791" s="1016">
        <v>0</v>
      </c>
      <c r="R791" s="1013">
        <f t="shared" si="162"/>
        <v>0</v>
      </c>
      <c r="S791" s="1013">
        <f t="shared" si="163"/>
        <v>13900000</v>
      </c>
      <c r="T791" s="1017">
        <v>500000</v>
      </c>
      <c r="U791" s="785">
        <v>0</v>
      </c>
      <c r="V791" s="785">
        <v>0</v>
      </c>
      <c r="W791" s="1017">
        <v>0</v>
      </c>
      <c r="X791" s="1017">
        <v>0</v>
      </c>
      <c r="Y791" s="1017">
        <v>0</v>
      </c>
      <c r="Z791" s="1017">
        <v>0</v>
      </c>
      <c r="AA791" s="1018"/>
      <c r="AB791" s="1013"/>
      <c r="AC791" s="1017">
        <v>0</v>
      </c>
      <c r="AD791" s="1017">
        <v>0</v>
      </c>
      <c r="AE791" s="1013">
        <v>100240.3828125</v>
      </c>
      <c r="AF791" s="1019"/>
      <c r="AG791" s="1019">
        <f t="shared" si="168"/>
        <v>14500240</v>
      </c>
      <c r="AH791" s="1014">
        <v>0</v>
      </c>
      <c r="AI791" s="1014">
        <v>0</v>
      </c>
      <c r="AJ791" s="1014">
        <v>0</v>
      </c>
      <c r="AK791" s="1018">
        <v>0</v>
      </c>
      <c r="AL791" s="1020">
        <v>0</v>
      </c>
      <c r="AM791" s="1013">
        <f t="shared" si="167"/>
        <v>0</v>
      </c>
      <c r="AN791" s="1045">
        <f t="shared" si="118"/>
        <v>14500240</v>
      </c>
      <c r="AO791" s="1013">
        <v>1459500</v>
      </c>
      <c r="AP791" s="1013">
        <v>44100</v>
      </c>
      <c r="AQ791" s="1013">
        <v>82037</v>
      </c>
      <c r="AR791" s="1013">
        <v>0</v>
      </c>
      <c r="AS791" s="1013">
        <v>0</v>
      </c>
      <c r="AT791" s="1045">
        <f t="shared" si="164"/>
        <v>12914603</v>
      </c>
      <c r="AU791" s="1004"/>
      <c r="AV791" s="870"/>
      <c r="AW791" s="782" t="s">
        <v>4808</v>
      </c>
      <c r="AX791" s="782" t="s">
        <v>4822</v>
      </c>
      <c r="AY791" s="1007" t="s">
        <v>287</v>
      </c>
      <c r="AZ791" s="1007">
        <v>642</v>
      </c>
      <c r="BA791" s="347" t="str">
        <f t="shared" si="169"/>
        <v>Box</v>
      </c>
      <c r="BB791" s="1008"/>
      <c r="BC791" s="1009"/>
      <c r="BD791" s="1009"/>
    </row>
    <row r="792" spans="1:56" s="1010" customFormat="1" ht="36.75" customHeight="1">
      <c r="A792" s="661">
        <f>SUBTOTAL(3,B$6:B792)</f>
        <v>787</v>
      </c>
      <c r="B792" s="661" t="s">
        <v>2400</v>
      </c>
      <c r="C792" s="662" t="s">
        <v>2401</v>
      </c>
      <c r="D792" s="1011">
        <v>45558</v>
      </c>
      <c r="E792" s="1011" t="s">
        <v>220</v>
      </c>
      <c r="F792" s="787" t="s">
        <v>268</v>
      </c>
      <c r="G792" s="996" t="s">
        <v>2389</v>
      </c>
      <c r="H792" s="1012">
        <v>8000000</v>
      </c>
      <c r="I792" s="1012">
        <v>4000000</v>
      </c>
      <c r="J792" s="1012">
        <v>0</v>
      </c>
      <c r="K792" s="1012">
        <v>0</v>
      </c>
      <c r="L792" s="1013">
        <f t="shared" si="159"/>
        <v>12000000</v>
      </c>
      <c r="M792" s="1014">
        <v>23.7</v>
      </c>
      <c r="N792" s="1013">
        <f t="shared" si="160"/>
        <v>10938462</v>
      </c>
      <c r="O792" s="1015">
        <v>2</v>
      </c>
      <c r="P792" s="1013">
        <f t="shared" si="161"/>
        <v>923077</v>
      </c>
      <c r="Q792" s="1016">
        <v>0</v>
      </c>
      <c r="R792" s="1013">
        <f t="shared" si="162"/>
        <v>0</v>
      </c>
      <c r="S792" s="1013">
        <f t="shared" si="163"/>
        <v>11861539</v>
      </c>
      <c r="T792" s="1017">
        <v>494231</v>
      </c>
      <c r="U792" s="785">
        <v>0</v>
      </c>
      <c r="V792" s="785">
        <v>0</v>
      </c>
      <c r="W792" s="1017">
        <v>0</v>
      </c>
      <c r="X792" s="1017">
        <v>0</v>
      </c>
      <c r="Y792" s="1017">
        <v>0</v>
      </c>
      <c r="Z792" s="1017">
        <v>0</v>
      </c>
      <c r="AA792" s="1018"/>
      <c r="AB792" s="1013"/>
      <c r="AC792" s="1017">
        <v>100000</v>
      </c>
      <c r="AD792" s="1017">
        <v>0</v>
      </c>
      <c r="AE792" s="1013">
        <v>86538.465189873416</v>
      </c>
      <c r="AF792" s="1019"/>
      <c r="AG792" s="1019">
        <f t="shared" si="168"/>
        <v>12542308</v>
      </c>
      <c r="AH792" s="1014">
        <v>0</v>
      </c>
      <c r="AI792" s="1014">
        <v>0</v>
      </c>
      <c r="AJ792" s="1014">
        <v>0</v>
      </c>
      <c r="AK792" s="1018">
        <v>0</v>
      </c>
      <c r="AL792" s="1020">
        <v>0</v>
      </c>
      <c r="AM792" s="1013">
        <f t="shared" si="167"/>
        <v>0</v>
      </c>
      <c r="AN792" s="1045">
        <f t="shared" si="118"/>
        <v>12542308</v>
      </c>
      <c r="AO792" s="1013">
        <v>1260000</v>
      </c>
      <c r="AP792" s="1013">
        <v>44100</v>
      </c>
      <c r="AQ792" s="1013">
        <v>0</v>
      </c>
      <c r="AR792" s="1013">
        <v>0</v>
      </c>
      <c r="AS792" s="1013">
        <v>0</v>
      </c>
      <c r="AT792" s="1045">
        <f t="shared" si="164"/>
        <v>11238208</v>
      </c>
      <c r="AU792" s="1004"/>
      <c r="AV792" s="870"/>
      <c r="AW792" s="782" t="s">
        <v>4823</v>
      </c>
      <c r="AX792" s="782" t="s">
        <v>4824</v>
      </c>
      <c r="AY792" s="1007" t="s">
        <v>288</v>
      </c>
      <c r="AZ792" s="1007">
        <v>642</v>
      </c>
      <c r="BA792" s="347" t="str">
        <f t="shared" si="169"/>
        <v>Bag</v>
      </c>
      <c r="BB792" s="1008"/>
      <c r="BC792" s="1009"/>
      <c r="BD792" s="1009"/>
    </row>
    <row r="793" spans="1:56" s="1010" customFormat="1" ht="36.75" customHeight="1">
      <c r="A793" s="661">
        <f>SUBTOTAL(3,B$6:B793)</f>
        <v>788</v>
      </c>
      <c r="B793" s="661" t="s">
        <v>2402</v>
      </c>
      <c r="C793" s="662" t="s">
        <v>2403</v>
      </c>
      <c r="D793" s="1011">
        <v>45692</v>
      </c>
      <c r="E793" s="1011" t="s">
        <v>220</v>
      </c>
      <c r="F793" s="787" t="s">
        <v>268</v>
      </c>
      <c r="G793" s="996" t="s">
        <v>2386</v>
      </c>
      <c r="H793" s="1012">
        <v>7000000</v>
      </c>
      <c r="I793" s="1012">
        <v>3500000</v>
      </c>
      <c r="J793" s="1012">
        <v>0</v>
      </c>
      <c r="K793" s="1012">
        <v>0</v>
      </c>
      <c r="L793" s="1013">
        <f t="shared" si="159"/>
        <v>10500000</v>
      </c>
      <c r="M793" s="1014">
        <v>24</v>
      </c>
      <c r="N793" s="1013">
        <f t="shared" si="160"/>
        <v>9692308</v>
      </c>
      <c r="O793" s="1015">
        <v>2</v>
      </c>
      <c r="P793" s="1013">
        <f t="shared" si="161"/>
        <v>807692</v>
      </c>
      <c r="Q793" s="1016">
        <v>0</v>
      </c>
      <c r="R793" s="1013">
        <f t="shared" si="162"/>
        <v>0</v>
      </c>
      <c r="S793" s="1013">
        <f t="shared" si="163"/>
        <v>10500000</v>
      </c>
      <c r="T793" s="1017">
        <v>500000</v>
      </c>
      <c r="U793" s="785">
        <v>0</v>
      </c>
      <c r="V793" s="785">
        <v>0</v>
      </c>
      <c r="W793" s="1017">
        <v>0</v>
      </c>
      <c r="X793" s="1017">
        <v>0</v>
      </c>
      <c r="Y793" s="1017">
        <v>0</v>
      </c>
      <c r="Z793" s="1017">
        <v>0</v>
      </c>
      <c r="AA793" s="1018"/>
      <c r="AB793" s="1013"/>
      <c r="AC793" s="1017">
        <v>0</v>
      </c>
      <c r="AD793" s="1017">
        <v>0</v>
      </c>
      <c r="AE793" s="1013">
        <v>0</v>
      </c>
      <c r="AF793" s="1019"/>
      <c r="AG793" s="1019">
        <f t="shared" si="168"/>
        <v>11000000</v>
      </c>
      <c r="AH793" s="1014">
        <v>0</v>
      </c>
      <c r="AI793" s="1014">
        <v>0</v>
      </c>
      <c r="AJ793" s="1014">
        <v>0</v>
      </c>
      <c r="AK793" s="1018">
        <v>0</v>
      </c>
      <c r="AL793" s="1020">
        <v>0</v>
      </c>
      <c r="AM793" s="1013">
        <f t="shared" si="167"/>
        <v>0</v>
      </c>
      <c r="AN793" s="1045">
        <f t="shared" si="118"/>
        <v>11000000</v>
      </c>
      <c r="AO793" s="1013">
        <v>1102500</v>
      </c>
      <c r="AP793" s="1013">
        <v>44100</v>
      </c>
      <c r="AQ793" s="1013">
        <v>0</v>
      </c>
      <c r="AR793" s="1013">
        <v>0</v>
      </c>
      <c r="AS793" s="1013">
        <v>115385</v>
      </c>
      <c r="AT793" s="1045">
        <f t="shared" si="164"/>
        <v>9738015</v>
      </c>
      <c r="AU793" s="1004"/>
      <c r="AV793" s="870"/>
      <c r="AW793" s="782" t="s">
        <v>4825</v>
      </c>
      <c r="AX793" s="782" t="s">
        <v>4826</v>
      </c>
      <c r="AY793" s="1007" t="s">
        <v>671</v>
      </c>
      <c r="AZ793" s="1007">
        <v>627</v>
      </c>
      <c r="BA793" s="347" t="str">
        <f t="shared" si="169"/>
        <v>Seaman</v>
      </c>
      <c r="BB793" s="1008"/>
      <c r="BC793" s="1009"/>
      <c r="BD793" s="1009"/>
    </row>
    <row r="794" spans="1:56" s="1010" customFormat="1" ht="36.75" customHeight="1">
      <c r="A794" s="661">
        <f>SUBTOTAL(3,B$6:B794)</f>
        <v>789</v>
      </c>
      <c r="B794" s="661" t="s">
        <v>5776</v>
      </c>
      <c r="C794" s="662" t="s">
        <v>5777</v>
      </c>
      <c r="D794" s="1011">
        <v>45755</v>
      </c>
      <c r="E794" s="1011" t="s">
        <v>220</v>
      </c>
      <c r="F794" s="787" t="s">
        <v>268</v>
      </c>
      <c r="G794" s="996" t="s">
        <v>2386</v>
      </c>
      <c r="H794" s="1012">
        <v>7000000</v>
      </c>
      <c r="I794" s="1012">
        <v>2500000</v>
      </c>
      <c r="J794" s="1012">
        <v>0</v>
      </c>
      <c r="K794" s="1012">
        <v>0</v>
      </c>
      <c r="L794" s="1013">
        <f t="shared" si="159"/>
        <v>9500000</v>
      </c>
      <c r="M794" s="1014">
        <v>18</v>
      </c>
      <c r="N794" s="1013">
        <f t="shared" si="160"/>
        <v>6576923</v>
      </c>
      <c r="O794" s="1015">
        <v>1</v>
      </c>
      <c r="P794" s="1013">
        <f t="shared" si="161"/>
        <v>365385</v>
      </c>
      <c r="Q794" s="1016">
        <v>0</v>
      </c>
      <c r="R794" s="1013">
        <f t="shared" si="162"/>
        <v>0</v>
      </c>
      <c r="S794" s="1013">
        <f t="shared" si="163"/>
        <v>6942308</v>
      </c>
      <c r="T794" s="1017">
        <v>365385</v>
      </c>
      <c r="U794" s="785">
        <v>0</v>
      </c>
      <c r="V794" s="785">
        <v>0</v>
      </c>
      <c r="W794" s="1017">
        <v>0</v>
      </c>
      <c r="X794" s="1017">
        <v>0</v>
      </c>
      <c r="Y794" s="1017">
        <v>0</v>
      </c>
      <c r="Z794" s="1017">
        <v>0</v>
      </c>
      <c r="AA794" s="1018"/>
      <c r="AB794" s="1013"/>
      <c r="AC794" s="1017">
        <v>0</v>
      </c>
      <c r="AD794" s="1017">
        <v>0</v>
      </c>
      <c r="AE794" s="1013">
        <v>68509.614583333343</v>
      </c>
      <c r="AF794" s="1019"/>
      <c r="AG794" s="1019">
        <f t="shared" si="168"/>
        <v>7376203</v>
      </c>
      <c r="AH794" s="1014">
        <v>0</v>
      </c>
      <c r="AI794" s="1014">
        <v>0</v>
      </c>
      <c r="AJ794" s="1014">
        <v>0</v>
      </c>
      <c r="AK794" s="1018">
        <v>0</v>
      </c>
      <c r="AL794" s="1020">
        <v>0</v>
      </c>
      <c r="AM794" s="1013">
        <f t="shared" si="167"/>
        <v>0</v>
      </c>
      <c r="AN794" s="1045">
        <f t="shared" si="118"/>
        <v>7376203</v>
      </c>
      <c r="AO794" s="1013">
        <v>0</v>
      </c>
      <c r="AP794" s="1013">
        <v>0</v>
      </c>
      <c r="AQ794" s="1013">
        <v>0</v>
      </c>
      <c r="AR794" s="1013">
        <v>0</v>
      </c>
      <c r="AS794" s="1013">
        <v>0</v>
      </c>
      <c r="AT794" s="1045">
        <f t="shared" si="164"/>
        <v>7376203</v>
      </c>
      <c r="AU794" s="1004"/>
      <c r="AV794" s="870"/>
      <c r="AW794" s="782" t="s">
        <v>5878</v>
      </c>
      <c r="AX794" s="782" t="s">
        <v>5879</v>
      </c>
      <c r="AY794" s="1007" t="s">
        <v>287</v>
      </c>
      <c r="AZ794" s="1007">
        <v>642</v>
      </c>
      <c r="BA794" s="347" t="str">
        <f t="shared" si="169"/>
        <v>Box</v>
      </c>
      <c r="BB794" s="1008"/>
      <c r="BC794" s="1009"/>
      <c r="BD794" s="1009"/>
    </row>
    <row r="795" spans="1:56" s="1010" customFormat="1" ht="36.75" customHeight="1">
      <c r="A795" s="661">
        <f>SUBTOTAL(3,B$6:B795)</f>
        <v>790</v>
      </c>
      <c r="B795" s="661" t="s">
        <v>2404</v>
      </c>
      <c r="C795" s="662" t="s">
        <v>2405</v>
      </c>
      <c r="D795" s="1011">
        <v>40424</v>
      </c>
      <c r="E795" s="1011" t="s">
        <v>220</v>
      </c>
      <c r="F795" s="787" t="s">
        <v>268</v>
      </c>
      <c r="G795" s="996" t="s">
        <v>2389</v>
      </c>
      <c r="H795" s="1012">
        <v>7651000</v>
      </c>
      <c r="I795" s="1012">
        <v>6249000</v>
      </c>
      <c r="J795" s="1012">
        <v>0</v>
      </c>
      <c r="K795" s="1012">
        <v>0</v>
      </c>
      <c r="L795" s="1013">
        <f t="shared" si="159"/>
        <v>13900000</v>
      </c>
      <c r="M795" s="1014">
        <v>23</v>
      </c>
      <c r="N795" s="1013">
        <f t="shared" si="160"/>
        <v>12296154</v>
      </c>
      <c r="O795" s="1015">
        <v>2</v>
      </c>
      <c r="P795" s="1013">
        <f t="shared" si="161"/>
        <v>1069231</v>
      </c>
      <c r="Q795" s="1016">
        <v>0</v>
      </c>
      <c r="R795" s="1013">
        <f t="shared" si="162"/>
        <v>0</v>
      </c>
      <c r="S795" s="1013">
        <f t="shared" si="163"/>
        <v>13365385</v>
      </c>
      <c r="T795" s="1017">
        <v>0</v>
      </c>
      <c r="U795" s="785">
        <v>0</v>
      </c>
      <c r="V795" s="785">
        <v>0</v>
      </c>
      <c r="W795" s="1017">
        <v>0</v>
      </c>
      <c r="X795" s="1017">
        <v>0</v>
      </c>
      <c r="Y795" s="1017">
        <v>0</v>
      </c>
      <c r="Z795" s="1017">
        <v>0</v>
      </c>
      <c r="AA795" s="1018"/>
      <c r="AB795" s="1013"/>
      <c r="AC795" s="1017">
        <v>100000</v>
      </c>
      <c r="AD795" s="1017">
        <v>0</v>
      </c>
      <c r="AE795" s="1013">
        <v>100240.38586956522</v>
      </c>
      <c r="AF795" s="1019"/>
      <c r="AG795" s="1019">
        <f t="shared" si="168"/>
        <v>13565625</v>
      </c>
      <c r="AH795" s="1014">
        <v>0</v>
      </c>
      <c r="AI795" s="1014">
        <v>0</v>
      </c>
      <c r="AJ795" s="1014">
        <v>0</v>
      </c>
      <c r="AK795" s="1018">
        <v>0</v>
      </c>
      <c r="AL795" s="1020">
        <v>0</v>
      </c>
      <c r="AM795" s="1013">
        <f t="shared" si="167"/>
        <v>0</v>
      </c>
      <c r="AN795" s="1045">
        <f t="shared" si="118"/>
        <v>13565625</v>
      </c>
      <c r="AO795" s="1013">
        <v>1459500</v>
      </c>
      <c r="AP795" s="1013">
        <v>44100</v>
      </c>
      <c r="AQ795" s="1013">
        <v>0</v>
      </c>
      <c r="AR795" s="1013">
        <v>0</v>
      </c>
      <c r="AS795" s="1013">
        <v>0</v>
      </c>
      <c r="AT795" s="1045">
        <f t="shared" si="164"/>
        <v>12062025</v>
      </c>
      <c r="AU795" s="1004"/>
      <c r="AV795" s="870"/>
      <c r="AW795" s="782" t="s">
        <v>4827</v>
      </c>
      <c r="AX795" s="782" t="s">
        <v>4828</v>
      </c>
      <c r="AY795" s="1007" t="s">
        <v>288</v>
      </c>
      <c r="AZ795" s="1007">
        <v>642</v>
      </c>
      <c r="BA795" s="347" t="str">
        <f t="shared" si="169"/>
        <v>Bag</v>
      </c>
      <c r="BB795" s="1008"/>
      <c r="BC795" s="1009"/>
      <c r="BD795" s="1009"/>
    </row>
    <row r="796" spans="1:56" s="1010" customFormat="1" ht="36.75" customHeight="1">
      <c r="A796" s="661">
        <f>SUBTOTAL(3,B$6:B796)</f>
        <v>791</v>
      </c>
      <c r="B796" s="661" t="s">
        <v>2406</v>
      </c>
      <c r="C796" s="662" t="s">
        <v>2407</v>
      </c>
      <c r="D796" s="1011">
        <v>43440</v>
      </c>
      <c r="E796" s="1011" t="s">
        <v>220</v>
      </c>
      <c r="F796" s="787" t="s">
        <v>268</v>
      </c>
      <c r="G796" s="996" t="s">
        <v>2389</v>
      </c>
      <c r="H796" s="1012">
        <v>9200000</v>
      </c>
      <c r="I796" s="1012">
        <v>5100000</v>
      </c>
      <c r="J796" s="1012">
        <v>0</v>
      </c>
      <c r="K796" s="1012">
        <v>0</v>
      </c>
      <c r="L796" s="1013">
        <f t="shared" si="159"/>
        <v>14300000</v>
      </c>
      <c r="M796" s="1014">
        <v>24</v>
      </c>
      <c r="N796" s="1013">
        <f t="shared" si="160"/>
        <v>13200000</v>
      </c>
      <c r="O796" s="1015">
        <v>2</v>
      </c>
      <c r="P796" s="1013">
        <f t="shared" si="161"/>
        <v>1100000</v>
      </c>
      <c r="Q796" s="1016">
        <v>0</v>
      </c>
      <c r="R796" s="1013">
        <f t="shared" si="162"/>
        <v>0</v>
      </c>
      <c r="S796" s="1013">
        <f t="shared" si="163"/>
        <v>14300000</v>
      </c>
      <c r="T796" s="1017">
        <v>600000</v>
      </c>
      <c r="U796" s="785">
        <v>0</v>
      </c>
      <c r="V796" s="785">
        <v>0</v>
      </c>
      <c r="W796" s="1017">
        <v>0</v>
      </c>
      <c r="X796" s="1017">
        <v>0</v>
      </c>
      <c r="Y796" s="1017">
        <v>0</v>
      </c>
      <c r="Z796" s="1017">
        <v>0</v>
      </c>
      <c r="AA796" s="1018"/>
      <c r="AB796" s="1013"/>
      <c r="AC796" s="1017">
        <v>0</v>
      </c>
      <c r="AD796" s="1017">
        <v>0</v>
      </c>
      <c r="AE796" s="1013">
        <v>103125</v>
      </c>
      <c r="AF796" s="1019"/>
      <c r="AG796" s="1019">
        <f t="shared" si="168"/>
        <v>15003125</v>
      </c>
      <c r="AH796" s="1014">
        <v>0</v>
      </c>
      <c r="AI796" s="1014">
        <v>0</v>
      </c>
      <c r="AJ796" s="1014">
        <v>0</v>
      </c>
      <c r="AK796" s="1018">
        <v>0</v>
      </c>
      <c r="AL796" s="1020">
        <v>0</v>
      </c>
      <c r="AM796" s="1013">
        <f t="shared" si="167"/>
        <v>0</v>
      </c>
      <c r="AN796" s="1045">
        <f t="shared" si="118"/>
        <v>15003125</v>
      </c>
      <c r="AO796" s="1013">
        <v>1501500</v>
      </c>
      <c r="AP796" s="1013">
        <v>44100</v>
      </c>
      <c r="AQ796" s="1013">
        <v>0</v>
      </c>
      <c r="AR796" s="1013">
        <v>0</v>
      </c>
      <c r="AS796" s="1013">
        <v>0</v>
      </c>
      <c r="AT796" s="1045">
        <f t="shared" si="164"/>
        <v>13457525</v>
      </c>
      <c r="AU796" s="1004"/>
      <c r="AV796" s="870"/>
      <c r="AW796" s="782" t="s">
        <v>4829</v>
      </c>
      <c r="AX796" s="782" t="s">
        <v>4830</v>
      </c>
      <c r="AY796" s="1007" t="s">
        <v>671</v>
      </c>
      <c r="AZ796" s="1007">
        <v>642</v>
      </c>
      <c r="BA796" s="347" t="str">
        <f t="shared" si="169"/>
        <v>Seaman</v>
      </c>
      <c r="BB796" s="1008"/>
      <c r="BC796" s="1009"/>
      <c r="BD796" s="1009"/>
    </row>
    <row r="797" spans="1:56" s="1010" customFormat="1" ht="36.75" customHeight="1">
      <c r="A797" s="661">
        <f>SUBTOTAL(3,B$6:B797)</f>
        <v>792</v>
      </c>
      <c r="B797" s="661" t="s">
        <v>2408</v>
      </c>
      <c r="C797" s="662" t="s">
        <v>2409</v>
      </c>
      <c r="D797" s="1011">
        <v>44963</v>
      </c>
      <c r="E797" s="1011" t="s">
        <v>220</v>
      </c>
      <c r="F797" s="787" t="s">
        <v>545</v>
      </c>
      <c r="G797" s="996" t="s">
        <v>2410</v>
      </c>
      <c r="H797" s="1012">
        <v>10200000</v>
      </c>
      <c r="I797" s="1012">
        <v>3500000</v>
      </c>
      <c r="J797" s="1012">
        <v>0</v>
      </c>
      <c r="K797" s="1012">
        <v>0</v>
      </c>
      <c r="L797" s="1013">
        <f t="shared" si="159"/>
        <v>13700000</v>
      </c>
      <c r="M797" s="1014">
        <v>22</v>
      </c>
      <c r="N797" s="1013">
        <f t="shared" si="160"/>
        <v>11592308</v>
      </c>
      <c r="O797" s="1015">
        <v>3</v>
      </c>
      <c r="P797" s="1013">
        <f t="shared" si="161"/>
        <v>1580769</v>
      </c>
      <c r="Q797" s="1016">
        <v>0</v>
      </c>
      <c r="R797" s="1013">
        <f t="shared" si="162"/>
        <v>0</v>
      </c>
      <c r="S797" s="1013">
        <f t="shared" si="163"/>
        <v>13173077</v>
      </c>
      <c r="T797" s="1017">
        <v>480769</v>
      </c>
      <c r="U797" s="785">
        <v>0</v>
      </c>
      <c r="V797" s="785">
        <v>0</v>
      </c>
      <c r="W797" s="1017">
        <v>0</v>
      </c>
      <c r="X797" s="1017">
        <v>0</v>
      </c>
      <c r="Y797" s="1017">
        <v>0</v>
      </c>
      <c r="Z797" s="1017">
        <v>0</v>
      </c>
      <c r="AA797" s="1018"/>
      <c r="AB797" s="1013"/>
      <c r="AC797" s="1017">
        <v>100000</v>
      </c>
      <c r="AD797" s="1017">
        <v>0</v>
      </c>
      <c r="AE797" s="1013">
        <v>98798.079545454559</v>
      </c>
      <c r="AF797" s="1019"/>
      <c r="AG797" s="1019">
        <f t="shared" si="168"/>
        <v>13852644</v>
      </c>
      <c r="AH797" s="1014">
        <v>0</v>
      </c>
      <c r="AI797" s="1014">
        <v>0</v>
      </c>
      <c r="AJ797" s="1014">
        <v>0</v>
      </c>
      <c r="AK797" s="1018">
        <v>0</v>
      </c>
      <c r="AL797" s="1020">
        <v>0</v>
      </c>
      <c r="AM797" s="1013">
        <f t="shared" si="167"/>
        <v>0</v>
      </c>
      <c r="AN797" s="1045">
        <f t="shared" si="118"/>
        <v>13852644</v>
      </c>
      <c r="AO797" s="1013">
        <v>1438500</v>
      </c>
      <c r="AP797" s="1013">
        <v>44100</v>
      </c>
      <c r="AQ797" s="1013">
        <v>51669</v>
      </c>
      <c r="AR797" s="1013">
        <v>0</v>
      </c>
      <c r="AS797" s="1013">
        <v>0</v>
      </c>
      <c r="AT797" s="1045">
        <f t="shared" si="164"/>
        <v>12318375</v>
      </c>
      <c r="AU797" s="1004"/>
      <c r="AV797" s="870"/>
      <c r="AW797" s="782" t="s">
        <v>4831</v>
      </c>
      <c r="AX797" s="782" t="s">
        <v>4832</v>
      </c>
      <c r="AY797" s="1007" t="s">
        <v>288</v>
      </c>
      <c r="AZ797" s="1007">
        <v>642</v>
      </c>
      <c r="BA797" s="347" t="s">
        <v>1</v>
      </c>
      <c r="BB797" s="1008"/>
      <c r="BC797" s="1009"/>
      <c r="BD797" s="1009"/>
    </row>
    <row r="798" spans="1:56" s="1010" customFormat="1" ht="36.75" customHeight="1">
      <c r="A798" s="661">
        <f>SUBTOTAL(3,B$6:B798)</f>
        <v>793</v>
      </c>
      <c r="B798" s="661" t="s">
        <v>2411</v>
      </c>
      <c r="C798" s="662" t="s">
        <v>2412</v>
      </c>
      <c r="D798" s="1011">
        <v>41421</v>
      </c>
      <c r="E798" s="1011" t="s">
        <v>220</v>
      </c>
      <c r="F798" s="787" t="s">
        <v>545</v>
      </c>
      <c r="G798" s="996" t="s">
        <v>2413</v>
      </c>
      <c r="H798" s="1012">
        <v>11300000</v>
      </c>
      <c r="I798" s="1012">
        <v>6400000</v>
      </c>
      <c r="J798" s="1012">
        <v>0</v>
      </c>
      <c r="K798" s="1012">
        <v>0</v>
      </c>
      <c r="L798" s="1013">
        <f t="shared" si="159"/>
        <v>17700000</v>
      </c>
      <c r="M798" s="1014">
        <v>23</v>
      </c>
      <c r="N798" s="1013">
        <f t="shared" si="160"/>
        <v>15657692</v>
      </c>
      <c r="O798" s="1015">
        <v>2</v>
      </c>
      <c r="P798" s="1013">
        <f t="shared" si="161"/>
        <v>1361538</v>
      </c>
      <c r="Q798" s="1016">
        <v>0</v>
      </c>
      <c r="R798" s="1013">
        <f t="shared" si="162"/>
        <v>0</v>
      </c>
      <c r="S798" s="1013">
        <f t="shared" si="163"/>
        <v>17019230</v>
      </c>
      <c r="T798" s="1017">
        <v>480769</v>
      </c>
      <c r="U798" s="785">
        <v>0</v>
      </c>
      <c r="V798" s="785">
        <v>0</v>
      </c>
      <c r="W798" s="1017">
        <v>0</v>
      </c>
      <c r="X798" s="1017">
        <v>0</v>
      </c>
      <c r="Y798" s="1017">
        <v>0</v>
      </c>
      <c r="Z798" s="1017">
        <v>0</v>
      </c>
      <c r="AA798" s="1018"/>
      <c r="AB798" s="1013"/>
      <c r="AC798" s="1017">
        <v>100000</v>
      </c>
      <c r="AD798" s="1017">
        <v>0</v>
      </c>
      <c r="AE798" s="1013">
        <v>127644.22826086957</v>
      </c>
      <c r="AF798" s="1019"/>
      <c r="AG798" s="1019">
        <f t="shared" si="168"/>
        <v>17727643</v>
      </c>
      <c r="AH798" s="1014">
        <v>0</v>
      </c>
      <c r="AI798" s="1014">
        <v>0</v>
      </c>
      <c r="AJ798" s="1014">
        <v>0</v>
      </c>
      <c r="AK798" s="1018">
        <v>0</v>
      </c>
      <c r="AL798" s="1020">
        <v>0</v>
      </c>
      <c r="AM798" s="1013">
        <f t="shared" si="167"/>
        <v>0</v>
      </c>
      <c r="AN798" s="1045">
        <f t="shared" si="118"/>
        <v>17727643</v>
      </c>
      <c r="AO798" s="1013">
        <v>1858500</v>
      </c>
      <c r="AP798" s="1013">
        <v>44100</v>
      </c>
      <c r="AQ798" s="1013">
        <v>0</v>
      </c>
      <c r="AR798" s="1013">
        <v>0</v>
      </c>
      <c r="AS798" s="1013">
        <v>0</v>
      </c>
      <c r="AT798" s="1045">
        <f t="shared" si="164"/>
        <v>15825043</v>
      </c>
      <c r="AU798" s="1004"/>
      <c r="AV798" s="870"/>
      <c r="AW798" s="782" t="s">
        <v>4833</v>
      </c>
      <c r="AX798" s="782" t="s">
        <v>4834</v>
      </c>
      <c r="AY798" s="1007" t="s">
        <v>288</v>
      </c>
      <c r="AZ798" s="1007">
        <v>642</v>
      </c>
      <c r="BA798" s="347" t="s">
        <v>1</v>
      </c>
      <c r="BB798" s="1008"/>
      <c r="BC798" s="1009"/>
      <c r="BD798" s="1009"/>
    </row>
    <row r="799" spans="1:56" s="1010" customFormat="1" ht="36.75" customHeight="1">
      <c r="A799" s="661">
        <f>SUBTOTAL(3,B$6:B799)</f>
        <v>794</v>
      </c>
      <c r="B799" s="661" t="s">
        <v>2414</v>
      </c>
      <c r="C799" s="662" t="s">
        <v>2415</v>
      </c>
      <c r="D799" s="1011">
        <v>42786</v>
      </c>
      <c r="E799" s="1011" t="s">
        <v>220</v>
      </c>
      <c r="F799" s="787" t="s">
        <v>545</v>
      </c>
      <c r="G799" s="996" t="s">
        <v>2413</v>
      </c>
      <c r="H799" s="1012">
        <v>13300000</v>
      </c>
      <c r="I799" s="1012">
        <v>5300000</v>
      </c>
      <c r="J799" s="1012">
        <v>0</v>
      </c>
      <c r="K799" s="1012">
        <v>0</v>
      </c>
      <c r="L799" s="1013">
        <f t="shared" si="159"/>
        <v>18600000</v>
      </c>
      <c r="M799" s="1014">
        <v>21.4</v>
      </c>
      <c r="N799" s="1013">
        <f t="shared" si="160"/>
        <v>15309231</v>
      </c>
      <c r="O799" s="1015">
        <v>2</v>
      </c>
      <c r="P799" s="1013">
        <f t="shared" si="161"/>
        <v>1430769</v>
      </c>
      <c r="Q799" s="1016">
        <v>0</v>
      </c>
      <c r="R799" s="1013">
        <f t="shared" si="162"/>
        <v>0</v>
      </c>
      <c r="S799" s="1013">
        <f t="shared" si="163"/>
        <v>16740000</v>
      </c>
      <c r="T799" s="1017">
        <v>450000</v>
      </c>
      <c r="U799" s="785">
        <v>0</v>
      </c>
      <c r="V799" s="785">
        <v>0</v>
      </c>
      <c r="W799" s="1017">
        <v>0</v>
      </c>
      <c r="X799" s="1017">
        <v>0</v>
      </c>
      <c r="Y799" s="1017">
        <v>0</v>
      </c>
      <c r="Z799" s="1017">
        <v>0</v>
      </c>
      <c r="AA799" s="1018"/>
      <c r="AB799" s="1013"/>
      <c r="AC799" s="1017">
        <v>0</v>
      </c>
      <c r="AD799" s="1017">
        <v>0</v>
      </c>
      <c r="AE799" s="1013">
        <v>0</v>
      </c>
      <c r="AF799" s="1019"/>
      <c r="AG799" s="1019">
        <f t="shared" si="168"/>
        <v>17190000</v>
      </c>
      <c r="AH799" s="1014">
        <v>0</v>
      </c>
      <c r="AI799" s="1014">
        <v>0</v>
      </c>
      <c r="AJ799" s="1014">
        <v>0</v>
      </c>
      <c r="AK799" s="1018">
        <v>0</v>
      </c>
      <c r="AL799" s="1020">
        <v>0</v>
      </c>
      <c r="AM799" s="1013">
        <f t="shared" si="167"/>
        <v>0</v>
      </c>
      <c r="AN799" s="1045">
        <f t="shared" si="118"/>
        <v>17190000</v>
      </c>
      <c r="AO799" s="1013">
        <v>1953000</v>
      </c>
      <c r="AP799" s="1013">
        <v>44100</v>
      </c>
      <c r="AQ799" s="1013">
        <v>0</v>
      </c>
      <c r="AR799" s="1013">
        <v>0</v>
      </c>
      <c r="AS799" s="1013">
        <v>0</v>
      </c>
      <c r="AT799" s="1045">
        <f t="shared" si="164"/>
        <v>15192900</v>
      </c>
      <c r="AU799" s="1004"/>
      <c r="AV799" s="870"/>
      <c r="AW799" s="782" t="s">
        <v>4835</v>
      </c>
      <c r="AX799" s="782" t="s">
        <v>4836</v>
      </c>
      <c r="AY799" s="1007" t="s">
        <v>221</v>
      </c>
      <c r="AZ799" s="1007">
        <v>642</v>
      </c>
      <c r="BA799" s="347" t="s">
        <v>1</v>
      </c>
      <c r="BB799" s="1008"/>
      <c r="BC799" s="1009"/>
      <c r="BD799" s="1009"/>
    </row>
    <row r="800" spans="1:56" s="1010" customFormat="1" ht="36.75" customHeight="1">
      <c r="A800" s="661">
        <f>SUBTOTAL(3,B$6:B800)</f>
        <v>795</v>
      </c>
      <c r="B800" s="661" t="s">
        <v>2416</v>
      </c>
      <c r="C800" s="662" t="s">
        <v>2417</v>
      </c>
      <c r="D800" s="1011">
        <v>42901</v>
      </c>
      <c r="E800" s="1011" t="s">
        <v>220</v>
      </c>
      <c r="F800" s="787" t="s">
        <v>545</v>
      </c>
      <c r="G800" s="996" t="s">
        <v>2413</v>
      </c>
      <c r="H800" s="1012">
        <v>12800000</v>
      </c>
      <c r="I800" s="1012">
        <v>6500000</v>
      </c>
      <c r="J800" s="1012">
        <v>0</v>
      </c>
      <c r="K800" s="1012">
        <v>0</v>
      </c>
      <c r="L800" s="1013">
        <f t="shared" si="159"/>
        <v>19300000</v>
      </c>
      <c r="M800" s="1014">
        <v>21.6</v>
      </c>
      <c r="N800" s="1013">
        <f t="shared" si="160"/>
        <v>16033846</v>
      </c>
      <c r="O800" s="1015">
        <v>2</v>
      </c>
      <c r="P800" s="1013">
        <f t="shared" si="161"/>
        <v>1484615</v>
      </c>
      <c r="Q800" s="1016">
        <v>0</v>
      </c>
      <c r="R800" s="1013">
        <f t="shared" si="162"/>
        <v>0</v>
      </c>
      <c r="S800" s="1013">
        <f t="shared" si="163"/>
        <v>17518461</v>
      </c>
      <c r="T800" s="1017">
        <v>453846</v>
      </c>
      <c r="U800" s="785">
        <v>0</v>
      </c>
      <c r="V800" s="785">
        <v>0</v>
      </c>
      <c r="W800" s="1017">
        <v>0</v>
      </c>
      <c r="X800" s="1017">
        <v>0</v>
      </c>
      <c r="Y800" s="1017">
        <v>0</v>
      </c>
      <c r="Z800" s="1017">
        <v>0</v>
      </c>
      <c r="AA800" s="1018"/>
      <c r="AB800" s="1013"/>
      <c r="AC800" s="1017">
        <v>0</v>
      </c>
      <c r="AD800" s="1017">
        <v>0</v>
      </c>
      <c r="AE800" s="1013">
        <v>139182.69097222222</v>
      </c>
      <c r="AF800" s="1019"/>
      <c r="AG800" s="1019">
        <f t="shared" si="168"/>
        <v>18111490</v>
      </c>
      <c r="AH800" s="1014">
        <v>0</v>
      </c>
      <c r="AI800" s="1014">
        <v>0</v>
      </c>
      <c r="AJ800" s="1014">
        <v>0</v>
      </c>
      <c r="AK800" s="1018">
        <v>0</v>
      </c>
      <c r="AL800" s="1020">
        <v>0</v>
      </c>
      <c r="AM800" s="1013">
        <f t="shared" si="167"/>
        <v>0</v>
      </c>
      <c r="AN800" s="1045">
        <f t="shared" si="118"/>
        <v>18111490</v>
      </c>
      <c r="AO800" s="1013">
        <v>2026500</v>
      </c>
      <c r="AP800" s="1013">
        <v>44100</v>
      </c>
      <c r="AQ800" s="1013">
        <v>16557</v>
      </c>
      <c r="AR800" s="1013">
        <v>0</v>
      </c>
      <c r="AS800" s="1013">
        <v>0</v>
      </c>
      <c r="AT800" s="1045">
        <f t="shared" si="164"/>
        <v>16024333</v>
      </c>
      <c r="AU800" s="1004"/>
      <c r="AV800" s="870"/>
      <c r="AW800" s="782" t="s">
        <v>4837</v>
      </c>
      <c r="AX800" s="782" t="s">
        <v>4838</v>
      </c>
      <c r="AY800" s="1007" t="s">
        <v>287</v>
      </c>
      <c r="AZ800" s="1007">
        <v>642</v>
      </c>
      <c r="BA800" s="347" t="s">
        <v>1</v>
      </c>
      <c r="BB800" s="1008"/>
      <c r="BC800" s="1009"/>
      <c r="BD800" s="1009"/>
    </row>
    <row r="801" spans="1:56" s="1010" customFormat="1" ht="36.75" customHeight="1">
      <c r="A801" s="661">
        <f>SUBTOTAL(3,B$6:B801)</f>
        <v>796</v>
      </c>
      <c r="B801" s="661" t="s">
        <v>2418</v>
      </c>
      <c r="C801" s="662" t="s">
        <v>2419</v>
      </c>
      <c r="D801" s="1011">
        <v>43332</v>
      </c>
      <c r="E801" s="1011" t="s">
        <v>220</v>
      </c>
      <c r="F801" s="787" t="s">
        <v>545</v>
      </c>
      <c r="G801" s="996" t="s">
        <v>2410</v>
      </c>
      <c r="H801" s="1012">
        <v>10300000</v>
      </c>
      <c r="I801" s="1012">
        <v>5200000</v>
      </c>
      <c r="J801" s="1012">
        <v>0</v>
      </c>
      <c r="K801" s="1012">
        <v>0</v>
      </c>
      <c r="L801" s="1013">
        <f t="shared" si="159"/>
        <v>15500000</v>
      </c>
      <c r="M801" s="1014">
        <v>21.8</v>
      </c>
      <c r="N801" s="1013">
        <f t="shared" si="160"/>
        <v>12996154</v>
      </c>
      <c r="O801" s="1015">
        <v>2</v>
      </c>
      <c r="P801" s="1013">
        <f t="shared" si="161"/>
        <v>1192308</v>
      </c>
      <c r="Q801" s="1016">
        <v>0</v>
      </c>
      <c r="R801" s="1013">
        <f t="shared" si="162"/>
        <v>0</v>
      </c>
      <c r="S801" s="1013">
        <f t="shared" si="163"/>
        <v>14188462</v>
      </c>
      <c r="T801" s="1017">
        <v>457692</v>
      </c>
      <c r="U801" s="785">
        <v>0</v>
      </c>
      <c r="V801" s="785">
        <v>0</v>
      </c>
      <c r="W801" s="1017">
        <v>0</v>
      </c>
      <c r="X801" s="1017">
        <v>0</v>
      </c>
      <c r="Y801" s="1017">
        <v>0</v>
      </c>
      <c r="Z801" s="1017">
        <v>0</v>
      </c>
      <c r="AA801" s="1018"/>
      <c r="AB801" s="1013"/>
      <c r="AC801" s="1017">
        <v>100000</v>
      </c>
      <c r="AD801" s="1017">
        <v>0</v>
      </c>
      <c r="AE801" s="1013">
        <v>111778.84747706422</v>
      </c>
      <c r="AF801" s="1019"/>
      <c r="AG801" s="1019">
        <f t="shared" si="168"/>
        <v>14857933</v>
      </c>
      <c r="AH801" s="1014">
        <v>0</v>
      </c>
      <c r="AI801" s="1014">
        <v>0</v>
      </c>
      <c r="AJ801" s="1014">
        <v>0</v>
      </c>
      <c r="AK801" s="1018">
        <v>0</v>
      </c>
      <c r="AL801" s="1020">
        <v>0</v>
      </c>
      <c r="AM801" s="1013">
        <f t="shared" si="167"/>
        <v>0</v>
      </c>
      <c r="AN801" s="1045">
        <f t="shared" si="118"/>
        <v>14857933</v>
      </c>
      <c r="AO801" s="1013">
        <v>1627500</v>
      </c>
      <c r="AP801" s="1013">
        <v>44100</v>
      </c>
      <c r="AQ801" s="1013">
        <v>0</v>
      </c>
      <c r="AR801" s="1013">
        <v>0</v>
      </c>
      <c r="AS801" s="1013">
        <v>0</v>
      </c>
      <c r="AT801" s="1045">
        <f t="shared" si="164"/>
        <v>13186333</v>
      </c>
      <c r="AU801" s="1004"/>
      <c r="AV801" s="870"/>
      <c r="AW801" s="782" t="s">
        <v>4839</v>
      </c>
      <c r="AX801" s="782" t="s">
        <v>4840</v>
      </c>
      <c r="AY801" s="1007" t="s">
        <v>288</v>
      </c>
      <c r="AZ801" s="1007">
        <v>642</v>
      </c>
      <c r="BA801" s="347" t="s">
        <v>1</v>
      </c>
      <c r="BB801" s="1008"/>
      <c r="BC801" s="1009"/>
      <c r="BD801" s="1009"/>
    </row>
    <row r="802" spans="1:56" s="1010" customFormat="1" ht="36.75" customHeight="1">
      <c r="A802" s="661">
        <f>SUBTOTAL(3,B$6:B802)</f>
        <v>797</v>
      </c>
      <c r="B802" s="661" t="s">
        <v>2420</v>
      </c>
      <c r="C802" s="662" t="s">
        <v>2421</v>
      </c>
      <c r="D802" s="1011">
        <v>40646</v>
      </c>
      <c r="E802" s="1011" t="s">
        <v>220</v>
      </c>
      <c r="F802" s="787" t="s">
        <v>545</v>
      </c>
      <c r="G802" s="996" t="s">
        <v>2422</v>
      </c>
      <c r="H802" s="1012">
        <v>20000000</v>
      </c>
      <c r="I802" s="1012">
        <v>10300000</v>
      </c>
      <c r="J802" s="1012">
        <v>0</v>
      </c>
      <c r="K802" s="1012">
        <v>0</v>
      </c>
      <c r="L802" s="1013">
        <f t="shared" si="159"/>
        <v>30300000</v>
      </c>
      <c r="M802" s="1014">
        <v>22</v>
      </c>
      <c r="N802" s="1013">
        <f t="shared" si="160"/>
        <v>25638462</v>
      </c>
      <c r="O802" s="1015">
        <v>2</v>
      </c>
      <c r="P802" s="1013">
        <f t="shared" si="161"/>
        <v>2330769</v>
      </c>
      <c r="Q802" s="1016">
        <v>0</v>
      </c>
      <c r="R802" s="1013">
        <f t="shared" si="162"/>
        <v>0</v>
      </c>
      <c r="S802" s="1013">
        <f t="shared" si="163"/>
        <v>27969231</v>
      </c>
      <c r="T802" s="1017">
        <v>461538</v>
      </c>
      <c r="U802" s="785">
        <v>0</v>
      </c>
      <c r="V802" s="785">
        <v>0</v>
      </c>
      <c r="W802" s="1017">
        <v>0</v>
      </c>
      <c r="X802" s="1017">
        <v>0</v>
      </c>
      <c r="Y802" s="1017">
        <v>0</v>
      </c>
      <c r="Z802" s="1017">
        <v>0</v>
      </c>
      <c r="AA802" s="1018"/>
      <c r="AB802" s="1013"/>
      <c r="AC802" s="1017">
        <v>0</v>
      </c>
      <c r="AD802" s="1017">
        <v>0</v>
      </c>
      <c r="AE802" s="1013">
        <v>0</v>
      </c>
      <c r="AF802" s="1019"/>
      <c r="AG802" s="1019">
        <f t="shared" si="168"/>
        <v>28430769</v>
      </c>
      <c r="AH802" s="1014">
        <v>0</v>
      </c>
      <c r="AI802" s="1014">
        <v>0</v>
      </c>
      <c r="AJ802" s="1014">
        <v>0</v>
      </c>
      <c r="AK802" s="1018">
        <v>0</v>
      </c>
      <c r="AL802" s="1020">
        <v>0</v>
      </c>
      <c r="AM802" s="1013">
        <f t="shared" si="167"/>
        <v>0</v>
      </c>
      <c r="AN802" s="1045">
        <f t="shared" ref="AN802:AN864" si="170">ROUND(AG802+AM802,0)</f>
        <v>28430769</v>
      </c>
      <c r="AO802" s="1013">
        <v>3181500</v>
      </c>
      <c r="AP802" s="1013">
        <v>44100</v>
      </c>
      <c r="AQ802" s="1013">
        <v>0</v>
      </c>
      <c r="AR802" s="1013">
        <v>0</v>
      </c>
      <c r="AS802" s="1013">
        <v>0</v>
      </c>
      <c r="AT802" s="1045">
        <f t="shared" si="164"/>
        <v>25205169</v>
      </c>
      <c r="AU802" s="1004"/>
      <c r="AV802" s="870"/>
      <c r="AW802" s="782" t="s">
        <v>4841</v>
      </c>
      <c r="AX802" s="782" t="s">
        <v>4842</v>
      </c>
      <c r="AY802" s="1007" t="s">
        <v>287</v>
      </c>
      <c r="AZ802" s="1007">
        <v>642</v>
      </c>
      <c r="BA802" s="347" t="s">
        <v>78</v>
      </c>
      <c r="BB802" s="1008"/>
      <c r="BC802" s="1009"/>
      <c r="BD802" s="1009"/>
    </row>
    <row r="803" spans="1:56" s="1010" customFormat="1" ht="36.75" customHeight="1">
      <c r="A803" s="661">
        <f>SUBTOTAL(3,B$6:B803)</f>
        <v>798</v>
      </c>
      <c r="B803" s="661" t="s">
        <v>2423</v>
      </c>
      <c r="C803" s="662" t="s">
        <v>2424</v>
      </c>
      <c r="D803" s="1011">
        <v>43822</v>
      </c>
      <c r="E803" s="1011" t="s">
        <v>220</v>
      </c>
      <c r="F803" s="787" t="s">
        <v>269</v>
      </c>
      <c r="G803" s="996" t="s">
        <v>2425</v>
      </c>
      <c r="H803" s="1012">
        <v>6592000</v>
      </c>
      <c r="I803" s="1012">
        <v>2000000</v>
      </c>
      <c r="J803" s="1012">
        <v>0</v>
      </c>
      <c r="K803" s="1012">
        <v>0</v>
      </c>
      <c r="L803" s="1013">
        <f t="shared" si="159"/>
        <v>8592000</v>
      </c>
      <c r="M803" s="1014">
        <v>23.8</v>
      </c>
      <c r="N803" s="1013">
        <f t="shared" si="160"/>
        <v>7864985</v>
      </c>
      <c r="O803" s="1015">
        <v>2</v>
      </c>
      <c r="P803" s="1013">
        <f t="shared" si="161"/>
        <v>660923</v>
      </c>
      <c r="Q803" s="1016">
        <v>0</v>
      </c>
      <c r="R803" s="1013">
        <f t="shared" si="162"/>
        <v>0</v>
      </c>
      <c r="S803" s="1013">
        <f t="shared" si="163"/>
        <v>8525908</v>
      </c>
      <c r="T803" s="1017">
        <v>0</v>
      </c>
      <c r="U803" s="785">
        <v>0</v>
      </c>
      <c r="V803" s="785">
        <v>200000</v>
      </c>
      <c r="W803" s="1017">
        <v>500000</v>
      </c>
      <c r="X803" s="1017">
        <v>0</v>
      </c>
      <c r="Y803" s="1017">
        <v>400000</v>
      </c>
      <c r="Z803" s="1017">
        <v>495800</v>
      </c>
      <c r="AA803" s="1018"/>
      <c r="AB803" s="1013"/>
      <c r="AC803" s="1017">
        <v>100000</v>
      </c>
      <c r="AD803" s="1017">
        <v>0</v>
      </c>
      <c r="AE803" s="1013">
        <v>61961.541491596639</v>
      </c>
      <c r="AF803" s="1019"/>
      <c r="AG803" s="1019">
        <f t="shared" si="168"/>
        <v>10283670</v>
      </c>
      <c r="AH803" s="1014">
        <v>23</v>
      </c>
      <c r="AI803" s="1014">
        <v>0</v>
      </c>
      <c r="AJ803" s="1014">
        <v>0</v>
      </c>
      <c r="AK803" s="1018">
        <v>0</v>
      </c>
      <c r="AL803" s="1020">
        <v>0</v>
      </c>
      <c r="AM803" s="1013">
        <f t="shared" si="167"/>
        <v>1425115</v>
      </c>
      <c r="AN803" s="1045">
        <f t="shared" si="170"/>
        <v>11708785</v>
      </c>
      <c r="AO803" s="1013">
        <v>902160</v>
      </c>
      <c r="AP803" s="1013">
        <v>44100</v>
      </c>
      <c r="AQ803" s="1013">
        <v>0</v>
      </c>
      <c r="AR803" s="1013">
        <v>0</v>
      </c>
      <c r="AS803" s="1013">
        <v>0</v>
      </c>
      <c r="AT803" s="1045">
        <f t="shared" si="164"/>
        <v>10762525</v>
      </c>
      <c r="AU803" s="1004"/>
      <c r="AV803" s="870"/>
      <c r="AW803" s="782" t="s">
        <v>4843</v>
      </c>
      <c r="AX803" s="782" t="s">
        <v>4844</v>
      </c>
      <c r="AY803" s="1007" t="s">
        <v>288</v>
      </c>
      <c r="AZ803" s="1007">
        <v>622</v>
      </c>
      <c r="BA803" s="347" t="str">
        <f t="shared" ref="BA803:BA805" si="171">+IF(AY803="SK1 Box","Box",IF(AY803="Seaman","Seaman","Bag"))</f>
        <v>Bag</v>
      </c>
      <c r="BB803" s="1008"/>
      <c r="BC803" s="1009"/>
      <c r="BD803" s="1009"/>
    </row>
    <row r="804" spans="1:56" s="1010" customFormat="1" ht="36.75" customHeight="1">
      <c r="A804" s="661">
        <f>SUBTOTAL(3,B$6:B804)</f>
        <v>799</v>
      </c>
      <c r="B804" s="661" t="s">
        <v>2426</v>
      </c>
      <c r="C804" s="662" t="s">
        <v>2427</v>
      </c>
      <c r="D804" s="1011">
        <v>43910</v>
      </c>
      <c r="E804" s="1011" t="s">
        <v>220</v>
      </c>
      <c r="F804" s="787" t="s">
        <v>269</v>
      </c>
      <c r="G804" s="996" t="s">
        <v>2428</v>
      </c>
      <c r="H804" s="1012">
        <v>7991000</v>
      </c>
      <c r="I804" s="1012">
        <v>1200000</v>
      </c>
      <c r="J804" s="1012">
        <v>0</v>
      </c>
      <c r="K804" s="1012">
        <v>500000</v>
      </c>
      <c r="L804" s="1013">
        <f t="shared" si="159"/>
        <v>9691000</v>
      </c>
      <c r="M804" s="1014">
        <v>23</v>
      </c>
      <c r="N804" s="1013">
        <f t="shared" si="160"/>
        <v>8572808</v>
      </c>
      <c r="O804" s="1015">
        <v>3</v>
      </c>
      <c r="P804" s="1013">
        <f t="shared" si="161"/>
        <v>1118192</v>
      </c>
      <c r="Q804" s="1016">
        <v>0</v>
      </c>
      <c r="R804" s="1013">
        <f t="shared" si="162"/>
        <v>0</v>
      </c>
      <c r="S804" s="1013">
        <f t="shared" si="163"/>
        <v>9691000</v>
      </c>
      <c r="T804" s="1017">
        <v>0</v>
      </c>
      <c r="U804" s="785">
        <v>0</v>
      </c>
      <c r="V804" s="785">
        <v>200000</v>
      </c>
      <c r="W804" s="1017">
        <v>500000</v>
      </c>
      <c r="X804" s="1017">
        <v>0</v>
      </c>
      <c r="Y804" s="1017">
        <v>400000</v>
      </c>
      <c r="Z804" s="1017">
        <v>670800</v>
      </c>
      <c r="AA804" s="1018"/>
      <c r="AB804" s="1013"/>
      <c r="AC804" s="1017">
        <v>0</v>
      </c>
      <c r="AD804" s="1017">
        <v>0</v>
      </c>
      <c r="AE804" s="1013">
        <v>69887.021739130432</v>
      </c>
      <c r="AF804" s="1019"/>
      <c r="AG804" s="1019">
        <f t="shared" si="168"/>
        <v>11531687</v>
      </c>
      <c r="AH804" s="1014">
        <v>29</v>
      </c>
      <c r="AI804" s="1014">
        <v>0</v>
      </c>
      <c r="AJ804" s="1014">
        <v>0</v>
      </c>
      <c r="AK804" s="1018">
        <v>0</v>
      </c>
      <c r="AL804" s="1020">
        <v>0</v>
      </c>
      <c r="AM804" s="1013">
        <f t="shared" si="167"/>
        <v>2026724</v>
      </c>
      <c r="AN804" s="1045">
        <f t="shared" si="170"/>
        <v>13558411</v>
      </c>
      <c r="AO804" s="1013">
        <v>1017555</v>
      </c>
      <c r="AP804" s="1013">
        <v>44100</v>
      </c>
      <c r="AQ804" s="1013">
        <v>43264</v>
      </c>
      <c r="AR804" s="1013">
        <v>0</v>
      </c>
      <c r="AS804" s="1013">
        <v>0</v>
      </c>
      <c r="AT804" s="1045">
        <f t="shared" si="164"/>
        <v>12453492</v>
      </c>
      <c r="AU804" s="1004"/>
      <c r="AV804" s="870"/>
      <c r="AW804" s="782" t="s">
        <v>4845</v>
      </c>
      <c r="AX804" s="782" t="s">
        <v>4846</v>
      </c>
      <c r="AY804" s="1007" t="s">
        <v>287</v>
      </c>
      <c r="AZ804" s="1007">
        <v>622</v>
      </c>
      <c r="BA804" s="347" t="str">
        <f t="shared" si="171"/>
        <v>Box</v>
      </c>
      <c r="BB804" s="1008"/>
      <c r="BC804" s="1009"/>
      <c r="BD804" s="1009"/>
    </row>
    <row r="805" spans="1:56" s="1010" customFormat="1" ht="36.75" customHeight="1">
      <c r="A805" s="661">
        <f>SUBTOTAL(3,B$6:B805)</f>
        <v>800</v>
      </c>
      <c r="B805" s="661" t="s">
        <v>2429</v>
      </c>
      <c r="C805" s="662" t="s">
        <v>2430</v>
      </c>
      <c r="D805" s="1011">
        <v>44604</v>
      </c>
      <c r="E805" s="1011" t="s">
        <v>220</v>
      </c>
      <c r="F805" s="787" t="s">
        <v>269</v>
      </c>
      <c r="G805" s="996" t="s">
        <v>2425</v>
      </c>
      <c r="H805" s="1012">
        <v>6373000</v>
      </c>
      <c r="I805" s="1012">
        <v>1500000</v>
      </c>
      <c r="J805" s="1012">
        <v>0</v>
      </c>
      <c r="K805" s="1012">
        <v>0</v>
      </c>
      <c r="L805" s="1013">
        <f t="shared" si="159"/>
        <v>7873000</v>
      </c>
      <c r="M805" s="1014">
        <v>24</v>
      </c>
      <c r="N805" s="1013">
        <f t="shared" si="160"/>
        <v>7267385</v>
      </c>
      <c r="O805" s="1015">
        <v>2</v>
      </c>
      <c r="P805" s="1013">
        <f t="shared" si="161"/>
        <v>605615</v>
      </c>
      <c r="Q805" s="1016">
        <v>0</v>
      </c>
      <c r="R805" s="1013">
        <f t="shared" si="162"/>
        <v>0</v>
      </c>
      <c r="S805" s="1013">
        <f t="shared" si="163"/>
        <v>7873000</v>
      </c>
      <c r="T805" s="1017">
        <v>0</v>
      </c>
      <c r="U805" s="785">
        <v>0</v>
      </c>
      <c r="V805" s="785">
        <v>200000</v>
      </c>
      <c r="W805" s="1017">
        <v>500000</v>
      </c>
      <c r="X805" s="1017">
        <v>0</v>
      </c>
      <c r="Y805" s="1017">
        <v>400000</v>
      </c>
      <c r="Z805" s="1017">
        <v>500000</v>
      </c>
      <c r="AA805" s="1018"/>
      <c r="AB805" s="1013"/>
      <c r="AC805" s="1017">
        <v>0</v>
      </c>
      <c r="AD805" s="1017">
        <v>0</v>
      </c>
      <c r="AE805" s="1013">
        <v>0</v>
      </c>
      <c r="AF805" s="1019"/>
      <c r="AG805" s="1019">
        <f t="shared" si="168"/>
        <v>9473000</v>
      </c>
      <c r="AH805" s="1014">
        <v>36</v>
      </c>
      <c r="AI805" s="1014">
        <v>0</v>
      </c>
      <c r="AJ805" s="1014">
        <v>0</v>
      </c>
      <c r="AK805" s="1018">
        <v>0</v>
      </c>
      <c r="AL805" s="1020">
        <v>0</v>
      </c>
      <c r="AM805" s="1013">
        <f t="shared" si="167"/>
        <v>2043952</v>
      </c>
      <c r="AN805" s="1045">
        <f t="shared" si="170"/>
        <v>11516952</v>
      </c>
      <c r="AO805" s="1013">
        <v>826665</v>
      </c>
      <c r="AP805" s="1013">
        <v>44100</v>
      </c>
      <c r="AQ805" s="1013">
        <v>0</v>
      </c>
      <c r="AR805" s="1013">
        <v>0</v>
      </c>
      <c r="AS805" s="1013">
        <v>0</v>
      </c>
      <c r="AT805" s="1045">
        <f t="shared" si="164"/>
        <v>10646187</v>
      </c>
      <c r="AU805" s="1004"/>
      <c r="AV805" s="870"/>
      <c r="AW805" s="782" t="s">
        <v>4847</v>
      </c>
      <c r="AX805" s="782" t="s">
        <v>4848</v>
      </c>
      <c r="AY805" s="1007" t="s">
        <v>288</v>
      </c>
      <c r="AZ805" s="1007">
        <v>622</v>
      </c>
      <c r="BA805" s="347" t="str">
        <f t="shared" si="171"/>
        <v>Bag</v>
      </c>
      <c r="BB805" s="1008"/>
      <c r="BC805" s="1009"/>
      <c r="BD805" s="1009"/>
    </row>
    <row r="806" spans="1:56" s="1010" customFormat="1" ht="36.75" customHeight="1">
      <c r="A806" s="661">
        <f>SUBTOTAL(3,B$6:B806)</f>
        <v>801</v>
      </c>
      <c r="B806" s="661" t="s">
        <v>2431</v>
      </c>
      <c r="C806" s="662" t="s">
        <v>2432</v>
      </c>
      <c r="D806" s="1011">
        <v>44613</v>
      </c>
      <c r="E806" s="1011" t="s">
        <v>220</v>
      </c>
      <c r="F806" s="787" t="s">
        <v>269</v>
      </c>
      <c r="G806" s="996" t="s">
        <v>2433</v>
      </c>
      <c r="H806" s="1012">
        <v>18000000</v>
      </c>
      <c r="I806" s="1012">
        <v>13500000</v>
      </c>
      <c r="J806" s="1012">
        <v>0</v>
      </c>
      <c r="K806" s="1012">
        <v>0</v>
      </c>
      <c r="L806" s="1013">
        <f t="shared" si="159"/>
        <v>31500000</v>
      </c>
      <c r="M806" s="1014">
        <v>24</v>
      </c>
      <c r="N806" s="1013">
        <f t="shared" si="160"/>
        <v>29076923</v>
      </c>
      <c r="O806" s="1015">
        <v>2</v>
      </c>
      <c r="P806" s="1013">
        <f t="shared" si="161"/>
        <v>2423077</v>
      </c>
      <c r="Q806" s="1016">
        <v>0</v>
      </c>
      <c r="R806" s="1013">
        <f t="shared" si="162"/>
        <v>0</v>
      </c>
      <c r="S806" s="1013">
        <f t="shared" si="163"/>
        <v>31500000</v>
      </c>
      <c r="T806" s="1017">
        <v>500000</v>
      </c>
      <c r="U806" s="785">
        <v>0</v>
      </c>
      <c r="V806" s="785">
        <v>0</v>
      </c>
      <c r="W806" s="1017">
        <v>0</v>
      </c>
      <c r="X806" s="1017">
        <v>0</v>
      </c>
      <c r="Y806" s="1017">
        <v>0</v>
      </c>
      <c r="Z806" s="1017">
        <v>0</v>
      </c>
      <c r="AA806" s="1018"/>
      <c r="AB806" s="1013"/>
      <c r="AC806" s="1017">
        <v>0</v>
      </c>
      <c r="AD806" s="1017">
        <v>0</v>
      </c>
      <c r="AE806" s="1013">
        <v>227163.4609375</v>
      </c>
      <c r="AF806" s="1019"/>
      <c r="AG806" s="1019">
        <f t="shared" si="168"/>
        <v>32227163</v>
      </c>
      <c r="AH806" s="1014">
        <v>0</v>
      </c>
      <c r="AI806" s="1014">
        <v>0</v>
      </c>
      <c r="AJ806" s="1014">
        <v>0</v>
      </c>
      <c r="AK806" s="1018">
        <v>0</v>
      </c>
      <c r="AL806" s="1020">
        <v>0</v>
      </c>
      <c r="AM806" s="1013">
        <f t="shared" si="167"/>
        <v>0</v>
      </c>
      <c r="AN806" s="1045">
        <f t="shared" si="170"/>
        <v>32227163</v>
      </c>
      <c r="AO806" s="1013">
        <v>3307500</v>
      </c>
      <c r="AP806" s="1013">
        <v>44100</v>
      </c>
      <c r="AQ806" s="1013">
        <v>215983</v>
      </c>
      <c r="AR806" s="1013">
        <v>0</v>
      </c>
      <c r="AS806" s="1013">
        <v>0</v>
      </c>
      <c r="AT806" s="1045">
        <f t="shared" si="164"/>
        <v>28659580</v>
      </c>
      <c r="AU806" s="1004"/>
      <c r="AV806" s="870"/>
      <c r="AW806" s="782" t="s">
        <v>4849</v>
      </c>
      <c r="AX806" s="782" t="s">
        <v>4850</v>
      </c>
      <c r="AY806" s="1007" t="s">
        <v>287</v>
      </c>
      <c r="AZ806" s="1007">
        <v>622</v>
      </c>
      <c r="BA806" s="347" t="s">
        <v>78</v>
      </c>
      <c r="BB806" s="1008"/>
      <c r="BC806" s="1009"/>
      <c r="BD806" s="1009"/>
    </row>
    <row r="807" spans="1:56" s="1010" customFormat="1" ht="36.75" customHeight="1">
      <c r="A807" s="661">
        <f>SUBTOTAL(3,B$6:B807)</f>
        <v>802</v>
      </c>
      <c r="B807" s="661" t="s">
        <v>2434</v>
      </c>
      <c r="C807" s="662" t="s">
        <v>2435</v>
      </c>
      <c r="D807" s="1011">
        <v>45574</v>
      </c>
      <c r="E807" s="1011" t="s">
        <v>220</v>
      </c>
      <c r="F807" s="787" t="s">
        <v>269</v>
      </c>
      <c r="G807" s="996" t="s">
        <v>2425</v>
      </c>
      <c r="H807" s="1012">
        <v>6473000</v>
      </c>
      <c r="I807" s="1012">
        <v>1000000</v>
      </c>
      <c r="J807" s="1012">
        <v>324000</v>
      </c>
      <c r="K807" s="1012">
        <v>0</v>
      </c>
      <c r="L807" s="1013">
        <f t="shared" si="159"/>
        <v>7797000</v>
      </c>
      <c r="M807" s="1014">
        <v>24</v>
      </c>
      <c r="N807" s="1013">
        <f t="shared" si="160"/>
        <v>7197231</v>
      </c>
      <c r="O807" s="1015">
        <v>2</v>
      </c>
      <c r="P807" s="1013">
        <f t="shared" si="161"/>
        <v>599769</v>
      </c>
      <c r="Q807" s="1016">
        <v>0</v>
      </c>
      <c r="R807" s="1013">
        <f t="shared" si="162"/>
        <v>0</v>
      </c>
      <c r="S807" s="1013">
        <f t="shared" si="163"/>
        <v>7797000</v>
      </c>
      <c r="T807" s="1017">
        <v>0</v>
      </c>
      <c r="U807" s="785">
        <v>0</v>
      </c>
      <c r="V807" s="785">
        <v>200000</v>
      </c>
      <c r="W807" s="1017">
        <v>500000</v>
      </c>
      <c r="X807" s="1017">
        <v>0</v>
      </c>
      <c r="Y807" s="1017">
        <v>400000</v>
      </c>
      <c r="Z807" s="1017">
        <v>500000</v>
      </c>
      <c r="AA807" s="1018"/>
      <c r="AB807" s="1013"/>
      <c r="AC807" s="1017">
        <v>0</v>
      </c>
      <c r="AD807" s="1017">
        <v>0</v>
      </c>
      <c r="AE807" s="1013">
        <v>0</v>
      </c>
      <c r="AF807" s="1019"/>
      <c r="AG807" s="1019">
        <f t="shared" si="168"/>
        <v>9397000</v>
      </c>
      <c r="AH807" s="1014">
        <v>42</v>
      </c>
      <c r="AI807" s="1014">
        <v>0</v>
      </c>
      <c r="AJ807" s="1014">
        <v>0</v>
      </c>
      <c r="AK807" s="1018">
        <v>0</v>
      </c>
      <c r="AL807" s="1020">
        <v>0</v>
      </c>
      <c r="AM807" s="1013">
        <f t="shared" si="167"/>
        <v>2361591</v>
      </c>
      <c r="AN807" s="1045">
        <f t="shared" si="170"/>
        <v>11758591</v>
      </c>
      <c r="AO807" s="1013">
        <v>818685</v>
      </c>
      <c r="AP807" s="1013">
        <v>44100</v>
      </c>
      <c r="AQ807" s="1013">
        <v>0</v>
      </c>
      <c r="AR807" s="1013">
        <v>0</v>
      </c>
      <c r="AS807" s="1013">
        <v>0</v>
      </c>
      <c r="AT807" s="1045">
        <f t="shared" si="164"/>
        <v>10895806</v>
      </c>
      <c r="AU807" s="1004"/>
      <c r="AV807" s="870"/>
      <c r="AW807" s="782" t="s">
        <v>4851</v>
      </c>
      <c r="AX807" s="782" t="s">
        <v>4852</v>
      </c>
      <c r="AY807" s="1007" t="s">
        <v>287</v>
      </c>
      <c r="AZ807" s="1007">
        <v>622</v>
      </c>
      <c r="BA807" s="347" t="str">
        <f t="shared" ref="BA807:BA814" si="172">+IF(AY807="SK1 Box","Box",IF(AY807="Seaman","Seaman","Bag"))</f>
        <v>Box</v>
      </c>
      <c r="BB807" s="1008"/>
      <c r="BC807" s="1009"/>
      <c r="BD807" s="1009"/>
    </row>
    <row r="808" spans="1:56" s="1010" customFormat="1" ht="36.75" customHeight="1">
      <c r="A808" s="661">
        <f>SUBTOTAL(3,B$6:B808)</f>
        <v>803</v>
      </c>
      <c r="B808" s="661" t="s">
        <v>2436</v>
      </c>
      <c r="C808" s="662" t="s">
        <v>2437</v>
      </c>
      <c r="D808" s="1011">
        <v>43567</v>
      </c>
      <c r="E808" s="1011" t="s">
        <v>221</v>
      </c>
      <c r="F808" s="787" t="s">
        <v>241</v>
      </c>
      <c r="G808" s="996" t="s">
        <v>2107</v>
      </c>
      <c r="H808" s="1012">
        <v>5931000</v>
      </c>
      <c r="I808" s="1012">
        <v>1300000</v>
      </c>
      <c r="J808" s="1012">
        <v>0</v>
      </c>
      <c r="K808" s="1012">
        <v>0</v>
      </c>
      <c r="L808" s="1013">
        <f t="shared" si="159"/>
        <v>7231000</v>
      </c>
      <c r="M808" s="1014">
        <v>23.9</v>
      </c>
      <c r="N808" s="1013">
        <f t="shared" si="160"/>
        <v>6646958</v>
      </c>
      <c r="O808" s="1015">
        <v>2</v>
      </c>
      <c r="P808" s="1013">
        <f t="shared" si="161"/>
        <v>556231</v>
      </c>
      <c r="Q808" s="1016">
        <v>0</v>
      </c>
      <c r="R808" s="1013">
        <f t="shared" si="162"/>
        <v>0</v>
      </c>
      <c r="S808" s="1013">
        <f t="shared" si="163"/>
        <v>7203189</v>
      </c>
      <c r="T808" s="1017">
        <v>0</v>
      </c>
      <c r="U808" s="785">
        <v>0</v>
      </c>
      <c r="V808" s="785">
        <v>200000</v>
      </c>
      <c r="W808" s="1017">
        <v>500000</v>
      </c>
      <c r="X808" s="1017">
        <v>0</v>
      </c>
      <c r="Y808" s="1017">
        <v>400000</v>
      </c>
      <c r="Z808" s="1017">
        <v>0</v>
      </c>
      <c r="AA808" s="1018"/>
      <c r="AB808" s="1013"/>
      <c r="AC808" s="1017">
        <v>0</v>
      </c>
      <c r="AD808" s="1017">
        <v>0</v>
      </c>
      <c r="AE808" s="1013">
        <v>52146.6370292887</v>
      </c>
      <c r="AF808" s="1019"/>
      <c r="AG808" s="1019">
        <f t="shared" si="168"/>
        <v>8355336</v>
      </c>
      <c r="AH808" s="1014">
        <v>19</v>
      </c>
      <c r="AI808" s="1014">
        <v>0</v>
      </c>
      <c r="AJ808" s="1014">
        <v>0</v>
      </c>
      <c r="AK808" s="1018">
        <v>0</v>
      </c>
      <c r="AL808" s="1020">
        <v>0</v>
      </c>
      <c r="AM808" s="1013">
        <f t="shared" si="167"/>
        <v>990786</v>
      </c>
      <c r="AN808" s="1045">
        <f t="shared" si="170"/>
        <v>9346122</v>
      </c>
      <c r="AO808" s="1013">
        <v>759255</v>
      </c>
      <c r="AP808" s="1013">
        <v>44100</v>
      </c>
      <c r="AQ808" s="1013">
        <v>0</v>
      </c>
      <c r="AR808" s="1013">
        <v>0</v>
      </c>
      <c r="AS808" s="1013">
        <v>0</v>
      </c>
      <c r="AT808" s="1045">
        <f t="shared" si="164"/>
        <v>8542767</v>
      </c>
      <c r="AU808" s="1004"/>
      <c r="AV808" s="870"/>
      <c r="AW808" s="782" t="s">
        <v>4853</v>
      </c>
      <c r="AX808" s="782" t="s">
        <v>4854</v>
      </c>
      <c r="AY808" s="1007" t="s">
        <v>221</v>
      </c>
      <c r="AZ808" s="1007">
        <v>622</v>
      </c>
      <c r="BA808" s="347" t="str">
        <f t="shared" si="172"/>
        <v>Bag</v>
      </c>
      <c r="BB808" s="1008"/>
      <c r="BC808" s="1009"/>
      <c r="BD808" s="1009"/>
    </row>
    <row r="809" spans="1:56" s="1010" customFormat="1" ht="36.75" customHeight="1">
      <c r="A809" s="661">
        <f>SUBTOTAL(3,B$6:B809)</f>
        <v>804</v>
      </c>
      <c r="B809" s="661" t="s">
        <v>2438</v>
      </c>
      <c r="C809" s="662" t="s">
        <v>2439</v>
      </c>
      <c r="D809" s="1011">
        <v>44321</v>
      </c>
      <c r="E809" s="1011" t="s">
        <v>221</v>
      </c>
      <c r="F809" s="787" t="s">
        <v>241</v>
      </c>
      <c r="G809" s="996" t="s">
        <v>2104</v>
      </c>
      <c r="H809" s="1012">
        <v>5931000</v>
      </c>
      <c r="I809" s="1012">
        <v>900000</v>
      </c>
      <c r="J809" s="1012">
        <v>298000</v>
      </c>
      <c r="K809" s="1012">
        <v>0</v>
      </c>
      <c r="L809" s="1013">
        <f t="shared" si="159"/>
        <v>7129000</v>
      </c>
      <c r="M809" s="1014">
        <v>23.8</v>
      </c>
      <c r="N809" s="1013">
        <f t="shared" si="160"/>
        <v>6525777</v>
      </c>
      <c r="O809" s="1015">
        <v>2</v>
      </c>
      <c r="P809" s="1013">
        <f t="shared" si="161"/>
        <v>548385</v>
      </c>
      <c r="Q809" s="1016">
        <v>0</v>
      </c>
      <c r="R809" s="1013">
        <f t="shared" si="162"/>
        <v>0</v>
      </c>
      <c r="S809" s="1013">
        <f t="shared" si="163"/>
        <v>7074162</v>
      </c>
      <c r="T809" s="1017">
        <v>0</v>
      </c>
      <c r="U809" s="785">
        <v>0</v>
      </c>
      <c r="V809" s="785">
        <v>200000</v>
      </c>
      <c r="W809" s="1017">
        <v>500000</v>
      </c>
      <c r="X809" s="1017">
        <v>0</v>
      </c>
      <c r="Y809" s="1017">
        <v>400000</v>
      </c>
      <c r="Z809" s="1017">
        <v>0</v>
      </c>
      <c r="AA809" s="1018"/>
      <c r="AB809" s="1013"/>
      <c r="AC809" s="1017">
        <v>0</v>
      </c>
      <c r="AD809" s="1017">
        <v>0</v>
      </c>
      <c r="AE809" s="1013">
        <v>0</v>
      </c>
      <c r="AF809" s="1019"/>
      <c r="AG809" s="1019">
        <f t="shared" si="168"/>
        <v>8174162</v>
      </c>
      <c r="AH809" s="1014">
        <v>20</v>
      </c>
      <c r="AI809" s="1014">
        <v>0</v>
      </c>
      <c r="AJ809" s="1014">
        <v>0</v>
      </c>
      <c r="AK809" s="1018">
        <v>0</v>
      </c>
      <c r="AL809" s="1020">
        <v>0</v>
      </c>
      <c r="AM809" s="1013">
        <f t="shared" si="167"/>
        <v>1028221</v>
      </c>
      <c r="AN809" s="1045">
        <f t="shared" si="170"/>
        <v>9202383</v>
      </c>
      <c r="AO809" s="1013">
        <v>748545</v>
      </c>
      <c r="AP809" s="1013">
        <v>44100</v>
      </c>
      <c r="AQ809" s="1013">
        <v>0</v>
      </c>
      <c r="AR809" s="1013">
        <v>0</v>
      </c>
      <c r="AS809" s="1013">
        <v>0</v>
      </c>
      <c r="AT809" s="1045">
        <f t="shared" si="164"/>
        <v>8409738</v>
      </c>
      <c r="AU809" s="1004"/>
      <c r="AV809" s="870"/>
      <c r="AW809" s="782" t="s">
        <v>4855</v>
      </c>
      <c r="AX809" s="782" t="s">
        <v>4856</v>
      </c>
      <c r="AY809" s="1007" t="s">
        <v>221</v>
      </c>
      <c r="AZ809" s="1007">
        <v>622</v>
      </c>
      <c r="BA809" s="347" t="str">
        <f t="shared" si="172"/>
        <v>Bag</v>
      </c>
      <c r="BB809" s="1008"/>
      <c r="BC809" s="1009"/>
      <c r="BD809" s="1009"/>
    </row>
    <row r="810" spans="1:56" s="1010" customFormat="1" ht="36.75" customHeight="1">
      <c r="A810" s="661">
        <f>SUBTOTAL(3,B$6:B810)</f>
        <v>805</v>
      </c>
      <c r="B810" s="661" t="s">
        <v>2440</v>
      </c>
      <c r="C810" s="662" t="s">
        <v>2441</v>
      </c>
      <c r="D810" s="1011">
        <v>45013</v>
      </c>
      <c r="E810" s="1011" t="s">
        <v>221</v>
      </c>
      <c r="F810" s="787" t="s">
        <v>241</v>
      </c>
      <c r="G810" s="996" t="s">
        <v>1512</v>
      </c>
      <c r="H810" s="1012">
        <v>5815000</v>
      </c>
      <c r="I810" s="1012">
        <v>500000</v>
      </c>
      <c r="J810" s="1012">
        <v>0</v>
      </c>
      <c r="K810" s="1012">
        <v>0</v>
      </c>
      <c r="L810" s="1013">
        <f t="shared" si="159"/>
        <v>6315000</v>
      </c>
      <c r="M810" s="1014">
        <v>24</v>
      </c>
      <c r="N810" s="1013">
        <f t="shared" si="160"/>
        <v>5829231</v>
      </c>
      <c r="O810" s="1015">
        <v>2</v>
      </c>
      <c r="P810" s="1013">
        <f t="shared" si="161"/>
        <v>485769</v>
      </c>
      <c r="Q810" s="1016">
        <v>0</v>
      </c>
      <c r="R810" s="1013">
        <f t="shared" si="162"/>
        <v>0</v>
      </c>
      <c r="S810" s="1013">
        <f t="shared" si="163"/>
        <v>6315000</v>
      </c>
      <c r="T810" s="1017">
        <v>0</v>
      </c>
      <c r="U810" s="785">
        <v>0</v>
      </c>
      <c r="V810" s="785">
        <v>200000</v>
      </c>
      <c r="W810" s="1017">
        <v>500000</v>
      </c>
      <c r="X810" s="1017">
        <v>0</v>
      </c>
      <c r="Y810" s="1017">
        <v>400000</v>
      </c>
      <c r="Z810" s="1017">
        <v>0</v>
      </c>
      <c r="AA810" s="1018"/>
      <c r="AB810" s="1013"/>
      <c r="AC810" s="1017">
        <v>0</v>
      </c>
      <c r="AD810" s="1017">
        <v>0</v>
      </c>
      <c r="AE810" s="1013">
        <v>45540.8671875</v>
      </c>
      <c r="AF810" s="1019"/>
      <c r="AG810" s="1019">
        <f t="shared" si="168"/>
        <v>7460541</v>
      </c>
      <c r="AH810" s="1014">
        <v>50</v>
      </c>
      <c r="AI810" s="1014">
        <v>0</v>
      </c>
      <c r="AJ810" s="1014">
        <v>0</v>
      </c>
      <c r="AK810" s="1018">
        <v>0</v>
      </c>
      <c r="AL810" s="1020">
        <v>0</v>
      </c>
      <c r="AM810" s="1013">
        <f t="shared" si="167"/>
        <v>2277043</v>
      </c>
      <c r="AN810" s="1045">
        <f t="shared" si="170"/>
        <v>9737584</v>
      </c>
      <c r="AO810" s="1013">
        <v>663075</v>
      </c>
      <c r="AP810" s="1013">
        <v>44100</v>
      </c>
      <c r="AQ810" s="1013">
        <v>0</v>
      </c>
      <c r="AR810" s="1013">
        <v>0</v>
      </c>
      <c r="AS810" s="1013">
        <v>0</v>
      </c>
      <c r="AT810" s="1045">
        <f t="shared" si="164"/>
        <v>9030409</v>
      </c>
      <c r="AU810" s="1004"/>
      <c r="AV810" s="870"/>
      <c r="AW810" s="782" t="s">
        <v>4857</v>
      </c>
      <c r="AX810" s="782" t="s">
        <v>4858</v>
      </c>
      <c r="AY810" s="1007" t="s">
        <v>221</v>
      </c>
      <c r="AZ810" s="1007">
        <v>622</v>
      </c>
      <c r="BA810" s="347" t="str">
        <f t="shared" si="172"/>
        <v>Bag</v>
      </c>
      <c r="BB810" s="1008"/>
      <c r="BC810" s="1009"/>
      <c r="BD810" s="1009"/>
    </row>
    <row r="811" spans="1:56" s="1010" customFormat="1" ht="36.75" customHeight="1">
      <c r="A811" s="661">
        <f>SUBTOTAL(3,B$6:B811)</f>
        <v>806</v>
      </c>
      <c r="B811" s="661" t="s">
        <v>2442</v>
      </c>
      <c r="C811" s="662" t="s">
        <v>2443</v>
      </c>
      <c r="D811" s="1011">
        <v>45490</v>
      </c>
      <c r="E811" s="1011" t="s">
        <v>221</v>
      </c>
      <c r="F811" s="787" t="s">
        <v>241</v>
      </c>
      <c r="G811" s="996" t="s">
        <v>2112</v>
      </c>
      <c r="H811" s="1012">
        <v>5274000</v>
      </c>
      <c r="I811" s="1012">
        <v>2000000</v>
      </c>
      <c r="J811" s="1012">
        <v>265000</v>
      </c>
      <c r="K811" s="1012">
        <v>0</v>
      </c>
      <c r="L811" s="1013">
        <f t="shared" si="159"/>
        <v>7539000</v>
      </c>
      <c r="M811" s="1014">
        <v>22.8</v>
      </c>
      <c r="N811" s="1013">
        <f t="shared" si="160"/>
        <v>6611123</v>
      </c>
      <c r="O811" s="1015">
        <v>3</v>
      </c>
      <c r="P811" s="1013">
        <f t="shared" si="161"/>
        <v>869885</v>
      </c>
      <c r="Q811" s="1016">
        <v>0</v>
      </c>
      <c r="R811" s="1013">
        <f t="shared" si="162"/>
        <v>0</v>
      </c>
      <c r="S811" s="1013">
        <f t="shared" si="163"/>
        <v>7481008</v>
      </c>
      <c r="T811" s="1017">
        <v>0</v>
      </c>
      <c r="U811" s="785">
        <v>0</v>
      </c>
      <c r="V811" s="785">
        <v>200000</v>
      </c>
      <c r="W811" s="1017">
        <v>500000</v>
      </c>
      <c r="X811" s="1017">
        <v>1082000</v>
      </c>
      <c r="Y811" s="1017">
        <v>400000</v>
      </c>
      <c r="Z811" s="1017">
        <v>0</v>
      </c>
      <c r="AA811" s="1018"/>
      <c r="AB811" s="1013"/>
      <c r="AC811" s="1017">
        <v>0</v>
      </c>
      <c r="AD811" s="1017">
        <v>0</v>
      </c>
      <c r="AE811" s="1013">
        <v>0</v>
      </c>
      <c r="AF811" s="1019"/>
      <c r="AG811" s="1019">
        <f t="shared" si="168"/>
        <v>9663008</v>
      </c>
      <c r="AH811" s="1014">
        <v>9</v>
      </c>
      <c r="AI811" s="1014">
        <v>0</v>
      </c>
      <c r="AJ811" s="1014">
        <v>0</v>
      </c>
      <c r="AK811" s="1018">
        <v>0</v>
      </c>
      <c r="AL811" s="1020">
        <v>0</v>
      </c>
      <c r="AM811" s="1013">
        <f t="shared" si="167"/>
        <v>489310</v>
      </c>
      <c r="AN811" s="1045">
        <f t="shared" si="170"/>
        <v>10152318</v>
      </c>
      <c r="AO811" s="1013">
        <v>791595</v>
      </c>
      <c r="AP811" s="1013">
        <v>44100</v>
      </c>
      <c r="AQ811" s="1013">
        <v>0</v>
      </c>
      <c r="AR811" s="1013">
        <v>0</v>
      </c>
      <c r="AS811" s="1013">
        <v>0</v>
      </c>
      <c r="AT811" s="1045">
        <f t="shared" si="164"/>
        <v>9316623</v>
      </c>
      <c r="AU811" s="1004"/>
      <c r="AV811" s="870"/>
      <c r="AW811" s="782" t="s">
        <v>4859</v>
      </c>
      <c r="AX811" s="782" t="s">
        <v>4860</v>
      </c>
      <c r="AY811" s="1007" t="s">
        <v>221</v>
      </c>
      <c r="AZ811" s="1007">
        <v>622</v>
      </c>
      <c r="BA811" s="347" t="str">
        <f t="shared" si="172"/>
        <v>Bag</v>
      </c>
      <c r="BB811" s="1008"/>
      <c r="BC811" s="1009"/>
      <c r="BD811" s="1009"/>
    </row>
    <row r="812" spans="1:56" s="1010" customFormat="1" ht="36.75" customHeight="1">
      <c r="A812" s="661">
        <f>SUBTOTAL(3,B$6:B812)</f>
        <v>807</v>
      </c>
      <c r="B812" s="661" t="s">
        <v>2444</v>
      </c>
      <c r="C812" s="662" t="s">
        <v>2445</v>
      </c>
      <c r="D812" s="1011">
        <v>43605</v>
      </c>
      <c r="E812" s="1011" t="s">
        <v>221</v>
      </c>
      <c r="F812" s="787" t="s">
        <v>242</v>
      </c>
      <c r="G812" s="996" t="s">
        <v>2446</v>
      </c>
      <c r="H812" s="1012">
        <v>8600000</v>
      </c>
      <c r="I812" s="1012">
        <v>7600000</v>
      </c>
      <c r="J812" s="1012">
        <v>0</v>
      </c>
      <c r="K812" s="1012">
        <v>0</v>
      </c>
      <c r="L812" s="1013">
        <f t="shared" ref="L812:L874" si="173">SUM(H812:K812)</f>
        <v>16200000</v>
      </c>
      <c r="M812" s="1014">
        <v>24</v>
      </c>
      <c r="N812" s="1013">
        <f t="shared" si="160"/>
        <v>14953846</v>
      </c>
      <c r="O812" s="1015">
        <v>2</v>
      </c>
      <c r="P812" s="1013">
        <f t="shared" si="161"/>
        <v>1246154</v>
      </c>
      <c r="Q812" s="1016">
        <v>0</v>
      </c>
      <c r="R812" s="1013">
        <f t="shared" si="162"/>
        <v>0</v>
      </c>
      <c r="S812" s="1013">
        <f t="shared" si="163"/>
        <v>16200000</v>
      </c>
      <c r="T812" s="1017">
        <v>0</v>
      </c>
      <c r="U812" s="785">
        <v>0</v>
      </c>
      <c r="V812" s="785">
        <v>0</v>
      </c>
      <c r="W812" s="1017">
        <v>0</v>
      </c>
      <c r="X812" s="1017">
        <v>0</v>
      </c>
      <c r="Y812" s="1017">
        <v>0</v>
      </c>
      <c r="Z812" s="1017">
        <v>0</v>
      </c>
      <c r="AA812" s="1018"/>
      <c r="AB812" s="1013"/>
      <c r="AC812" s="1017">
        <v>0</v>
      </c>
      <c r="AD812" s="1017">
        <v>0</v>
      </c>
      <c r="AE812" s="1013">
        <v>116826.921875</v>
      </c>
      <c r="AF812" s="1019"/>
      <c r="AG812" s="1019">
        <f t="shared" si="168"/>
        <v>16316827</v>
      </c>
      <c r="AH812" s="1014">
        <v>0</v>
      </c>
      <c r="AI812" s="1014">
        <v>8</v>
      </c>
      <c r="AJ812" s="1014">
        <v>0</v>
      </c>
      <c r="AK812" s="1018">
        <v>0</v>
      </c>
      <c r="AL812" s="1020">
        <v>0</v>
      </c>
      <c r="AM812" s="1013">
        <f t="shared" si="167"/>
        <v>1246154</v>
      </c>
      <c r="AN812" s="1045">
        <f t="shared" si="170"/>
        <v>17562981</v>
      </c>
      <c r="AO812" s="1013">
        <v>1701000</v>
      </c>
      <c r="AP812" s="1013">
        <v>44100</v>
      </c>
      <c r="AQ812" s="1013">
        <v>216945</v>
      </c>
      <c r="AR812" s="1013">
        <v>0</v>
      </c>
      <c r="AS812" s="1013">
        <v>0</v>
      </c>
      <c r="AT812" s="1045">
        <f t="shared" si="164"/>
        <v>15600936</v>
      </c>
      <c r="AU812" s="1004"/>
      <c r="AV812" s="870"/>
      <c r="AW812" s="782" t="s">
        <v>4861</v>
      </c>
      <c r="AX812" s="782" t="s">
        <v>4862</v>
      </c>
      <c r="AY812" s="1007" t="s">
        <v>221</v>
      </c>
      <c r="AZ812" s="1007">
        <v>622</v>
      </c>
      <c r="BA812" s="347" t="str">
        <f t="shared" si="172"/>
        <v>Bag</v>
      </c>
      <c r="BB812" s="1008"/>
      <c r="BC812" s="1009"/>
      <c r="BD812" s="1009"/>
    </row>
    <row r="813" spans="1:56" s="1010" customFormat="1" ht="36.75" customHeight="1">
      <c r="A813" s="661">
        <f>SUBTOTAL(3,B$6:B813)</f>
        <v>808</v>
      </c>
      <c r="B813" s="661" t="s">
        <v>2447</v>
      </c>
      <c r="C813" s="662" t="s">
        <v>2448</v>
      </c>
      <c r="D813" s="1011">
        <v>43927</v>
      </c>
      <c r="E813" s="1011" t="s">
        <v>221</v>
      </c>
      <c r="F813" s="787" t="s">
        <v>242</v>
      </c>
      <c r="G813" s="996" t="s">
        <v>2446</v>
      </c>
      <c r="H813" s="1012">
        <v>7400000</v>
      </c>
      <c r="I813" s="1012">
        <v>7200000</v>
      </c>
      <c r="J813" s="1012">
        <v>0</v>
      </c>
      <c r="K813" s="1012">
        <v>0</v>
      </c>
      <c r="L813" s="1013">
        <f t="shared" si="173"/>
        <v>14600000</v>
      </c>
      <c r="M813" s="1014">
        <v>22.6</v>
      </c>
      <c r="N813" s="1013">
        <f t="shared" ref="N813:N875" si="174">ROUND((H813+I813+J813+K813)/IF($M$2&gt;26,26,$M$2)*M813,0)</f>
        <v>12690769</v>
      </c>
      <c r="O813" s="1015">
        <v>3</v>
      </c>
      <c r="P813" s="1013">
        <f t="shared" ref="P813:P875" si="175">ROUND((H813+I813+J813+K813)/IF($M$2&gt;26,26,$M$2)*O813,0)</f>
        <v>1684615</v>
      </c>
      <c r="Q813" s="1016">
        <v>0</v>
      </c>
      <c r="R813" s="1013">
        <f t="shared" ref="R813:R875" si="176">IF(M813&gt;0,ROUND(N813/IF(M813&gt;26,26,M813)/8*Q813*30%,0),0)</f>
        <v>0</v>
      </c>
      <c r="S813" s="1013">
        <f t="shared" ref="S813:S875" si="177">N813+P813+R813</f>
        <v>14375384</v>
      </c>
      <c r="T813" s="1017">
        <v>0</v>
      </c>
      <c r="U813" s="785">
        <v>0</v>
      </c>
      <c r="V813" s="785">
        <v>0</v>
      </c>
      <c r="W813" s="1017">
        <v>0</v>
      </c>
      <c r="X813" s="1017">
        <v>0</v>
      </c>
      <c r="Y813" s="1017">
        <v>0</v>
      </c>
      <c r="Z813" s="1017">
        <v>0</v>
      </c>
      <c r="AA813" s="1018"/>
      <c r="AB813" s="1013"/>
      <c r="AC813" s="1017">
        <v>0</v>
      </c>
      <c r="AD813" s="1017">
        <v>0</v>
      </c>
      <c r="AE813" s="1013">
        <v>0</v>
      </c>
      <c r="AF813" s="1019"/>
      <c r="AG813" s="1019">
        <f t="shared" si="168"/>
        <v>14375384</v>
      </c>
      <c r="AH813" s="1014">
        <v>0</v>
      </c>
      <c r="AI813" s="1014">
        <v>0</v>
      </c>
      <c r="AJ813" s="1014">
        <v>0</v>
      </c>
      <c r="AK813" s="1018">
        <v>0</v>
      </c>
      <c r="AL813" s="1020">
        <v>0</v>
      </c>
      <c r="AM813" s="1013">
        <f t="shared" si="167"/>
        <v>0</v>
      </c>
      <c r="AN813" s="1045">
        <f t="shared" si="170"/>
        <v>14375384</v>
      </c>
      <c r="AO813" s="1013">
        <v>1533000</v>
      </c>
      <c r="AP813" s="1013">
        <v>44100</v>
      </c>
      <c r="AQ813" s="1013">
        <v>97119</v>
      </c>
      <c r="AR813" s="1013">
        <v>0</v>
      </c>
      <c r="AS813" s="1013">
        <v>0</v>
      </c>
      <c r="AT813" s="1045">
        <f t="shared" ref="AT813:AT876" si="178">+ROUND(SUM(AN813:AN813)-SUM(AO813:AS813),0)</f>
        <v>12701165</v>
      </c>
      <c r="AU813" s="1004"/>
      <c r="AV813" s="870"/>
      <c r="AW813" s="782" t="s">
        <v>4863</v>
      </c>
      <c r="AX813" s="782" t="s">
        <v>4864</v>
      </c>
      <c r="AY813" s="1007" t="s">
        <v>221</v>
      </c>
      <c r="AZ813" s="1007">
        <v>622</v>
      </c>
      <c r="BA813" s="347" t="str">
        <f t="shared" si="172"/>
        <v>Bag</v>
      </c>
      <c r="BB813" s="1008"/>
      <c r="BC813" s="1009"/>
      <c r="BD813" s="1009"/>
    </row>
    <row r="814" spans="1:56" s="1010" customFormat="1" ht="36.75" customHeight="1">
      <c r="A814" s="661">
        <f>SUBTOTAL(3,B$6:B814)</f>
        <v>809</v>
      </c>
      <c r="B814" s="661" t="s">
        <v>2449</v>
      </c>
      <c r="C814" s="662" t="s">
        <v>2450</v>
      </c>
      <c r="D814" s="1011">
        <v>45222</v>
      </c>
      <c r="E814" s="1011" t="s">
        <v>221</v>
      </c>
      <c r="F814" s="787" t="s">
        <v>242</v>
      </c>
      <c r="G814" s="996" t="s">
        <v>2446</v>
      </c>
      <c r="H814" s="1012">
        <v>7500000</v>
      </c>
      <c r="I814" s="1012">
        <v>2500000</v>
      </c>
      <c r="J814" s="1012">
        <v>0</v>
      </c>
      <c r="K814" s="1012">
        <v>0</v>
      </c>
      <c r="L814" s="1013">
        <f t="shared" si="173"/>
        <v>10000000</v>
      </c>
      <c r="M814" s="1014">
        <v>22</v>
      </c>
      <c r="N814" s="1013">
        <f t="shared" si="174"/>
        <v>8461538</v>
      </c>
      <c r="O814" s="1015">
        <v>3</v>
      </c>
      <c r="P814" s="1013">
        <f t="shared" si="175"/>
        <v>1153846</v>
      </c>
      <c r="Q814" s="1016">
        <v>0</v>
      </c>
      <c r="R814" s="1013">
        <f t="shared" si="176"/>
        <v>0</v>
      </c>
      <c r="S814" s="1013">
        <f t="shared" si="177"/>
        <v>9615384</v>
      </c>
      <c r="T814" s="1017">
        <v>0</v>
      </c>
      <c r="U814" s="785">
        <v>0</v>
      </c>
      <c r="V814" s="785">
        <v>0</v>
      </c>
      <c r="W814" s="1017">
        <v>0</v>
      </c>
      <c r="X814" s="1017">
        <v>0</v>
      </c>
      <c r="Y814" s="1017">
        <v>0</v>
      </c>
      <c r="Z814" s="1017">
        <v>0</v>
      </c>
      <c r="AA814" s="1018"/>
      <c r="AB814" s="1013"/>
      <c r="AC814" s="1017">
        <v>0</v>
      </c>
      <c r="AD814" s="1017">
        <v>0</v>
      </c>
      <c r="AE814" s="1013">
        <v>0</v>
      </c>
      <c r="AF814" s="1019"/>
      <c r="AG814" s="1019">
        <f t="shared" si="168"/>
        <v>9615384</v>
      </c>
      <c r="AH814" s="1014">
        <v>0</v>
      </c>
      <c r="AI814" s="1014">
        <v>0</v>
      </c>
      <c r="AJ814" s="1014">
        <v>0</v>
      </c>
      <c r="AK814" s="1018">
        <v>0</v>
      </c>
      <c r="AL814" s="1020">
        <v>0</v>
      </c>
      <c r="AM814" s="1013">
        <f t="shared" si="167"/>
        <v>0</v>
      </c>
      <c r="AN814" s="1045">
        <f t="shared" si="170"/>
        <v>9615384</v>
      </c>
      <c r="AO814" s="1013">
        <v>1050000</v>
      </c>
      <c r="AP814" s="1013">
        <v>44100</v>
      </c>
      <c r="AQ814" s="1013">
        <v>0</v>
      </c>
      <c r="AR814" s="1013">
        <v>0</v>
      </c>
      <c r="AS814" s="1013">
        <v>0</v>
      </c>
      <c r="AT814" s="1045">
        <f t="shared" si="178"/>
        <v>8521284</v>
      </c>
      <c r="AU814" s="1004"/>
      <c r="AV814" s="870"/>
      <c r="AW814" s="782" t="s">
        <v>4865</v>
      </c>
      <c r="AX814" s="782" t="s">
        <v>4866</v>
      </c>
      <c r="AY814" s="1007" t="s">
        <v>221</v>
      </c>
      <c r="AZ814" s="1007">
        <v>622</v>
      </c>
      <c r="BA814" s="347" t="str">
        <f t="shared" si="172"/>
        <v>Bag</v>
      </c>
      <c r="BB814" s="1008"/>
      <c r="BC814" s="1009"/>
      <c r="BD814" s="1009"/>
    </row>
    <row r="815" spans="1:56" s="1010" customFormat="1" ht="36.75" customHeight="1">
      <c r="A815" s="661">
        <f>SUBTOTAL(3,B$6:B815)</f>
        <v>810</v>
      </c>
      <c r="B815" s="661" t="s">
        <v>60</v>
      </c>
      <c r="C815" s="662" t="s">
        <v>169</v>
      </c>
      <c r="D815" s="1011">
        <v>42171</v>
      </c>
      <c r="E815" s="1011" t="s">
        <v>221</v>
      </c>
      <c r="F815" s="787" t="s">
        <v>242</v>
      </c>
      <c r="G815" s="996" t="s">
        <v>2451</v>
      </c>
      <c r="H815" s="1012">
        <v>20000000</v>
      </c>
      <c r="I815" s="1012">
        <v>9200000</v>
      </c>
      <c r="J815" s="1012">
        <v>0</v>
      </c>
      <c r="K815" s="1012">
        <v>0</v>
      </c>
      <c r="L815" s="1013">
        <f t="shared" si="173"/>
        <v>29200000</v>
      </c>
      <c r="M815" s="1014">
        <v>22.9</v>
      </c>
      <c r="N815" s="1013">
        <f t="shared" si="174"/>
        <v>25718462</v>
      </c>
      <c r="O815" s="1015">
        <v>2</v>
      </c>
      <c r="P815" s="1013">
        <f t="shared" si="175"/>
        <v>2246154</v>
      </c>
      <c r="Q815" s="1016">
        <v>0</v>
      </c>
      <c r="R815" s="1013">
        <f t="shared" si="176"/>
        <v>0</v>
      </c>
      <c r="S815" s="1013">
        <f t="shared" si="177"/>
        <v>27964616</v>
      </c>
      <c r="T815" s="1017">
        <v>622500</v>
      </c>
      <c r="U815" s="785">
        <v>0</v>
      </c>
      <c r="V815" s="785">
        <v>0</v>
      </c>
      <c r="W815" s="1017">
        <v>0</v>
      </c>
      <c r="X815" s="1017">
        <v>0</v>
      </c>
      <c r="Y815" s="1017">
        <v>0</v>
      </c>
      <c r="Z815" s="1017">
        <v>0</v>
      </c>
      <c r="AA815" s="1018"/>
      <c r="AB815" s="1013"/>
      <c r="AC815" s="1017">
        <v>0</v>
      </c>
      <c r="AD815" s="1017">
        <v>0</v>
      </c>
      <c r="AE815" s="1013">
        <v>210576.9268558952</v>
      </c>
      <c r="AF815" s="1019"/>
      <c r="AG815" s="1019">
        <f t="shared" si="168"/>
        <v>28797693</v>
      </c>
      <c r="AH815" s="1014">
        <v>0</v>
      </c>
      <c r="AI815" s="1014">
        <v>0</v>
      </c>
      <c r="AJ815" s="1014">
        <v>0</v>
      </c>
      <c r="AK815" s="1018">
        <v>0</v>
      </c>
      <c r="AL815" s="1020">
        <v>0</v>
      </c>
      <c r="AM815" s="1013">
        <f t="shared" si="167"/>
        <v>0</v>
      </c>
      <c r="AN815" s="1045">
        <f t="shared" si="170"/>
        <v>28797693</v>
      </c>
      <c r="AO815" s="1013">
        <v>3066000</v>
      </c>
      <c r="AP815" s="1013">
        <v>44100</v>
      </c>
      <c r="AQ815" s="1013">
        <v>50460</v>
      </c>
      <c r="AR815" s="1013">
        <v>0</v>
      </c>
      <c r="AS815" s="1013">
        <v>0</v>
      </c>
      <c r="AT815" s="1045">
        <f t="shared" si="178"/>
        <v>25637133</v>
      </c>
      <c r="AU815" s="1004"/>
      <c r="AV815" s="870"/>
      <c r="AW815" s="782" t="s">
        <v>4867</v>
      </c>
      <c r="AX815" s="782" t="s">
        <v>4868</v>
      </c>
      <c r="AY815" s="1007" t="s">
        <v>221</v>
      </c>
      <c r="AZ815" s="1007">
        <v>622</v>
      </c>
      <c r="BA815" s="347" t="s">
        <v>78</v>
      </c>
      <c r="BB815" s="1008"/>
      <c r="BC815" s="1009"/>
      <c r="BD815" s="1009"/>
    </row>
    <row r="816" spans="1:56" s="1010" customFormat="1" ht="36.75" customHeight="1">
      <c r="A816" s="661">
        <f>SUBTOTAL(3,B$6:B816)</f>
        <v>811</v>
      </c>
      <c r="B816" s="661" t="s">
        <v>2452</v>
      </c>
      <c r="C816" s="662" t="s">
        <v>2453</v>
      </c>
      <c r="D816" s="1011">
        <v>39707</v>
      </c>
      <c r="E816" s="1011" t="s">
        <v>221</v>
      </c>
      <c r="F816" s="787" t="s">
        <v>243</v>
      </c>
      <c r="G816" s="996" t="s">
        <v>2126</v>
      </c>
      <c r="H816" s="1012">
        <v>5931000</v>
      </c>
      <c r="I816" s="1012">
        <v>3000000</v>
      </c>
      <c r="J816" s="1012">
        <v>0</v>
      </c>
      <c r="K816" s="1012">
        <v>400000</v>
      </c>
      <c r="L816" s="1013">
        <f t="shared" si="173"/>
        <v>9331000</v>
      </c>
      <c r="M816" s="1014">
        <v>24</v>
      </c>
      <c r="N816" s="1013">
        <f t="shared" si="174"/>
        <v>8613231</v>
      </c>
      <c r="O816" s="1015">
        <v>2</v>
      </c>
      <c r="P816" s="1013">
        <f t="shared" si="175"/>
        <v>717769</v>
      </c>
      <c r="Q816" s="1016">
        <v>0</v>
      </c>
      <c r="R816" s="1013">
        <f t="shared" si="176"/>
        <v>0</v>
      </c>
      <c r="S816" s="1013">
        <f t="shared" si="177"/>
        <v>9331000</v>
      </c>
      <c r="T816" s="1017">
        <v>0</v>
      </c>
      <c r="U816" s="785">
        <v>147000</v>
      </c>
      <c r="V816" s="785">
        <v>200000</v>
      </c>
      <c r="W816" s="1017">
        <v>500000</v>
      </c>
      <c r="X816" s="1017">
        <v>0</v>
      </c>
      <c r="Y816" s="1017">
        <v>0</v>
      </c>
      <c r="Z816" s="1017">
        <v>0</v>
      </c>
      <c r="AA816" s="1018"/>
      <c r="AB816" s="1013"/>
      <c r="AC816" s="1017">
        <v>0</v>
      </c>
      <c r="AD816" s="1017">
        <v>0</v>
      </c>
      <c r="AE816" s="1013">
        <v>67290.8671875</v>
      </c>
      <c r="AF816" s="1019"/>
      <c r="AG816" s="1019">
        <f t="shared" si="168"/>
        <v>10245291</v>
      </c>
      <c r="AH816" s="1014">
        <v>88</v>
      </c>
      <c r="AI816" s="1014">
        <v>16</v>
      </c>
      <c r="AJ816" s="1014">
        <v>0</v>
      </c>
      <c r="AK816" s="1018">
        <v>0</v>
      </c>
      <c r="AL816" s="1020">
        <v>8</v>
      </c>
      <c r="AM816" s="1013">
        <f t="shared" si="167"/>
        <v>8433789</v>
      </c>
      <c r="AN816" s="1045">
        <f t="shared" si="170"/>
        <v>18679080</v>
      </c>
      <c r="AO816" s="1013">
        <v>979755</v>
      </c>
      <c r="AP816" s="1013">
        <v>44100</v>
      </c>
      <c r="AQ816" s="1013">
        <v>151552</v>
      </c>
      <c r="AR816" s="1013">
        <v>0</v>
      </c>
      <c r="AS816" s="1013">
        <v>0</v>
      </c>
      <c r="AT816" s="1045">
        <f t="shared" si="178"/>
        <v>17503673</v>
      </c>
      <c r="AU816" s="1004"/>
      <c r="AV816" s="870"/>
      <c r="AW816" s="782" t="s">
        <v>4869</v>
      </c>
      <c r="AX816" s="782" t="s">
        <v>4870</v>
      </c>
      <c r="AY816" s="1007" t="s">
        <v>221</v>
      </c>
      <c r="AZ816" s="1007">
        <v>622</v>
      </c>
      <c r="BA816" s="347" t="str">
        <f t="shared" ref="BA816:BA825" si="179">+IF(AY816="SK1 Box","Box",IF(AY816="Seaman","Seaman","Bag"))</f>
        <v>Bag</v>
      </c>
      <c r="BB816" s="1008"/>
      <c r="BC816" s="1009"/>
      <c r="BD816" s="1009"/>
    </row>
    <row r="817" spans="1:56" s="1010" customFormat="1" ht="36.75" customHeight="1">
      <c r="A817" s="661">
        <f>SUBTOTAL(3,B$6:B817)</f>
        <v>812</v>
      </c>
      <c r="B817" s="661" t="s">
        <v>2454</v>
      </c>
      <c r="C817" s="662" t="s">
        <v>2455</v>
      </c>
      <c r="D817" s="1011">
        <v>44030</v>
      </c>
      <c r="E817" s="1011" t="s">
        <v>221</v>
      </c>
      <c r="F817" s="787" t="s">
        <v>243</v>
      </c>
      <c r="G817" s="996" t="s">
        <v>2119</v>
      </c>
      <c r="H817" s="1012">
        <v>5931000</v>
      </c>
      <c r="I817" s="1012">
        <v>1400000</v>
      </c>
      <c r="J817" s="1012">
        <v>0</v>
      </c>
      <c r="K817" s="1012">
        <v>0</v>
      </c>
      <c r="L817" s="1013">
        <f t="shared" si="173"/>
        <v>7331000</v>
      </c>
      <c r="M817" s="1014">
        <v>24</v>
      </c>
      <c r="N817" s="1013">
        <f t="shared" si="174"/>
        <v>6767077</v>
      </c>
      <c r="O817" s="1015">
        <v>2</v>
      </c>
      <c r="P817" s="1013">
        <f t="shared" si="175"/>
        <v>563923</v>
      </c>
      <c r="Q817" s="1016">
        <v>0</v>
      </c>
      <c r="R817" s="1013">
        <f t="shared" si="176"/>
        <v>0</v>
      </c>
      <c r="S817" s="1013">
        <f t="shared" si="177"/>
        <v>7331000</v>
      </c>
      <c r="T817" s="1017">
        <v>0</v>
      </c>
      <c r="U817" s="785">
        <v>126000</v>
      </c>
      <c r="V817" s="785">
        <v>200000</v>
      </c>
      <c r="W817" s="1017">
        <v>500000</v>
      </c>
      <c r="X817" s="1017">
        <v>0</v>
      </c>
      <c r="Y817" s="1017">
        <v>400000</v>
      </c>
      <c r="Z817" s="1017">
        <v>0</v>
      </c>
      <c r="AA817" s="1018"/>
      <c r="AB817" s="1013"/>
      <c r="AC817" s="1017">
        <v>100000</v>
      </c>
      <c r="AD817" s="1017">
        <v>0</v>
      </c>
      <c r="AE817" s="1013">
        <v>52867.7890625</v>
      </c>
      <c r="AF817" s="1019"/>
      <c r="AG817" s="1019">
        <f t="shared" si="168"/>
        <v>8709868</v>
      </c>
      <c r="AH817" s="1014">
        <v>84</v>
      </c>
      <c r="AI817" s="1014">
        <v>8</v>
      </c>
      <c r="AJ817" s="1014">
        <v>0</v>
      </c>
      <c r="AK817" s="1018">
        <v>0</v>
      </c>
      <c r="AL817" s="1020">
        <v>8</v>
      </c>
      <c r="AM817" s="1013">
        <f t="shared" si="167"/>
        <v>5850702</v>
      </c>
      <c r="AN817" s="1045">
        <f t="shared" si="170"/>
        <v>14560570</v>
      </c>
      <c r="AO817" s="1013">
        <v>769755</v>
      </c>
      <c r="AP817" s="1013">
        <v>44100</v>
      </c>
      <c r="AQ817" s="1013">
        <v>14134</v>
      </c>
      <c r="AR817" s="1013">
        <v>0</v>
      </c>
      <c r="AS817" s="1013">
        <v>0</v>
      </c>
      <c r="AT817" s="1045">
        <f t="shared" si="178"/>
        <v>13732581</v>
      </c>
      <c r="AU817" s="1004"/>
      <c r="AV817" s="870"/>
      <c r="AW817" s="782" t="s">
        <v>4871</v>
      </c>
      <c r="AX817" s="782" t="s">
        <v>4872</v>
      </c>
      <c r="AY817" s="1007" t="s">
        <v>221</v>
      </c>
      <c r="AZ817" s="1007">
        <v>622</v>
      </c>
      <c r="BA817" s="347" t="str">
        <f t="shared" si="179"/>
        <v>Bag</v>
      </c>
      <c r="BB817" s="1008"/>
      <c r="BC817" s="1009"/>
      <c r="BD817" s="1009"/>
    </row>
    <row r="818" spans="1:56" s="1010" customFormat="1" ht="36.75" customHeight="1">
      <c r="A818" s="661">
        <f>SUBTOTAL(3,B$6:B818)</f>
        <v>813</v>
      </c>
      <c r="B818" s="661" t="s">
        <v>2456</v>
      </c>
      <c r="C818" s="662" t="s">
        <v>2457</v>
      </c>
      <c r="D818" s="1011">
        <v>44175</v>
      </c>
      <c r="E818" s="1011" t="s">
        <v>221</v>
      </c>
      <c r="F818" s="787" t="s">
        <v>243</v>
      </c>
      <c r="G818" s="996" t="s">
        <v>2126</v>
      </c>
      <c r="H818" s="1012">
        <v>5931000</v>
      </c>
      <c r="I818" s="1012">
        <v>1000000</v>
      </c>
      <c r="J818" s="1012">
        <v>0</v>
      </c>
      <c r="K818" s="1012">
        <v>600000</v>
      </c>
      <c r="L818" s="1013">
        <f t="shared" si="173"/>
        <v>7531000</v>
      </c>
      <c r="M818" s="1014">
        <v>24</v>
      </c>
      <c r="N818" s="1013">
        <f t="shared" si="174"/>
        <v>6951692</v>
      </c>
      <c r="O818" s="1015">
        <v>2</v>
      </c>
      <c r="P818" s="1013">
        <f t="shared" si="175"/>
        <v>579308</v>
      </c>
      <c r="Q818" s="1016">
        <v>0</v>
      </c>
      <c r="R818" s="1013">
        <f t="shared" si="176"/>
        <v>0</v>
      </c>
      <c r="S818" s="1013">
        <f t="shared" si="177"/>
        <v>7531000</v>
      </c>
      <c r="T818" s="1017">
        <v>0</v>
      </c>
      <c r="U818" s="785">
        <v>126000</v>
      </c>
      <c r="V818" s="785">
        <v>200000</v>
      </c>
      <c r="W818" s="1017">
        <v>500000</v>
      </c>
      <c r="X818" s="1017">
        <v>0</v>
      </c>
      <c r="Y818" s="1017">
        <v>0</v>
      </c>
      <c r="Z818" s="1017">
        <v>0</v>
      </c>
      <c r="AA818" s="1018"/>
      <c r="AB818" s="1013"/>
      <c r="AC818" s="1017">
        <v>0</v>
      </c>
      <c r="AD818" s="1017">
        <v>0</v>
      </c>
      <c r="AE818" s="1013">
        <v>0</v>
      </c>
      <c r="AF818" s="1019"/>
      <c r="AG818" s="1019">
        <f t="shared" si="168"/>
        <v>8357000</v>
      </c>
      <c r="AH818" s="1014">
        <v>85</v>
      </c>
      <c r="AI818" s="1014">
        <v>16</v>
      </c>
      <c r="AJ818" s="1014">
        <v>0</v>
      </c>
      <c r="AK818" s="1018">
        <v>0</v>
      </c>
      <c r="AL818" s="1020">
        <v>8</v>
      </c>
      <c r="AM818" s="1013">
        <f t="shared" si="167"/>
        <v>6643935</v>
      </c>
      <c r="AN818" s="1045">
        <f t="shared" si="170"/>
        <v>15000935</v>
      </c>
      <c r="AO818" s="1013">
        <v>790755</v>
      </c>
      <c r="AP818" s="1013">
        <v>44100</v>
      </c>
      <c r="AQ818" s="1013">
        <v>16156</v>
      </c>
      <c r="AR818" s="1013">
        <v>0</v>
      </c>
      <c r="AS818" s="1013">
        <v>0</v>
      </c>
      <c r="AT818" s="1045">
        <f t="shared" si="178"/>
        <v>14149924</v>
      </c>
      <c r="AU818" s="1004"/>
      <c r="AV818" s="870"/>
      <c r="AW818" s="782" t="s">
        <v>4873</v>
      </c>
      <c r="AX818" s="782" t="s">
        <v>4874</v>
      </c>
      <c r="AY818" s="1007" t="s">
        <v>221</v>
      </c>
      <c r="AZ818" s="1007">
        <v>622</v>
      </c>
      <c r="BA818" s="347" t="str">
        <f t="shared" si="179"/>
        <v>Bag</v>
      </c>
      <c r="BB818" s="1008"/>
      <c r="BC818" s="1009"/>
      <c r="BD818" s="1009"/>
    </row>
    <row r="819" spans="1:56" s="1010" customFormat="1" ht="36.75" customHeight="1">
      <c r="A819" s="661">
        <f>SUBTOTAL(3,B$6:B819)</f>
        <v>814</v>
      </c>
      <c r="B819" s="661" t="s">
        <v>2458</v>
      </c>
      <c r="C819" s="662" t="s">
        <v>2459</v>
      </c>
      <c r="D819" s="1011">
        <v>44329</v>
      </c>
      <c r="E819" s="1011" t="s">
        <v>221</v>
      </c>
      <c r="F819" s="787" t="s">
        <v>243</v>
      </c>
      <c r="G819" s="996" t="s">
        <v>2126</v>
      </c>
      <c r="H819" s="1012">
        <v>5620000</v>
      </c>
      <c r="I819" s="1012">
        <v>2500000</v>
      </c>
      <c r="J819" s="1012">
        <v>0</v>
      </c>
      <c r="K819" s="1012">
        <v>1000000</v>
      </c>
      <c r="L819" s="1013">
        <f t="shared" si="173"/>
        <v>9120000</v>
      </c>
      <c r="M819" s="1014">
        <v>24</v>
      </c>
      <c r="N819" s="1013">
        <f t="shared" si="174"/>
        <v>8418462</v>
      </c>
      <c r="O819" s="1015">
        <v>2</v>
      </c>
      <c r="P819" s="1013">
        <f t="shared" si="175"/>
        <v>701538</v>
      </c>
      <c r="Q819" s="1016">
        <v>0</v>
      </c>
      <c r="R819" s="1013">
        <f t="shared" si="176"/>
        <v>0</v>
      </c>
      <c r="S819" s="1013">
        <f t="shared" si="177"/>
        <v>9120000</v>
      </c>
      <c r="T819" s="1017">
        <v>0</v>
      </c>
      <c r="U819" s="785">
        <v>126000</v>
      </c>
      <c r="V819" s="785">
        <v>200000</v>
      </c>
      <c r="W819" s="1017">
        <v>500000</v>
      </c>
      <c r="X819" s="1017">
        <v>0</v>
      </c>
      <c r="Y819" s="1017">
        <v>0</v>
      </c>
      <c r="Z819" s="1017">
        <v>0</v>
      </c>
      <c r="AA819" s="1018"/>
      <c r="AB819" s="1013"/>
      <c r="AC819" s="1017">
        <v>100000</v>
      </c>
      <c r="AD819" s="1017">
        <v>0</v>
      </c>
      <c r="AE819" s="1013">
        <v>65769.234375</v>
      </c>
      <c r="AF819" s="1019"/>
      <c r="AG819" s="1019">
        <f t="shared" si="168"/>
        <v>10111769</v>
      </c>
      <c r="AH819" s="1014">
        <v>62</v>
      </c>
      <c r="AI819" s="1014">
        <v>16</v>
      </c>
      <c r="AJ819" s="1014">
        <v>0</v>
      </c>
      <c r="AK819" s="1018">
        <v>0</v>
      </c>
      <c r="AL819" s="1020">
        <v>8</v>
      </c>
      <c r="AM819" s="1013">
        <f t="shared" si="167"/>
        <v>6533077</v>
      </c>
      <c r="AN819" s="1045">
        <f t="shared" si="170"/>
        <v>16644846</v>
      </c>
      <c r="AO819" s="1013">
        <v>957600</v>
      </c>
      <c r="AP819" s="1013">
        <v>44100</v>
      </c>
      <c r="AQ819" s="1013">
        <v>0</v>
      </c>
      <c r="AR819" s="1013">
        <v>0</v>
      </c>
      <c r="AS819" s="1013">
        <v>0</v>
      </c>
      <c r="AT819" s="1045">
        <f t="shared" si="178"/>
        <v>15643146</v>
      </c>
      <c r="AU819" s="1004"/>
      <c r="AV819" s="870"/>
      <c r="AW819" s="782" t="s">
        <v>4875</v>
      </c>
      <c r="AX819" s="782" t="s">
        <v>4876</v>
      </c>
      <c r="AY819" s="1007" t="s">
        <v>221</v>
      </c>
      <c r="AZ819" s="1007">
        <v>622</v>
      </c>
      <c r="BA819" s="347" t="str">
        <f t="shared" si="179"/>
        <v>Bag</v>
      </c>
      <c r="BB819" s="1008"/>
      <c r="BC819" s="1009"/>
      <c r="BD819" s="1009"/>
    </row>
    <row r="820" spans="1:56" s="1010" customFormat="1" ht="36.75" customHeight="1">
      <c r="A820" s="661">
        <f>SUBTOTAL(3,B$6:B820)</f>
        <v>815</v>
      </c>
      <c r="B820" s="661" t="s">
        <v>2460</v>
      </c>
      <c r="C820" s="662" t="s">
        <v>2461</v>
      </c>
      <c r="D820" s="1011">
        <v>45457</v>
      </c>
      <c r="E820" s="1011" t="s">
        <v>221</v>
      </c>
      <c r="F820" s="787" t="s">
        <v>243</v>
      </c>
      <c r="G820" s="996" t="s">
        <v>2119</v>
      </c>
      <c r="H820" s="1012">
        <v>5274000</v>
      </c>
      <c r="I820" s="1012">
        <v>200000</v>
      </c>
      <c r="J820" s="1012">
        <v>265000</v>
      </c>
      <c r="K820" s="1012">
        <v>0</v>
      </c>
      <c r="L820" s="1013">
        <f t="shared" si="173"/>
        <v>5739000</v>
      </c>
      <c r="M820" s="1014">
        <v>24</v>
      </c>
      <c r="N820" s="1013">
        <f t="shared" si="174"/>
        <v>5297538</v>
      </c>
      <c r="O820" s="1015">
        <v>2</v>
      </c>
      <c r="P820" s="1013">
        <f t="shared" si="175"/>
        <v>441462</v>
      </c>
      <c r="Q820" s="1016">
        <v>0</v>
      </c>
      <c r="R820" s="1013">
        <f t="shared" si="176"/>
        <v>0</v>
      </c>
      <c r="S820" s="1013">
        <f t="shared" si="177"/>
        <v>5739000</v>
      </c>
      <c r="T820" s="1017">
        <v>0</v>
      </c>
      <c r="U820" s="785">
        <v>84000</v>
      </c>
      <c r="V820" s="785">
        <v>200000</v>
      </c>
      <c r="W820" s="1017">
        <v>500000</v>
      </c>
      <c r="X820" s="1017">
        <v>0</v>
      </c>
      <c r="Y820" s="1017">
        <v>400000</v>
      </c>
      <c r="Z820" s="1017">
        <v>0</v>
      </c>
      <c r="AA820" s="1018"/>
      <c r="AB820" s="1013"/>
      <c r="AC820" s="1017">
        <v>0</v>
      </c>
      <c r="AD820" s="1017">
        <v>0</v>
      </c>
      <c r="AE820" s="1013">
        <v>0</v>
      </c>
      <c r="AF820" s="1019"/>
      <c r="AG820" s="1019">
        <f t="shared" si="168"/>
        <v>6923000</v>
      </c>
      <c r="AH820" s="1014">
        <v>67</v>
      </c>
      <c r="AI820" s="1014">
        <v>16</v>
      </c>
      <c r="AJ820" s="1014">
        <v>0</v>
      </c>
      <c r="AK820" s="1018">
        <v>0</v>
      </c>
      <c r="AL820" s="1020">
        <v>8</v>
      </c>
      <c r="AM820" s="1013">
        <f t="shared" si="167"/>
        <v>4318045</v>
      </c>
      <c r="AN820" s="1045">
        <f t="shared" si="170"/>
        <v>11241045</v>
      </c>
      <c r="AO820" s="1013">
        <v>602595</v>
      </c>
      <c r="AP820" s="1013">
        <v>44100</v>
      </c>
      <c r="AQ820" s="1013">
        <v>0</v>
      </c>
      <c r="AR820" s="1013">
        <v>0</v>
      </c>
      <c r="AS820" s="1013">
        <v>0</v>
      </c>
      <c r="AT820" s="1045">
        <f t="shared" si="178"/>
        <v>10594350</v>
      </c>
      <c r="AU820" s="1004"/>
      <c r="AV820" s="870"/>
      <c r="AW820" s="782" t="s">
        <v>4877</v>
      </c>
      <c r="AX820" s="782" t="s">
        <v>4878</v>
      </c>
      <c r="AY820" s="1007" t="s">
        <v>221</v>
      </c>
      <c r="AZ820" s="1007">
        <v>622</v>
      </c>
      <c r="BA820" s="347" t="str">
        <f t="shared" si="179"/>
        <v>Bag</v>
      </c>
      <c r="BB820" s="1008"/>
      <c r="BC820" s="1009"/>
      <c r="BD820" s="1009"/>
    </row>
    <row r="821" spans="1:56" s="1010" customFormat="1" ht="36.75" customHeight="1">
      <c r="A821" s="661">
        <f>SUBTOTAL(3,B$6:B821)</f>
        <v>816</v>
      </c>
      <c r="B821" s="661" t="s">
        <v>2462</v>
      </c>
      <c r="C821" s="662" t="s">
        <v>2463</v>
      </c>
      <c r="D821" s="1011">
        <v>45692</v>
      </c>
      <c r="E821" s="1011" t="s">
        <v>221</v>
      </c>
      <c r="F821" s="787" t="s">
        <v>243</v>
      </c>
      <c r="G821" s="996" t="s">
        <v>2126</v>
      </c>
      <c r="H821" s="1012">
        <v>5023000</v>
      </c>
      <c r="I821" s="1012">
        <v>1000000</v>
      </c>
      <c r="J821" s="1012">
        <v>0</v>
      </c>
      <c r="K821" s="1012">
        <v>500000</v>
      </c>
      <c r="L821" s="1013">
        <f t="shared" si="173"/>
        <v>6523000</v>
      </c>
      <c r="M821" s="1014">
        <v>24</v>
      </c>
      <c r="N821" s="1013">
        <f t="shared" si="174"/>
        <v>6021231</v>
      </c>
      <c r="O821" s="1015">
        <v>2</v>
      </c>
      <c r="P821" s="1013">
        <f t="shared" si="175"/>
        <v>501769</v>
      </c>
      <c r="Q821" s="1016">
        <v>0</v>
      </c>
      <c r="R821" s="1013">
        <f t="shared" si="176"/>
        <v>0</v>
      </c>
      <c r="S821" s="1013">
        <f t="shared" si="177"/>
        <v>6523000</v>
      </c>
      <c r="T821" s="1017">
        <v>0</v>
      </c>
      <c r="U821" s="785">
        <v>126000</v>
      </c>
      <c r="V821" s="785">
        <v>200000</v>
      </c>
      <c r="W821" s="1017">
        <v>500000</v>
      </c>
      <c r="X821" s="1017">
        <v>0</v>
      </c>
      <c r="Y821" s="1017">
        <v>0</v>
      </c>
      <c r="Z821" s="1017">
        <v>0</v>
      </c>
      <c r="AA821" s="1018"/>
      <c r="AB821" s="1013"/>
      <c r="AC821" s="1017">
        <v>0</v>
      </c>
      <c r="AD821" s="1017">
        <v>0</v>
      </c>
      <c r="AE821" s="1013">
        <v>0</v>
      </c>
      <c r="AF821" s="1019"/>
      <c r="AG821" s="1019">
        <f t="shared" si="168"/>
        <v>7349000</v>
      </c>
      <c r="AH821" s="1014">
        <v>84.5</v>
      </c>
      <c r="AI821" s="1014">
        <v>16</v>
      </c>
      <c r="AJ821" s="1014">
        <v>0</v>
      </c>
      <c r="AK821" s="1018">
        <v>0</v>
      </c>
      <c r="AL821" s="1020">
        <v>8</v>
      </c>
      <c r="AM821" s="1013">
        <f t="shared" si="167"/>
        <v>5731146</v>
      </c>
      <c r="AN821" s="1045">
        <f t="shared" si="170"/>
        <v>13080146</v>
      </c>
      <c r="AO821" s="1013">
        <v>684915</v>
      </c>
      <c r="AP821" s="1013">
        <v>44100</v>
      </c>
      <c r="AQ821" s="1013">
        <v>0</v>
      </c>
      <c r="AR821" s="1013">
        <v>0</v>
      </c>
      <c r="AS821" s="1013">
        <v>0</v>
      </c>
      <c r="AT821" s="1045">
        <f t="shared" si="178"/>
        <v>12351131</v>
      </c>
      <c r="AU821" s="1004"/>
      <c r="AV821" s="870"/>
      <c r="AW821" s="782" t="s">
        <v>4879</v>
      </c>
      <c r="AX821" s="782" t="s">
        <v>4880</v>
      </c>
      <c r="AY821" s="1007" t="s">
        <v>221</v>
      </c>
      <c r="AZ821" s="1007">
        <v>622</v>
      </c>
      <c r="BA821" s="347" t="str">
        <f t="shared" si="179"/>
        <v>Bag</v>
      </c>
      <c r="BB821" s="1008"/>
      <c r="BC821" s="1009"/>
      <c r="BD821" s="1009"/>
    </row>
    <row r="822" spans="1:56" s="1010" customFormat="1" ht="36.75" customHeight="1">
      <c r="A822" s="661">
        <f>SUBTOTAL(3,B$6:B822)</f>
        <v>817</v>
      </c>
      <c r="B822" s="661" t="s">
        <v>2464</v>
      </c>
      <c r="C822" s="662" t="s">
        <v>1556</v>
      </c>
      <c r="D822" s="1011">
        <v>40945</v>
      </c>
      <c r="E822" s="1011" t="s">
        <v>221</v>
      </c>
      <c r="F822" s="787" t="s">
        <v>243</v>
      </c>
      <c r="G822" s="996" t="s">
        <v>2126</v>
      </c>
      <c r="H822" s="1012">
        <v>5931000</v>
      </c>
      <c r="I822" s="1012">
        <v>3000000</v>
      </c>
      <c r="J822" s="1012">
        <v>0</v>
      </c>
      <c r="K822" s="1012">
        <v>0</v>
      </c>
      <c r="L822" s="1013">
        <f t="shared" si="173"/>
        <v>8931000</v>
      </c>
      <c r="M822" s="1014">
        <v>22.7</v>
      </c>
      <c r="N822" s="1013">
        <f t="shared" si="174"/>
        <v>7797450</v>
      </c>
      <c r="O822" s="1015">
        <v>3</v>
      </c>
      <c r="P822" s="1013">
        <f t="shared" si="175"/>
        <v>1030500</v>
      </c>
      <c r="Q822" s="1016">
        <v>0</v>
      </c>
      <c r="R822" s="1013">
        <f t="shared" si="176"/>
        <v>0</v>
      </c>
      <c r="S822" s="1013">
        <f t="shared" si="177"/>
        <v>8827950</v>
      </c>
      <c r="T822" s="1017">
        <v>0</v>
      </c>
      <c r="U822" s="785">
        <v>21000</v>
      </c>
      <c r="V822" s="785">
        <v>200000</v>
      </c>
      <c r="W822" s="1017">
        <v>500000</v>
      </c>
      <c r="X822" s="1017">
        <v>0</v>
      </c>
      <c r="Y822" s="1017">
        <v>400000</v>
      </c>
      <c r="Z822" s="1017">
        <v>0</v>
      </c>
      <c r="AA822" s="1018"/>
      <c r="AB822" s="1013"/>
      <c r="AC822" s="1017">
        <v>0</v>
      </c>
      <c r="AD822" s="1017">
        <v>0</v>
      </c>
      <c r="AE822" s="1013">
        <v>0</v>
      </c>
      <c r="AF822" s="1019"/>
      <c r="AG822" s="1019">
        <f t="shared" si="168"/>
        <v>9948950</v>
      </c>
      <c r="AH822" s="1014">
        <v>0</v>
      </c>
      <c r="AI822" s="1014">
        <v>8</v>
      </c>
      <c r="AJ822" s="1014">
        <v>0</v>
      </c>
      <c r="AK822" s="1018">
        <v>0</v>
      </c>
      <c r="AL822" s="1020">
        <v>8</v>
      </c>
      <c r="AM822" s="1013">
        <f t="shared" si="167"/>
        <v>1717500</v>
      </c>
      <c r="AN822" s="1045">
        <f t="shared" si="170"/>
        <v>11666450</v>
      </c>
      <c r="AO822" s="1013">
        <v>937755</v>
      </c>
      <c r="AP822" s="1013">
        <v>44100</v>
      </c>
      <c r="AQ822" s="1013">
        <v>0</v>
      </c>
      <c r="AR822" s="1013">
        <v>0</v>
      </c>
      <c r="AS822" s="1013">
        <v>0</v>
      </c>
      <c r="AT822" s="1045">
        <f t="shared" si="178"/>
        <v>10684595</v>
      </c>
      <c r="AU822" s="1004"/>
      <c r="AV822" s="870"/>
      <c r="AW822" s="782" t="s">
        <v>4049</v>
      </c>
      <c r="AX822" s="782" t="s">
        <v>4881</v>
      </c>
      <c r="AY822" s="1007" t="s">
        <v>221</v>
      </c>
      <c r="AZ822" s="1007">
        <v>622</v>
      </c>
      <c r="BA822" s="347" t="str">
        <f t="shared" si="179"/>
        <v>Bag</v>
      </c>
      <c r="BB822" s="1008"/>
      <c r="BC822" s="1009"/>
      <c r="BD822" s="1009"/>
    </row>
    <row r="823" spans="1:56" s="1010" customFormat="1" ht="36.75" customHeight="1">
      <c r="A823" s="661">
        <f>SUBTOTAL(3,B$6:B823)</f>
        <v>818</v>
      </c>
      <c r="B823" s="661" t="s">
        <v>2465</v>
      </c>
      <c r="C823" s="662" t="s">
        <v>942</v>
      </c>
      <c r="D823" s="1011">
        <v>40994</v>
      </c>
      <c r="E823" s="1011" t="s">
        <v>221</v>
      </c>
      <c r="F823" s="787" t="s">
        <v>243</v>
      </c>
      <c r="G823" s="996" t="s">
        <v>2119</v>
      </c>
      <c r="H823" s="1012">
        <v>5931000</v>
      </c>
      <c r="I823" s="1012">
        <v>1400000</v>
      </c>
      <c r="J823" s="1012">
        <v>0</v>
      </c>
      <c r="K823" s="1012">
        <v>0</v>
      </c>
      <c r="L823" s="1013">
        <f t="shared" si="173"/>
        <v>7331000</v>
      </c>
      <c r="M823" s="1014">
        <v>24</v>
      </c>
      <c r="N823" s="1013">
        <f t="shared" si="174"/>
        <v>6767077</v>
      </c>
      <c r="O823" s="1015">
        <v>2</v>
      </c>
      <c r="P823" s="1013">
        <f t="shared" si="175"/>
        <v>563923</v>
      </c>
      <c r="Q823" s="1016">
        <v>0</v>
      </c>
      <c r="R823" s="1013">
        <f t="shared" si="176"/>
        <v>0</v>
      </c>
      <c r="S823" s="1013">
        <f t="shared" si="177"/>
        <v>7331000</v>
      </c>
      <c r="T823" s="1017">
        <v>0</v>
      </c>
      <c r="U823" s="785">
        <v>147000</v>
      </c>
      <c r="V823" s="785">
        <v>200000</v>
      </c>
      <c r="W823" s="1017">
        <v>500000</v>
      </c>
      <c r="X823" s="1017">
        <v>0</v>
      </c>
      <c r="Y823" s="1017">
        <v>400000</v>
      </c>
      <c r="Z823" s="1017">
        <v>0</v>
      </c>
      <c r="AA823" s="1018"/>
      <c r="AB823" s="1013"/>
      <c r="AC823" s="1017">
        <v>0</v>
      </c>
      <c r="AD823" s="1017">
        <v>0</v>
      </c>
      <c r="AE823" s="1013">
        <v>52867.7890625</v>
      </c>
      <c r="AF823" s="1019"/>
      <c r="AG823" s="1019">
        <f t="shared" si="168"/>
        <v>8630868</v>
      </c>
      <c r="AH823" s="1014">
        <v>88</v>
      </c>
      <c r="AI823" s="1014">
        <v>16</v>
      </c>
      <c r="AJ823" s="1014">
        <v>0</v>
      </c>
      <c r="AK823" s="1018">
        <v>0</v>
      </c>
      <c r="AL823" s="1020">
        <v>8</v>
      </c>
      <c r="AM823" s="1013">
        <f t="shared" si="167"/>
        <v>6626096</v>
      </c>
      <c r="AN823" s="1045">
        <f t="shared" si="170"/>
        <v>15256964</v>
      </c>
      <c r="AO823" s="1013">
        <v>769755</v>
      </c>
      <c r="AP823" s="1013">
        <v>44100</v>
      </c>
      <c r="AQ823" s="1013">
        <v>31331</v>
      </c>
      <c r="AR823" s="1013">
        <v>0</v>
      </c>
      <c r="AS823" s="1013">
        <v>0</v>
      </c>
      <c r="AT823" s="1045">
        <f t="shared" si="178"/>
        <v>14411778</v>
      </c>
      <c r="AU823" s="1004"/>
      <c r="AV823" s="870"/>
      <c r="AW823" s="782" t="s">
        <v>3472</v>
      </c>
      <c r="AX823" s="782" t="s">
        <v>4882</v>
      </c>
      <c r="AY823" s="1007" t="s">
        <v>221</v>
      </c>
      <c r="AZ823" s="1007">
        <v>622</v>
      </c>
      <c r="BA823" s="347" t="str">
        <f t="shared" si="179"/>
        <v>Bag</v>
      </c>
      <c r="BB823" s="1008"/>
      <c r="BC823" s="1009"/>
      <c r="BD823" s="1009"/>
    </row>
    <row r="824" spans="1:56" s="1010" customFormat="1" ht="36.75" customHeight="1">
      <c r="A824" s="661">
        <f>SUBTOTAL(3,B$6:B824)</f>
        <v>819</v>
      </c>
      <c r="B824" s="661" t="s">
        <v>2466</v>
      </c>
      <c r="C824" s="662" t="s">
        <v>2467</v>
      </c>
      <c r="D824" s="1011">
        <v>41617</v>
      </c>
      <c r="E824" s="1011" t="s">
        <v>221</v>
      </c>
      <c r="F824" s="787" t="s">
        <v>243</v>
      </c>
      <c r="G824" s="996" t="s">
        <v>2126</v>
      </c>
      <c r="H824" s="1012">
        <v>5931000</v>
      </c>
      <c r="I824" s="1012">
        <v>3000000</v>
      </c>
      <c r="J824" s="1012">
        <v>0</v>
      </c>
      <c r="K824" s="1012">
        <v>400000</v>
      </c>
      <c r="L824" s="1013">
        <f t="shared" si="173"/>
        <v>9331000</v>
      </c>
      <c r="M824" s="1014">
        <v>24</v>
      </c>
      <c r="N824" s="1013">
        <f t="shared" si="174"/>
        <v>8613231</v>
      </c>
      <c r="O824" s="1015">
        <v>2</v>
      </c>
      <c r="P824" s="1013">
        <f t="shared" si="175"/>
        <v>717769</v>
      </c>
      <c r="Q824" s="1016">
        <v>0</v>
      </c>
      <c r="R824" s="1013">
        <f t="shared" si="176"/>
        <v>0</v>
      </c>
      <c r="S824" s="1013">
        <f t="shared" si="177"/>
        <v>9331000</v>
      </c>
      <c r="T824" s="1017">
        <v>0</v>
      </c>
      <c r="U824" s="785">
        <v>147000</v>
      </c>
      <c r="V824" s="785">
        <v>200000</v>
      </c>
      <c r="W824" s="1017">
        <v>500000</v>
      </c>
      <c r="X824" s="1017">
        <v>0</v>
      </c>
      <c r="Y824" s="1017">
        <v>0</v>
      </c>
      <c r="Z824" s="1017">
        <v>0</v>
      </c>
      <c r="AA824" s="1018"/>
      <c r="AB824" s="1013"/>
      <c r="AC824" s="1017">
        <v>0</v>
      </c>
      <c r="AD824" s="1017">
        <v>0</v>
      </c>
      <c r="AE824" s="1013">
        <v>67290.8671875</v>
      </c>
      <c r="AF824" s="1019"/>
      <c r="AG824" s="1019">
        <f t="shared" si="168"/>
        <v>10245291</v>
      </c>
      <c r="AH824" s="1014">
        <v>88</v>
      </c>
      <c r="AI824" s="1014">
        <v>16</v>
      </c>
      <c r="AJ824" s="1014">
        <v>0</v>
      </c>
      <c r="AK824" s="1018">
        <v>0</v>
      </c>
      <c r="AL824" s="1020">
        <v>8</v>
      </c>
      <c r="AM824" s="1013">
        <f t="shared" si="167"/>
        <v>8433789</v>
      </c>
      <c r="AN824" s="1045">
        <f t="shared" si="170"/>
        <v>18679080</v>
      </c>
      <c r="AO824" s="1013">
        <v>979755</v>
      </c>
      <c r="AP824" s="1013">
        <v>44100</v>
      </c>
      <c r="AQ824" s="1013">
        <v>0</v>
      </c>
      <c r="AR824" s="1013">
        <v>0</v>
      </c>
      <c r="AS824" s="1013">
        <v>0</v>
      </c>
      <c r="AT824" s="1045">
        <f t="shared" si="178"/>
        <v>17655225</v>
      </c>
      <c r="AU824" s="1004"/>
      <c r="AV824" s="870"/>
      <c r="AW824" s="782" t="s">
        <v>4883</v>
      </c>
      <c r="AX824" s="782" t="s">
        <v>4884</v>
      </c>
      <c r="AY824" s="1007" t="s">
        <v>221</v>
      </c>
      <c r="AZ824" s="1007">
        <v>622</v>
      </c>
      <c r="BA824" s="347" t="str">
        <f t="shared" si="179"/>
        <v>Bag</v>
      </c>
      <c r="BB824" s="1008"/>
      <c r="BC824" s="1009"/>
      <c r="BD824" s="1009"/>
    </row>
    <row r="825" spans="1:56" s="1010" customFormat="1" ht="36.75" customHeight="1">
      <c r="A825" s="661">
        <f>SUBTOTAL(3,B$6:B825)</f>
        <v>820</v>
      </c>
      <c r="B825" s="661" t="s">
        <v>2468</v>
      </c>
      <c r="C825" s="662" t="s">
        <v>2469</v>
      </c>
      <c r="D825" s="1011">
        <v>41618</v>
      </c>
      <c r="E825" s="1011" t="s">
        <v>221</v>
      </c>
      <c r="F825" s="787" t="s">
        <v>243</v>
      </c>
      <c r="G825" s="996" t="s">
        <v>2119</v>
      </c>
      <c r="H825" s="1012">
        <v>5931000</v>
      </c>
      <c r="I825" s="1012">
        <v>1400000</v>
      </c>
      <c r="J825" s="1012">
        <v>0</v>
      </c>
      <c r="K825" s="1012">
        <v>0</v>
      </c>
      <c r="L825" s="1013">
        <f t="shared" si="173"/>
        <v>7331000</v>
      </c>
      <c r="M825" s="1014">
        <v>23.9</v>
      </c>
      <c r="N825" s="1013">
        <f t="shared" si="174"/>
        <v>6738881</v>
      </c>
      <c r="O825" s="1015">
        <v>2</v>
      </c>
      <c r="P825" s="1013">
        <f t="shared" si="175"/>
        <v>563923</v>
      </c>
      <c r="Q825" s="1016">
        <v>0</v>
      </c>
      <c r="R825" s="1013">
        <f t="shared" si="176"/>
        <v>0</v>
      </c>
      <c r="S825" s="1013">
        <f t="shared" si="177"/>
        <v>7302804</v>
      </c>
      <c r="T825" s="1017">
        <v>0</v>
      </c>
      <c r="U825" s="785">
        <v>105000</v>
      </c>
      <c r="V825" s="785">
        <v>200000</v>
      </c>
      <c r="W825" s="1017">
        <v>500000</v>
      </c>
      <c r="X825" s="1017">
        <v>0</v>
      </c>
      <c r="Y825" s="1017">
        <v>400000</v>
      </c>
      <c r="Z825" s="1017">
        <v>0</v>
      </c>
      <c r="AA825" s="1018"/>
      <c r="AB825" s="1013"/>
      <c r="AC825" s="1017">
        <v>0</v>
      </c>
      <c r="AD825" s="1017">
        <v>0</v>
      </c>
      <c r="AE825" s="1013">
        <v>52867.790271966529</v>
      </c>
      <c r="AF825" s="1019"/>
      <c r="AG825" s="1019">
        <f t="shared" si="168"/>
        <v>8560672</v>
      </c>
      <c r="AH825" s="1014">
        <v>80</v>
      </c>
      <c r="AI825" s="1014">
        <v>16</v>
      </c>
      <c r="AJ825" s="1014">
        <v>0</v>
      </c>
      <c r="AK825" s="1018">
        <v>0</v>
      </c>
      <c r="AL825" s="1020">
        <v>8</v>
      </c>
      <c r="AM825" s="1013">
        <f t="shared" si="167"/>
        <v>6203154</v>
      </c>
      <c r="AN825" s="1045">
        <f t="shared" si="170"/>
        <v>14763826</v>
      </c>
      <c r="AO825" s="1013">
        <v>769755</v>
      </c>
      <c r="AP825" s="1013">
        <v>44100</v>
      </c>
      <c r="AQ825" s="1013">
        <v>13723</v>
      </c>
      <c r="AR825" s="1013">
        <v>0</v>
      </c>
      <c r="AS825" s="1013">
        <v>0</v>
      </c>
      <c r="AT825" s="1045">
        <f t="shared" si="178"/>
        <v>13936248</v>
      </c>
      <c r="AU825" s="1004"/>
      <c r="AV825" s="870"/>
      <c r="AW825" s="782" t="s">
        <v>4885</v>
      </c>
      <c r="AX825" s="782" t="s">
        <v>4886</v>
      </c>
      <c r="AY825" s="1007" t="s">
        <v>221</v>
      </c>
      <c r="AZ825" s="1007">
        <v>622</v>
      </c>
      <c r="BA825" s="347" t="str">
        <f t="shared" si="179"/>
        <v>Bag</v>
      </c>
      <c r="BB825" s="1008"/>
      <c r="BC825" s="1009"/>
      <c r="BD825" s="1009"/>
    </row>
    <row r="826" spans="1:56" s="1010" customFormat="1" ht="36.75" customHeight="1">
      <c r="A826" s="661">
        <f>SUBTOTAL(3,B$6:B826)</f>
        <v>821</v>
      </c>
      <c r="B826" s="661" t="s">
        <v>62</v>
      </c>
      <c r="C826" s="662" t="s">
        <v>166</v>
      </c>
      <c r="D826" s="1011">
        <v>42543</v>
      </c>
      <c r="E826" s="1011" t="s">
        <v>221</v>
      </c>
      <c r="F826" s="787" t="s">
        <v>243</v>
      </c>
      <c r="G826" s="996" t="s">
        <v>2470</v>
      </c>
      <c r="H826" s="1012">
        <v>14500000</v>
      </c>
      <c r="I826" s="1012">
        <v>9800000</v>
      </c>
      <c r="J826" s="1012">
        <v>0</v>
      </c>
      <c r="K826" s="1012">
        <v>0</v>
      </c>
      <c r="L826" s="1013">
        <f t="shared" si="173"/>
        <v>24300000</v>
      </c>
      <c r="M826" s="1014">
        <v>23.9</v>
      </c>
      <c r="N826" s="1013">
        <f t="shared" si="174"/>
        <v>22337308</v>
      </c>
      <c r="O826" s="1015">
        <v>2</v>
      </c>
      <c r="P826" s="1013">
        <f t="shared" si="175"/>
        <v>1869231</v>
      </c>
      <c r="Q826" s="1016">
        <v>0</v>
      </c>
      <c r="R826" s="1013">
        <f t="shared" si="176"/>
        <v>0</v>
      </c>
      <c r="S826" s="1013">
        <f t="shared" si="177"/>
        <v>24206539</v>
      </c>
      <c r="T826" s="1017">
        <v>498077</v>
      </c>
      <c r="U826" s="785">
        <v>21000</v>
      </c>
      <c r="V826" s="785">
        <v>0</v>
      </c>
      <c r="W826" s="1017">
        <v>0</v>
      </c>
      <c r="X826" s="1017">
        <v>0</v>
      </c>
      <c r="Y826" s="1017">
        <v>0</v>
      </c>
      <c r="Z826" s="1017">
        <v>0</v>
      </c>
      <c r="AA826" s="1018"/>
      <c r="AB826" s="1013"/>
      <c r="AC826" s="1017">
        <v>0</v>
      </c>
      <c r="AD826" s="1017">
        <v>0</v>
      </c>
      <c r="AE826" s="1013">
        <v>0</v>
      </c>
      <c r="AF826" s="1019"/>
      <c r="AG826" s="1019">
        <f t="shared" si="168"/>
        <v>24725616</v>
      </c>
      <c r="AH826" s="1014">
        <v>0</v>
      </c>
      <c r="AI826" s="1014">
        <v>16</v>
      </c>
      <c r="AJ826" s="1014">
        <v>0</v>
      </c>
      <c r="AK826" s="1018">
        <v>0</v>
      </c>
      <c r="AL826" s="1020">
        <v>8</v>
      </c>
      <c r="AM826" s="1013">
        <f t="shared" si="167"/>
        <v>6542308</v>
      </c>
      <c r="AN826" s="1045">
        <f t="shared" si="170"/>
        <v>31267924</v>
      </c>
      <c r="AO826" s="1013">
        <v>2551500</v>
      </c>
      <c r="AP826" s="1013">
        <v>44100</v>
      </c>
      <c r="AQ826" s="1013">
        <v>192263</v>
      </c>
      <c r="AR826" s="1013">
        <v>0</v>
      </c>
      <c r="AS826" s="1013">
        <v>0</v>
      </c>
      <c r="AT826" s="1045">
        <f t="shared" si="178"/>
        <v>28480061</v>
      </c>
      <c r="AU826" s="1004"/>
      <c r="AV826" s="870"/>
      <c r="AW826" s="782" t="s">
        <v>3372</v>
      </c>
      <c r="AX826" s="782" t="s">
        <v>4887</v>
      </c>
      <c r="AY826" s="1007" t="s">
        <v>221</v>
      </c>
      <c r="AZ826" s="1007">
        <v>622</v>
      </c>
      <c r="BA826" s="347" t="s">
        <v>78</v>
      </c>
      <c r="BB826" s="1008"/>
      <c r="BC826" s="1009"/>
      <c r="BD826" s="1009"/>
    </row>
    <row r="827" spans="1:56" s="1010" customFormat="1" ht="36.75" customHeight="1">
      <c r="A827" s="661">
        <f>SUBTOTAL(3,B$6:B827)</f>
        <v>822</v>
      </c>
      <c r="B827" s="661" t="s">
        <v>2471</v>
      </c>
      <c r="C827" s="662" t="s">
        <v>2472</v>
      </c>
      <c r="D827" s="1011">
        <v>42632</v>
      </c>
      <c r="E827" s="1011" t="s">
        <v>221</v>
      </c>
      <c r="F827" s="787" t="s">
        <v>243</v>
      </c>
      <c r="G827" s="996" t="s">
        <v>2119</v>
      </c>
      <c r="H827" s="1012">
        <v>5931000</v>
      </c>
      <c r="I827" s="1012">
        <v>500000</v>
      </c>
      <c r="J827" s="1012">
        <v>0</v>
      </c>
      <c r="K827" s="1012">
        <v>0</v>
      </c>
      <c r="L827" s="1013">
        <f t="shared" si="173"/>
        <v>6431000</v>
      </c>
      <c r="M827" s="1014">
        <v>23</v>
      </c>
      <c r="N827" s="1013">
        <f t="shared" si="174"/>
        <v>5688962</v>
      </c>
      <c r="O827" s="1015">
        <v>3</v>
      </c>
      <c r="P827" s="1013">
        <f t="shared" si="175"/>
        <v>742038</v>
      </c>
      <c r="Q827" s="1016">
        <v>0</v>
      </c>
      <c r="R827" s="1013">
        <f t="shared" si="176"/>
        <v>0</v>
      </c>
      <c r="S827" s="1013">
        <f t="shared" si="177"/>
        <v>6431000</v>
      </c>
      <c r="T827" s="1017">
        <v>0</v>
      </c>
      <c r="U827" s="785">
        <v>105000</v>
      </c>
      <c r="V827" s="785">
        <v>200000</v>
      </c>
      <c r="W827" s="1017">
        <v>500000</v>
      </c>
      <c r="X827" s="1017">
        <v>0</v>
      </c>
      <c r="Y827" s="1017">
        <v>400000</v>
      </c>
      <c r="Z827" s="1017">
        <v>0</v>
      </c>
      <c r="AA827" s="1018"/>
      <c r="AB827" s="1013"/>
      <c r="AC827" s="1017">
        <v>0</v>
      </c>
      <c r="AD827" s="1017">
        <v>0</v>
      </c>
      <c r="AE827" s="1013">
        <v>46377.407608695656</v>
      </c>
      <c r="AF827" s="1019"/>
      <c r="AG827" s="1019">
        <f t="shared" si="168"/>
        <v>7682377</v>
      </c>
      <c r="AH827" s="1014">
        <v>78</v>
      </c>
      <c r="AI827" s="1014">
        <v>16</v>
      </c>
      <c r="AJ827" s="1014">
        <v>0</v>
      </c>
      <c r="AK827" s="1018">
        <v>0</v>
      </c>
      <c r="AL827" s="1020">
        <v>0</v>
      </c>
      <c r="AM827" s="1013">
        <f t="shared" si="167"/>
        <v>4606822</v>
      </c>
      <c r="AN827" s="1045">
        <f t="shared" si="170"/>
        <v>12289199</v>
      </c>
      <c r="AO827" s="1013">
        <v>675255</v>
      </c>
      <c r="AP827" s="1013">
        <v>44100</v>
      </c>
      <c r="AQ827" s="1013">
        <v>0</v>
      </c>
      <c r="AR827" s="1013">
        <v>0</v>
      </c>
      <c r="AS827" s="1013">
        <v>0</v>
      </c>
      <c r="AT827" s="1045">
        <f t="shared" si="178"/>
        <v>11569844</v>
      </c>
      <c r="AU827" s="1004"/>
      <c r="AV827" s="870"/>
      <c r="AW827" s="782" t="s">
        <v>4888</v>
      </c>
      <c r="AX827" s="782" t="s">
        <v>4889</v>
      </c>
      <c r="AY827" s="1007" t="s">
        <v>221</v>
      </c>
      <c r="AZ827" s="1007">
        <v>622</v>
      </c>
      <c r="BA827" s="347" t="str">
        <f t="shared" ref="BA827:BA831" si="180">+IF(AY827="SK1 Box","Box",IF(AY827="Seaman","Seaman","Bag"))</f>
        <v>Bag</v>
      </c>
      <c r="BB827" s="1008"/>
      <c r="BC827" s="1009"/>
      <c r="BD827" s="1009"/>
    </row>
    <row r="828" spans="1:56" s="1010" customFormat="1" ht="36.75" customHeight="1">
      <c r="A828" s="661">
        <f>SUBTOTAL(3,B$6:B828)</f>
        <v>823</v>
      </c>
      <c r="B828" s="661" t="s">
        <v>2473</v>
      </c>
      <c r="C828" s="662" t="s">
        <v>2474</v>
      </c>
      <c r="D828" s="1011">
        <v>43431</v>
      </c>
      <c r="E828" s="1011" t="s">
        <v>221</v>
      </c>
      <c r="F828" s="787" t="s">
        <v>243</v>
      </c>
      <c r="G828" s="996" t="s">
        <v>2119</v>
      </c>
      <c r="H828" s="1012">
        <v>5931000</v>
      </c>
      <c r="I828" s="1012">
        <v>1400000</v>
      </c>
      <c r="J828" s="1012">
        <v>0</v>
      </c>
      <c r="K828" s="1012">
        <v>0</v>
      </c>
      <c r="L828" s="1013">
        <f t="shared" si="173"/>
        <v>7331000</v>
      </c>
      <c r="M828" s="1014">
        <v>24</v>
      </c>
      <c r="N828" s="1013">
        <f t="shared" si="174"/>
        <v>6767077</v>
      </c>
      <c r="O828" s="1015">
        <v>2</v>
      </c>
      <c r="P828" s="1013">
        <f t="shared" si="175"/>
        <v>563923</v>
      </c>
      <c r="Q828" s="1016">
        <v>0</v>
      </c>
      <c r="R828" s="1013">
        <f t="shared" si="176"/>
        <v>0</v>
      </c>
      <c r="S828" s="1013">
        <f t="shared" si="177"/>
        <v>7331000</v>
      </c>
      <c r="T828" s="1017">
        <v>0</v>
      </c>
      <c r="U828" s="785">
        <v>147000</v>
      </c>
      <c r="V828" s="785">
        <v>200000</v>
      </c>
      <c r="W828" s="1017">
        <v>500000</v>
      </c>
      <c r="X828" s="1017">
        <v>0</v>
      </c>
      <c r="Y828" s="1017">
        <v>0</v>
      </c>
      <c r="Z828" s="1017">
        <v>0</v>
      </c>
      <c r="AA828" s="1018"/>
      <c r="AB828" s="1013"/>
      <c r="AC828" s="1017">
        <v>0</v>
      </c>
      <c r="AD828" s="1017">
        <v>0</v>
      </c>
      <c r="AE828" s="1013">
        <v>52867.7890625</v>
      </c>
      <c r="AF828" s="1019"/>
      <c r="AG828" s="1019">
        <f t="shared" si="168"/>
        <v>8230868</v>
      </c>
      <c r="AH828" s="1014">
        <v>87</v>
      </c>
      <c r="AI828" s="1014">
        <v>16</v>
      </c>
      <c r="AJ828" s="1014">
        <v>0</v>
      </c>
      <c r="AK828" s="1018">
        <v>0</v>
      </c>
      <c r="AL828" s="1020">
        <v>8</v>
      </c>
      <c r="AM828" s="1013">
        <f t="shared" si="167"/>
        <v>6573228</v>
      </c>
      <c r="AN828" s="1045">
        <f t="shared" si="170"/>
        <v>14804096</v>
      </c>
      <c r="AO828" s="1013">
        <v>769755</v>
      </c>
      <c r="AP828" s="1013">
        <v>44100</v>
      </c>
      <c r="AQ828" s="1013">
        <v>9568</v>
      </c>
      <c r="AR828" s="1013">
        <v>0</v>
      </c>
      <c r="AS828" s="1013">
        <v>0</v>
      </c>
      <c r="AT828" s="1045">
        <f t="shared" si="178"/>
        <v>13980673</v>
      </c>
      <c r="AU828" s="1004"/>
      <c r="AV828" s="870"/>
      <c r="AW828" s="782" t="s">
        <v>4890</v>
      </c>
      <c r="AX828" s="782" t="s">
        <v>4891</v>
      </c>
      <c r="AY828" s="1007" t="s">
        <v>221</v>
      </c>
      <c r="AZ828" s="1007">
        <v>622</v>
      </c>
      <c r="BA828" s="347" t="str">
        <f t="shared" si="180"/>
        <v>Bag</v>
      </c>
      <c r="BB828" s="1008"/>
      <c r="BC828" s="1009"/>
      <c r="BD828" s="1009"/>
    </row>
    <row r="829" spans="1:56" s="1010" customFormat="1" ht="36.75" customHeight="1">
      <c r="A829" s="661">
        <f>SUBTOTAL(3,B$6:B829)</f>
        <v>824</v>
      </c>
      <c r="B829" s="661" t="s">
        <v>2475</v>
      </c>
      <c r="C829" s="662" t="s">
        <v>2427</v>
      </c>
      <c r="D829" s="1011">
        <v>43869</v>
      </c>
      <c r="E829" s="1011" t="s">
        <v>221</v>
      </c>
      <c r="F829" s="787" t="s">
        <v>244</v>
      </c>
      <c r="G829" s="996" t="s">
        <v>2189</v>
      </c>
      <c r="H829" s="1012">
        <v>6643000</v>
      </c>
      <c r="I829" s="1012">
        <v>2500000</v>
      </c>
      <c r="J829" s="1012">
        <v>0</v>
      </c>
      <c r="K829" s="1012">
        <v>0</v>
      </c>
      <c r="L829" s="1013">
        <f t="shared" si="173"/>
        <v>9143000</v>
      </c>
      <c r="M829" s="1014">
        <v>23.9</v>
      </c>
      <c r="N829" s="1013">
        <f t="shared" si="174"/>
        <v>8404527</v>
      </c>
      <c r="O829" s="1015">
        <v>2</v>
      </c>
      <c r="P829" s="1013">
        <f t="shared" si="175"/>
        <v>703308</v>
      </c>
      <c r="Q829" s="1016">
        <v>0</v>
      </c>
      <c r="R829" s="1013">
        <f t="shared" si="176"/>
        <v>0</v>
      </c>
      <c r="S829" s="1013">
        <f t="shared" si="177"/>
        <v>9107835</v>
      </c>
      <c r="T829" s="1017">
        <v>0</v>
      </c>
      <c r="U829" s="785">
        <v>0</v>
      </c>
      <c r="V829" s="785">
        <v>200000</v>
      </c>
      <c r="W829" s="1017">
        <v>500000</v>
      </c>
      <c r="X829" s="1017">
        <v>0</v>
      </c>
      <c r="Y829" s="1017">
        <v>400000</v>
      </c>
      <c r="Z829" s="1017">
        <v>0</v>
      </c>
      <c r="AA829" s="1018"/>
      <c r="AB829" s="1013"/>
      <c r="AC829" s="1017">
        <v>0</v>
      </c>
      <c r="AD829" s="1017">
        <v>0</v>
      </c>
      <c r="AE829" s="1013">
        <v>65935.096757322171</v>
      </c>
      <c r="AF829" s="1019"/>
      <c r="AG829" s="1019">
        <f t="shared" si="168"/>
        <v>10273770</v>
      </c>
      <c r="AH829" s="1014">
        <v>2</v>
      </c>
      <c r="AI829" s="1014">
        <v>0</v>
      </c>
      <c r="AJ829" s="1014">
        <v>0</v>
      </c>
      <c r="AK829" s="1018">
        <v>0</v>
      </c>
      <c r="AL829" s="1020">
        <v>0</v>
      </c>
      <c r="AM829" s="1013">
        <f t="shared" si="167"/>
        <v>131870</v>
      </c>
      <c r="AN829" s="1045">
        <f t="shared" si="170"/>
        <v>10405640</v>
      </c>
      <c r="AO829" s="1013">
        <v>960015</v>
      </c>
      <c r="AP829" s="1013">
        <v>44100</v>
      </c>
      <c r="AQ829" s="1013">
        <v>0</v>
      </c>
      <c r="AR829" s="1013">
        <v>0</v>
      </c>
      <c r="AS829" s="1013">
        <v>0</v>
      </c>
      <c r="AT829" s="1045">
        <f t="shared" si="178"/>
        <v>9401525</v>
      </c>
      <c r="AU829" s="1004"/>
      <c r="AV829" s="870"/>
      <c r="AW829" s="782" t="s">
        <v>4845</v>
      </c>
      <c r="AX829" s="782" t="s">
        <v>4892</v>
      </c>
      <c r="AY829" s="1007" t="s">
        <v>221</v>
      </c>
      <c r="AZ829" s="1007">
        <v>622</v>
      </c>
      <c r="BA829" s="347" t="str">
        <f t="shared" si="180"/>
        <v>Bag</v>
      </c>
      <c r="BB829" s="1008"/>
      <c r="BC829" s="1009"/>
      <c r="BD829" s="1009"/>
    </row>
    <row r="830" spans="1:56" s="1010" customFormat="1" ht="36.75" customHeight="1">
      <c r="A830" s="661">
        <f>SUBTOTAL(3,B$6:B830)</f>
        <v>825</v>
      </c>
      <c r="B830" s="661" t="s">
        <v>2476</v>
      </c>
      <c r="C830" s="662" t="s">
        <v>2477</v>
      </c>
      <c r="D830" s="1011">
        <v>44721</v>
      </c>
      <c r="E830" s="1011" t="s">
        <v>221</v>
      </c>
      <c r="F830" s="787" t="s">
        <v>244</v>
      </c>
      <c r="G830" s="996" t="s">
        <v>2154</v>
      </c>
      <c r="H830" s="1012">
        <v>5815000</v>
      </c>
      <c r="I830" s="1012">
        <v>1900000</v>
      </c>
      <c r="J830" s="1012">
        <v>0</v>
      </c>
      <c r="K830" s="1012">
        <v>0</v>
      </c>
      <c r="L830" s="1013">
        <f t="shared" si="173"/>
        <v>7715000</v>
      </c>
      <c r="M830" s="1014">
        <v>24</v>
      </c>
      <c r="N830" s="1013">
        <f t="shared" si="174"/>
        <v>7121538</v>
      </c>
      <c r="O830" s="1015">
        <v>2</v>
      </c>
      <c r="P830" s="1013">
        <f t="shared" si="175"/>
        <v>593462</v>
      </c>
      <c r="Q830" s="1016">
        <v>0</v>
      </c>
      <c r="R830" s="1013">
        <f t="shared" si="176"/>
        <v>0</v>
      </c>
      <c r="S830" s="1013">
        <f t="shared" si="177"/>
        <v>7715000</v>
      </c>
      <c r="T830" s="1017">
        <v>0</v>
      </c>
      <c r="U830" s="785">
        <v>0</v>
      </c>
      <c r="V830" s="785">
        <v>200000</v>
      </c>
      <c r="W830" s="1017">
        <v>500000</v>
      </c>
      <c r="X830" s="1017">
        <v>0</v>
      </c>
      <c r="Y830" s="1017">
        <v>400000</v>
      </c>
      <c r="Z830" s="1017">
        <v>0</v>
      </c>
      <c r="AA830" s="1018"/>
      <c r="AB830" s="1013"/>
      <c r="AC830" s="1017">
        <v>0</v>
      </c>
      <c r="AD830" s="1017">
        <v>0</v>
      </c>
      <c r="AE830" s="1013">
        <v>0</v>
      </c>
      <c r="AF830" s="1019"/>
      <c r="AG830" s="1019">
        <f t="shared" si="168"/>
        <v>8815000</v>
      </c>
      <c r="AH830" s="1014">
        <v>56</v>
      </c>
      <c r="AI830" s="1014">
        <v>0</v>
      </c>
      <c r="AJ830" s="1014">
        <v>0</v>
      </c>
      <c r="AK830" s="1018">
        <v>0</v>
      </c>
      <c r="AL830" s="1020">
        <v>0</v>
      </c>
      <c r="AM830" s="1013">
        <f t="shared" si="167"/>
        <v>3115673</v>
      </c>
      <c r="AN830" s="1045">
        <f t="shared" si="170"/>
        <v>11930673</v>
      </c>
      <c r="AO830" s="1013">
        <v>810075</v>
      </c>
      <c r="AP830" s="1013">
        <v>44100</v>
      </c>
      <c r="AQ830" s="1013">
        <v>0</v>
      </c>
      <c r="AR830" s="1013">
        <v>0</v>
      </c>
      <c r="AS830" s="1013">
        <v>0</v>
      </c>
      <c r="AT830" s="1045">
        <f t="shared" si="178"/>
        <v>11076498</v>
      </c>
      <c r="AU830" s="1004"/>
      <c r="AV830" s="870"/>
      <c r="AW830" s="782" t="s">
        <v>4893</v>
      </c>
      <c r="AX830" s="782" t="s">
        <v>4894</v>
      </c>
      <c r="AY830" s="1007" t="s">
        <v>221</v>
      </c>
      <c r="AZ830" s="1007">
        <v>622</v>
      </c>
      <c r="BA830" s="347" t="str">
        <f t="shared" si="180"/>
        <v>Bag</v>
      </c>
      <c r="BB830" s="1008"/>
      <c r="BC830" s="1009"/>
      <c r="BD830" s="1009"/>
    </row>
    <row r="831" spans="1:56" s="1010" customFormat="1" ht="36.75" customHeight="1">
      <c r="A831" s="661">
        <f>SUBTOTAL(3,B$6:B831)</f>
        <v>826</v>
      </c>
      <c r="B831" s="661" t="s">
        <v>2478</v>
      </c>
      <c r="C831" s="662" t="s">
        <v>2479</v>
      </c>
      <c r="D831" s="1011">
        <v>43433</v>
      </c>
      <c r="E831" s="1011" t="s">
        <v>221</v>
      </c>
      <c r="F831" s="787" t="s">
        <v>244</v>
      </c>
      <c r="G831" s="996" t="s">
        <v>2172</v>
      </c>
      <c r="H831" s="1012">
        <v>5931000</v>
      </c>
      <c r="I831" s="1012">
        <v>1900000</v>
      </c>
      <c r="J831" s="1012">
        <v>0</v>
      </c>
      <c r="K831" s="1012">
        <v>0</v>
      </c>
      <c r="L831" s="1013">
        <f t="shared" si="173"/>
        <v>7831000</v>
      </c>
      <c r="M831" s="1014">
        <v>21.9</v>
      </c>
      <c r="N831" s="1013">
        <f t="shared" si="174"/>
        <v>6596112</v>
      </c>
      <c r="O831" s="1015">
        <v>4</v>
      </c>
      <c r="P831" s="1013">
        <f t="shared" si="175"/>
        <v>1204769</v>
      </c>
      <c r="Q831" s="1016">
        <v>0</v>
      </c>
      <c r="R831" s="1013">
        <f t="shared" si="176"/>
        <v>0</v>
      </c>
      <c r="S831" s="1013">
        <f t="shared" si="177"/>
        <v>7800881</v>
      </c>
      <c r="T831" s="1017">
        <v>0</v>
      </c>
      <c r="U831" s="785">
        <v>0</v>
      </c>
      <c r="V831" s="785">
        <v>200000</v>
      </c>
      <c r="W831" s="1017">
        <v>500000</v>
      </c>
      <c r="X831" s="1017">
        <v>0</v>
      </c>
      <c r="Y831" s="1017">
        <v>400000</v>
      </c>
      <c r="Z831" s="1017">
        <v>0</v>
      </c>
      <c r="AA831" s="1018"/>
      <c r="AB831" s="1013"/>
      <c r="AC831" s="1017">
        <v>0</v>
      </c>
      <c r="AD831" s="1017">
        <v>0</v>
      </c>
      <c r="AE831" s="1013">
        <v>0</v>
      </c>
      <c r="AF831" s="1019"/>
      <c r="AG831" s="1019">
        <f t="shared" si="168"/>
        <v>8900881</v>
      </c>
      <c r="AH831" s="1014">
        <v>52.5</v>
      </c>
      <c r="AI831" s="1014">
        <v>0</v>
      </c>
      <c r="AJ831" s="1014">
        <v>0</v>
      </c>
      <c r="AK831" s="1018">
        <v>0</v>
      </c>
      <c r="AL831" s="1020">
        <v>0</v>
      </c>
      <c r="AM831" s="1013">
        <f t="shared" si="167"/>
        <v>2964862</v>
      </c>
      <c r="AN831" s="1045">
        <f t="shared" si="170"/>
        <v>11865743</v>
      </c>
      <c r="AO831" s="1013">
        <v>822255</v>
      </c>
      <c r="AP831" s="1013">
        <v>44100</v>
      </c>
      <c r="AQ831" s="1013">
        <v>0</v>
      </c>
      <c r="AR831" s="1013">
        <v>0</v>
      </c>
      <c r="AS831" s="1013">
        <v>0</v>
      </c>
      <c r="AT831" s="1045">
        <f t="shared" si="178"/>
        <v>10999388</v>
      </c>
      <c r="AU831" s="1004"/>
      <c r="AV831" s="870"/>
      <c r="AW831" s="782" t="s">
        <v>4895</v>
      </c>
      <c r="AX831" s="782" t="s">
        <v>4896</v>
      </c>
      <c r="AY831" s="1007" t="s">
        <v>221</v>
      </c>
      <c r="AZ831" s="1007">
        <v>622</v>
      </c>
      <c r="BA831" s="347" t="str">
        <f t="shared" si="180"/>
        <v>Bag</v>
      </c>
      <c r="BB831" s="1008"/>
      <c r="BC831" s="1009"/>
      <c r="BD831" s="1009"/>
    </row>
    <row r="832" spans="1:56" s="1010" customFormat="1" ht="36.75" customHeight="1">
      <c r="A832" s="661">
        <f>SUBTOTAL(3,B$6:B832)</f>
        <v>827</v>
      </c>
      <c r="B832" s="661" t="s">
        <v>2480</v>
      </c>
      <c r="C832" s="662" t="s">
        <v>2481</v>
      </c>
      <c r="D832" s="1011">
        <v>43573</v>
      </c>
      <c r="E832" s="1011" t="s">
        <v>221</v>
      </c>
      <c r="F832" s="787" t="s">
        <v>546</v>
      </c>
      <c r="G832" s="996" t="s">
        <v>2482</v>
      </c>
      <c r="H832" s="1012">
        <v>10500000</v>
      </c>
      <c r="I832" s="1012">
        <v>3700000</v>
      </c>
      <c r="J832" s="1012">
        <v>0</v>
      </c>
      <c r="K832" s="1012">
        <v>0</v>
      </c>
      <c r="L832" s="1013">
        <f t="shared" si="173"/>
        <v>14200000</v>
      </c>
      <c r="M832" s="1014">
        <v>23</v>
      </c>
      <c r="N832" s="1013">
        <f t="shared" si="174"/>
        <v>12561538</v>
      </c>
      <c r="O832" s="1015">
        <v>2</v>
      </c>
      <c r="P832" s="1013">
        <f t="shared" si="175"/>
        <v>1092308</v>
      </c>
      <c r="Q832" s="1016">
        <v>0</v>
      </c>
      <c r="R832" s="1013">
        <f t="shared" si="176"/>
        <v>0</v>
      </c>
      <c r="S832" s="1013">
        <f t="shared" si="177"/>
        <v>13653846</v>
      </c>
      <c r="T832" s="1017">
        <v>480769</v>
      </c>
      <c r="U832" s="785">
        <v>0</v>
      </c>
      <c r="V832" s="785">
        <v>0</v>
      </c>
      <c r="W832" s="1017">
        <v>0</v>
      </c>
      <c r="X832" s="1017">
        <v>0</v>
      </c>
      <c r="Y832" s="1017">
        <v>0</v>
      </c>
      <c r="Z832" s="1017">
        <v>0</v>
      </c>
      <c r="AA832" s="1018"/>
      <c r="AB832" s="1013"/>
      <c r="AC832" s="1017">
        <v>100000</v>
      </c>
      <c r="AD832" s="1017">
        <v>0</v>
      </c>
      <c r="AE832" s="1013">
        <v>102403.84239130435</v>
      </c>
      <c r="AF832" s="1019"/>
      <c r="AG832" s="1019">
        <f t="shared" si="168"/>
        <v>14337019</v>
      </c>
      <c r="AH832" s="1014">
        <v>0</v>
      </c>
      <c r="AI832" s="1014">
        <v>0</v>
      </c>
      <c r="AJ832" s="1014">
        <v>0</v>
      </c>
      <c r="AK832" s="1018">
        <v>0</v>
      </c>
      <c r="AL832" s="1020">
        <v>0</v>
      </c>
      <c r="AM832" s="1013">
        <f t="shared" si="167"/>
        <v>0</v>
      </c>
      <c r="AN832" s="1045">
        <f t="shared" si="170"/>
        <v>14337019</v>
      </c>
      <c r="AO832" s="1013">
        <v>1491000</v>
      </c>
      <c r="AP832" s="1013">
        <v>44100</v>
      </c>
      <c r="AQ832" s="1013">
        <v>0</v>
      </c>
      <c r="AR832" s="1013">
        <v>0</v>
      </c>
      <c r="AS832" s="1013">
        <v>0</v>
      </c>
      <c r="AT832" s="1045">
        <f t="shared" si="178"/>
        <v>12801919</v>
      </c>
      <c r="AU832" s="1004"/>
      <c r="AV832" s="870"/>
      <c r="AW832" s="782" t="s">
        <v>4897</v>
      </c>
      <c r="AX832" s="782" t="s">
        <v>4898</v>
      </c>
      <c r="AY832" s="1007" t="s">
        <v>221</v>
      </c>
      <c r="AZ832" s="1007">
        <v>642</v>
      </c>
      <c r="BA832" s="347" t="s">
        <v>1</v>
      </c>
      <c r="BB832" s="1008"/>
      <c r="BC832" s="1009"/>
      <c r="BD832" s="1009"/>
    </row>
    <row r="833" spans="1:56" s="1010" customFormat="1" ht="36.75" customHeight="1">
      <c r="A833" s="661">
        <f>SUBTOTAL(3,B$6:B833)</f>
        <v>828</v>
      </c>
      <c r="B833" s="661" t="s">
        <v>2483</v>
      </c>
      <c r="C833" s="662" t="s">
        <v>2484</v>
      </c>
      <c r="D833" s="1011">
        <v>43789</v>
      </c>
      <c r="E833" s="1011" t="s">
        <v>221</v>
      </c>
      <c r="F833" s="787" t="s">
        <v>546</v>
      </c>
      <c r="G833" s="996" t="s">
        <v>2197</v>
      </c>
      <c r="H833" s="1012">
        <v>7800000</v>
      </c>
      <c r="I833" s="1012">
        <v>1500000</v>
      </c>
      <c r="J833" s="1012">
        <v>0</v>
      </c>
      <c r="K833" s="1012">
        <v>0</v>
      </c>
      <c r="L833" s="1013">
        <f t="shared" si="173"/>
        <v>9300000</v>
      </c>
      <c r="M833" s="1014">
        <v>24</v>
      </c>
      <c r="N833" s="1013">
        <f t="shared" si="174"/>
        <v>8584615</v>
      </c>
      <c r="O833" s="1015">
        <v>2</v>
      </c>
      <c r="P833" s="1013">
        <f t="shared" si="175"/>
        <v>715385</v>
      </c>
      <c r="Q833" s="1016">
        <v>0</v>
      </c>
      <c r="R833" s="1013">
        <f t="shared" si="176"/>
        <v>0</v>
      </c>
      <c r="S833" s="1013">
        <f t="shared" si="177"/>
        <v>9300000</v>
      </c>
      <c r="T833" s="1017">
        <v>500000</v>
      </c>
      <c r="U833" s="785">
        <v>0</v>
      </c>
      <c r="V833" s="785">
        <v>0</v>
      </c>
      <c r="W833" s="1017">
        <v>0</v>
      </c>
      <c r="X833" s="1017">
        <v>0</v>
      </c>
      <c r="Y833" s="1017">
        <v>0</v>
      </c>
      <c r="Z833" s="1017">
        <v>0</v>
      </c>
      <c r="AA833" s="1018"/>
      <c r="AB833" s="1013"/>
      <c r="AC833" s="1017">
        <v>100000</v>
      </c>
      <c r="AD833" s="1017">
        <v>0</v>
      </c>
      <c r="AE833" s="1013">
        <v>67067.3046875</v>
      </c>
      <c r="AF833" s="1019"/>
      <c r="AG833" s="1019">
        <f t="shared" si="168"/>
        <v>9967067</v>
      </c>
      <c r="AH833" s="1014">
        <v>0</v>
      </c>
      <c r="AI833" s="1014">
        <v>0</v>
      </c>
      <c r="AJ833" s="1014">
        <v>0</v>
      </c>
      <c r="AK833" s="1018">
        <v>0</v>
      </c>
      <c r="AL833" s="1020">
        <v>0</v>
      </c>
      <c r="AM833" s="1013">
        <f t="shared" si="167"/>
        <v>0</v>
      </c>
      <c r="AN833" s="1045">
        <f t="shared" si="170"/>
        <v>9967067</v>
      </c>
      <c r="AO833" s="1013">
        <v>976500</v>
      </c>
      <c r="AP833" s="1013">
        <v>44100</v>
      </c>
      <c r="AQ833" s="1013">
        <v>0</v>
      </c>
      <c r="AR833" s="1013">
        <v>0</v>
      </c>
      <c r="AS833" s="1013">
        <v>0</v>
      </c>
      <c r="AT833" s="1045">
        <f t="shared" si="178"/>
        <v>8946467</v>
      </c>
      <c r="AU833" s="1004"/>
      <c r="AV833" s="870"/>
      <c r="AW833" s="782" t="s">
        <v>4899</v>
      </c>
      <c r="AX833" s="782" t="s">
        <v>4900</v>
      </c>
      <c r="AY833" s="1007" t="s">
        <v>221</v>
      </c>
      <c r="AZ833" s="1007">
        <v>642</v>
      </c>
      <c r="BA833" s="347" t="s">
        <v>1</v>
      </c>
      <c r="BB833" s="1008"/>
      <c r="BC833" s="1009"/>
      <c r="BD833" s="1009"/>
    </row>
    <row r="834" spans="1:56" s="1357" customFormat="1" ht="36.75" customHeight="1">
      <c r="A834" s="1337">
        <f>SUBTOTAL(3,B$6:B834)</f>
        <v>829</v>
      </c>
      <c r="B834" s="1337" t="s">
        <v>2485</v>
      </c>
      <c r="C834" s="1338" t="s">
        <v>2486</v>
      </c>
      <c r="D834" s="1339">
        <v>44288</v>
      </c>
      <c r="E834" s="1339" t="s">
        <v>221</v>
      </c>
      <c r="F834" s="1340" t="s">
        <v>546</v>
      </c>
      <c r="G834" s="1341" t="s">
        <v>2482</v>
      </c>
      <c r="H834" s="1342">
        <v>9000000</v>
      </c>
      <c r="I834" s="1342">
        <v>3000000</v>
      </c>
      <c r="J834" s="1342">
        <v>0</v>
      </c>
      <c r="K834" s="1342">
        <v>0</v>
      </c>
      <c r="L834" s="1343">
        <f t="shared" si="173"/>
        <v>12000000</v>
      </c>
      <c r="M834" s="1344">
        <v>24</v>
      </c>
      <c r="N834" s="1343">
        <f t="shared" si="174"/>
        <v>11076923</v>
      </c>
      <c r="O834" s="1345">
        <v>2</v>
      </c>
      <c r="P834" s="1343">
        <f t="shared" si="175"/>
        <v>923077</v>
      </c>
      <c r="Q834" s="1346">
        <v>0</v>
      </c>
      <c r="R834" s="1343">
        <f t="shared" si="176"/>
        <v>0</v>
      </c>
      <c r="S834" s="1343">
        <f t="shared" si="177"/>
        <v>12000000</v>
      </c>
      <c r="T834" s="1347">
        <v>500000</v>
      </c>
      <c r="U834" s="1348">
        <v>0</v>
      </c>
      <c r="V834" s="1348">
        <v>0</v>
      </c>
      <c r="W834" s="1347">
        <v>0</v>
      </c>
      <c r="X834" s="1347">
        <v>0</v>
      </c>
      <c r="Y834" s="1347">
        <v>0</v>
      </c>
      <c r="Z834" s="1347">
        <v>0</v>
      </c>
      <c r="AA834" s="1350"/>
      <c r="AB834" s="1343"/>
      <c r="AC834" s="1347">
        <v>0</v>
      </c>
      <c r="AD834" s="1347">
        <v>0</v>
      </c>
      <c r="AE834" s="1343">
        <v>86538.4609375</v>
      </c>
      <c r="AF834" s="1349"/>
      <c r="AG834" s="1349">
        <f t="shared" si="168"/>
        <v>12586538</v>
      </c>
      <c r="AH834" s="1344">
        <v>0</v>
      </c>
      <c r="AI834" s="1344">
        <v>0</v>
      </c>
      <c r="AJ834" s="1344">
        <v>0</v>
      </c>
      <c r="AK834" s="1350">
        <v>0</v>
      </c>
      <c r="AL834" s="1351">
        <v>0</v>
      </c>
      <c r="AM834" s="1013">
        <f t="shared" si="167"/>
        <v>0</v>
      </c>
      <c r="AN834" s="1352">
        <f t="shared" si="170"/>
        <v>12586538</v>
      </c>
      <c r="AO834" s="1343">
        <v>1260000</v>
      </c>
      <c r="AP834" s="1343">
        <v>44100</v>
      </c>
      <c r="AQ834" s="1343">
        <v>0</v>
      </c>
      <c r="AR834" s="1343">
        <v>0</v>
      </c>
      <c r="AS834" s="1343">
        <v>0</v>
      </c>
      <c r="AT834" s="1352">
        <f t="shared" si="178"/>
        <v>11282438</v>
      </c>
      <c r="AU834" s="1004"/>
      <c r="AV834" s="870"/>
      <c r="AW834" s="1353" t="s">
        <v>4901</v>
      </c>
      <c r="AX834" s="1353" t="s">
        <v>4902</v>
      </c>
      <c r="AY834" s="1354" t="s">
        <v>221</v>
      </c>
      <c r="AZ834" s="1354">
        <v>642</v>
      </c>
      <c r="BA834" s="347" t="s">
        <v>1</v>
      </c>
      <c r="BB834" s="1355"/>
      <c r="BC834" s="1356"/>
      <c r="BD834" s="1356"/>
    </row>
    <row r="835" spans="1:56" s="1010" customFormat="1" ht="36.75" customHeight="1">
      <c r="A835" s="661">
        <f>SUBTOTAL(3,B$6:B835)</f>
        <v>830</v>
      </c>
      <c r="B835" s="661" t="s">
        <v>2487</v>
      </c>
      <c r="C835" s="662" t="s">
        <v>2488</v>
      </c>
      <c r="D835" s="1011">
        <v>44042</v>
      </c>
      <c r="E835" s="1011" t="s">
        <v>221</v>
      </c>
      <c r="F835" s="787" t="s">
        <v>531</v>
      </c>
      <c r="G835" s="996" t="s">
        <v>2257</v>
      </c>
      <c r="H835" s="1012">
        <v>6437000</v>
      </c>
      <c r="I835" s="1012">
        <v>1100000</v>
      </c>
      <c r="J835" s="1012">
        <v>0</v>
      </c>
      <c r="K835" s="1012">
        <v>0</v>
      </c>
      <c r="L835" s="1013">
        <f t="shared" si="173"/>
        <v>7537000</v>
      </c>
      <c r="M835" s="1014">
        <v>24</v>
      </c>
      <c r="N835" s="1013">
        <f t="shared" si="174"/>
        <v>6957231</v>
      </c>
      <c r="O835" s="1015">
        <v>2</v>
      </c>
      <c r="P835" s="1013">
        <f t="shared" si="175"/>
        <v>579769</v>
      </c>
      <c r="Q835" s="1016">
        <v>0</v>
      </c>
      <c r="R835" s="1013">
        <f t="shared" si="176"/>
        <v>0</v>
      </c>
      <c r="S835" s="1013">
        <f t="shared" si="177"/>
        <v>7537000</v>
      </c>
      <c r="T835" s="1017">
        <v>0</v>
      </c>
      <c r="U835" s="785">
        <v>504000</v>
      </c>
      <c r="V835" s="785">
        <v>200000</v>
      </c>
      <c r="W835" s="1017">
        <v>500000</v>
      </c>
      <c r="X835" s="1017">
        <v>0</v>
      </c>
      <c r="Y835" s="1017">
        <v>400000</v>
      </c>
      <c r="Z835" s="1017">
        <v>427281</v>
      </c>
      <c r="AA835" s="1018"/>
      <c r="AB835" s="1013"/>
      <c r="AC835" s="1017">
        <v>0</v>
      </c>
      <c r="AD835" s="1017">
        <v>0</v>
      </c>
      <c r="AE835" s="1013">
        <v>54353.3671875</v>
      </c>
      <c r="AF835" s="1019"/>
      <c r="AG835" s="1019">
        <f t="shared" si="168"/>
        <v>9622634</v>
      </c>
      <c r="AH835" s="1014">
        <v>19</v>
      </c>
      <c r="AI835" s="1014">
        <v>0</v>
      </c>
      <c r="AJ835" s="1014">
        <v>0</v>
      </c>
      <c r="AK835" s="1018">
        <v>0</v>
      </c>
      <c r="AL835" s="1020">
        <v>0</v>
      </c>
      <c r="AM835" s="1013">
        <f t="shared" si="167"/>
        <v>1032714</v>
      </c>
      <c r="AN835" s="1045">
        <f t="shared" si="170"/>
        <v>10655348</v>
      </c>
      <c r="AO835" s="1013">
        <v>791385</v>
      </c>
      <c r="AP835" s="1013">
        <v>44100</v>
      </c>
      <c r="AQ835" s="1013">
        <v>0</v>
      </c>
      <c r="AR835" s="1013">
        <v>0</v>
      </c>
      <c r="AS835" s="1013">
        <v>0</v>
      </c>
      <c r="AT835" s="1045">
        <f t="shared" si="178"/>
        <v>9819863</v>
      </c>
      <c r="AU835" s="1004"/>
      <c r="AV835" s="870"/>
      <c r="AW835" s="782" t="s">
        <v>3580</v>
      </c>
      <c r="AX835" s="782" t="s">
        <v>4903</v>
      </c>
      <c r="AY835" s="1007" t="s">
        <v>221</v>
      </c>
      <c r="AZ835" s="1007">
        <v>627</v>
      </c>
      <c r="BA835" s="347" t="str">
        <f t="shared" ref="BA835:BA842" si="181">+IF(AY835="SK1 Box","Box",IF(AY835="Seaman","Seaman","Bag"))</f>
        <v>Bag</v>
      </c>
      <c r="BB835" s="1008"/>
      <c r="BC835" s="1009"/>
      <c r="BD835" s="1009"/>
    </row>
    <row r="836" spans="1:56" s="1010" customFormat="1" ht="36.75" customHeight="1">
      <c r="A836" s="661">
        <f>SUBTOTAL(3,B$6:B836)</f>
        <v>831</v>
      </c>
      <c r="B836" s="661" t="s">
        <v>2489</v>
      </c>
      <c r="C836" s="662" t="s">
        <v>2490</v>
      </c>
      <c r="D836" s="1011">
        <v>44253</v>
      </c>
      <c r="E836" s="1011" t="s">
        <v>221</v>
      </c>
      <c r="F836" s="787" t="s">
        <v>531</v>
      </c>
      <c r="G836" s="996" t="s">
        <v>2257</v>
      </c>
      <c r="H836" s="1012">
        <v>6374000</v>
      </c>
      <c r="I836" s="1012">
        <v>1400000</v>
      </c>
      <c r="J836" s="1012">
        <v>0</v>
      </c>
      <c r="K836" s="1012">
        <v>500000</v>
      </c>
      <c r="L836" s="1013">
        <f t="shared" si="173"/>
        <v>8274000</v>
      </c>
      <c r="M836" s="1014">
        <v>24</v>
      </c>
      <c r="N836" s="1013">
        <f t="shared" si="174"/>
        <v>7637538</v>
      </c>
      <c r="O836" s="1015">
        <v>2</v>
      </c>
      <c r="P836" s="1013">
        <f t="shared" si="175"/>
        <v>636462</v>
      </c>
      <c r="Q836" s="1016">
        <v>0</v>
      </c>
      <c r="R836" s="1013">
        <f t="shared" si="176"/>
        <v>0</v>
      </c>
      <c r="S836" s="1013">
        <f t="shared" si="177"/>
        <v>8274000</v>
      </c>
      <c r="T836" s="1017">
        <v>0</v>
      </c>
      <c r="U836" s="785">
        <v>0</v>
      </c>
      <c r="V836" s="785">
        <v>200000</v>
      </c>
      <c r="W836" s="1017">
        <v>500000</v>
      </c>
      <c r="X836" s="1017">
        <v>0</v>
      </c>
      <c r="Y836" s="1017">
        <v>400000</v>
      </c>
      <c r="Z836" s="1017">
        <v>427281</v>
      </c>
      <c r="AA836" s="1018"/>
      <c r="AB836" s="1013"/>
      <c r="AC836" s="1017">
        <v>0</v>
      </c>
      <c r="AD836" s="1017">
        <v>0</v>
      </c>
      <c r="AE836" s="1013">
        <v>0</v>
      </c>
      <c r="AF836" s="1019"/>
      <c r="AG836" s="1019">
        <f t="shared" si="168"/>
        <v>9801281</v>
      </c>
      <c r="AH836" s="1014">
        <v>48</v>
      </c>
      <c r="AI836" s="1014">
        <v>0</v>
      </c>
      <c r="AJ836" s="1014">
        <v>0</v>
      </c>
      <c r="AK836" s="1018">
        <v>0</v>
      </c>
      <c r="AL836" s="1020">
        <v>0</v>
      </c>
      <c r="AM836" s="1013">
        <f t="shared" si="167"/>
        <v>2864077</v>
      </c>
      <c r="AN836" s="1045">
        <f t="shared" si="170"/>
        <v>12665358</v>
      </c>
      <c r="AO836" s="1013">
        <v>868770</v>
      </c>
      <c r="AP836" s="1013">
        <v>44100</v>
      </c>
      <c r="AQ836" s="1013">
        <v>0</v>
      </c>
      <c r="AR836" s="1013">
        <v>0</v>
      </c>
      <c r="AS836" s="1013">
        <v>0</v>
      </c>
      <c r="AT836" s="1045">
        <f t="shared" si="178"/>
        <v>11752488</v>
      </c>
      <c r="AU836" s="1004"/>
      <c r="AV836" s="870"/>
      <c r="AW836" s="782" t="s">
        <v>4904</v>
      </c>
      <c r="AX836" s="782" t="s">
        <v>4905</v>
      </c>
      <c r="AY836" s="1007" t="s">
        <v>221</v>
      </c>
      <c r="AZ836" s="1007">
        <v>627</v>
      </c>
      <c r="BA836" s="347" t="str">
        <f t="shared" si="181"/>
        <v>Bag</v>
      </c>
      <c r="BB836" s="1008"/>
      <c r="BC836" s="1009"/>
      <c r="BD836" s="1009"/>
    </row>
    <row r="837" spans="1:56" s="1010" customFormat="1" ht="36.75" customHeight="1">
      <c r="A837" s="661">
        <f>SUBTOTAL(3,B$6:B837)</f>
        <v>832</v>
      </c>
      <c r="B837" s="661" t="s">
        <v>2491</v>
      </c>
      <c r="C837" s="662" t="s">
        <v>2492</v>
      </c>
      <c r="D837" s="1011">
        <v>44322</v>
      </c>
      <c r="E837" s="1011" t="s">
        <v>221</v>
      </c>
      <c r="F837" s="787" t="s">
        <v>531</v>
      </c>
      <c r="G837" s="996" t="s">
        <v>2257</v>
      </c>
      <c r="H837" s="1012">
        <v>6520000</v>
      </c>
      <c r="I837" s="1012">
        <v>1400000</v>
      </c>
      <c r="J837" s="1012">
        <v>0</v>
      </c>
      <c r="K837" s="1012">
        <v>0</v>
      </c>
      <c r="L837" s="1013">
        <f t="shared" si="173"/>
        <v>7920000</v>
      </c>
      <c r="M837" s="1014">
        <v>23.6</v>
      </c>
      <c r="N837" s="1013">
        <f t="shared" si="174"/>
        <v>7188923</v>
      </c>
      <c r="O837" s="1015">
        <v>2</v>
      </c>
      <c r="P837" s="1013">
        <f t="shared" si="175"/>
        <v>609231</v>
      </c>
      <c r="Q837" s="1016">
        <v>0</v>
      </c>
      <c r="R837" s="1013">
        <f t="shared" si="176"/>
        <v>0</v>
      </c>
      <c r="S837" s="1013">
        <f t="shared" si="177"/>
        <v>7798154</v>
      </c>
      <c r="T837" s="1017">
        <v>0</v>
      </c>
      <c r="U837" s="785">
        <v>0</v>
      </c>
      <c r="V837" s="785">
        <v>200000</v>
      </c>
      <c r="W837" s="1017">
        <v>500000</v>
      </c>
      <c r="X837" s="1017">
        <v>0</v>
      </c>
      <c r="Y837" s="1017">
        <v>400000</v>
      </c>
      <c r="Z837" s="1017">
        <v>420160</v>
      </c>
      <c r="AA837" s="1018"/>
      <c r="AB837" s="1013"/>
      <c r="AC837" s="1017">
        <v>0</v>
      </c>
      <c r="AD837" s="1017">
        <v>0</v>
      </c>
      <c r="AE837" s="1013">
        <v>57115.384004237276</v>
      </c>
      <c r="AF837" s="1019"/>
      <c r="AG837" s="1019">
        <f t="shared" si="168"/>
        <v>9375429</v>
      </c>
      <c r="AH837" s="1014">
        <v>31</v>
      </c>
      <c r="AI837" s="1014">
        <v>0</v>
      </c>
      <c r="AJ837" s="1014">
        <v>0</v>
      </c>
      <c r="AK837" s="1018">
        <v>0</v>
      </c>
      <c r="AL837" s="1020">
        <v>0</v>
      </c>
      <c r="AM837" s="1013">
        <f t="shared" si="167"/>
        <v>1770577</v>
      </c>
      <c r="AN837" s="1045">
        <f t="shared" si="170"/>
        <v>11146006</v>
      </c>
      <c r="AO837" s="1013">
        <v>831600</v>
      </c>
      <c r="AP837" s="1013">
        <v>44100</v>
      </c>
      <c r="AQ837" s="1013">
        <v>0</v>
      </c>
      <c r="AR837" s="1013">
        <v>0</v>
      </c>
      <c r="AS837" s="1013">
        <v>0</v>
      </c>
      <c r="AT837" s="1045">
        <f t="shared" si="178"/>
        <v>10270306</v>
      </c>
      <c r="AU837" s="1004"/>
      <c r="AV837" s="870"/>
      <c r="AW837" s="782" t="s">
        <v>4906</v>
      </c>
      <c r="AX837" s="782" t="s">
        <v>4907</v>
      </c>
      <c r="AY837" s="1007" t="s">
        <v>221</v>
      </c>
      <c r="AZ837" s="1007">
        <v>627</v>
      </c>
      <c r="BA837" s="347" t="str">
        <f t="shared" si="181"/>
        <v>Bag</v>
      </c>
      <c r="BB837" s="1008"/>
      <c r="BC837" s="1009"/>
      <c r="BD837" s="1009"/>
    </row>
    <row r="838" spans="1:56" s="1010" customFormat="1" ht="36.75" customHeight="1">
      <c r="A838" s="661">
        <f>SUBTOTAL(3,B$6:B838)</f>
        <v>833</v>
      </c>
      <c r="B838" s="661" t="s">
        <v>2493</v>
      </c>
      <c r="C838" s="662" t="s">
        <v>2494</v>
      </c>
      <c r="D838" s="1011">
        <v>44603</v>
      </c>
      <c r="E838" s="1011" t="s">
        <v>221</v>
      </c>
      <c r="F838" s="787" t="s">
        <v>531</v>
      </c>
      <c r="G838" s="996" t="s">
        <v>2208</v>
      </c>
      <c r="H838" s="1012">
        <v>5931000</v>
      </c>
      <c r="I838" s="1012">
        <v>800000</v>
      </c>
      <c r="J838" s="1012">
        <v>298000</v>
      </c>
      <c r="K838" s="1012">
        <v>0</v>
      </c>
      <c r="L838" s="1013">
        <f t="shared" si="173"/>
        <v>7029000</v>
      </c>
      <c r="M838" s="1014">
        <v>24</v>
      </c>
      <c r="N838" s="1013">
        <f t="shared" si="174"/>
        <v>6488308</v>
      </c>
      <c r="O838" s="1015">
        <v>2</v>
      </c>
      <c r="P838" s="1013">
        <f t="shared" si="175"/>
        <v>540692</v>
      </c>
      <c r="Q838" s="1016">
        <v>0</v>
      </c>
      <c r="R838" s="1013">
        <f t="shared" si="176"/>
        <v>0</v>
      </c>
      <c r="S838" s="1013">
        <f t="shared" si="177"/>
        <v>7029000</v>
      </c>
      <c r="T838" s="1017">
        <v>0</v>
      </c>
      <c r="U838" s="785">
        <v>0</v>
      </c>
      <c r="V838" s="785">
        <v>200000</v>
      </c>
      <c r="W838" s="1017">
        <v>500000</v>
      </c>
      <c r="X838" s="1017">
        <v>200000</v>
      </c>
      <c r="Y838" s="1017">
        <v>400000</v>
      </c>
      <c r="Z838" s="1017">
        <v>427281</v>
      </c>
      <c r="AA838" s="1018"/>
      <c r="AB838" s="1013"/>
      <c r="AC838" s="1017">
        <v>0</v>
      </c>
      <c r="AD838" s="1017">
        <v>0</v>
      </c>
      <c r="AE838" s="1013">
        <v>0</v>
      </c>
      <c r="AF838" s="1019"/>
      <c r="AG838" s="1019">
        <f t="shared" si="168"/>
        <v>8756281</v>
      </c>
      <c r="AH838" s="1014">
        <v>44</v>
      </c>
      <c r="AI838" s="1014">
        <v>0</v>
      </c>
      <c r="AJ838" s="1014">
        <v>0</v>
      </c>
      <c r="AK838" s="1018">
        <v>0</v>
      </c>
      <c r="AL838" s="1020">
        <v>0</v>
      </c>
      <c r="AM838" s="1013">
        <f t="shared" si="167"/>
        <v>2230356</v>
      </c>
      <c r="AN838" s="1045">
        <f t="shared" si="170"/>
        <v>10986637</v>
      </c>
      <c r="AO838" s="1013">
        <v>738045</v>
      </c>
      <c r="AP838" s="1013">
        <v>44100</v>
      </c>
      <c r="AQ838" s="1013">
        <v>0</v>
      </c>
      <c r="AR838" s="1013">
        <v>0</v>
      </c>
      <c r="AS838" s="1013">
        <v>0</v>
      </c>
      <c r="AT838" s="1045">
        <f t="shared" si="178"/>
        <v>10204492</v>
      </c>
      <c r="AU838" s="1004"/>
      <c r="AV838" s="870"/>
      <c r="AW838" s="782" t="s">
        <v>4908</v>
      </c>
      <c r="AX838" s="782" t="s">
        <v>4909</v>
      </c>
      <c r="AY838" s="1007" t="s">
        <v>221</v>
      </c>
      <c r="AZ838" s="1007">
        <v>627</v>
      </c>
      <c r="BA838" s="347" t="str">
        <f t="shared" si="181"/>
        <v>Bag</v>
      </c>
      <c r="BB838" s="1008"/>
      <c r="BC838" s="1009"/>
      <c r="BD838" s="1009"/>
    </row>
    <row r="839" spans="1:56" s="1010" customFormat="1" ht="36.75" customHeight="1">
      <c r="A839" s="661">
        <f>SUBTOTAL(3,B$6:B839)</f>
        <v>834</v>
      </c>
      <c r="B839" s="661" t="s">
        <v>2495</v>
      </c>
      <c r="C839" s="662" t="s">
        <v>2496</v>
      </c>
      <c r="D839" s="1011">
        <v>39804</v>
      </c>
      <c r="E839" s="1011" t="s">
        <v>221</v>
      </c>
      <c r="F839" s="787" t="s">
        <v>531</v>
      </c>
      <c r="G839" s="996" t="s">
        <v>2254</v>
      </c>
      <c r="H839" s="1012">
        <v>7019000</v>
      </c>
      <c r="I839" s="1012">
        <v>7300000</v>
      </c>
      <c r="J839" s="1012">
        <v>0</v>
      </c>
      <c r="K839" s="1012">
        <v>0</v>
      </c>
      <c r="L839" s="1013">
        <f t="shared" si="173"/>
        <v>14319000</v>
      </c>
      <c r="M839" s="1014">
        <v>22.9</v>
      </c>
      <c r="N839" s="1013">
        <f t="shared" si="174"/>
        <v>12611735</v>
      </c>
      <c r="O839" s="1015">
        <v>3</v>
      </c>
      <c r="P839" s="1013">
        <f t="shared" si="175"/>
        <v>1652192</v>
      </c>
      <c r="Q839" s="1016">
        <v>0</v>
      </c>
      <c r="R839" s="1013">
        <f t="shared" si="176"/>
        <v>0</v>
      </c>
      <c r="S839" s="1013">
        <f t="shared" si="177"/>
        <v>14263927</v>
      </c>
      <c r="T839" s="1017">
        <v>0</v>
      </c>
      <c r="U839" s="785">
        <v>0</v>
      </c>
      <c r="V839" s="785">
        <v>200000</v>
      </c>
      <c r="W839" s="1017">
        <v>500000</v>
      </c>
      <c r="X839" s="1017">
        <v>0</v>
      </c>
      <c r="Y839" s="1017">
        <v>400000</v>
      </c>
      <c r="Z839" s="1017">
        <v>0</v>
      </c>
      <c r="AA839" s="1018"/>
      <c r="AB839" s="1013"/>
      <c r="AC839" s="1017">
        <v>100000</v>
      </c>
      <c r="AD839" s="1017">
        <v>0</v>
      </c>
      <c r="AE839" s="1013">
        <v>0</v>
      </c>
      <c r="AF839" s="1019"/>
      <c r="AG839" s="1019">
        <f t="shared" si="168"/>
        <v>15463927</v>
      </c>
      <c r="AH839" s="1014">
        <v>46</v>
      </c>
      <c r="AI839" s="1014">
        <v>0</v>
      </c>
      <c r="AJ839" s="1014">
        <v>0</v>
      </c>
      <c r="AK839" s="1018">
        <v>0</v>
      </c>
      <c r="AL839" s="1020">
        <v>0</v>
      </c>
      <c r="AM839" s="1013">
        <f t="shared" ref="AM839:AM902" si="182">ROUND((N839/IF(M839&gt;26,26,M839)/8*(AH839*$AH$5+AI839*$AI$5+AJ839*$AJ$5+AK839*$AK$5+AL839*$AL$5)),0)</f>
        <v>4750053</v>
      </c>
      <c r="AN839" s="1045">
        <f t="shared" si="170"/>
        <v>20213980</v>
      </c>
      <c r="AO839" s="1013">
        <v>1503495</v>
      </c>
      <c r="AP839" s="1013">
        <v>44100</v>
      </c>
      <c r="AQ839" s="1013">
        <v>0</v>
      </c>
      <c r="AR839" s="1013">
        <v>0</v>
      </c>
      <c r="AS839" s="1013">
        <v>0</v>
      </c>
      <c r="AT839" s="1045">
        <f t="shared" si="178"/>
        <v>18666385</v>
      </c>
      <c r="AU839" s="1004"/>
      <c r="AV839" s="870"/>
      <c r="AW839" s="782" t="s">
        <v>4910</v>
      </c>
      <c r="AX839" s="782" t="s">
        <v>4911</v>
      </c>
      <c r="AY839" s="1007" t="s">
        <v>221</v>
      </c>
      <c r="AZ839" s="1007">
        <v>627</v>
      </c>
      <c r="BA839" s="347" t="str">
        <f t="shared" si="181"/>
        <v>Bag</v>
      </c>
      <c r="BB839" s="1008"/>
      <c r="BC839" s="1009"/>
      <c r="BD839" s="1009"/>
    </row>
    <row r="840" spans="1:56" s="1010" customFormat="1" ht="36.75" customHeight="1">
      <c r="A840" s="661">
        <f>SUBTOTAL(3,B$6:B840)</f>
        <v>835</v>
      </c>
      <c r="B840" s="661" t="s">
        <v>2497</v>
      </c>
      <c r="C840" s="662" t="s">
        <v>2498</v>
      </c>
      <c r="D840" s="1011">
        <v>44788</v>
      </c>
      <c r="E840" s="1011" t="s">
        <v>221</v>
      </c>
      <c r="F840" s="787" t="s">
        <v>531</v>
      </c>
      <c r="G840" s="996" t="s">
        <v>2257</v>
      </c>
      <c r="H840" s="1012">
        <v>6000000</v>
      </c>
      <c r="I840" s="1012">
        <v>1100000</v>
      </c>
      <c r="J840" s="1012">
        <v>0</v>
      </c>
      <c r="K840" s="1012">
        <v>1000000</v>
      </c>
      <c r="L840" s="1013">
        <f t="shared" si="173"/>
        <v>8100000</v>
      </c>
      <c r="M840" s="1014">
        <v>23</v>
      </c>
      <c r="N840" s="1013">
        <f t="shared" si="174"/>
        <v>7165385</v>
      </c>
      <c r="O840" s="1015">
        <v>2</v>
      </c>
      <c r="P840" s="1013">
        <f t="shared" si="175"/>
        <v>623077</v>
      </c>
      <c r="Q840" s="1016">
        <v>0</v>
      </c>
      <c r="R840" s="1013">
        <f t="shared" si="176"/>
        <v>0</v>
      </c>
      <c r="S840" s="1013">
        <f t="shared" si="177"/>
        <v>7788462</v>
      </c>
      <c r="T840" s="1017">
        <v>480769</v>
      </c>
      <c r="U840" s="785">
        <v>0</v>
      </c>
      <c r="V840" s="785">
        <v>200000</v>
      </c>
      <c r="W840" s="1017">
        <v>500000</v>
      </c>
      <c r="X840" s="1017">
        <v>0</v>
      </c>
      <c r="Y840" s="1017">
        <v>400000</v>
      </c>
      <c r="Z840" s="1017">
        <v>409478</v>
      </c>
      <c r="AA840" s="1018"/>
      <c r="AB840" s="1013"/>
      <c r="AC840" s="1017">
        <v>0</v>
      </c>
      <c r="AD840" s="1017">
        <v>0</v>
      </c>
      <c r="AE840" s="1013">
        <v>58413.46467391304</v>
      </c>
      <c r="AF840" s="1019"/>
      <c r="AG840" s="1019">
        <f t="shared" si="168"/>
        <v>9837122</v>
      </c>
      <c r="AH840" s="1014">
        <v>0</v>
      </c>
      <c r="AI840" s="1014">
        <v>0</v>
      </c>
      <c r="AJ840" s="1014">
        <v>0</v>
      </c>
      <c r="AK840" s="1018">
        <v>0</v>
      </c>
      <c r="AL840" s="1020">
        <v>0</v>
      </c>
      <c r="AM840" s="1013">
        <f t="shared" si="182"/>
        <v>0</v>
      </c>
      <c r="AN840" s="1045">
        <f t="shared" si="170"/>
        <v>9837122</v>
      </c>
      <c r="AO840" s="1013">
        <v>850500</v>
      </c>
      <c r="AP840" s="1013">
        <v>44100</v>
      </c>
      <c r="AQ840" s="1013">
        <v>0</v>
      </c>
      <c r="AR840" s="1013">
        <v>0</v>
      </c>
      <c r="AS840" s="1013">
        <v>0</v>
      </c>
      <c r="AT840" s="1045">
        <f t="shared" si="178"/>
        <v>8942522</v>
      </c>
      <c r="AU840" s="1004"/>
      <c r="AV840" s="870"/>
      <c r="AW840" s="782" t="s">
        <v>4912</v>
      </c>
      <c r="AX840" s="782" t="s">
        <v>4913</v>
      </c>
      <c r="AY840" s="1007" t="s">
        <v>221</v>
      </c>
      <c r="AZ840" s="1007">
        <v>627</v>
      </c>
      <c r="BA840" s="347" t="str">
        <f t="shared" si="181"/>
        <v>Bag</v>
      </c>
      <c r="BB840" s="1008"/>
      <c r="BC840" s="1009"/>
      <c r="BD840" s="1009"/>
    </row>
    <row r="841" spans="1:56" s="1010" customFormat="1" ht="36.75" customHeight="1">
      <c r="A841" s="661">
        <f>SUBTOTAL(3,B$6:B841)</f>
        <v>836</v>
      </c>
      <c r="B841" s="661" t="s">
        <v>2499</v>
      </c>
      <c r="C841" s="662" t="s">
        <v>2500</v>
      </c>
      <c r="D841" s="1011">
        <v>45554</v>
      </c>
      <c r="E841" s="1011" t="s">
        <v>221</v>
      </c>
      <c r="F841" s="787" t="s">
        <v>531</v>
      </c>
      <c r="G841" s="996" t="s">
        <v>2257</v>
      </c>
      <c r="H841" s="1012">
        <v>5523000</v>
      </c>
      <c r="I841" s="1012">
        <v>500000</v>
      </c>
      <c r="J841" s="1012">
        <v>0</v>
      </c>
      <c r="K841" s="1012">
        <v>0</v>
      </c>
      <c r="L841" s="1013">
        <f t="shared" si="173"/>
        <v>6023000</v>
      </c>
      <c r="M841" s="1014">
        <v>22.9</v>
      </c>
      <c r="N841" s="1013">
        <f t="shared" si="174"/>
        <v>5304873</v>
      </c>
      <c r="O841" s="1015">
        <v>3</v>
      </c>
      <c r="P841" s="1013">
        <f t="shared" si="175"/>
        <v>694962</v>
      </c>
      <c r="Q841" s="1016">
        <v>0</v>
      </c>
      <c r="R841" s="1013">
        <f t="shared" si="176"/>
        <v>0</v>
      </c>
      <c r="S841" s="1013">
        <f t="shared" si="177"/>
        <v>5999835</v>
      </c>
      <c r="T841" s="1017">
        <v>0</v>
      </c>
      <c r="U841" s="785">
        <v>0</v>
      </c>
      <c r="V841" s="785">
        <v>200000</v>
      </c>
      <c r="W841" s="1017">
        <v>500000</v>
      </c>
      <c r="X841" s="1017">
        <v>0</v>
      </c>
      <c r="Y841" s="1017">
        <v>400000</v>
      </c>
      <c r="Z841" s="1017">
        <v>407697</v>
      </c>
      <c r="AA841" s="1018"/>
      <c r="AB841" s="1013"/>
      <c r="AC841" s="1017">
        <v>0</v>
      </c>
      <c r="AD841" s="1017">
        <v>0</v>
      </c>
      <c r="AE841" s="1013">
        <v>0</v>
      </c>
      <c r="AF841" s="1019"/>
      <c r="AG841" s="1019">
        <f t="shared" si="168"/>
        <v>7507532</v>
      </c>
      <c r="AH841" s="1014">
        <v>43.5</v>
      </c>
      <c r="AI841" s="1014">
        <v>0</v>
      </c>
      <c r="AJ841" s="1014">
        <v>0</v>
      </c>
      <c r="AK841" s="1018">
        <v>0</v>
      </c>
      <c r="AL841" s="1020">
        <v>0</v>
      </c>
      <c r="AM841" s="1013">
        <f t="shared" si="182"/>
        <v>1889427</v>
      </c>
      <c r="AN841" s="1045">
        <f t="shared" si="170"/>
        <v>9396959</v>
      </c>
      <c r="AO841" s="1013">
        <v>632415</v>
      </c>
      <c r="AP841" s="1013">
        <v>44100</v>
      </c>
      <c r="AQ841" s="1013">
        <v>0</v>
      </c>
      <c r="AR841" s="1013">
        <v>0</v>
      </c>
      <c r="AS841" s="1013">
        <v>0</v>
      </c>
      <c r="AT841" s="1045">
        <f t="shared" si="178"/>
        <v>8720444</v>
      </c>
      <c r="AU841" s="1004"/>
      <c r="AV841" s="870"/>
      <c r="AW841" s="782" t="s">
        <v>4914</v>
      </c>
      <c r="AX841" s="782" t="s">
        <v>4915</v>
      </c>
      <c r="AY841" s="1007" t="s">
        <v>221</v>
      </c>
      <c r="AZ841" s="1007">
        <v>627</v>
      </c>
      <c r="BA841" s="347" t="str">
        <f t="shared" si="181"/>
        <v>Bag</v>
      </c>
      <c r="BB841" s="1008"/>
      <c r="BC841" s="1009"/>
      <c r="BD841" s="1009"/>
    </row>
    <row r="842" spans="1:56" s="1010" customFormat="1" ht="36.75" customHeight="1">
      <c r="A842" s="661">
        <f>SUBTOTAL(3,B$6:B842)</f>
        <v>837</v>
      </c>
      <c r="B842" s="661" t="s">
        <v>2501</v>
      </c>
      <c r="C842" s="662" t="s">
        <v>2502</v>
      </c>
      <c r="D842" s="1011">
        <v>40854</v>
      </c>
      <c r="E842" s="1011" t="s">
        <v>221</v>
      </c>
      <c r="F842" s="787" t="s">
        <v>531</v>
      </c>
      <c r="G842" s="996" t="s">
        <v>2208</v>
      </c>
      <c r="H842" s="1012">
        <v>5931000</v>
      </c>
      <c r="I842" s="1012">
        <v>900000</v>
      </c>
      <c r="J842" s="1012">
        <v>0</v>
      </c>
      <c r="K842" s="1012">
        <v>200000</v>
      </c>
      <c r="L842" s="1013">
        <f t="shared" si="173"/>
        <v>7031000</v>
      </c>
      <c r="M842" s="1014">
        <v>24</v>
      </c>
      <c r="N842" s="1013">
        <f t="shared" si="174"/>
        <v>6490154</v>
      </c>
      <c r="O842" s="1015">
        <v>2</v>
      </c>
      <c r="P842" s="1013">
        <f t="shared" si="175"/>
        <v>540846</v>
      </c>
      <c r="Q842" s="1016">
        <v>0</v>
      </c>
      <c r="R842" s="1013">
        <f t="shared" si="176"/>
        <v>0</v>
      </c>
      <c r="S842" s="1013">
        <f t="shared" si="177"/>
        <v>7031000</v>
      </c>
      <c r="T842" s="1017">
        <v>0</v>
      </c>
      <c r="U842" s="785">
        <v>0</v>
      </c>
      <c r="V842" s="785">
        <v>200000</v>
      </c>
      <c r="W842" s="1017">
        <v>500000</v>
      </c>
      <c r="X842" s="1017">
        <v>0</v>
      </c>
      <c r="Y842" s="1017">
        <v>400000</v>
      </c>
      <c r="Z842" s="1017">
        <v>427281</v>
      </c>
      <c r="AA842" s="1018"/>
      <c r="AB842" s="1013"/>
      <c r="AC842" s="1017">
        <v>0</v>
      </c>
      <c r="AD842" s="1017">
        <v>0</v>
      </c>
      <c r="AE842" s="1013">
        <v>50704.328125</v>
      </c>
      <c r="AF842" s="1019"/>
      <c r="AG842" s="1019">
        <f t="shared" si="168"/>
        <v>8608985</v>
      </c>
      <c r="AH842" s="1014">
        <v>48</v>
      </c>
      <c r="AI842" s="1014">
        <v>0</v>
      </c>
      <c r="AJ842" s="1014">
        <v>0</v>
      </c>
      <c r="AK842" s="1018">
        <v>0</v>
      </c>
      <c r="AL842" s="1020">
        <v>0</v>
      </c>
      <c r="AM842" s="1013">
        <f t="shared" si="182"/>
        <v>2433808</v>
      </c>
      <c r="AN842" s="1045">
        <f t="shared" si="170"/>
        <v>11042793</v>
      </c>
      <c r="AO842" s="1013">
        <v>738255</v>
      </c>
      <c r="AP842" s="1013">
        <v>44100</v>
      </c>
      <c r="AQ842" s="1013">
        <v>0</v>
      </c>
      <c r="AR842" s="1013">
        <v>0</v>
      </c>
      <c r="AS842" s="1013">
        <v>0</v>
      </c>
      <c r="AT842" s="1045">
        <f t="shared" si="178"/>
        <v>10260438</v>
      </c>
      <c r="AU842" s="1004"/>
      <c r="AV842" s="870"/>
      <c r="AW842" s="782" t="s">
        <v>4916</v>
      </c>
      <c r="AX842" s="782" t="s">
        <v>4917</v>
      </c>
      <c r="AY842" s="1007" t="s">
        <v>221</v>
      </c>
      <c r="AZ842" s="1007">
        <v>627</v>
      </c>
      <c r="BA842" s="347" t="str">
        <f t="shared" si="181"/>
        <v>Bag</v>
      </c>
      <c r="BB842" s="1008"/>
      <c r="BC842" s="1009"/>
      <c r="BD842" s="1009"/>
    </row>
    <row r="843" spans="1:56" s="1010" customFormat="1" ht="36.75" customHeight="1">
      <c r="A843" s="661">
        <f>SUBTOTAL(3,B$6:B843)</f>
        <v>838</v>
      </c>
      <c r="B843" s="661" t="s">
        <v>61</v>
      </c>
      <c r="C843" s="662" t="s">
        <v>164</v>
      </c>
      <c r="D843" s="1011">
        <v>41031</v>
      </c>
      <c r="E843" s="1011" t="s">
        <v>221</v>
      </c>
      <c r="F843" s="787" t="s">
        <v>531</v>
      </c>
      <c r="G843" s="996" t="s">
        <v>2503</v>
      </c>
      <c r="H843" s="1012">
        <v>14940000</v>
      </c>
      <c r="I843" s="1012">
        <v>15800000</v>
      </c>
      <c r="J843" s="1012">
        <v>0</v>
      </c>
      <c r="K843" s="1012">
        <v>0</v>
      </c>
      <c r="L843" s="1013">
        <f t="shared" si="173"/>
        <v>30740000</v>
      </c>
      <c r="M843" s="1014">
        <v>24</v>
      </c>
      <c r="N843" s="1013">
        <f t="shared" si="174"/>
        <v>28375385</v>
      </c>
      <c r="O843" s="1015">
        <v>2</v>
      </c>
      <c r="P843" s="1013">
        <f t="shared" si="175"/>
        <v>2364615</v>
      </c>
      <c r="Q843" s="1016">
        <v>0</v>
      </c>
      <c r="R843" s="1013">
        <f t="shared" si="176"/>
        <v>0</v>
      </c>
      <c r="S843" s="1013">
        <f t="shared" si="177"/>
        <v>30740000</v>
      </c>
      <c r="T843" s="1017">
        <v>200000</v>
      </c>
      <c r="U843" s="785">
        <v>0</v>
      </c>
      <c r="V843" s="785">
        <v>0</v>
      </c>
      <c r="W843" s="1017">
        <v>0</v>
      </c>
      <c r="X843" s="1017">
        <v>0</v>
      </c>
      <c r="Y843" s="1017">
        <v>0</v>
      </c>
      <c r="Z843" s="1017">
        <v>0</v>
      </c>
      <c r="AA843" s="1018"/>
      <c r="AB843" s="1013"/>
      <c r="AC843" s="1017">
        <v>0</v>
      </c>
      <c r="AD843" s="1017">
        <v>0</v>
      </c>
      <c r="AE843" s="1013">
        <v>0</v>
      </c>
      <c r="AF843" s="1019"/>
      <c r="AG843" s="1019">
        <f t="shared" si="168"/>
        <v>30940000</v>
      </c>
      <c r="AH843" s="1014">
        <v>0</v>
      </c>
      <c r="AI843" s="1014">
        <v>0</v>
      </c>
      <c r="AJ843" s="1014">
        <v>0</v>
      </c>
      <c r="AK843" s="1018">
        <v>0</v>
      </c>
      <c r="AL843" s="1020">
        <v>0</v>
      </c>
      <c r="AM843" s="1013">
        <f t="shared" si="182"/>
        <v>0</v>
      </c>
      <c r="AN843" s="1045">
        <f t="shared" si="170"/>
        <v>30940000</v>
      </c>
      <c r="AO843" s="1013">
        <v>3227700</v>
      </c>
      <c r="AP843" s="1013">
        <v>44100</v>
      </c>
      <c r="AQ843" s="1013">
        <v>170615</v>
      </c>
      <c r="AR843" s="1013">
        <v>0</v>
      </c>
      <c r="AS843" s="1013">
        <v>0</v>
      </c>
      <c r="AT843" s="1045">
        <f t="shared" si="178"/>
        <v>27497585</v>
      </c>
      <c r="AU843" s="1004"/>
      <c r="AV843" s="870"/>
      <c r="AW843" s="782" t="s">
        <v>4918</v>
      </c>
      <c r="AX843" s="782" t="s">
        <v>4919</v>
      </c>
      <c r="AY843" s="1007" t="s">
        <v>221</v>
      </c>
      <c r="AZ843" s="1007">
        <v>627</v>
      </c>
      <c r="BA843" s="347" t="s">
        <v>78</v>
      </c>
      <c r="BB843" s="1008"/>
      <c r="BC843" s="1009"/>
      <c r="BD843" s="1009"/>
    </row>
    <row r="844" spans="1:56" s="1010" customFormat="1" ht="36.75" customHeight="1">
      <c r="A844" s="661">
        <f>SUBTOTAL(3,B$6:B844)</f>
        <v>839</v>
      </c>
      <c r="B844" s="661" t="s">
        <v>2504</v>
      </c>
      <c r="C844" s="662" t="s">
        <v>2505</v>
      </c>
      <c r="D844" s="1011">
        <v>43517</v>
      </c>
      <c r="E844" s="1011" t="s">
        <v>221</v>
      </c>
      <c r="F844" s="787" t="s">
        <v>531</v>
      </c>
      <c r="G844" s="996" t="s">
        <v>2148</v>
      </c>
      <c r="H844" s="1012">
        <v>5931000</v>
      </c>
      <c r="I844" s="1012">
        <v>2100000</v>
      </c>
      <c r="J844" s="1012">
        <v>0</v>
      </c>
      <c r="K844" s="1012">
        <v>0</v>
      </c>
      <c r="L844" s="1013">
        <f t="shared" si="173"/>
        <v>8031000</v>
      </c>
      <c r="M844" s="1014">
        <v>23</v>
      </c>
      <c r="N844" s="1013">
        <f t="shared" si="174"/>
        <v>7104346</v>
      </c>
      <c r="O844" s="1015">
        <v>3</v>
      </c>
      <c r="P844" s="1013">
        <f t="shared" si="175"/>
        <v>926654</v>
      </c>
      <c r="Q844" s="1016">
        <v>0</v>
      </c>
      <c r="R844" s="1013">
        <f t="shared" si="176"/>
        <v>0</v>
      </c>
      <c r="S844" s="1013">
        <f t="shared" si="177"/>
        <v>8031000</v>
      </c>
      <c r="T844" s="1017">
        <v>0</v>
      </c>
      <c r="U844" s="785">
        <v>0</v>
      </c>
      <c r="V844" s="785">
        <v>200000</v>
      </c>
      <c r="W844" s="1017">
        <v>500000</v>
      </c>
      <c r="X844" s="1017">
        <v>0</v>
      </c>
      <c r="Y844" s="1017">
        <v>400000</v>
      </c>
      <c r="Z844" s="1017">
        <v>409478</v>
      </c>
      <c r="AA844" s="1018"/>
      <c r="AB844" s="1013"/>
      <c r="AC844" s="1017">
        <v>100000</v>
      </c>
      <c r="AD844" s="1017">
        <v>0</v>
      </c>
      <c r="AE844" s="1013">
        <v>0</v>
      </c>
      <c r="AF844" s="1019"/>
      <c r="AG844" s="1019">
        <f t="shared" si="168"/>
        <v>9640478</v>
      </c>
      <c r="AH844" s="1014">
        <v>44</v>
      </c>
      <c r="AI844" s="1014">
        <v>0</v>
      </c>
      <c r="AJ844" s="1014">
        <v>0</v>
      </c>
      <c r="AK844" s="1018">
        <v>0</v>
      </c>
      <c r="AL844" s="1020">
        <v>0</v>
      </c>
      <c r="AM844" s="1013">
        <f t="shared" si="182"/>
        <v>2548298</v>
      </c>
      <c r="AN844" s="1045">
        <f t="shared" si="170"/>
        <v>12188776</v>
      </c>
      <c r="AO844" s="1013">
        <v>843255</v>
      </c>
      <c r="AP844" s="1013">
        <v>44100</v>
      </c>
      <c r="AQ844" s="1013">
        <v>0</v>
      </c>
      <c r="AR844" s="1013">
        <v>0</v>
      </c>
      <c r="AS844" s="1013">
        <v>0</v>
      </c>
      <c r="AT844" s="1045">
        <f t="shared" si="178"/>
        <v>11301421</v>
      </c>
      <c r="AU844" s="1004"/>
      <c r="AV844" s="870"/>
      <c r="AW844" s="782" t="s">
        <v>4920</v>
      </c>
      <c r="AX844" s="782" t="s">
        <v>4921</v>
      </c>
      <c r="AY844" s="1007" t="s">
        <v>221</v>
      </c>
      <c r="AZ844" s="1007">
        <v>627</v>
      </c>
      <c r="BA844" s="347" t="str">
        <f t="shared" ref="BA844:BA849" si="183">+IF(AY844="SK1 Box","Box",IF(AY844="Seaman","Seaman","Bag"))</f>
        <v>Bag</v>
      </c>
      <c r="BB844" s="1008"/>
      <c r="BC844" s="1009"/>
      <c r="BD844" s="1009"/>
    </row>
    <row r="845" spans="1:56" s="1010" customFormat="1" ht="36.75" customHeight="1">
      <c r="A845" s="661">
        <f>SUBTOTAL(3,B$6:B845)</f>
        <v>840</v>
      </c>
      <c r="B845" s="661" t="s">
        <v>2506</v>
      </c>
      <c r="C845" s="662" t="s">
        <v>2507</v>
      </c>
      <c r="D845" s="1011">
        <v>43733</v>
      </c>
      <c r="E845" s="1011" t="s">
        <v>221</v>
      </c>
      <c r="F845" s="787" t="s">
        <v>532</v>
      </c>
      <c r="G845" s="996" t="s">
        <v>2316</v>
      </c>
      <c r="H845" s="1012">
        <v>5931000</v>
      </c>
      <c r="I845" s="1012">
        <v>5000000</v>
      </c>
      <c r="J845" s="1012">
        <v>298000</v>
      </c>
      <c r="K845" s="1012">
        <v>300000</v>
      </c>
      <c r="L845" s="1013">
        <f t="shared" si="173"/>
        <v>11529000</v>
      </c>
      <c r="M845" s="1014">
        <v>23.8</v>
      </c>
      <c r="N845" s="1013">
        <f t="shared" si="174"/>
        <v>10553469</v>
      </c>
      <c r="O845" s="1015">
        <v>2</v>
      </c>
      <c r="P845" s="1013">
        <f t="shared" si="175"/>
        <v>886846</v>
      </c>
      <c r="Q845" s="1016">
        <v>0</v>
      </c>
      <c r="R845" s="1013">
        <f t="shared" si="176"/>
        <v>0</v>
      </c>
      <c r="S845" s="1013">
        <f t="shared" si="177"/>
        <v>11440315</v>
      </c>
      <c r="T845" s="1017">
        <v>0</v>
      </c>
      <c r="U845" s="785">
        <v>0</v>
      </c>
      <c r="V845" s="785">
        <v>200000</v>
      </c>
      <c r="W845" s="1017">
        <v>500000</v>
      </c>
      <c r="X845" s="1017">
        <v>882000</v>
      </c>
      <c r="Y845" s="1017">
        <v>400000</v>
      </c>
      <c r="Z845" s="1017">
        <v>0</v>
      </c>
      <c r="AA845" s="1018"/>
      <c r="AB845" s="1013"/>
      <c r="AC845" s="1017">
        <v>0</v>
      </c>
      <c r="AD845" s="1017">
        <v>0</v>
      </c>
      <c r="AE845" s="1013">
        <v>0</v>
      </c>
      <c r="AF845" s="1019"/>
      <c r="AG845" s="1019">
        <f t="shared" si="168"/>
        <v>13422315</v>
      </c>
      <c r="AH845" s="1014">
        <v>16</v>
      </c>
      <c r="AI845" s="1014">
        <v>8</v>
      </c>
      <c r="AJ845" s="1014">
        <v>0</v>
      </c>
      <c r="AK845" s="1018">
        <v>0</v>
      </c>
      <c r="AL845" s="1020">
        <v>0</v>
      </c>
      <c r="AM845" s="1013">
        <f t="shared" si="182"/>
        <v>2217115</v>
      </c>
      <c r="AN845" s="1045">
        <f t="shared" si="170"/>
        <v>15639430</v>
      </c>
      <c r="AO845" s="1013">
        <v>1210545</v>
      </c>
      <c r="AP845" s="1013">
        <v>44100</v>
      </c>
      <c r="AQ845" s="1013">
        <v>132102</v>
      </c>
      <c r="AR845" s="1013">
        <v>0</v>
      </c>
      <c r="AS845" s="1013">
        <v>0</v>
      </c>
      <c r="AT845" s="1045">
        <f t="shared" si="178"/>
        <v>14252683</v>
      </c>
      <c r="AU845" s="1004"/>
      <c r="AV845" s="870"/>
      <c r="AW845" s="782" t="s">
        <v>4922</v>
      </c>
      <c r="AX845" s="782" t="s">
        <v>4923</v>
      </c>
      <c r="AY845" s="1007" t="s">
        <v>221</v>
      </c>
      <c r="AZ845" s="1007">
        <v>622</v>
      </c>
      <c r="BA845" s="347" t="str">
        <f t="shared" si="183"/>
        <v>Bag</v>
      </c>
      <c r="BB845" s="1008"/>
      <c r="BC845" s="1009"/>
      <c r="BD845" s="1009"/>
    </row>
    <row r="846" spans="1:56" s="1010" customFormat="1" ht="36.75" customHeight="1">
      <c r="A846" s="661">
        <f>SUBTOTAL(3,B$6:B846)</f>
        <v>841</v>
      </c>
      <c r="B846" s="661" t="s">
        <v>2508</v>
      </c>
      <c r="C846" s="662" t="s">
        <v>2509</v>
      </c>
      <c r="D846" s="1011">
        <v>44344</v>
      </c>
      <c r="E846" s="1011" t="s">
        <v>221</v>
      </c>
      <c r="F846" s="787" t="s">
        <v>532</v>
      </c>
      <c r="G846" s="996" t="s">
        <v>2316</v>
      </c>
      <c r="H846" s="1012">
        <v>7436000</v>
      </c>
      <c r="I846" s="1012">
        <v>4500000</v>
      </c>
      <c r="J846" s="1012">
        <v>372000</v>
      </c>
      <c r="K846" s="1012">
        <v>0</v>
      </c>
      <c r="L846" s="1013">
        <f t="shared" si="173"/>
        <v>12308000</v>
      </c>
      <c r="M846" s="1014">
        <v>23</v>
      </c>
      <c r="N846" s="1013">
        <f t="shared" si="174"/>
        <v>10887846</v>
      </c>
      <c r="O846" s="1015">
        <v>3</v>
      </c>
      <c r="P846" s="1013">
        <f t="shared" si="175"/>
        <v>1420154</v>
      </c>
      <c r="Q846" s="1016">
        <v>0</v>
      </c>
      <c r="R846" s="1013">
        <f t="shared" si="176"/>
        <v>0</v>
      </c>
      <c r="S846" s="1013">
        <f t="shared" si="177"/>
        <v>12308000</v>
      </c>
      <c r="T846" s="1017">
        <v>0</v>
      </c>
      <c r="U846" s="785">
        <v>0</v>
      </c>
      <c r="V846" s="785">
        <v>200000</v>
      </c>
      <c r="W846" s="1017">
        <v>500000</v>
      </c>
      <c r="X846" s="1017">
        <v>0</v>
      </c>
      <c r="Y846" s="1017">
        <v>400000</v>
      </c>
      <c r="Z846" s="1017">
        <v>0</v>
      </c>
      <c r="AA846" s="1018"/>
      <c r="AB846" s="1013"/>
      <c r="AC846" s="1017">
        <v>100000</v>
      </c>
      <c r="AD846" s="1017">
        <v>0</v>
      </c>
      <c r="AE846" s="1013">
        <v>0</v>
      </c>
      <c r="AF846" s="1019"/>
      <c r="AG846" s="1019">
        <f t="shared" si="168"/>
        <v>13508000</v>
      </c>
      <c r="AH846" s="1014">
        <v>32</v>
      </c>
      <c r="AI846" s="1014">
        <v>0</v>
      </c>
      <c r="AJ846" s="1014">
        <v>0</v>
      </c>
      <c r="AK846" s="1018">
        <v>0</v>
      </c>
      <c r="AL846" s="1020">
        <v>0</v>
      </c>
      <c r="AM846" s="1013">
        <f t="shared" si="182"/>
        <v>2840308</v>
      </c>
      <c r="AN846" s="1045">
        <f t="shared" si="170"/>
        <v>16348308</v>
      </c>
      <c r="AO846" s="1013">
        <v>1292340</v>
      </c>
      <c r="AP846" s="1013">
        <v>44100</v>
      </c>
      <c r="AQ846" s="1013">
        <v>0</v>
      </c>
      <c r="AR846" s="1013">
        <v>0</v>
      </c>
      <c r="AS846" s="1013">
        <v>0</v>
      </c>
      <c r="AT846" s="1045">
        <f t="shared" si="178"/>
        <v>15011868</v>
      </c>
      <c r="AU846" s="1004"/>
      <c r="AV846" s="870"/>
      <c r="AW846" s="782" t="s">
        <v>4924</v>
      </c>
      <c r="AX846" s="782" t="s">
        <v>4925</v>
      </c>
      <c r="AY846" s="1007" t="s">
        <v>221</v>
      </c>
      <c r="AZ846" s="1007">
        <v>622</v>
      </c>
      <c r="BA846" s="347" t="str">
        <f t="shared" si="183"/>
        <v>Bag</v>
      </c>
      <c r="BB846" s="1008"/>
      <c r="BC846" s="1009"/>
      <c r="BD846" s="1009"/>
    </row>
    <row r="847" spans="1:56" s="1010" customFormat="1" ht="36.75" customHeight="1">
      <c r="A847" s="661">
        <f>SUBTOTAL(3,B$6:B847)</f>
        <v>842</v>
      </c>
      <c r="B847" s="661" t="s">
        <v>2510</v>
      </c>
      <c r="C847" s="662" t="s">
        <v>2511</v>
      </c>
      <c r="D847" s="1011">
        <v>44599</v>
      </c>
      <c r="E847" s="1011" t="s">
        <v>221</v>
      </c>
      <c r="F847" s="787" t="s">
        <v>532</v>
      </c>
      <c r="G847" s="996" t="s">
        <v>2316</v>
      </c>
      <c r="H847" s="1012">
        <v>8322000</v>
      </c>
      <c r="I847" s="1012">
        <v>4500000</v>
      </c>
      <c r="J847" s="1012">
        <v>416000</v>
      </c>
      <c r="K847" s="1012">
        <v>0</v>
      </c>
      <c r="L847" s="1013">
        <f t="shared" si="173"/>
        <v>13238000</v>
      </c>
      <c r="M847" s="1014">
        <v>23</v>
      </c>
      <c r="N847" s="1013">
        <f t="shared" si="174"/>
        <v>11710538</v>
      </c>
      <c r="O847" s="1015">
        <v>3</v>
      </c>
      <c r="P847" s="1013">
        <f t="shared" si="175"/>
        <v>1527462</v>
      </c>
      <c r="Q847" s="1016">
        <v>0</v>
      </c>
      <c r="R847" s="1013">
        <f t="shared" si="176"/>
        <v>0</v>
      </c>
      <c r="S847" s="1013">
        <f t="shared" si="177"/>
        <v>13238000</v>
      </c>
      <c r="T847" s="1017">
        <v>0</v>
      </c>
      <c r="U847" s="785">
        <v>0</v>
      </c>
      <c r="V847" s="785">
        <v>200000</v>
      </c>
      <c r="W847" s="1017">
        <v>500000</v>
      </c>
      <c r="X847" s="1017">
        <v>0</v>
      </c>
      <c r="Y847" s="1017">
        <v>400000</v>
      </c>
      <c r="Z847" s="1017">
        <v>0</v>
      </c>
      <c r="AA847" s="1018"/>
      <c r="AB847" s="1013"/>
      <c r="AC847" s="1017">
        <v>0</v>
      </c>
      <c r="AD847" s="1017">
        <v>0</v>
      </c>
      <c r="AE847" s="1013">
        <v>0</v>
      </c>
      <c r="AF847" s="1019"/>
      <c r="AG847" s="1019">
        <f t="shared" si="168"/>
        <v>14338000</v>
      </c>
      <c r="AH847" s="1014">
        <v>26</v>
      </c>
      <c r="AI847" s="1014">
        <v>8</v>
      </c>
      <c r="AJ847" s="1014">
        <v>0</v>
      </c>
      <c r="AK847" s="1018">
        <v>0</v>
      </c>
      <c r="AL847" s="1020">
        <v>0</v>
      </c>
      <c r="AM847" s="1013">
        <f t="shared" si="182"/>
        <v>3500433</v>
      </c>
      <c r="AN847" s="1045">
        <f t="shared" si="170"/>
        <v>17838433</v>
      </c>
      <c r="AO847" s="1013">
        <v>1389990</v>
      </c>
      <c r="AP847" s="1013">
        <v>44100</v>
      </c>
      <c r="AQ847" s="1013">
        <v>0</v>
      </c>
      <c r="AR847" s="1013">
        <v>0</v>
      </c>
      <c r="AS847" s="1013">
        <v>0</v>
      </c>
      <c r="AT847" s="1045">
        <f t="shared" si="178"/>
        <v>16404343</v>
      </c>
      <c r="AU847" s="1004"/>
      <c r="AV847" s="870"/>
      <c r="AW847" s="782" t="s">
        <v>4926</v>
      </c>
      <c r="AX847" s="782" t="s">
        <v>4927</v>
      </c>
      <c r="AY847" s="1007" t="s">
        <v>221</v>
      </c>
      <c r="AZ847" s="1007">
        <v>622</v>
      </c>
      <c r="BA847" s="347" t="str">
        <f t="shared" si="183"/>
        <v>Bag</v>
      </c>
      <c r="BB847" s="1008"/>
      <c r="BC847" s="1009"/>
      <c r="BD847" s="1009"/>
    </row>
    <row r="848" spans="1:56" s="1010" customFormat="1" ht="36.75" customHeight="1">
      <c r="A848" s="661">
        <f>SUBTOTAL(3,B$6:B848)</f>
        <v>843</v>
      </c>
      <c r="B848" s="661" t="s">
        <v>2512</v>
      </c>
      <c r="C848" s="662" t="s">
        <v>2513</v>
      </c>
      <c r="D848" s="1011">
        <v>45502</v>
      </c>
      <c r="E848" s="1011" t="s">
        <v>221</v>
      </c>
      <c r="F848" s="787" t="s">
        <v>532</v>
      </c>
      <c r="G848" s="996" t="s">
        <v>2316</v>
      </c>
      <c r="H848" s="1012">
        <v>5274000</v>
      </c>
      <c r="I848" s="1012">
        <v>4000000</v>
      </c>
      <c r="J848" s="1012">
        <v>265000</v>
      </c>
      <c r="K848" s="1012">
        <v>0</v>
      </c>
      <c r="L848" s="1013">
        <f t="shared" si="173"/>
        <v>9539000</v>
      </c>
      <c r="M848" s="1014">
        <v>22.3</v>
      </c>
      <c r="N848" s="1013">
        <f t="shared" si="174"/>
        <v>8181527</v>
      </c>
      <c r="O848" s="1015">
        <v>3</v>
      </c>
      <c r="P848" s="1013">
        <f t="shared" si="175"/>
        <v>1100654</v>
      </c>
      <c r="Q848" s="1016">
        <v>0</v>
      </c>
      <c r="R848" s="1013">
        <f t="shared" si="176"/>
        <v>0</v>
      </c>
      <c r="S848" s="1013">
        <f t="shared" si="177"/>
        <v>9282181</v>
      </c>
      <c r="T848" s="1017">
        <v>0</v>
      </c>
      <c r="U848" s="785">
        <v>0</v>
      </c>
      <c r="V848" s="785">
        <v>200000</v>
      </c>
      <c r="W848" s="1017">
        <v>0</v>
      </c>
      <c r="X848" s="1017">
        <v>0</v>
      </c>
      <c r="Y848" s="1017">
        <v>400000</v>
      </c>
      <c r="Z848" s="1017">
        <v>0</v>
      </c>
      <c r="AA848" s="1018"/>
      <c r="AB848" s="1013"/>
      <c r="AC848" s="1017">
        <v>100000</v>
      </c>
      <c r="AD848" s="1017">
        <v>0</v>
      </c>
      <c r="AE848" s="1013">
        <v>0</v>
      </c>
      <c r="AF848" s="1019"/>
      <c r="AG848" s="1019">
        <f t="shared" si="168"/>
        <v>9982181</v>
      </c>
      <c r="AH848" s="1014">
        <v>24</v>
      </c>
      <c r="AI848" s="1014">
        <v>0</v>
      </c>
      <c r="AJ848" s="1014">
        <v>0</v>
      </c>
      <c r="AK848" s="1018">
        <v>0</v>
      </c>
      <c r="AL848" s="1020">
        <v>0</v>
      </c>
      <c r="AM848" s="1013">
        <f t="shared" si="182"/>
        <v>1650981</v>
      </c>
      <c r="AN848" s="1045">
        <f t="shared" si="170"/>
        <v>11633162</v>
      </c>
      <c r="AO848" s="1013">
        <v>1001595</v>
      </c>
      <c r="AP848" s="1013">
        <v>44100</v>
      </c>
      <c r="AQ848" s="1013">
        <v>0</v>
      </c>
      <c r="AR848" s="1013">
        <v>0</v>
      </c>
      <c r="AS848" s="1013">
        <v>0</v>
      </c>
      <c r="AT848" s="1045">
        <f t="shared" si="178"/>
        <v>10587467</v>
      </c>
      <c r="AU848" s="1004"/>
      <c r="AV848" s="870"/>
      <c r="AW848" s="782" t="s">
        <v>4928</v>
      </c>
      <c r="AX848" s="782" t="s">
        <v>4929</v>
      </c>
      <c r="AY848" s="1007" t="s">
        <v>221</v>
      </c>
      <c r="AZ848" s="1007">
        <v>622</v>
      </c>
      <c r="BA848" s="347" t="str">
        <f t="shared" si="183"/>
        <v>Bag</v>
      </c>
      <c r="BB848" s="1008"/>
      <c r="BC848" s="1009"/>
      <c r="BD848" s="1009"/>
    </row>
    <row r="849" spans="1:56" s="1010" customFormat="1" ht="36.75" customHeight="1">
      <c r="A849" s="661">
        <f>SUBTOTAL(3,B$6:B849)</f>
        <v>844</v>
      </c>
      <c r="B849" s="661" t="s">
        <v>54</v>
      </c>
      <c r="C849" s="662" t="s">
        <v>165</v>
      </c>
      <c r="D849" s="1011">
        <v>39529</v>
      </c>
      <c r="E849" s="1011" t="s">
        <v>221</v>
      </c>
      <c r="F849" s="787" t="s">
        <v>532</v>
      </c>
      <c r="G849" s="996" t="s">
        <v>2514</v>
      </c>
      <c r="H849" s="1012">
        <v>10118000</v>
      </c>
      <c r="I849" s="1012">
        <v>7000000</v>
      </c>
      <c r="J849" s="1012">
        <v>506000</v>
      </c>
      <c r="K849" s="1012">
        <v>0</v>
      </c>
      <c r="L849" s="1013">
        <f t="shared" si="173"/>
        <v>17624000</v>
      </c>
      <c r="M849" s="1014">
        <v>22.4</v>
      </c>
      <c r="N849" s="1013">
        <f t="shared" si="174"/>
        <v>15183754</v>
      </c>
      <c r="O849" s="1015">
        <v>3</v>
      </c>
      <c r="P849" s="1013">
        <f t="shared" si="175"/>
        <v>2033538</v>
      </c>
      <c r="Q849" s="1016">
        <v>0</v>
      </c>
      <c r="R849" s="1013">
        <f t="shared" si="176"/>
        <v>0</v>
      </c>
      <c r="S849" s="1013">
        <f t="shared" si="177"/>
        <v>17217292</v>
      </c>
      <c r="T849" s="1017">
        <v>0</v>
      </c>
      <c r="U849" s="785">
        <v>0</v>
      </c>
      <c r="V849" s="785">
        <v>200000</v>
      </c>
      <c r="W849" s="1017">
        <v>0</v>
      </c>
      <c r="X849" s="1017">
        <v>0</v>
      </c>
      <c r="Y849" s="1017">
        <v>400000</v>
      </c>
      <c r="Z849" s="1017">
        <v>0</v>
      </c>
      <c r="AA849" s="1018"/>
      <c r="AB849" s="1013"/>
      <c r="AC849" s="1017">
        <v>100000</v>
      </c>
      <c r="AD849" s="1017">
        <v>0</v>
      </c>
      <c r="AE849" s="1013">
        <v>0</v>
      </c>
      <c r="AF849" s="1019"/>
      <c r="AG849" s="1019">
        <f t="shared" ref="AG849:AG912" si="184">ROUND(SUM(S849:AF849)-AA849,0)</f>
        <v>17917292</v>
      </c>
      <c r="AH849" s="1014">
        <v>19.5</v>
      </c>
      <c r="AI849" s="1014">
        <v>0</v>
      </c>
      <c r="AJ849" s="1014">
        <v>0</v>
      </c>
      <c r="AK849" s="1018">
        <v>0</v>
      </c>
      <c r="AL849" s="1020">
        <v>0</v>
      </c>
      <c r="AM849" s="1013">
        <f t="shared" si="182"/>
        <v>2478375</v>
      </c>
      <c r="AN849" s="1045">
        <f t="shared" si="170"/>
        <v>20395667</v>
      </c>
      <c r="AO849" s="1013">
        <v>1850520</v>
      </c>
      <c r="AP849" s="1013">
        <v>44100</v>
      </c>
      <c r="AQ849" s="1013">
        <v>0</v>
      </c>
      <c r="AR849" s="1013">
        <v>0</v>
      </c>
      <c r="AS849" s="1013">
        <v>0</v>
      </c>
      <c r="AT849" s="1045">
        <f t="shared" si="178"/>
        <v>18501047</v>
      </c>
      <c r="AU849" s="1004"/>
      <c r="AV849" s="870"/>
      <c r="AW849" s="782" t="s">
        <v>4930</v>
      </c>
      <c r="AX849" s="782" t="s">
        <v>4931</v>
      </c>
      <c r="AY849" s="1007" t="s">
        <v>221</v>
      </c>
      <c r="AZ849" s="1007">
        <v>622</v>
      </c>
      <c r="BA849" s="347" t="str">
        <f t="shared" si="183"/>
        <v>Bag</v>
      </c>
      <c r="BB849" s="1008"/>
      <c r="BC849" s="1009"/>
      <c r="BD849" s="1009"/>
    </row>
    <row r="850" spans="1:56" s="1010" customFormat="1" ht="36.75" customHeight="1">
      <c r="A850" s="661">
        <f>SUBTOTAL(3,B$6:B850)</f>
        <v>845</v>
      </c>
      <c r="B850" s="661" t="s">
        <v>2515</v>
      </c>
      <c r="C850" s="662" t="s">
        <v>2516</v>
      </c>
      <c r="D850" s="1011">
        <v>43892</v>
      </c>
      <c r="E850" s="1011" t="s">
        <v>221</v>
      </c>
      <c r="F850" s="787" t="s">
        <v>547</v>
      </c>
      <c r="G850" s="996" t="s">
        <v>2334</v>
      </c>
      <c r="H850" s="1012">
        <v>10700000</v>
      </c>
      <c r="I850" s="1012">
        <v>3500000</v>
      </c>
      <c r="J850" s="1012">
        <v>0</v>
      </c>
      <c r="K850" s="1012">
        <v>0</v>
      </c>
      <c r="L850" s="1013">
        <f t="shared" si="173"/>
        <v>14200000</v>
      </c>
      <c r="M850" s="1014">
        <v>23</v>
      </c>
      <c r="N850" s="1013">
        <f t="shared" si="174"/>
        <v>12561538</v>
      </c>
      <c r="O850" s="1015">
        <v>2</v>
      </c>
      <c r="P850" s="1013">
        <f t="shared" si="175"/>
        <v>1092308</v>
      </c>
      <c r="Q850" s="1016">
        <v>0</v>
      </c>
      <c r="R850" s="1013">
        <f t="shared" si="176"/>
        <v>0</v>
      </c>
      <c r="S850" s="1013">
        <f t="shared" si="177"/>
        <v>13653846</v>
      </c>
      <c r="T850" s="1017">
        <v>480769</v>
      </c>
      <c r="U850" s="785">
        <v>0</v>
      </c>
      <c r="V850" s="785">
        <v>0</v>
      </c>
      <c r="W850" s="1017">
        <v>0</v>
      </c>
      <c r="X850" s="1017">
        <v>0</v>
      </c>
      <c r="Y850" s="1017">
        <v>0</v>
      </c>
      <c r="Z850" s="1017">
        <v>0</v>
      </c>
      <c r="AA850" s="1018"/>
      <c r="AB850" s="1013"/>
      <c r="AC850" s="1017">
        <v>100000</v>
      </c>
      <c r="AD850" s="1017">
        <v>0</v>
      </c>
      <c r="AE850" s="1013">
        <v>102403.84239130435</v>
      </c>
      <c r="AF850" s="1019"/>
      <c r="AG850" s="1019">
        <f t="shared" si="184"/>
        <v>14337019</v>
      </c>
      <c r="AH850" s="1014">
        <v>0</v>
      </c>
      <c r="AI850" s="1014">
        <v>0</v>
      </c>
      <c r="AJ850" s="1014">
        <v>0</v>
      </c>
      <c r="AK850" s="1018">
        <v>0</v>
      </c>
      <c r="AL850" s="1020">
        <v>0</v>
      </c>
      <c r="AM850" s="1013">
        <f t="shared" si="182"/>
        <v>0</v>
      </c>
      <c r="AN850" s="1045">
        <f t="shared" si="170"/>
        <v>14337019</v>
      </c>
      <c r="AO850" s="1013">
        <v>1491000</v>
      </c>
      <c r="AP850" s="1013">
        <v>44100</v>
      </c>
      <c r="AQ850" s="1013">
        <v>0</v>
      </c>
      <c r="AR850" s="1013">
        <v>0</v>
      </c>
      <c r="AS850" s="1013">
        <v>0</v>
      </c>
      <c r="AT850" s="1045">
        <f t="shared" si="178"/>
        <v>12801919</v>
      </c>
      <c r="AU850" s="1004"/>
      <c r="AV850" s="870"/>
      <c r="AW850" s="782" t="s">
        <v>4932</v>
      </c>
      <c r="AX850" s="782" t="s">
        <v>4933</v>
      </c>
      <c r="AY850" s="1007" t="s">
        <v>221</v>
      </c>
      <c r="AZ850" s="1007">
        <v>642</v>
      </c>
      <c r="BA850" s="347" t="s">
        <v>1</v>
      </c>
      <c r="BB850" s="1008"/>
      <c r="BC850" s="1009"/>
      <c r="BD850" s="1009"/>
    </row>
    <row r="851" spans="1:56" s="1010" customFormat="1" ht="36.75" customHeight="1">
      <c r="A851" s="661">
        <f>SUBTOTAL(3,B$6:B851)</f>
        <v>846</v>
      </c>
      <c r="B851" s="661" t="s">
        <v>2517</v>
      </c>
      <c r="C851" s="662" t="s">
        <v>1313</v>
      </c>
      <c r="D851" s="1011">
        <v>44956</v>
      </c>
      <c r="E851" s="1011" t="s">
        <v>221</v>
      </c>
      <c r="F851" s="787" t="s">
        <v>547</v>
      </c>
      <c r="G851" s="996" t="s">
        <v>2334</v>
      </c>
      <c r="H851" s="1012">
        <v>9800000</v>
      </c>
      <c r="I851" s="1012">
        <v>4500000</v>
      </c>
      <c r="J851" s="1012">
        <v>0</v>
      </c>
      <c r="K851" s="1012">
        <v>0</v>
      </c>
      <c r="L851" s="1013">
        <f t="shared" si="173"/>
        <v>14300000</v>
      </c>
      <c r="M851" s="1014">
        <v>24</v>
      </c>
      <c r="N851" s="1013">
        <f t="shared" si="174"/>
        <v>13200000</v>
      </c>
      <c r="O851" s="1015">
        <v>2</v>
      </c>
      <c r="P851" s="1013">
        <f t="shared" si="175"/>
        <v>1100000</v>
      </c>
      <c r="Q851" s="1016">
        <v>0</v>
      </c>
      <c r="R851" s="1013">
        <f t="shared" si="176"/>
        <v>0</v>
      </c>
      <c r="S851" s="1013">
        <f t="shared" si="177"/>
        <v>14300000</v>
      </c>
      <c r="T851" s="1017">
        <v>500000</v>
      </c>
      <c r="U851" s="785">
        <v>0</v>
      </c>
      <c r="V851" s="785">
        <v>0</v>
      </c>
      <c r="W851" s="1017">
        <v>0</v>
      </c>
      <c r="X851" s="1017">
        <v>0</v>
      </c>
      <c r="Y851" s="1017">
        <v>0</v>
      </c>
      <c r="Z851" s="1017">
        <v>0</v>
      </c>
      <c r="AA851" s="1018"/>
      <c r="AB851" s="1013"/>
      <c r="AC851" s="1017">
        <v>100000</v>
      </c>
      <c r="AD851" s="1017">
        <v>0</v>
      </c>
      <c r="AE851" s="1013">
        <v>103125</v>
      </c>
      <c r="AF851" s="1019"/>
      <c r="AG851" s="1019">
        <f t="shared" si="184"/>
        <v>15003125</v>
      </c>
      <c r="AH851" s="1014">
        <v>0</v>
      </c>
      <c r="AI851" s="1014">
        <v>0</v>
      </c>
      <c r="AJ851" s="1014">
        <v>0</v>
      </c>
      <c r="AK851" s="1018">
        <v>0</v>
      </c>
      <c r="AL851" s="1020">
        <v>0</v>
      </c>
      <c r="AM851" s="1013">
        <f t="shared" si="182"/>
        <v>0</v>
      </c>
      <c r="AN851" s="1045">
        <f t="shared" si="170"/>
        <v>15003125</v>
      </c>
      <c r="AO851" s="1013">
        <v>1501500</v>
      </c>
      <c r="AP851" s="1013">
        <v>44100</v>
      </c>
      <c r="AQ851" s="1013">
        <v>0</v>
      </c>
      <c r="AR851" s="1013">
        <v>0</v>
      </c>
      <c r="AS851" s="1013">
        <v>0</v>
      </c>
      <c r="AT851" s="1045">
        <f t="shared" si="178"/>
        <v>13457525</v>
      </c>
      <c r="AU851" s="1004"/>
      <c r="AV851" s="870"/>
      <c r="AW851" s="782" t="s">
        <v>3825</v>
      </c>
      <c r="AX851" s="782" t="s">
        <v>4934</v>
      </c>
      <c r="AY851" s="1007" t="s">
        <v>221</v>
      </c>
      <c r="AZ851" s="1007">
        <v>642</v>
      </c>
      <c r="BA851" s="347" t="s">
        <v>1</v>
      </c>
      <c r="BB851" s="1008"/>
      <c r="BC851" s="1009"/>
      <c r="BD851" s="1009"/>
    </row>
    <row r="852" spans="1:56" s="1010" customFormat="1" ht="36.75" customHeight="1">
      <c r="A852" s="661">
        <f>SUBTOTAL(3,B$6:B852)</f>
        <v>847</v>
      </c>
      <c r="B852" s="661" t="s">
        <v>2518</v>
      </c>
      <c r="C852" s="662" t="s">
        <v>2519</v>
      </c>
      <c r="D852" s="1011">
        <v>45110</v>
      </c>
      <c r="E852" s="1011" t="s">
        <v>221</v>
      </c>
      <c r="F852" s="787" t="s">
        <v>547</v>
      </c>
      <c r="G852" s="996" t="s">
        <v>2520</v>
      </c>
      <c r="H852" s="1012">
        <v>8500000</v>
      </c>
      <c r="I852" s="1012">
        <v>3500000</v>
      </c>
      <c r="J852" s="1012">
        <v>0</v>
      </c>
      <c r="K852" s="1012">
        <v>0</v>
      </c>
      <c r="L852" s="1013">
        <f t="shared" si="173"/>
        <v>12000000</v>
      </c>
      <c r="M852" s="1014">
        <v>21.6</v>
      </c>
      <c r="N852" s="1013">
        <f t="shared" si="174"/>
        <v>9969231</v>
      </c>
      <c r="O852" s="1015">
        <v>2</v>
      </c>
      <c r="P852" s="1013">
        <f t="shared" si="175"/>
        <v>923077</v>
      </c>
      <c r="Q852" s="1016">
        <v>0</v>
      </c>
      <c r="R852" s="1013">
        <f t="shared" si="176"/>
        <v>0</v>
      </c>
      <c r="S852" s="1013">
        <f t="shared" si="177"/>
        <v>10892308</v>
      </c>
      <c r="T852" s="1017">
        <v>453846</v>
      </c>
      <c r="U852" s="785">
        <v>0</v>
      </c>
      <c r="V852" s="785">
        <v>0</v>
      </c>
      <c r="W852" s="1017">
        <v>0</v>
      </c>
      <c r="X852" s="1017">
        <v>0</v>
      </c>
      <c r="Y852" s="1017">
        <v>0</v>
      </c>
      <c r="Z852" s="1017">
        <v>0</v>
      </c>
      <c r="AA852" s="1018"/>
      <c r="AB852" s="1013"/>
      <c r="AC852" s="1017">
        <v>0</v>
      </c>
      <c r="AD852" s="1017">
        <v>0</v>
      </c>
      <c r="AE852" s="1013">
        <v>86538.463541666657</v>
      </c>
      <c r="AF852" s="1019"/>
      <c r="AG852" s="1019">
        <f t="shared" si="184"/>
        <v>11432692</v>
      </c>
      <c r="AH852" s="1014">
        <v>0</v>
      </c>
      <c r="AI852" s="1014">
        <v>0</v>
      </c>
      <c r="AJ852" s="1014">
        <v>0</v>
      </c>
      <c r="AK852" s="1018">
        <v>0</v>
      </c>
      <c r="AL852" s="1020">
        <v>0</v>
      </c>
      <c r="AM852" s="1013">
        <f t="shared" si="182"/>
        <v>0</v>
      </c>
      <c r="AN852" s="1045">
        <f t="shared" si="170"/>
        <v>11432692</v>
      </c>
      <c r="AO852" s="1013">
        <v>1260000</v>
      </c>
      <c r="AP852" s="1013">
        <v>44100</v>
      </c>
      <c r="AQ852" s="1013">
        <v>0</v>
      </c>
      <c r="AR852" s="1013">
        <v>0</v>
      </c>
      <c r="AS852" s="1013">
        <v>0</v>
      </c>
      <c r="AT852" s="1045">
        <f t="shared" si="178"/>
        <v>10128592</v>
      </c>
      <c r="AU852" s="1004"/>
      <c r="AV852" s="870"/>
      <c r="AW852" s="782" t="s">
        <v>4935</v>
      </c>
      <c r="AX852" s="782" t="s">
        <v>4936</v>
      </c>
      <c r="AY852" s="1007" t="s">
        <v>221</v>
      </c>
      <c r="AZ852" s="1007">
        <v>642</v>
      </c>
      <c r="BA852" s="347" t="s">
        <v>1</v>
      </c>
      <c r="BB852" s="1008"/>
      <c r="BC852" s="1009"/>
      <c r="BD852" s="1009"/>
    </row>
    <row r="853" spans="1:56" s="1010" customFormat="1" ht="36.75" customHeight="1">
      <c r="A853" s="661">
        <f>SUBTOTAL(3,B$6:B853)</f>
        <v>848</v>
      </c>
      <c r="B853" s="661" t="s">
        <v>2521</v>
      </c>
      <c r="C853" s="662" t="s">
        <v>2522</v>
      </c>
      <c r="D853" s="1011">
        <v>45551</v>
      </c>
      <c r="E853" s="1011" t="s">
        <v>221</v>
      </c>
      <c r="F853" s="787" t="s">
        <v>547</v>
      </c>
      <c r="G853" s="996" t="s">
        <v>2520</v>
      </c>
      <c r="H853" s="1012">
        <v>8500000</v>
      </c>
      <c r="I853" s="1012">
        <v>2000000</v>
      </c>
      <c r="J853" s="1012">
        <v>0</v>
      </c>
      <c r="K853" s="1012">
        <v>0</v>
      </c>
      <c r="L853" s="1013">
        <f t="shared" si="173"/>
        <v>10500000</v>
      </c>
      <c r="M853" s="1014">
        <v>23.8</v>
      </c>
      <c r="N853" s="1013">
        <f t="shared" si="174"/>
        <v>9611538</v>
      </c>
      <c r="O853" s="1015">
        <v>2</v>
      </c>
      <c r="P853" s="1013">
        <f t="shared" si="175"/>
        <v>807692</v>
      </c>
      <c r="Q853" s="1016">
        <v>0</v>
      </c>
      <c r="R853" s="1013">
        <f t="shared" si="176"/>
        <v>0</v>
      </c>
      <c r="S853" s="1013">
        <f t="shared" si="177"/>
        <v>10419230</v>
      </c>
      <c r="T853" s="1017">
        <v>496154</v>
      </c>
      <c r="U853" s="785">
        <v>0</v>
      </c>
      <c r="V853" s="785">
        <v>0</v>
      </c>
      <c r="W853" s="1017">
        <v>0</v>
      </c>
      <c r="X853" s="1017">
        <v>0</v>
      </c>
      <c r="Y853" s="1017">
        <v>0</v>
      </c>
      <c r="Z853" s="1017">
        <v>0</v>
      </c>
      <c r="AA853" s="1018"/>
      <c r="AB853" s="1013"/>
      <c r="AC853" s="1017">
        <v>0</v>
      </c>
      <c r="AD853" s="1017">
        <v>0</v>
      </c>
      <c r="AE853" s="1013">
        <v>75721.15021008403</v>
      </c>
      <c r="AF853" s="1019"/>
      <c r="AG853" s="1019">
        <f t="shared" si="184"/>
        <v>10991105</v>
      </c>
      <c r="AH853" s="1014">
        <v>0</v>
      </c>
      <c r="AI853" s="1014">
        <v>0</v>
      </c>
      <c r="AJ853" s="1014">
        <v>0</v>
      </c>
      <c r="AK853" s="1018">
        <v>0</v>
      </c>
      <c r="AL853" s="1020">
        <v>0</v>
      </c>
      <c r="AM853" s="1013">
        <f t="shared" si="182"/>
        <v>0</v>
      </c>
      <c r="AN853" s="1045">
        <f t="shared" si="170"/>
        <v>10991105</v>
      </c>
      <c r="AO853" s="1013">
        <v>1102500</v>
      </c>
      <c r="AP853" s="1013">
        <v>44100</v>
      </c>
      <c r="AQ853" s="1013">
        <v>0</v>
      </c>
      <c r="AR853" s="1013">
        <v>0</v>
      </c>
      <c r="AS853" s="1013">
        <v>0</v>
      </c>
      <c r="AT853" s="1045">
        <f t="shared" si="178"/>
        <v>9844505</v>
      </c>
      <c r="AU853" s="1004"/>
      <c r="AV853" s="870"/>
      <c r="AW853" s="782" t="s">
        <v>4937</v>
      </c>
      <c r="AX853" s="782" t="s">
        <v>4938</v>
      </c>
      <c r="AY853" s="1007" t="s">
        <v>221</v>
      </c>
      <c r="AZ853" s="1007">
        <v>642</v>
      </c>
      <c r="BA853" s="347" t="s">
        <v>1</v>
      </c>
      <c r="BB853" s="1008"/>
      <c r="BC853" s="1009"/>
      <c r="BD853" s="1009"/>
    </row>
    <row r="854" spans="1:56" s="1010" customFormat="1" ht="36.75" customHeight="1">
      <c r="A854" s="661">
        <f>SUBTOTAL(3,B$6:B854)</f>
        <v>849</v>
      </c>
      <c r="B854" s="661" t="s">
        <v>2523</v>
      </c>
      <c r="C854" s="662" t="s">
        <v>2524</v>
      </c>
      <c r="D854" s="1011">
        <v>41428</v>
      </c>
      <c r="E854" s="1011" t="s">
        <v>221</v>
      </c>
      <c r="F854" s="787" t="s">
        <v>547</v>
      </c>
      <c r="G854" s="996" t="s">
        <v>2331</v>
      </c>
      <c r="H854" s="1012">
        <v>17700000</v>
      </c>
      <c r="I854" s="1012">
        <v>9300000</v>
      </c>
      <c r="J854" s="1012">
        <v>0</v>
      </c>
      <c r="K854" s="1012">
        <v>0</v>
      </c>
      <c r="L854" s="1013">
        <f t="shared" si="173"/>
        <v>27000000</v>
      </c>
      <c r="M854" s="1014">
        <v>24</v>
      </c>
      <c r="N854" s="1013">
        <f t="shared" si="174"/>
        <v>24923077</v>
      </c>
      <c r="O854" s="1015">
        <v>2</v>
      </c>
      <c r="P854" s="1013">
        <f t="shared" si="175"/>
        <v>2076923</v>
      </c>
      <c r="Q854" s="1016">
        <v>0</v>
      </c>
      <c r="R854" s="1013">
        <f t="shared" si="176"/>
        <v>0</v>
      </c>
      <c r="S854" s="1013">
        <f t="shared" si="177"/>
        <v>27000000</v>
      </c>
      <c r="T854" s="1017">
        <v>500000</v>
      </c>
      <c r="U854" s="785">
        <v>0</v>
      </c>
      <c r="V854" s="785">
        <v>0</v>
      </c>
      <c r="W854" s="1017">
        <v>0</v>
      </c>
      <c r="X854" s="1017">
        <v>0</v>
      </c>
      <c r="Y854" s="1017">
        <v>0</v>
      </c>
      <c r="Z854" s="1017">
        <v>0</v>
      </c>
      <c r="AA854" s="1018"/>
      <c r="AB854" s="1013"/>
      <c r="AC854" s="1017">
        <v>100000</v>
      </c>
      <c r="AD854" s="1017">
        <v>0</v>
      </c>
      <c r="AE854" s="1013">
        <v>194711.5390625</v>
      </c>
      <c r="AF854" s="1019"/>
      <c r="AG854" s="1019">
        <f t="shared" si="184"/>
        <v>27794712</v>
      </c>
      <c r="AH854" s="1014">
        <v>0</v>
      </c>
      <c r="AI854" s="1014">
        <v>0</v>
      </c>
      <c r="AJ854" s="1014">
        <v>0</v>
      </c>
      <c r="AK854" s="1018">
        <v>0</v>
      </c>
      <c r="AL854" s="1020">
        <v>0</v>
      </c>
      <c r="AM854" s="1013">
        <f t="shared" si="182"/>
        <v>0</v>
      </c>
      <c r="AN854" s="1045">
        <f t="shared" si="170"/>
        <v>27794712</v>
      </c>
      <c r="AO854" s="1013">
        <v>2835000</v>
      </c>
      <c r="AP854" s="1013">
        <v>44100</v>
      </c>
      <c r="AQ854" s="1013">
        <v>237986</v>
      </c>
      <c r="AR854" s="1013">
        <v>0</v>
      </c>
      <c r="AS854" s="1013">
        <v>0</v>
      </c>
      <c r="AT854" s="1045">
        <f t="shared" si="178"/>
        <v>24677626</v>
      </c>
      <c r="AU854" s="1004"/>
      <c r="AV854" s="870"/>
      <c r="AW854" s="782" t="s">
        <v>4939</v>
      </c>
      <c r="AX854" s="782" t="s">
        <v>4940</v>
      </c>
      <c r="AY854" s="1007" t="s">
        <v>221</v>
      </c>
      <c r="AZ854" s="1007">
        <v>642</v>
      </c>
      <c r="BA854" s="347" t="s">
        <v>78</v>
      </c>
      <c r="BB854" s="1008"/>
      <c r="BC854" s="1009"/>
      <c r="BD854" s="1009"/>
    </row>
    <row r="855" spans="1:56" s="1010" customFormat="1" ht="36.75" customHeight="1">
      <c r="A855" s="661">
        <f>SUBTOTAL(3,B$6:B855)</f>
        <v>850</v>
      </c>
      <c r="B855" s="661" t="s">
        <v>2525</v>
      </c>
      <c r="C855" s="662" t="s">
        <v>2526</v>
      </c>
      <c r="D855" s="1011">
        <v>43206</v>
      </c>
      <c r="E855" s="1011" t="s">
        <v>221</v>
      </c>
      <c r="F855" s="787" t="s">
        <v>547</v>
      </c>
      <c r="G855" s="996" t="s">
        <v>2334</v>
      </c>
      <c r="H855" s="1012">
        <v>11800000</v>
      </c>
      <c r="I855" s="1012">
        <v>4300000</v>
      </c>
      <c r="J855" s="1012">
        <v>0</v>
      </c>
      <c r="K855" s="1012">
        <v>0</v>
      </c>
      <c r="L855" s="1013">
        <f t="shared" si="173"/>
        <v>16100000</v>
      </c>
      <c r="M855" s="1014">
        <v>20</v>
      </c>
      <c r="N855" s="1013">
        <f t="shared" si="174"/>
        <v>12384615</v>
      </c>
      <c r="O855" s="1015">
        <v>2</v>
      </c>
      <c r="P855" s="1013">
        <f t="shared" si="175"/>
        <v>1238462</v>
      </c>
      <c r="Q855" s="1016">
        <v>0</v>
      </c>
      <c r="R855" s="1013">
        <f t="shared" si="176"/>
        <v>0</v>
      </c>
      <c r="S855" s="1013">
        <f t="shared" si="177"/>
        <v>13623077</v>
      </c>
      <c r="T855" s="1017">
        <v>423077</v>
      </c>
      <c r="U855" s="785">
        <v>0</v>
      </c>
      <c r="V855" s="785">
        <v>0</v>
      </c>
      <c r="W855" s="1017">
        <v>0</v>
      </c>
      <c r="X855" s="1017">
        <v>0</v>
      </c>
      <c r="Y855" s="1017">
        <v>0</v>
      </c>
      <c r="Z855" s="1017">
        <v>0</v>
      </c>
      <c r="AA855" s="1018"/>
      <c r="AB855" s="1013"/>
      <c r="AC855" s="1017">
        <v>100000</v>
      </c>
      <c r="AD855" s="1017">
        <v>0</v>
      </c>
      <c r="AE855" s="1013">
        <v>116105.765625</v>
      </c>
      <c r="AF855" s="1019"/>
      <c r="AG855" s="1019">
        <f t="shared" si="184"/>
        <v>14262260</v>
      </c>
      <c r="AH855" s="1014">
        <v>0</v>
      </c>
      <c r="AI855" s="1014">
        <v>0</v>
      </c>
      <c r="AJ855" s="1014">
        <v>0</v>
      </c>
      <c r="AK855" s="1018">
        <v>0</v>
      </c>
      <c r="AL855" s="1020">
        <v>0</v>
      </c>
      <c r="AM855" s="1013">
        <f t="shared" si="182"/>
        <v>0</v>
      </c>
      <c r="AN855" s="1045">
        <f t="shared" si="170"/>
        <v>14262260</v>
      </c>
      <c r="AO855" s="1013">
        <v>1690500</v>
      </c>
      <c r="AP855" s="1013">
        <v>44100</v>
      </c>
      <c r="AQ855" s="1013">
        <v>0</v>
      </c>
      <c r="AR855" s="1013">
        <v>0</v>
      </c>
      <c r="AS855" s="1013">
        <v>0</v>
      </c>
      <c r="AT855" s="1045">
        <f t="shared" si="178"/>
        <v>12527660</v>
      </c>
      <c r="AU855" s="1004"/>
      <c r="AV855" s="870"/>
      <c r="AW855" s="782" t="s">
        <v>4941</v>
      </c>
      <c r="AX855" s="782" t="s">
        <v>4942</v>
      </c>
      <c r="AY855" s="1007" t="s">
        <v>221</v>
      </c>
      <c r="AZ855" s="1007">
        <v>642</v>
      </c>
      <c r="BA855" s="347" t="s">
        <v>1</v>
      </c>
      <c r="BB855" s="1008"/>
      <c r="BC855" s="1009"/>
      <c r="BD855" s="1009"/>
    </row>
    <row r="856" spans="1:56" s="1010" customFormat="1" ht="36.75" customHeight="1">
      <c r="A856" s="661">
        <f>SUBTOTAL(3,B$6:B856)</f>
        <v>851</v>
      </c>
      <c r="B856" s="661" t="s">
        <v>2527</v>
      </c>
      <c r="C856" s="662" t="s">
        <v>2528</v>
      </c>
      <c r="D856" s="1011">
        <v>43213</v>
      </c>
      <c r="E856" s="1011" t="s">
        <v>221</v>
      </c>
      <c r="F856" s="787" t="s">
        <v>547</v>
      </c>
      <c r="G856" s="996" t="s">
        <v>2331</v>
      </c>
      <c r="H856" s="1012">
        <v>16300000</v>
      </c>
      <c r="I856" s="1012">
        <v>5700000</v>
      </c>
      <c r="J856" s="1012">
        <v>0</v>
      </c>
      <c r="K856" s="1012">
        <v>0</v>
      </c>
      <c r="L856" s="1013">
        <f t="shared" si="173"/>
        <v>22000000</v>
      </c>
      <c r="M856" s="1014">
        <v>23.7</v>
      </c>
      <c r="N856" s="1013">
        <f t="shared" si="174"/>
        <v>20053846</v>
      </c>
      <c r="O856" s="1015">
        <v>2</v>
      </c>
      <c r="P856" s="1013">
        <f t="shared" si="175"/>
        <v>1692308</v>
      </c>
      <c r="Q856" s="1016">
        <v>0</v>
      </c>
      <c r="R856" s="1013">
        <f t="shared" si="176"/>
        <v>0</v>
      </c>
      <c r="S856" s="1013">
        <f t="shared" si="177"/>
        <v>21746154</v>
      </c>
      <c r="T856" s="1017">
        <v>494231</v>
      </c>
      <c r="U856" s="785">
        <v>0</v>
      </c>
      <c r="V856" s="785">
        <v>0</v>
      </c>
      <c r="W856" s="1017">
        <v>0</v>
      </c>
      <c r="X856" s="1017">
        <v>0</v>
      </c>
      <c r="Y856" s="1017">
        <v>0</v>
      </c>
      <c r="Z856" s="1017">
        <v>0</v>
      </c>
      <c r="AA856" s="1018"/>
      <c r="AB856" s="1013"/>
      <c r="AC856" s="1017">
        <v>0</v>
      </c>
      <c r="AD856" s="1017">
        <v>0</v>
      </c>
      <c r="AE856" s="1013">
        <v>0</v>
      </c>
      <c r="AF856" s="1019"/>
      <c r="AG856" s="1019">
        <f t="shared" si="184"/>
        <v>22240385</v>
      </c>
      <c r="AH856" s="1014">
        <v>0</v>
      </c>
      <c r="AI856" s="1014">
        <v>0</v>
      </c>
      <c r="AJ856" s="1014">
        <v>0</v>
      </c>
      <c r="AK856" s="1018">
        <v>0</v>
      </c>
      <c r="AL856" s="1020">
        <v>0</v>
      </c>
      <c r="AM856" s="1013">
        <f t="shared" si="182"/>
        <v>0</v>
      </c>
      <c r="AN856" s="1045">
        <f t="shared" si="170"/>
        <v>22240385</v>
      </c>
      <c r="AO856" s="1013">
        <v>2310000</v>
      </c>
      <c r="AP856" s="1013">
        <v>44100</v>
      </c>
      <c r="AQ856" s="1013">
        <v>206808</v>
      </c>
      <c r="AR856" s="1013">
        <v>0</v>
      </c>
      <c r="AS856" s="1013">
        <v>0</v>
      </c>
      <c r="AT856" s="1045">
        <f t="shared" si="178"/>
        <v>19679477</v>
      </c>
      <c r="AU856" s="1004"/>
      <c r="AV856" s="870"/>
      <c r="AW856" s="782" t="s">
        <v>4943</v>
      </c>
      <c r="AX856" s="782" t="s">
        <v>4944</v>
      </c>
      <c r="AY856" s="1007" t="s">
        <v>221</v>
      </c>
      <c r="AZ856" s="1007">
        <v>642</v>
      </c>
      <c r="BA856" s="347" t="s">
        <v>78</v>
      </c>
      <c r="BB856" s="1008"/>
      <c r="BC856" s="1009"/>
      <c r="BD856" s="1009"/>
    </row>
    <row r="857" spans="1:56" s="1010" customFormat="1" ht="36.75" customHeight="1">
      <c r="A857" s="661">
        <f>SUBTOTAL(3,B$6:B857)</f>
        <v>852</v>
      </c>
      <c r="B857" s="661" t="s">
        <v>2529</v>
      </c>
      <c r="C857" s="662" t="s">
        <v>2530</v>
      </c>
      <c r="D857" s="1011">
        <v>43318</v>
      </c>
      <c r="E857" s="1011" t="s">
        <v>221</v>
      </c>
      <c r="F857" s="787" t="s">
        <v>547</v>
      </c>
      <c r="G857" s="996" t="s">
        <v>2334</v>
      </c>
      <c r="H857" s="1012">
        <v>12000000</v>
      </c>
      <c r="I857" s="1012">
        <v>4300000</v>
      </c>
      <c r="J857" s="1012">
        <v>0</v>
      </c>
      <c r="K857" s="1012">
        <v>0</v>
      </c>
      <c r="L857" s="1013">
        <f t="shared" si="173"/>
        <v>16300000</v>
      </c>
      <c r="M857" s="1014">
        <v>24</v>
      </c>
      <c r="N857" s="1013">
        <f t="shared" si="174"/>
        <v>15046154</v>
      </c>
      <c r="O857" s="1015">
        <v>2</v>
      </c>
      <c r="P857" s="1013">
        <f t="shared" si="175"/>
        <v>1253846</v>
      </c>
      <c r="Q857" s="1016">
        <v>0</v>
      </c>
      <c r="R857" s="1013">
        <f t="shared" si="176"/>
        <v>0</v>
      </c>
      <c r="S857" s="1013">
        <f t="shared" si="177"/>
        <v>16300000</v>
      </c>
      <c r="T857" s="1017">
        <v>500000</v>
      </c>
      <c r="U857" s="785">
        <v>0</v>
      </c>
      <c r="V857" s="785">
        <v>0</v>
      </c>
      <c r="W857" s="1017">
        <v>0</v>
      </c>
      <c r="X857" s="1017">
        <v>0</v>
      </c>
      <c r="Y857" s="1017">
        <v>0</v>
      </c>
      <c r="Z857" s="1017">
        <v>0</v>
      </c>
      <c r="AA857" s="1018"/>
      <c r="AB857" s="1013"/>
      <c r="AC857" s="1017">
        <v>0</v>
      </c>
      <c r="AD857" s="1017">
        <v>0</v>
      </c>
      <c r="AE857" s="1013">
        <v>0</v>
      </c>
      <c r="AF857" s="1019"/>
      <c r="AG857" s="1019">
        <f t="shared" si="184"/>
        <v>16800000</v>
      </c>
      <c r="AH857" s="1014">
        <v>0</v>
      </c>
      <c r="AI857" s="1014">
        <v>0</v>
      </c>
      <c r="AJ857" s="1014">
        <v>0</v>
      </c>
      <c r="AK857" s="1018">
        <v>0</v>
      </c>
      <c r="AL857" s="1020">
        <v>0</v>
      </c>
      <c r="AM857" s="1013">
        <f t="shared" si="182"/>
        <v>0</v>
      </c>
      <c r="AN857" s="1045">
        <f t="shared" si="170"/>
        <v>16800000</v>
      </c>
      <c r="AO857" s="1013">
        <v>1711500</v>
      </c>
      <c r="AP857" s="1013">
        <v>44100</v>
      </c>
      <c r="AQ857" s="1013">
        <v>0</v>
      </c>
      <c r="AR857" s="1013">
        <v>0</v>
      </c>
      <c r="AS857" s="1013">
        <v>0</v>
      </c>
      <c r="AT857" s="1045">
        <f t="shared" si="178"/>
        <v>15044400</v>
      </c>
      <c r="AU857" s="1004"/>
      <c r="AV857" s="870"/>
      <c r="AW857" s="782" t="s">
        <v>4945</v>
      </c>
      <c r="AX857" s="782" t="s">
        <v>4946</v>
      </c>
      <c r="AY857" s="1007" t="s">
        <v>221</v>
      </c>
      <c r="AZ857" s="1007">
        <v>642</v>
      </c>
      <c r="BA857" s="347" t="s">
        <v>1</v>
      </c>
      <c r="BB857" s="1008"/>
      <c r="BC857" s="1009"/>
      <c r="BD857" s="1009"/>
    </row>
    <row r="858" spans="1:56" s="1010" customFormat="1" ht="36.75" customHeight="1">
      <c r="A858" s="661">
        <f>SUBTOTAL(3,B$6:B858)</f>
        <v>853</v>
      </c>
      <c r="B858" s="661" t="s">
        <v>2531</v>
      </c>
      <c r="C858" s="662" t="s">
        <v>2532</v>
      </c>
      <c r="D858" s="1011">
        <v>43437</v>
      </c>
      <c r="E858" s="1011" t="s">
        <v>221</v>
      </c>
      <c r="F858" s="787" t="s">
        <v>547</v>
      </c>
      <c r="G858" s="996" t="s">
        <v>2331</v>
      </c>
      <c r="H858" s="1012">
        <v>15100000</v>
      </c>
      <c r="I858" s="1012">
        <v>11500000</v>
      </c>
      <c r="J858" s="1012">
        <v>0</v>
      </c>
      <c r="K858" s="1012">
        <v>0</v>
      </c>
      <c r="L858" s="1013">
        <f t="shared" si="173"/>
        <v>26600000</v>
      </c>
      <c r="M858" s="1014">
        <v>24</v>
      </c>
      <c r="N858" s="1013">
        <f t="shared" si="174"/>
        <v>24553846</v>
      </c>
      <c r="O858" s="1015">
        <v>2</v>
      </c>
      <c r="P858" s="1013">
        <f t="shared" si="175"/>
        <v>2046154</v>
      </c>
      <c r="Q858" s="1016">
        <v>0</v>
      </c>
      <c r="R858" s="1013">
        <f t="shared" si="176"/>
        <v>0</v>
      </c>
      <c r="S858" s="1013">
        <f t="shared" si="177"/>
        <v>26600000</v>
      </c>
      <c r="T858" s="1017">
        <v>500000</v>
      </c>
      <c r="U858" s="785">
        <v>0</v>
      </c>
      <c r="V858" s="785">
        <v>0</v>
      </c>
      <c r="W858" s="1017">
        <v>0</v>
      </c>
      <c r="X858" s="1017">
        <v>0</v>
      </c>
      <c r="Y858" s="1017">
        <v>0</v>
      </c>
      <c r="Z858" s="1017">
        <v>0</v>
      </c>
      <c r="AA858" s="1018"/>
      <c r="AB858" s="1013"/>
      <c r="AC858" s="1017">
        <v>0</v>
      </c>
      <c r="AD858" s="1017">
        <v>0</v>
      </c>
      <c r="AE858" s="1013">
        <v>191826.921875</v>
      </c>
      <c r="AF858" s="1019"/>
      <c r="AG858" s="1019">
        <f t="shared" si="184"/>
        <v>27291827</v>
      </c>
      <c r="AH858" s="1014">
        <v>0</v>
      </c>
      <c r="AI858" s="1014">
        <v>0</v>
      </c>
      <c r="AJ858" s="1014">
        <v>0</v>
      </c>
      <c r="AK858" s="1018">
        <v>0</v>
      </c>
      <c r="AL858" s="1020">
        <v>0</v>
      </c>
      <c r="AM858" s="1013">
        <f t="shared" si="182"/>
        <v>0</v>
      </c>
      <c r="AN858" s="1045">
        <f t="shared" si="170"/>
        <v>27291827</v>
      </c>
      <c r="AO858" s="1013">
        <v>2793000</v>
      </c>
      <c r="AP858" s="1013">
        <v>44100</v>
      </c>
      <c r="AQ858" s="1013">
        <v>214941</v>
      </c>
      <c r="AR858" s="1013">
        <v>0</v>
      </c>
      <c r="AS858" s="1013">
        <v>0</v>
      </c>
      <c r="AT858" s="1045">
        <f t="shared" si="178"/>
        <v>24239786</v>
      </c>
      <c r="AU858" s="1004"/>
      <c r="AV858" s="870"/>
      <c r="AW858" s="782" t="s">
        <v>4947</v>
      </c>
      <c r="AX858" s="782" t="s">
        <v>4948</v>
      </c>
      <c r="AY858" s="1007" t="s">
        <v>221</v>
      </c>
      <c r="AZ858" s="1007">
        <v>642</v>
      </c>
      <c r="BA858" s="347" t="s">
        <v>78</v>
      </c>
      <c r="BB858" s="1008"/>
      <c r="BC858" s="1009"/>
      <c r="BD858" s="1009"/>
    </row>
    <row r="859" spans="1:56" s="1010" customFormat="1" ht="36.75" customHeight="1">
      <c r="A859" s="661">
        <f>SUBTOTAL(3,B$6:B859)</f>
        <v>854</v>
      </c>
      <c r="B859" s="661" t="s">
        <v>2533</v>
      </c>
      <c r="C859" s="662" t="s">
        <v>2534</v>
      </c>
      <c r="D859" s="1011">
        <v>44638</v>
      </c>
      <c r="E859" s="1011" t="s">
        <v>221</v>
      </c>
      <c r="F859" s="787" t="s">
        <v>245</v>
      </c>
      <c r="G859" s="996" t="s">
        <v>2355</v>
      </c>
      <c r="H859" s="1012">
        <v>5931000</v>
      </c>
      <c r="I859" s="1012">
        <v>1500000</v>
      </c>
      <c r="J859" s="1012">
        <v>0</v>
      </c>
      <c r="K859" s="1012">
        <v>0</v>
      </c>
      <c r="L859" s="1013">
        <f t="shared" si="173"/>
        <v>7431000</v>
      </c>
      <c r="M859" s="1014">
        <v>22.7</v>
      </c>
      <c r="N859" s="1013">
        <f t="shared" si="174"/>
        <v>6487835</v>
      </c>
      <c r="O859" s="1015">
        <v>3</v>
      </c>
      <c r="P859" s="1013">
        <f t="shared" si="175"/>
        <v>857423</v>
      </c>
      <c r="Q859" s="1016">
        <v>0</v>
      </c>
      <c r="R859" s="1013">
        <f t="shared" si="176"/>
        <v>0</v>
      </c>
      <c r="S859" s="1013">
        <f t="shared" si="177"/>
        <v>7345258</v>
      </c>
      <c r="T859" s="1017">
        <v>0</v>
      </c>
      <c r="U859" s="785">
        <v>0</v>
      </c>
      <c r="V859" s="785">
        <v>200000</v>
      </c>
      <c r="W859" s="1017">
        <v>500000</v>
      </c>
      <c r="X859" s="1017">
        <v>0</v>
      </c>
      <c r="Y859" s="1017">
        <v>400000</v>
      </c>
      <c r="Z859" s="1017">
        <v>0</v>
      </c>
      <c r="AA859" s="1018"/>
      <c r="AB859" s="1013"/>
      <c r="AC859" s="1017">
        <v>0</v>
      </c>
      <c r="AD859" s="1017">
        <v>0</v>
      </c>
      <c r="AE859" s="1013">
        <v>0</v>
      </c>
      <c r="AF859" s="1019"/>
      <c r="AG859" s="1019">
        <f t="shared" si="184"/>
        <v>8445258</v>
      </c>
      <c r="AH859" s="1014">
        <v>52</v>
      </c>
      <c r="AI859" s="1014">
        <v>0</v>
      </c>
      <c r="AJ859" s="1014">
        <v>0</v>
      </c>
      <c r="AK859" s="1018">
        <v>0</v>
      </c>
      <c r="AL859" s="1020">
        <v>0</v>
      </c>
      <c r="AM859" s="1013">
        <f t="shared" si="182"/>
        <v>2786625</v>
      </c>
      <c r="AN859" s="1045">
        <f t="shared" si="170"/>
        <v>11231883</v>
      </c>
      <c r="AO859" s="1013">
        <v>780255</v>
      </c>
      <c r="AP859" s="1013">
        <v>44100</v>
      </c>
      <c r="AQ859" s="1013">
        <v>0</v>
      </c>
      <c r="AR859" s="1013">
        <v>0</v>
      </c>
      <c r="AS859" s="1013">
        <v>0</v>
      </c>
      <c r="AT859" s="1045">
        <f t="shared" si="178"/>
        <v>10407528</v>
      </c>
      <c r="AU859" s="1004"/>
      <c r="AV859" s="870"/>
      <c r="AW859" s="782" t="s">
        <v>4949</v>
      </c>
      <c r="AX859" s="782" t="s">
        <v>4950</v>
      </c>
      <c r="AY859" s="1007" t="s">
        <v>221</v>
      </c>
      <c r="AZ859" s="1007">
        <v>622</v>
      </c>
      <c r="BA859" s="347" t="str">
        <f t="shared" ref="BA859:BA871" si="185">+IF(AY859="SK1 Box","Box",IF(AY859="Seaman","Seaman","Bag"))</f>
        <v>Bag</v>
      </c>
      <c r="BB859" s="1008"/>
      <c r="BC859" s="1009"/>
      <c r="BD859" s="1009"/>
    </row>
    <row r="860" spans="1:56" s="1010" customFormat="1" ht="36.75" customHeight="1">
      <c r="A860" s="661">
        <f>SUBTOTAL(3,B$6:B860)</f>
        <v>855</v>
      </c>
      <c r="B860" s="661" t="s">
        <v>2535</v>
      </c>
      <c r="C860" s="662" t="s">
        <v>2536</v>
      </c>
      <c r="D860" s="1011">
        <v>44718</v>
      </c>
      <c r="E860" s="1011" t="s">
        <v>221</v>
      </c>
      <c r="F860" s="787" t="s">
        <v>245</v>
      </c>
      <c r="G860" s="996" t="s">
        <v>2355</v>
      </c>
      <c r="H860" s="1012">
        <v>6815000</v>
      </c>
      <c r="I860" s="1012">
        <v>2000000</v>
      </c>
      <c r="J860" s="1012">
        <v>0</v>
      </c>
      <c r="K860" s="1012">
        <v>1000000</v>
      </c>
      <c r="L860" s="1013">
        <f t="shared" si="173"/>
        <v>9815000</v>
      </c>
      <c r="M860" s="1014">
        <v>23.8</v>
      </c>
      <c r="N860" s="1013">
        <f t="shared" si="174"/>
        <v>8984500</v>
      </c>
      <c r="O860" s="1015">
        <v>2</v>
      </c>
      <c r="P860" s="1013">
        <f t="shared" si="175"/>
        <v>755000</v>
      </c>
      <c r="Q860" s="1016">
        <v>0</v>
      </c>
      <c r="R860" s="1013">
        <f t="shared" si="176"/>
        <v>0</v>
      </c>
      <c r="S860" s="1013">
        <f t="shared" si="177"/>
        <v>9739500</v>
      </c>
      <c r="T860" s="1017">
        <v>0</v>
      </c>
      <c r="U860" s="785">
        <v>0</v>
      </c>
      <c r="V860" s="785">
        <v>200000</v>
      </c>
      <c r="W860" s="1017">
        <v>500000</v>
      </c>
      <c r="X860" s="1017">
        <v>0</v>
      </c>
      <c r="Y860" s="1017">
        <v>400000</v>
      </c>
      <c r="Z860" s="1017">
        <v>0</v>
      </c>
      <c r="AA860" s="1018"/>
      <c r="AB860" s="1013"/>
      <c r="AC860" s="1017">
        <v>100000</v>
      </c>
      <c r="AD860" s="1017">
        <v>0</v>
      </c>
      <c r="AE860" s="1013">
        <v>70781.25</v>
      </c>
      <c r="AF860" s="1019"/>
      <c r="AG860" s="1019">
        <f t="shared" si="184"/>
        <v>11010281</v>
      </c>
      <c r="AH860" s="1014">
        <v>15.5</v>
      </c>
      <c r="AI860" s="1014">
        <v>0</v>
      </c>
      <c r="AJ860" s="1014">
        <v>0</v>
      </c>
      <c r="AK860" s="1018">
        <v>0</v>
      </c>
      <c r="AL860" s="1020">
        <v>0</v>
      </c>
      <c r="AM860" s="1013">
        <f t="shared" si="182"/>
        <v>1097109</v>
      </c>
      <c r="AN860" s="1045">
        <f t="shared" si="170"/>
        <v>12107390</v>
      </c>
      <c r="AO860" s="1013">
        <v>1030575</v>
      </c>
      <c r="AP860" s="1013">
        <v>44100</v>
      </c>
      <c r="AQ860" s="1013">
        <v>0</v>
      </c>
      <c r="AR860" s="1013">
        <v>0</v>
      </c>
      <c r="AS860" s="1013">
        <v>0</v>
      </c>
      <c r="AT860" s="1045">
        <f t="shared" si="178"/>
        <v>11032715</v>
      </c>
      <c r="AU860" s="1004"/>
      <c r="AV860" s="870"/>
      <c r="AW860" s="782" t="s">
        <v>4951</v>
      </c>
      <c r="AX860" s="782" t="s">
        <v>4952</v>
      </c>
      <c r="AY860" s="1007" t="s">
        <v>221</v>
      </c>
      <c r="AZ860" s="1007">
        <v>622</v>
      </c>
      <c r="BA860" s="347" t="str">
        <f t="shared" si="185"/>
        <v>Bag</v>
      </c>
      <c r="BB860" s="1008"/>
      <c r="BC860" s="1009"/>
      <c r="BD860" s="1009"/>
    </row>
    <row r="861" spans="1:56" s="1010" customFormat="1" ht="36.75" customHeight="1">
      <c r="A861" s="661">
        <f>SUBTOTAL(3,B$6:B861)</f>
        <v>856</v>
      </c>
      <c r="B861" s="661" t="s">
        <v>2537</v>
      </c>
      <c r="C861" s="662" t="s">
        <v>2538</v>
      </c>
      <c r="D861" s="1011">
        <v>45698</v>
      </c>
      <c r="E861" s="1011" t="s">
        <v>221</v>
      </c>
      <c r="F861" s="787" t="s">
        <v>245</v>
      </c>
      <c r="G861" s="996" t="s">
        <v>2352</v>
      </c>
      <c r="H861" s="1012">
        <v>6100000</v>
      </c>
      <c r="I861" s="1012">
        <v>1800000</v>
      </c>
      <c r="J861" s="1012">
        <v>0</v>
      </c>
      <c r="K861" s="1012">
        <v>0</v>
      </c>
      <c r="L861" s="1013">
        <f t="shared" si="173"/>
        <v>7900000</v>
      </c>
      <c r="M861" s="1014">
        <v>22.7</v>
      </c>
      <c r="N861" s="1013">
        <f t="shared" si="174"/>
        <v>6897308</v>
      </c>
      <c r="O861" s="1015">
        <v>3</v>
      </c>
      <c r="P861" s="1013">
        <f t="shared" si="175"/>
        <v>911538</v>
      </c>
      <c r="Q861" s="1016">
        <v>0</v>
      </c>
      <c r="R861" s="1013">
        <f t="shared" si="176"/>
        <v>0</v>
      </c>
      <c r="S861" s="1013">
        <f t="shared" si="177"/>
        <v>7808846</v>
      </c>
      <c r="T861" s="1017">
        <v>0</v>
      </c>
      <c r="U861" s="785">
        <v>0</v>
      </c>
      <c r="V861" s="785">
        <v>200000</v>
      </c>
      <c r="W861" s="1017">
        <v>500000</v>
      </c>
      <c r="X861" s="1017">
        <v>0</v>
      </c>
      <c r="Y861" s="1017">
        <v>400000</v>
      </c>
      <c r="Z861" s="1017">
        <v>0</v>
      </c>
      <c r="AA861" s="1018"/>
      <c r="AB861" s="1013"/>
      <c r="AC861" s="1017">
        <v>0</v>
      </c>
      <c r="AD861" s="1017">
        <v>0</v>
      </c>
      <c r="AE861" s="1013">
        <v>56971.1563876652</v>
      </c>
      <c r="AF861" s="1019"/>
      <c r="AG861" s="1019">
        <f t="shared" si="184"/>
        <v>8965817</v>
      </c>
      <c r="AH861" s="1014">
        <v>36.5</v>
      </c>
      <c r="AI861" s="1014">
        <v>0</v>
      </c>
      <c r="AJ861" s="1014">
        <v>0</v>
      </c>
      <c r="AK861" s="1018">
        <v>0</v>
      </c>
      <c r="AL861" s="1020">
        <v>0</v>
      </c>
      <c r="AM861" s="1013">
        <f t="shared" si="182"/>
        <v>2079447</v>
      </c>
      <c r="AN861" s="1045">
        <f t="shared" si="170"/>
        <v>11045264</v>
      </c>
      <c r="AO861" s="1013">
        <v>813346</v>
      </c>
      <c r="AP861" s="1013">
        <v>0</v>
      </c>
      <c r="AQ861" s="1013">
        <v>0</v>
      </c>
      <c r="AR861" s="1013">
        <v>0</v>
      </c>
      <c r="AS861" s="1013">
        <v>186299</v>
      </c>
      <c r="AT861" s="1045">
        <f t="shared" si="178"/>
        <v>10045619</v>
      </c>
      <c r="AU861" s="1004"/>
      <c r="AV861" s="870"/>
      <c r="AW861" s="782" t="s">
        <v>4953</v>
      </c>
      <c r="AX861" s="782" t="s">
        <v>4954</v>
      </c>
      <c r="AY861" s="1007" t="s">
        <v>221</v>
      </c>
      <c r="AZ861" s="1007">
        <v>622</v>
      </c>
      <c r="BA861" s="347" t="str">
        <f t="shared" si="185"/>
        <v>Bag</v>
      </c>
      <c r="BB861" s="1008"/>
      <c r="BC861" s="1009"/>
      <c r="BD861" s="1009"/>
    </row>
    <row r="862" spans="1:56" s="1010" customFormat="1" ht="36.75" customHeight="1">
      <c r="A862" s="661">
        <f>SUBTOTAL(3,B$6:B862)</f>
        <v>857</v>
      </c>
      <c r="B862" s="661" t="s">
        <v>2539</v>
      </c>
      <c r="C862" s="662" t="s">
        <v>2540</v>
      </c>
      <c r="D862" s="1011">
        <v>45706</v>
      </c>
      <c r="E862" s="1011" t="s">
        <v>221</v>
      </c>
      <c r="F862" s="787" t="s">
        <v>245</v>
      </c>
      <c r="G862" s="996" t="s">
        <v>2355</v>
      </c>
      <c r="H862" s="1012">
        <v>5023000</v>
      </c>
      <c r="I862" s="1012">
        <v>500000</v>
      </c>
      <c r="J862" s="1012">
        <v>252000</v>
      </c>
      <c r="K862" s="1012">
        <v>0</v>
      </c>
      <c r="L862" s="1013">
        <f t="shared" si="173"/>
        <v>5775000</v>
      </c>
      <c r="M862" s="1014">
        <v>23.7</v>
      </c>
      <c r="N862" s="1013">
        <f t="shared" si="174"/>
        <v>5264135</v>
      </c>
      <c r="O862" s="1015">
        <v>2</v>
      </c>
      <c r="P862" s="1013">
        <f t="shared" si="175"/>
        <v>444231</v>
      </c>
      <c r="Q862" s="1016">
        <v>0</v>
      </c>
      <c r="R862" s="1013">
        <f t="shared" si="176"/>
        <v>0</v>
      </c>
      <c r="S862" s="1013">
        <f t="shared" si="177"/>
        <v>5708366</v>
      </c>
      <c r="T862" s="1017">
        <v>0</v>
      </c>
      <c r="U862" s="785">
        <v>0</v>
      </c>
      <c r="V862" s="785">
        <v>200000</v>
      </c>
      <c r="W862" s="1017">
        <v>500000</v>
      </c>
      <c r="X862" s="1017">
        <v>0</v>
      </c>
      <c r="Y862" s="1017">
        <v>400000</v>
      </c>
      <c r="Z862" s="1017">
        <v>0</v>
      </c>
      <c r="AA862" s="1018"/>
      <c r="AB862" s="1013"/>
      <c r="AC862" s="1017">
        <v>0</v>
      </c>
      <c r="AD862" s="1017">
        <v>0</v>
      </c>
      <c r="AE862" s="1013">
        <v>0</v>
      </c>
      <c r="AF862" s="1019"/>
      <c r="AG862" s="1019">
        <f t="shared" si="184"/>
        <v>6808366</v>
      </c>
      <c r="AH862" s="1014">
        <v>45</v>
      </c>
      <c r="AI862" s="1014">
        <v>0</v>
      </c>
      <c r="AJ862" s="1014">
        <v>0</v>
      </c>
      <c r="AK862" s="1018">
        <v>0</v>
      </c>
      <c r="AL862" s="1020">
        <v>0</v>
      </c>
      <c r="AM862" s="1013">
        <f t="shared" si="182"/>
        <v>1874099</v>
      </c>
      <c r="AN862" s="1045">
        <f t="shared" si="170"/>
        <v>8682465</v>
      </c>
      <c r="AO862" s="1013">
        <v>606375</v>
      </c>
      <c r="AP862" s="1013">
        <v>0</v>
      </c>
      <c r="AQ862" s="1013">
        <v>0</v>
      </c>
      <c r="AR862" s="1013">
        <v>0</v>
      </c>
      <c r="AS862" s="1013">
        <v>0</v>
      </c>
      <c r="AT862" s="1045">
        <f t="shared" si="178"/>
        <v>8076090</v>
      </c>
      <c r="AU862" s="1004"/>
      <c r="AV862" s="870"/>
      <c r="AW862" s="782" t="s">
        <v>4955</v>
      </c>
      <c r="AX862" s="782" t="s">
        <v>4956</v>
      </c>
      <c r="AY862" s="1007" t="s">
        <v>221</v>
      </c>
      <c r="AZ862" s="1007">
        <v>622</v>
      </c>
      <c r="BA862" s="347" t="str">
        <f t="shared" si="185"/>
        <v>Bag</v>
      </c>
      <c r="BB862" s="1008"/>
      <c r="BC862" s="1009"/>
      <c r="BD862" s="1009"/>
    </row>
    <row r="863" spans="1:56" s="1010" customFormat="1" ht="36.75" customHeight="1">
      <c r="A863" s="661">
        <f>SUBTOTAL(3,B$6:B863)</f>
        <v>858</v>
      </c>
      <c r="B863" s="661" t="s">
        <v>2541</v>
      </c>
      <c r="C863" s="662" t="s">
        <v>2542</v>
      </c>
      <c r="D863" s="1011">
        <v>43024</v>
      </c>
      <c r="E863" s="1011" t="s">
        <v>221</v>
      </c>
      <c r="F863" s="787" t="s">
        <v>245</v>
      </c>
      <c r="G863" s="996" t="s">
        <v>2355</v>
      </c>
      <c r="H863" s="1012">
        <v>5931000</v>
      </c>
      <c r="I863" s="1012">
        <v>3000000</v>
      </c>
      <c r="J863" s="1012">
        <v>0</v>
      </c>
      <c r="K863" s="1012">
        <v>0</v>
      </c>
      <c r="L863" s="1013">
        <f t="shared" si="173"/>
        <v>8931000</v>
      </c>
      <c r="M863" s="1014">
        <v>23</v>
      </c>
      <c r="N863" s="1013">
        <f t="shared" si="174"/>
        <v>7900500</v>
      </c>
      <c r="O863" s="1015">
        <v>3</v>
      </c>
      <c r="P863" s="1013">
        <f t="shared" si="175"/>
        <v>1030500</v>
      </c>
      <c r="Q863" s="1016">
        <v>0</v>
      </c>
      <c r="R863" s="1013">
        <f t="shared" si="176"/>
        <v>0</v>
      </c>
      <c r="S863" s="1013">
        <f t="shared" si="177"/>
        <v>8931000</v>
      </c>
      <c r="T863" s="1017">
        <v>0</v>
      </c>
      <c r="U863" s="785">
        <v>0</v>
      </c>
      <c r="V863" s="785">
        <v>200000</v>
      </c>
      <c r="W863" s="1017">
        <v>500000</v>
      </c>
      <c r="X863" s="1017">
        <v>200000</v>
      </c>
      <c r="Y863" s="1017">
        <v>400000</v>
      </c>
      <c r="Z863" s="1017">
        <v>0</v>
      </c>
      <c r="AA863" s="1018"/>
      <c r="AB863" s="1013"/>
      <c r="AC863" s="1017">
        <v>0</v>
      </c>
      <c r="AD863" s="1017">
        <v>0</v>
      </c>
      <c r="AE863" s="1013">
        <v>0</v>
      </c>
      <c r="AF863" s="1019"/>
      <c r="AG863" s="1019">
        <f t="shared" si="184"/>
        <v>10231000</v>
      </c>
      <c r="AH863" s="1014">
        <v>53</v>
      </c>
      <c r="AI863" s="1014">
        <v>0</v>
      </c>
      <c r="AJ863" s="1014">
        <v>0</v>
      </c>
      <c r="AK863" s="1018">
        <v>0</v>
      </c>
      <c r="AL863" s="1020">
        <v>0</v>
      </c>
      <c r="AM863" s="1013">
        <f t="shared" si="182"/>
        <v>3413531</v>
      </c>
      <c r="AN863" s="1045">
        <f t="shared" si="170"/>
        <v>13644531</v>
      </c>
      <c r="AO863" s="1013">
        <v>937755</v>
      </c>
      <c r="AP863" s="1013">
        <v>44100</v>
      </c>
      <c r="AQ863" s="1013">
        <v>33447</v>
      </c>
      <c r="AR863" s="1013">
        <v>0</v>
      </c>
      <c r="AS863" s="1013">
        <v>0</v>
      </c>
      <c r="AT863" s="1045">
        <f t="shared" si="178"/>
        <v>12629229</v>
      </c>
      <c r="AU863" s="1004"/>
      <c r="AV863" s="870"/>
      <c r="AW863" s="782" t="s">
        <v>3414</v>
      </c>
      <c r="AX863" s="782" t="s">
        <v>4957</v>
      </c>
      <c r="AY863" s="1007" t="s">
        <v>221</v>
      </c>
      <c r="AZ863" s="1007">
        <v>622</v>
      </c>
      <c r="BA863" s="347" t="str">
        <f t="shared" si="185"/>
        <v>Bag</v>
      </c>
      <c r="BB863" s="1008"/>
      <c r="BC863" s="1009"/>
      <c r="BD863" s="1009"/>
    </row>
    <row r="864" spans="1:56" s="1010" customFormat="1" ht="36.75" customHeight="1">
      <c r="A864" s="661">
        <f>SUBTOTAL(3,B$6:B864)</f>
        <v>859</v>
      </c>
      <c r="B864" s="661" t="s">
        <v>2543</v>
      </c>
      <c r="C864" s="662" t="s">
        <v>2544</v>
      </c>
      <c r="D864" s="1011">
        <v>44028</v>
      </c>
      <c r="E864" s="1011" t="s">
        <v>221</v>
      </c>
      <c r="F864" s="787" t="s">
        <v>246</v>
      </c>
      <c r="G864" s="996" t="s">
        <v>2396</v>
      </c>
      <c r="H864" s="1012">
        <v>7500000</v>
      </c>
      <c r="I864" s="1012">
        <v>2200000</v>
      </c>
      <c r="J864" s="1012">
        <v>0</v>
      </c>
      <c r="K864" s="1012">
        <v>0</v>
      </c>
      <c r="L864" s="1013">
        <f t="shared" si="173"/>
        <v>9700000</v>
      </c>
      <c r="M864" s="1014">
        <v>20.3</v>
      </c>
      <c r="N864" s="1013">
        <f t="shared" si="174"/>
        <v>7573462</v>
      </c>
      <c r="O864" s="1015">
        <v>4</v>
      </c>
      <c r="P864" s="1013">
        <f t="shared" si="175"/>
        <v>1492308</v>
      </c>
      <c r="Q864" s="1016">
        <v>0</v>
      </c>
      <c r="R864" s="1013">
        <f t="shared" si="176"/>
        <v>0</v>
      </c>
      <c r="S864" s="1013">
        <f t="shared" si="177"/>
        <v>9065770</v>
      </c>
      <c r="T864" s="1017">
        <v>467308</v>
      </c>
      <c r="U864" s="785">
        <v>0</v>
      </c>
      <c r="V864" s="785">
        <v>0</v>
      </c>
      <c r="W864" s="1017">
        <v>0</v>
      </c>
      <c r="X864" s="1017">
        <v>0</v>
      </c>
      <c r="Y864" s="1017">
        <v>0</v>
      </c>
      <c r="Z864" s="1017">
        <v>0</v>
      </c>
      <c r="AA864" s="1018"/>
      <c r="AB864" s="1013"/>
      <c r="AC864" s="1017">
        <v>0</v>
      </c>
      <c r="AD864" s="1017">
        <v>0</v>
      </c>
      <c r="AE864" s="1013">
        <v>69951.927339901478</v>
      </c>
      <c r="AF864" s="1019"/>
      <c r="AG864" s="1019">
        <f t="shared" si="184"/>
        <v>9603030</v>
      </c>
      <c r="AH864" s="1014">
        <v>0</v>
      </c>
      <c r="AI864" s="1014">
        <v>0</v>
      </c>
      <c r="AJ864" s="1014">
        <v>0</v>
      </c>
      <c r="AK864" s="1018">
        <v>0</v>
      </c>
      <c r="AL864" s="1020">
        <v>0</v>
      </c>
      <c r="AM864" s="1013">
        <f t="shared" si="182"/>
        <v>0</v>
      </c>
      <c r="AN864" s="1045">
        <f t="shared" si="170"/>
        <v>9603030</v>
      </c>
      <c r="AO864" s="1013">
        <v>1018500</v>
      </c>
      <c r="AP864" s="1013">
        <v>44100</v>
      </c>
      <c r="AQ864" s="1013">
        <v>0</v>
      </c>
      <c r="AR864" s="1013">
        <v>0</v>
      </c>
      <c r="AS864" s="1013">
        <v>0</v>
      </c>
      <c r="AT864" s="1045">
        <f t="shared" si="178"/>
        <v>8540430</v>
      </c>
      <c r="AU864" s="1004"/>
      <c r="AV864" s="870"/>
      <c r="AW864" s="782" t="s">
        <v>4958</v>
      </c>
      <c r="AX864" s="782" t="s">
        <v>4959</v>
      </c>
      <c r="AY864" s="1007" t="s">
        <v>221</v>
      </c>
      <c r="AZ864" s="1007">
        <v>642</v>
      </c>
      <c r="BA864" s="347" t="str">
        <f t="shared" si="185"/>
        <v>Bag</v>
      </c>
      <c r="BB864" s="1008"/>
      <c r="BC864" s="1009"/>
      <c r="BD864" s="1009"/>
    </row>
    <row r="865" spans="1:56" s="1010" customFormat="1" ht="36.75" customHeight="1">
      <c r="A865" s="661">
        <f>SUBTOTAL(3,B$6:B865)</f>
        <v>860</v>
      </c>
      <c r="B865" s="661" t="s">
        <v>2545</v>
      </c>
      <c r="C865" s="662" t="s">
        <v>2546</v>
      </c>
      <c r="D865" s="1011">
        <v>44252</v>
      </c>
      <c r="E865" s="1011" t="s">
        <v>221</v>
      </c>
      <c r="F865" s="787" t="s">
        <v>246</v>
      </c>
      <c r="G865" s="996" t="s">
        <v>2386</v>
      </c>
      <c r="H865" s="1012">
        <v>8500000</v>
      </c>
      <c r="I865" s="1012">
        <v>3000000</v>
      </c>
      <c r="J865" s="1012">
        <v>0</v>
      </c>
      <c r="K865" s="1012">
        <v>0</v>
      </c>
      <c r="L865" s="1013">
        <f t="shared" si="173"/>
        <v>11500000</v>
      </c>
      <c r="M865" s="1014">
        <v>23</v>
      </c>
      <c r="N865" s="1013">
        <f t="shared" si="174"/>
        <v>10173077</v>
      </c>
      <c r="O865" s="1015">
        <v>2</v>
      </c>
      <c r="P865" s="1013">
        <f t="shared" si="175"/>
        <v>884615</v>
      </c>
      <c r="Q865" s="1016">
        <v>0</v>
      </c>
      <c r="R865" s="1013">
        <f t="shared" si="176"/>
        <v>0</v>
      </c>
      <c r="S865" s="1013">
        <f t="shared" si="177"/>
        <v>11057692</v>
      </c>
      <c r="T865" s="1017">
        <v>480769</v>
      </c>
      <c r="U865" s="785">
        <v>0</v>
      </c>
      <c r="V865" s="785">
        <v>0</v>
      </c>
      <c r="W865" s="1017">
        <v>0</v>
      </c>
      <c r="X865" s="1017">
        <v>0</v>
      </c>
      <c r="Y865" s="1017">
        <v>0</v>
      </c>
      <c r="Z865" s="1017">
        <v>0</v>
      </c>
      <c r="AA865" s="1018"/>
      <c r="AB865" s="1013"/>
      <c r="AC865" s="1017">
        <v>0</v>
      </c>
      <c r="AD865" s="1017">
        <v>0</v>
      </c>
      <c r="AE865" s="1013">
        <v>82932.692934782608</v>
      </c>
      <c r="AF865" s="1019"/>
      <c r="AG865" s="1019">
        <f t="shared" si="184"/>
        <v>11621394</v>
      </c>
      <c r="AH865" s="1014">
        <v>0</v>
      </c>
      <c r="AI865" s="1014">
        <v>0</v>
      </c>
      <c r="AJ865" s="1014">
        <v>0</v>
      </c>
      <c r="AK865" s="1018">
        <v>0</v>
      </c>
      <c r="AL865" s="1020">
        <v>0</v>
      </c>
      <c r="AM865" s="1013">
        <f t="shared" si="182"/>
        <v>0</v>
      </c>
      <c r="AN865" s="1045">
        <f t="shared" ref="AN865:AN927" si="186">ROUND(AG865+AM865,0)</f>
        <v>11621394</v>
      </c>
      <c r="AO865" s="1013">
        <v>1207500</v>
      </c>
      <c r="AP865" s="1013">
        <v>44100</v>
      </c>
      <c r="AQ865" s="1013">
        <v>0</v>
      </c>
      <c r="AR865" s="1013">
        <v>0</v>
      </c>
      <c r="AS865" s="1013">
        <v>0</v>
      </c>
      <c r="AT865" s="1045">
        <f t="shared" si="178"/>
        <v>10369794</v>
      </c>
      <c r="AU865" s="1004"/>
      <c r="AV865" s="870"/>
      <c r="AW865" s="782" t="s">
        <v>4960</v>
      </c>
      <c r="AX865" s="782" t="s">
        <v>4961</v>
      </c>
      <c r="AY865" s="1007" t="s">
        <v>221</v>
      </c>
      <c r="AZ865" s="1007">
        <v>642</v>
      </c>
      <c r="BA865" s="347" t="str">
        <f t="shared" si="185"/>
        <v>Bag</v>
      </c>
      <c r="BB865" s="1008"/>
      <c r="BC865" s="1009"/>
      <c r="BD865" s="1009"/>
    </row>
    <row r="866" spans="1:56" s="1010" customFormat="1" ht="36.75" customHeight="1">
      <c r="A866" s="661">
        <f>SUBTOTAL(3,B$6:B866)</f>
        <v>861</v>
      </c>
      <c r="B866" s="661" t="s">
        <v>2547</v>
      </c>
      <c r="C866" s="662" t="s">
        <v>2548</v>
      </c>
      <c r="D866" s="1011">
        <v>44252</v>
      </c>
      <c r="E866" s="1011" t="s">
        <v>221</v>
      </c>
      <c r="F866" s="787" t="s">
        <v>246</v>
      </c>
      <c r="G866" s="996" t="s">
        <v>2386</v>
      </c>
      <c r="H866" s="1012">
        <v>7900000</v>
      </c>
      <c r="I866" s="1012">
        <v>2000000</v>
      </c>
      <c r="J866" s="1012">
        <v>0</v>
      </c>
      <c r="K866" s="1012">
        <v>0</v>
      </c>
      <c r="L866" s="1013">
        <f t="shared" si="173"/>
        <v>9900000</v>
      </c>
      <c r="M866" s="1014">
        <v>24</v>
      </c>
      <c r="N866" s="1013">
        <f t="shared" si="174"/>
        <v>9138462</v>
      </c>
      <c r="O866" s="1015">
        <v>2</v>
      </c>
      <c r="P866" s="1013">
        <f t="shared" si="175"/>
        <v>761538</v>
      </c>
      <c r="Q866" s="1016">
        <v>0</v>
      </c>
      <c r="R866" s="1013">
        <f t="shared" si="176"/>
        <v>0</v>
      </c>
      <c r="S866" s="1013">
        <f t="shared" si="177"/>
        <v>9900000</v>
      </c>
      <c r="T866" s="1017">
        <v>500000</v>
      </c>
      <c r="U866" s="785">
        <v>0</v>
      </c>
      <c r="V866" s="785">
        <v>0</v>
      </c>
      <c r="W866" s="1017">
        <v>0</v>
      </c>
      <c r="X866" s="1017">
        <v>0</v>
      </c>
      <c r="Y866" s="1017">
        <v>0</v>
      </c>
      <c r="Z866" s="1017">
        <v>0</v>
      </c>
      <c r="AA866" s="1018"/>
      <c r="AB866" s="1013"/>
      <c r="AC866" s="1017">
        <v>0</v>
      </c>
      <c r="AD866" s="1017">
        <v>0</v>
      </c>
      <c r="AE866" s="1013">
        <v>71394.234375</v>
      </c>
      <c r="AF866" s="1019"/>
      <c r="AG866" s="1019">
        <f t="shared" si="184"/>
        <v>10471394</v>
      </c>
      <c r="AH866" s="1014">
        <v>0</v>
      </c>
      <c r="AI866" s="1014">
        <v>0</v>
      </c>
      <c r="AJ866" s="1014">
        <v>0</v>
      </c>
      <c r="AK866" s="1018">
        <v>0</v>
      </c>
      <c r="AL866" s="1020">
        <v>0</v>
      </c>
      <c r="AM866" s="1013">
        <f t="shared" si="182"/>
        <v>0</v>
      </c>
      <c r="AN866" s="1045">
        <f t="shared" si="186"/>
        <v>10471394</v>
      </c>
      <c r="AO866" s="1013">
        <v>1039500</v>
      </c>
      <c r="AP866" s="1013">
        <v>44100</v>
      </c>
      <c r="AQ866" s="1013">
        <v>0</v>
      </c>
      <c r="AR866" s="1013">
        <v>0</v>
      </c>
      <c r="AS866" s="1013">
        <v>0</v>
      </c>
      <c r="AT866" s="1045">
        <f t="shared" si="178"/>
        <v>9387794</v>
      </c>
      <c r="AU866" s="1004"/>
      <c r="AV866" s="870"/>
      <c r="AW866" s="782" t="s">
        <v>4962</v>
      </c>
      <c r="AX866" s="782" t="s">
        <v>4963</v>
      </c>
      <c r="AY866" s="1007" t="s">
        <v>221</v>
      </c>
      <c r="AZ866" s="1007">
        <v>642</v>
      </c>
      <c r="BA866" s="347" t="str">
        <f t="shared" si="185"/>
        <v>Bag</v>
      </c>
      <c r="BB866" s="1008"/>
      <c r="BC866" s="1009"/>
      <c r="BD866" s="1009"/>
    </row>
    <row r="867" spans="1:56" s="1010" customFormat="1" ht="36.75" customHeight="1">
      <c r="A867" s="661">
        <f>SUBTOTAL(3,B$6:B867)</f>
        <v>862</v>
      </c>
      <c r="B867" s="661" t="s">
        <v>2549</v>
      </c>
      <c r="C867" s="662" t="s">
        <v>2550</v>
      </c>
      <c r="D867" s="1011">
        <v>45540</v>
      </c>
      <c r="E867" s="1011" t="s">
        <v>221</v>
      </c>
      <c r="F867" s="787" t="s">
        <v>246</v>
      </c>
      <c r="G867" s="996" t="s">
        <v>2386</v>
      </c>
      <c r="H867" s="1012">
        <v>7300000</v>
      </c>
      <c r="I867" s="1012">
        <v>3000000</v>
      </c>
      <c r="J867" s="1012">
        <v>0</v>
      </c>
      <c r="K867" s="1012">
        <v>0</v>
      </c>
      <c r="L867" s="1013">
        <f t="shared" si="173"/>
        <v>10300000</v>
      </c>
      <c r="M867" s="1014">
        <v>18.600000000000001</v>
      </c>
      <c r="N867" s="1013">
        <f t="shared" si="174"/>
        <v>7368462</v>
      </c>
      <c r="O867" s="1015">
        <v>2</v>
      </c>
      <c r="P867" s="1013">
        <f t="shared" si="175"/>
        <v>792308</v>
      </c>
      <c r="Q867" s="1016">
        <v>0</v>
      </c>
      <c r="R867" s="1013">
        <f t="shared" si="176"/>
        <v>0</v>
      </c>
      <c r="S867" s="1013">
        <f t="shared" si="177"/>
        <v>8160770</v>
      </c>
      <c r="T867" s="1017">
        <v>396154</v>
      </c>
      <c r="U867" s="785">
        <v>0</v>
      </c>
      <c r="V867" s="785">
        <v>0</v>
      </c>
      <c r="W867" s="1017">
        <v>0</v>
      </c>
      <c r="X867" s="1017">
        <v>0</v>
      </c>
      <c r="Y867" s="1017">
        <v>0</v>
      </c>
      <c r="Z867" s="1017">
        <v>0</v>
      </c>
      <c r="AA867" s="1018"/>
      <c r="AB867" s="1013"/>
      <c r="AC867" s="1017">
        <v>100000</v>
      </c>
      <c r="AD867" s="1017">
        <v>0</v>
      </c>
      <c r="AE867" s="1013">
        <v>0</v>
      </c>
      <c r="AF867" s="1019"/>
      <c r="AG867" s="1019">
        <f t="shared" si="184"/>
        <v>8656924</v>
      </c>
      <c r="AH867" s="1014">
        <v>0</v>
      </c>
      <c r="AI867" s="1014">
        <v>0</v>
      </c>
      <c r="AJ867" s="1014">
        <v>0</v>
      </c>
      <c r="AK867" s="1018">
        <v>0</v>
      </c>
      <c r="AL867" s="1020">
        <v>0</v>
      </c>
      <c r="AM867" s="1013">
        <f t="shared" si="182"/>
        <v>0</v>
      </c>
      <c r="AN867" s="1045">
        <f t="shared" si="186"/>
        <v>8656924</v>
      </c>
      <c r="AO867" s="1013">
        <v>1081500</v>
      </c>
      <c r="AP867" s="1013">
        <v>44100</v>
      </c>
      <c r="AQ867" s="1013">
        <v>0</v>
      </c>
      <c r="AR867" s="1013">
        <v>0</v>
      </c>
      <c r="AS867" s="1013">
        <v>0</v>
      </c>
      <c r="AT867" s="1045">
        <f t="shared" si="178"/>
        <v>7531324</v>
      </c>
      <c r="AU867" s="1004"/>
      <c r="AV867" s="870"/>
      <c r="AW867" s="782" t="s">
        <v>4964</v>
      </c>
      <c r="AX867" s="782" t="s">
        <v>4965</v>
      </c>
      <c r="AY867" s="1007" t="s">
        <v>221</v>
      </c>
      <c r="AZ867" s="1007">
        <v>642</v>
      </c>
      <c r="BA867" s="347" t="str">
        <f t="shared" si="185"/>
        <v>Bag</v>
      </c>
      <c r="BB867" s="1008"/>
      <c r="BC867" s="1009"/>
      <c r="BD867" s="1009"/>
    </row>
    <row r="868" spans="1:56" s="1010" customFormat="1" ht="36.75" customHeight="1">
      <c r="A868" s="661">
        <f>SUBTOTAL(3,B$6:B868)</f>
        <v>863</v>
      </c>
      <c r="B868" s="661" t="s">
        <v>5778</v>
      </c>
      <c r="C868" s="662" t="s">
        <v>5779</v>
      </c>
      <c r="D868" s="1011">
        <v>45761</v>
      </c>
      <c r="E868" s="1011" t="s">
        <v>221</v>
      </c>
      <c r="F868" s="787" t="s">
        <v>246</v>
      </c>
      <c r="G868" s="996" t="s">
        <v>2386</v>
      </c>
      <c r="H868" s="1012">
        <v>7000000</v>
      </c>
      <c r="I868" s="1012">
        <v>2500000</v>
      </c>
      <c r="J868" s="1012">
        <v>0</v>
      </c>
      <c r="K868" s="1012">
        <v>0</v>
      </c>
      <c r="L868" s="1013">
        <f t="shared" si="173"/>
        <v>9500000</v>
      </c>
      <c r="M868" s="1014">
        <v>14</v>
      </c>
      <c r="N868" s="1013">
        <f t="shared" si="174"/>
        <v>5115385</v>
      </c>
      <c r="O868" s="1015">
        <v>1</v>
      </c>
      <c r="P868" s="1013">
        <f t="shared" si="175"/>
        <v>365385</v>
      </c>
      <c r="Q868" s="1016">
        <v>0</v>
      </c>
      <c r="R868" s="1013">
        <f t="shared" si="176"/>
        <v>0</v>
      </c>
      <c r="S868" s="1013">
        <f t="shared" si="177"/>
        <v>5480770</v>
      </c>
      <c r="T868" s="1017">
        <v>288462</v>
      </c>
      <c r="U868" s="785">
        <v>0</v>
      </c>
      <c r="V868" s="785">
        <v>0</v>
      </c>
      <c r="W868" s="1017">
        <v>0</v>
      </c>
      <c r="X868" s="1017">
        <v>0</v>
      </c>
      <c r="Y868" s="1017">
        <v>0</v>
      </c>
      <c r="Z868" s="1017">
        <v>0</v>
      </c>
      <c r="AA868" s="1018"/>
      <c r="AB868" s="1013"/>
      <c r="AC868" s="1017">
        <v>0</v>
      </c>
      <c r="AD868" s="1017">
        <v>0</v>
      </c>
      <c r="AE868" s="1013">
        <v>0</v>
      </c>
      <c r="AF868" s="1019"/>
      <c r="AG868" s="1019">
        <f t="shared" si="184"/>
        <v>5769232</v>
      </c>
      <c r="AH868" s="1014">
        <v>0</v>
      </c>
      <c r="AI868" s="1014">
        <v>0</v>
      </c>
      <c r="AJ868" s="1014">
        <v>0</v>
      </c>
      <c r="AK868" s="1018">
        <v>0</v>
      </c>
      <c r="AL868" s="1020">
        <v>0</v>
      </c>
      <c r="AM868" s="1013">
        <f t="shared" si="182"/>
        <v>0</v>
      </c>
      <c r="AN868" s="1045">
        <f t="shared" si="186"/>
        <v>5769232</v>
      </c>
      <c r="AO868" s="1013">
        <v>0</v>
      </c>
      <c r="AP868" s="1013">
        <v>0</v>
      </c>
      <c r="AQ868" s="1013">
        <v>0</v>
      </c>
      <c r="AR868" s="1013">
        <v>0</v>
      </c>
      <c r="AS868" s="1013">
        <v>0</v>
      </c>
      <c r="AT868" s="1045">
        <f t="shared" si="178"/>
        <v>5769232</v>
      </c>
      <c r="AU868" s="1004"/>
      <c r="AV868" s="870"/>
      <c r="AW868" s="782"/>
      <c r="AX868" s="782" t="s">
        <v>3644</v>
      </c>
      <c r="AY868" s="1007" t="s">
        <v>221</v>
      </c>
      <c r="AZ868" s="1007">
        <v>642</v>
      </c>
      <c r="BA868" s="347" t="str">
        <f t="shared" si="185"/>
        <v>Bag</v>
      </c>
      <c r="BB868" s="1008"/>
      <c r="BC868" s="1009"/>
      <c r="BD868" s="1009"/>
    </row>
    <row r="869" spans="1:56" s="1010" customFormat="1" ht="36.75" customHeight="1">
      <c r="A869" s="661">
        <f>SUBTOTAL(3,B$6:B869)</f>
        <v>864</v>
      </c>
      <c r="B869" s="661" t="s">
        <v>2551</v>
      </c>
      <c r="C869" s="662" t="s">
        <v>2552</v>
      </c>
      <c r="D869" s="1011">
        <v>40882</v>
      </c>
      <c r="E869" s="1011" t="s">
        <v>221</v>
      </c>
      <c r="F869" s="787" t="s">
        <v>246</v>
      </c>
      <c r="G869" s="996" t="s">
        <v>2386</v>
      </c>
      <c r="H869" s="1012">
        <v>8119000</v>
      </c>
      <c r="I869" s="1012">
        <v>3800000</v>
      </c>
      <c r="J869" s="1012">
        <v>0</v>
      </c>
      <c r="K869" s="1012">
        <v>0</v>
      </c>
      <c r="L869" s="1013">
        <f t="shared" si="173"/>
        <v>11919000</v>
      </c>
      <c r="M869" s="1014">
        <v>24</v>
      </c>
      <c r="N869" s="1013">
        <f t="shared" si="174"/>
        <v>11002154</v>
      </c>
      <c r="O869" s="1015">
        <v>2</v>
      </c>
      <c r="P869" s="1013">
        <f t="shared" si="175"/>
        <v>916846</v>
      </c>
      <c r="Q869" s="1016">
        <v>0</v>
      </c>
      <c r="R869" s="1013">
        <f t="shared" si="176"/>
        <v>0</v>
      </c>
      <c r="S869" s="1013">
        <f t="shared" si="177"/>
        <v>11919000</v>
      </c>
      <c r="T869" s="1017">
        <v>500000</v>
      </c>
      <c r="U869" s="785">
        <v>0</v>
      </c>
      <c r="V869" s="785">
        <v>0</v>
      </c>
      <c r="W869" s="1017">
        <v>0</v>
      </c>
      <c r="X869" s="1017">
        <v>0</v>
      </c>
      <c r="Y869" s="1017">
        <v>0</v>
      </c>
      <c r="Z869" s="1017">
        <v>0</v>
      </c>
      <c r="AA869" s="1018"/>
      <c r="AB869" s="1013"/>
      <c r="AC869" s="1017">
        <v>0</v>
      </c>
      <c r="AD869" s="1017">
        <v>0</v>
      </c>
      <c r="AE869" s="1013">
        <v>85954.328125</v>
      </c>
      <c r="AF869" s="1019"/>
      <c r="AG869" s="1019">
        <f t="shared" si="184"/>
        <v>12504954</v>
      </c>
      <c r="AH869" s="1014">
        <v>0</v>
      </c>
      <c r="AI869" s="1014">
        <v>0</v>
      </c>
      <c r="AJ869" s="1014">
        <v>0</v>
      </c>
      <c r="AK869" s="1018">
        <v>0</v>
      </c>
      <c r="AL869" s="1020">
        <v>0</v>
      </c>
      <c r="AM869" s="1013">
        <f t="shared" si="182"/>
        <v>0</v>
      </c>
      <c r="AN869" s="1045">
        <f t="shared" si="186"/>
        <v>12504954</v>
      </c>
      <c r="AO869" s="1013">
        <v>1251495</v>
      </c>
      <c r="AP869" s="1013">
        <v>44100</v>
      </c>
      <c r="AQ869" s="1013">
        <v>0</v>
      </c>
      <c r="AR869" s="1013">
        <v>0</v>
      </c>
      <c r="AS869" s="1013">
        <v>0</v>
      </c>
      <c r="AT869" s="1045">
        <f t="shared" si="178"/>
        <v>11209359</v>
      </c>
      <c r="AU869" s="1004"/>
      <c r="AV869" s="870"/>
      <c r="AW869" s="782" t="s">
        <v>4966</v>
      </c>
      <c r="AX869" s="782" t="s">
        <v>4967</v>
      </c>
      <c r="AY869" s="1007" t="s">
        <v>221</v>
      </c>
      <c r="AZ869" s="1007">
        <v>642</v>
      </c>
      <c r="BA869" s="347" t="str">
        <f t="shared" si="185"/>
        <v>Bag</v>
      </c>
      <c r="BB869" s="1008"/>
      <c r="BC869" s="1009"/>
      <c r="BD869" s="1009"/>
    </row>
    <row r="870" spans="1:56" s="1010" customFormat="1" ht="36.75" customHeight="1">
      <c r="A870" s="661">
        <f>SUBTOTAL(3,B$6:B870)</f>
        <v>865</v>
      </c>
      <c r="B870" s="661" t="s">
        <v>2553</v>
      </c>
      <c r="C870" s="662" t="s">
        <v>2554</v>
      </c>
      <c r="D870" s="1011">
        <v>41691</v>
      </c>
      <c r="E870" s="1011" t="s">
        <v>221</v>
      </c>
      <c r="F870" s="787" t="s">
        <v>246</v>
      </c>
      <c r="G870" s="996" t="s">
        <v>2396</v>
      </c>
      <c r="H870" s="1012">
        <v>8100000</v>
      </c>
      <c r="I870" s="1012">
        <v>3000000</v>
      </c>
      <c r="J870" s="1012">
        <v>0</v>
      </c>
      <c r="K870" s="1012">
        <v>0</v>
      </c>
      <c r="L870" s="1013">
        <f t="shared" si="173"/>
        <v>11100000</v>
      </c>
      <c r="M870" s="1014">
        <v>24</v>
      </c>
      <c r="N870" s="1013">
        <f t="shared" si="174"/>
        <v>10246154</v>
      </c>
      <c r="O870" s="1015">
        <v>2</v>
      </c>
      <c r="P870" s="1013">
        <f t="shared" si="175"/>
        <v>853846</v>
      </c>
      <c r="Q870" s="1016">
        <v>0</v>
      </c>
      <c r="R870" s="1013">
        <f t="shared" si="176"/>
        <v>0</v>
      </c>
      <c r="S870" s="1013">
        <f t="shared" si="177"/>
        <v>11100000</v>
      </c>
      <c r="T870" s="1017">
        <v>500000</v>
      </c>
      <c r="U870" s="785">
        <v>0</v>
      </c>
      <c r="V870" s="785">
        <v>0</v>
      </c>
      <c r="W870" s="1017">
        <v>0</v>
      </c>
      <c r="X870" s="1017">
        <v>0</v>
      </c>
      <c r="Y870" s="1017">
        <v>0</v>
      </c>
      <c r="Z870" s="1017">
        <v>0</v>
      </c>
      <c r="AA870" s="1018"/>
      <c r="AB870" s="1013"/>
      <c r="AC870" s="1017">
        <v>0</v>
      </c>
      <c r="AD870" s="1017">
        <v>0</v>
      </c>
      <c r="AE870" s="1013">
        <v>0</v>
      </c>
      <c r="AF870" s="1019"/>
      <c r="AG870" s="1019">
        <f t="shared" si="184"/>
        <v>11600000</v>
      </c>
      <c r="AH870" s="1014">
        <v>0</v>
      </c>
      <c r="AI870" s="1014">
        <v>0</v>
      </c>
      <c r="AJ870" s="1014">
        <v>0</v>
      </c>
      <c r="AK870" s="1018">
        <v>0</v>
      </c>
      <c r="AL870" s="1020">
        <v>0</v>
      </c>
      <c r="AM870" s="1013">
        <f t="shared" si="182"/>
        <v>0</v>
      </c>
      <c r="AN870" s="1045">
        <f t="shared" si="186"/>
        <v>11600000</v>
      </c>
      <c r="AO870" s="1013">
        <v>1165500</v>
      </c>
      <c r="AP870" s="1013">
        <v>44100</v>
      </c>
      <c r="AQ870" s="1013">
        <v>0</v>
      </c>
      <c r="AR870" s="1013">
        <v>0</v>
      </c>
      <c r="AS870" s="1013">
        <v>0</v>
      </c>
      <c r="AT870" s="1045">
        <f t="shared" si="178"/>
        <v>10390400</v>
      </c>
      <c r="AU870" s="1004"/>
      <c r="AV870" s="870"/>
      <c r="AW870" s="782" t="s">
        <v>4968</v>
      </c>
      <c r="AX870" s="782" t="s">
        <v>4969</v>
      </c>
      <c r="AY870" s="1007" t="s">
        <v>221</v>
      </c>
      <c r="AZ870" s="1007">
        <v>642</v>
      </c>
      <c r="BA870" s="347" t="str">
        <f t="shared" si="185"/>
        <v>Bag</v>
      </c>
      <c r="BB870" s="1008"/>
      <c r="BC870" s="1009"/>
      <c r="BD870" s="1009"/>
    </row>
    <row r="871" spans="1:56" s="1010" customFormat="1" ht="36.75" customHeight="1">
      <c r="A871" s="661">
        <f>SUBTOTAL(3,B$6:B871)</f>
        <v>866</v>
      </c>
      <c r="B871" s="661" t="s">
        <v>2555</v>
      </c>
      <c r="C871" s="662" t="s">
        <v>2556</v>
      </c>
      <c r="D871" s="1011">
        <v>42626</v>
      </c>
      <c r="E871" s="1011" t="s">
        <v>221</v>
      </c>
      <c r="F871" s="787" t="s">
        <v>246</v>
      </c>
      <c r="G871" s="996" t="s">
        <v>2386</v>
      </c>
      <c r="H871" s="1012">
        <v>8300000</v>
      </c>
      <c r="I871" s="1012">
        <v>5700000</v>
      </c>
      <c r="J871" s="1012">
        <v>0</v>
      </c>
      <c r="K871" s="1012">
        <v>0</v>
      </c>
      <c r="L871" s="1013">
        <f t="shared" si="173"/>
        <v>14000000</v>
      </c>
      <c r="M871" s="1014">
        <v>22.9</v>
      </c>
      <c r="N871" s="1013">
        <f t="shared" si="174"/>
        <v>12330769</v>
      </c>
      <c r="O871" s="1015">
        <v>2</v>
      </c>
      <c r="P871" s="1013">
        <f t="shared" si="175"/>
        <v>1076923</v>
      </c>
      <c r="Q871" s="1016">
        <v>0</v>
      </c>
      <c r="R871" s="1013">
        <f t="shared" si="176"/>
        <v>0</v>
      </c>
      <c r="S871" s="1013">
        <f t="shared" si="177"/>
        <v>13407692</v>
      </c>
      <c r="T871" s="1017">
        <v>574615</v>
      </c>
      <c r="U871" s="785">
        <v>0</v>
      </c>
      <c r="V871" s="785">
        <v>0</v>
      </c>
      <c r="W871" s="1017">
        <v>0</v>
      </c>
      <c r="X871" s="1017">
        <v>0</v>
      </c>
      <c r="Y871" s="1017">
        <v>0</v>
      </c>
      <c r="Z871" s="1017">
        <v>0</v>
      </c>
      <c r="AA871" s="1018"/>
      <c r="AB871" s="1013"/>
      <c r="AC871" s="1017">
        <v>100000</v>
      </c>
      <c r="AD871" s="1017">
        <v>0</v>
      </c>
      <c r="AE871" s="1013">
        <v>100961.5365720524</v>
      </c>
      <c r="AF871" s="1019"/>
      <c r="AG871" s="1019">
        <f t="shared" si="184"/>
        <v>14183269</v>
      </c>
      <c r="AH871" s="1014">
        <v>0</v>
      </c>
      <c r="AI871" s="1014">
        <v>0</v>
      </c>
      <c r="AJ871" s="1014">
        <v>0</v>
      </c>
      <c r="AK871" s="1018">
        <v>0</v>
      </c>
      <c r="AL871" s="1020">
        <v>0</v>
      </c>
      <c r="AM871" s="1013">
        <f t="shared" si="182"/>
        <v>0</v>
      </c>
      <c r="AN871" s="1045">
        <f t="shared" si="186"/>
        <v>14183269</v>
      </c>
      <c r="AO871" s="1013">
        <v>1470000</v>
      </c>
      <c r="AP871" s="1013">
        <v>44100</v>
      </c>
      <c r="AQ871" s="1013">
        <v>0</v>
      </c>
      <c r="AR871" s="1013">
        <v>0</v>
      </c>
      <c r="AS871" s="1013">
        <v>0</v>
      </c>
      <c r="AT871" s="1045">
        <f t="shared" si="178"/>
        <v>12669169</v>
      </c>
      <c r="AU871" s="1004"/>
      <c r="AV871" s="870"/>
      <c r="AW871" s="782" t="s">
        <v>4970</v>
      </c>
      <c r="AX871" s="782" t="s">
        <v>4971</v>
      </c>
      <c r="AY871" s="1007" t="s">
        <v>221</v>
      </c>
      <c r="AZ871" s="1007">
        <v>642</v>
      </c>
      <c r="BA871" s="347" t="str">
        <f t="shared" si="185"/>
        <v>Bag</v>
      </c>
      <c r="BB871" s="1008"/>
      <c r="BC871" s="1009"/>
      <c r="BD871" s="1009"/>
    </row>
    <row r="872" spans="1:56" s="1010" customFormat="1" ht="36.75" customHeight="1">
      <c r="A872" s="661">
        <f>SUBTOTAL(3,B$6:B872)</f>
        <v>867</v>
      </c>
      <c r="B872" s="661" t="s">
        <v>2557</v>
      </c>
      <c r="C872" s="662" t="s">
        <v>2558</v>
      </c>
      <c r="D872" s="1011">
        <v>43475</v>
      </c>
      <c r="E872" s="1011" t="s">
        <v>221</v>
      </c>
      <c r="F872" s="787" t="s">
        <v>246</v>
      </c>
      <c r="G872" s="996" t="s">
        <v>2390</v>
      </c>
      <c r="H872" s="1012">
        <v>14500000</v>
      </c>
      <c r="I872" s="1012">
        <v>9700000</v>
      </c>
      <c r="J872" s="1012">
        <v>0</v>
      </c>
      <c r="K872" s="1012">
        <v>0</v>
      </c>
      <c r="L872" s="1013">
        <f t="shared" si="173"/>
        <v>24200000</v>
      </c>
      <c r="M872" s="1014">
        <v>19.600000000000001</v>
      </c>
      <c r="N872" s="1013">
        <f t="shared" si="174"/>
        <v>18243077</v>
      </c>
      <c r="O872" s="1015">
        <v>2</v>
      </c>
      <c r="P872" s="1013">
        <f t="shared" si="175"/>
        <v>1861538</v>
      </c>
      <c r="Q872" s="1016">
        <v>0</v>
      </c>
      <c r="R872" s="1013">
        <f t="shared" si="176"/>
        <v>0</v>
      </c>
      <c r="S872" s="1013">
        <f t="shared" si="177"/>
        <v>20104615</v>
      </c>
      <c r="T872" s="1017">
        <v>415385</v>
      </c>
      <c r="U872" s="785">
        <v>0</v>
      </c>
      <c r="V872" s="785">
        <v>0</v>
      </c>
      <c r="W872" s="1017">
        <v>0</v>
      </c>
      <c r="X872" s="1017">
        <v>0</v>
      </c>
      <c r="Y872" s="1017">
        <v>0</v>
      </c>
      <c r="Z872" s="1017">
        <v>0</v>
      </c>
      <c r="AA872" s="1018"/>
      <c r="AB872" s="1013"/>
      <c r="AC872" s="1017">
        <v>0</v>
      </c>
      <c r="AD872" s="1017">
        <v>0</v>
      </c>
      <c r="AE872" s="1013">
        <v>0</v>
      </c>
      <c r="AF872" s="1019"/>
      <c r="AG872" s="1019">
        <f t="shared" si="184"/>
        <v>20520000</v>
      </c>
      <c r="AH872" s="1014">
        <v>0</v>
      </c>
      <c r="AI872" s="1014">
        <v>0</v>
      </c>
      <c r="AJ872" s="1014">
        <v>0</v>
      </c>
      <c r="AK872" s="1018">
        <v>0</v>
      </c>
      <c r="AL872" s="1020">
        <v>0</v>
      </c>
      <c r="AM872" s="1013">
        <f t="shared" si="182"/>
        <v>0</v>
      </c>
      <c r="AN872" s="1045">
        <f t="shared" si="186"/>
        <v>20520000</v>
      </c>
      <c r="AO872" s="1013">
        <v>2541000</v>
      </c>
      <c r="AP872" s="1013">
        <v>44100</v>
      </c>
      <c r="AQ872" s="1013">
        <v>113181</v>
      </c>
      <c r="AR872" s="1013">
        <v>0</v>
      </c>
      <c r="AS872" s="1013">
        <v>0</v>
      </c>
      <c r="AT872" s="1045">
        <f t="shared" si="178"/>
        <v>17821719</v>
      </c>
      <c r="AU872" s="1004"/>
      <c r="AV872" s="870"/>
      <c r="AW872" s="782" t="s">
        <v>4972</v>
      </c>
      <c r="AX872" s="782" t="s">
        <v>4973</v>
      </c>
      <c r="AY872" s="1007" t="s">
        <v>221</v>
      </c>
      <c r="AZ872" s="1007">
        <v>642</v>
      </c>
      <c r="BA872" s="347" t="s">
        <v>78</v>
      </c>
      <c r="BB872" s="1008"/>
      <c r="BC872" s="1009"/>
      <c r="BD872" s="1009"/>
    </row>
    <row r="873" spans="1:56" s="1010" customFormat="1" ht="36.75" customHeight="1">
      <c r="A873" s="661">
        <f>SUBTOTAL(3,B$6:B873)</f>
        <v>868</v>
      </c>
      <c r="B873" s="661" t="s">
        <v>59</v>
      </c>
      <c r="C873" s="662" t="s">
        <v>167</v>
      </c>
      <c r="D873" s="1011">
        <v>41051</v>
      </c>
      <c r="E873" s="1011" t="s">
        <v>221</v>
      </c>
      <c r="F873" s="787" t="s">
        <v>397</v>
      </c>
      <c r="G873" s="996" t="s">
        <v>2559</v>
      </c>
      <c r="H873" s="1012">
        <v>14053000</v>
      </c>
      <c r="I873" s="1012">
        <v>23747000</v>
      </c>
      <c r="J873" s="1012">
        <v>0</v>
      </c>
      <c r="K873" s="1012">
        <v>0</v>
      </c>
      <c r="L873" s="1013">
        <f t="shared" si="173"/>
        <v>37800000</v>
      </c>
      <c r="M873" s="1014">
        <v>24</v>
      </c>
      <c r="N873" s="1013">
        <f t="shared" si="174"/>
        <v>34892308</v>
      </c>
      <c r="O873" s="1015">
        <v>2</v>
      </c>
      <c r="P873" s="1013">
        <f t="shared" si="175"/>
        <v>2907692</v>
      </c>
      <c r="Q873" s="1016">
        <v>0</v>
      </c>
      <c r="R873" s="1013">
        <f t="shared" si="176"/>
        <v>0</v>
      </c>
      <c r="S873" s="1013">
        <f t="shared" si="177"/>
        <v>37800000</v>
      </c>
      <c r="T873" s="1017">
        <v>700000</v>
      </c>
      <c r="U873" s="785">
        <v>0</v>
      </c>
      <c r="V873" s="785">
        <v>0</v>
      </c>
      <c r="W873" s="1017">
        <v>0</v>
      </c>
      <c r="X873" s="1017">
        <v>0</v>
      </c>
      <c r="Y873" s="1017">
        <v>0</v>
      </c>
      <c r="Z873" s="1017">
        <v>0</v>
      </c>
      <c r="AA873" s="1018"/>
      <c r="AB873" s="1013"/>
      <c r="AC873" s="1017">
        <v>0</v>
      </c>
      <c r="AD873" s="1017">
        <v>0</v>
      </c>
      <c r="AE873" s="1013">
        <v>0</v>
      </c>
      <c r="AF873" s="1019"/>
      <c r="AG873" s="1019">
        <f t="shared" si="184"/>
        <v>38500000</v>
      </c>
      <c r="AH873" s="1014">
        <v>0</v>
      </c>
      <c r="AI873" s="1014">
        <v>0</v>
      </c>
      <c r="AJ873" s="1014">
        <v>0</v>
      </c>
      <c r="AK873" s="1018">
        <v>0</v>
      </c>
      <c r="AL873" s="1020">
        <v>0</v>
      </c>
      <c r="AM873" s="1013">
        <f t="shared" si="182"/>
        <v>0</v>
      </c>
      <c r="AN873" s="1045">
        <f t="shared" si="186"/>
        <v>38500000</v>
      </c>
      <c r="AO873" s="1013">
        <v>3969000</v>
      </c>
      <c r="AP873" s="1013">
        <v>44100</v>
      </c>
      <c r="AQ873" s="1013">
        <v>283100</v>
      </c>
      <c r="AR873" s="1013">
        <v>0</v>
      </c>
      <c r="AS873" s="1013">
        <v>0</v>
      </c>
      <c r="AT873" s="1045">
        <f t="shared" si="178"/>
        <v>34203800</v>
      </c>
      <c r="AU873" s="1004"/>
      <c r="AV873" s="870"/>
      <c r="AW873" s="782" t="s">
        <v>4974</v>
      </c>
      <c r="AX873" s="782" t="s">
        <v>4975</v>
      </c>
      <c r="AY873" s="1007" t="s">
        <v>221</v>
      </c>
      <c r="AZ873" s="1007">
        <v>627</v>
      </c>
      <c r="BA873" s="347" t="s">
        <v>78</v>
      </c>
      <c r="BB873" s="1008"/>
      <c r="BC873" s="1009"/>
      <c r="BD873" s="1009"/>
    </row>
    <row r="874" spans="1:56" s="1010" customFormat="1" ht="36.75" customHeight="1">
      <c r="A874" s="661">
        <f>SUBTOTAL(3,B$6:B874)</f>
        <v>869</v>
      </c>
      <c r="B874" s="661" t="s">
        <v>2560</v>
      </c>
      <c r="C874" s="662" t="s">
        <v>2561</v>
      </c>
      <c r="D874" s="1011">
        <v>44669</v>
      </c>
      <c r="E874" s="1011" t="s">
        <v>221</v>
      </c>
      <c r="F874" s="787" t="s">
        <v>548</v>
      </c>
      <c r="G874" s="996" t="s">
        <v>2352</v>
      </c>
      <c r="H874" s="1012">
        <v>7144000</v>
      </c>
      <c r="I874" s="1012">
        <v>2500000</v>
      </c>
      <c r="J874" s="1012">
        <v>0</v>
      </c>
      <c r="K874" s="1012">
        <v>0</v>
      </c>
      <c r="L874" s="1013">
        <f t="shared" si="173"/>
        <v>9644000</v>
      </c>
      <c r="M874" s="1014">
        <v>22.7</v>
      </c>
      <c r="N874" s="1013">
        <f t="shared" si="174"/>
        <v>8419954</v>
      </c>
      <c r="O874" s="1015">
        <v>2</v>
      </c>
      <c r="P874" s="1013">
        <f t="shared" si="175"/>
        <v>741846</v>
      </c>
      <c r="Q874" s="1016">
        <v>0</v>
      </c>
      <c r="R874" s="1013">
        <f t="shared" si="176"/>
        <v>0</v>
      </c>
      <c r="S874" s="1013">
        <f t="shared" si="177"/>
        <v>9161800</v>
      </c>
      <c r="T874" s="1017">
        <v>475000</v>
      </c>
      <c r="U874" s="785">
        <v>0</v>
      </c>
      <c r="V874" s="785">
        <v>0</v>
      </c>
      <c r="W874" s="1017">
        <v>0</v>
      </c>
      <c r="X874" s="1017">
        <v>0</v>
      </c>
      <c r="Y874" s="1017">
        <v>0</v>
      </c>
      <c r="Z874" s="1017">
        <v>0</v>
      </c>
      <c r="AA874" s="1018"/>
      <c r="AB874" s="1013"/>
      <c r="AC874" s="1017">
        <v>0</v>
      </c>
      <c r="AD874" s="1017">
        <v>0</v>
      </c>
      <c r="AE874" s="1013">
        <v>69548.078193832596</v>
      </c>
      <c r="AF874" s="1019"/>
      <c r="AG874" s="1019">
        <f t="shared" si="184"/>
        <v>9706348</v>
      </c>
      <c r="AH874" s="1014">
        <v>0</v>
      </c>
      <c r="AI874" s="1014">
        <v>0</v>
      </c>
      <c r="AJ874" s="1014">
        <v>0</v>
      </c>
      <c r="AK874" s="1018">
        <v>0</v>
      </c>
      <c r="AL874" s="1020">
        <v>0</v>
      </c>
      <c r="AM874" s="1013">
        <f t="shared" si="182"/>
        <v>0</v>
      </c>
      <c r="AN874" s="1045">
        <f t="shared" si="186"/>
        <v>9706348</v>
      </c>
      <c r="AO874" s="1013">
        <v>1012620</v>
      </c>
      <c r="AP874" s="1013">
        <v>44100</v>
      </c>
      <c r="AQ874" s="1013">
        <v>0</v>
      </c>
      <c r="AR874" s="1013">
        <v>0</v>
      </c>
      <c r="AS874" s="1013">
        <v>0</v>
      </c>
      <c r="AT874" s="1045">
        <f t="shared" si="178"/>
        <v>8649628</v>
      </c>
      <c r="AU874" s="1004"/>
      <c r="AV874" s="870"/>
      <c r="AW874" s="782" t="s">
        <v>4976</v>
      </c>
      <c r="AX874" s="782" t="s">
        <v>4977</v>
      </c>
      <c r="AY874" s="1007" t="s">
        <v>221</v>
      </c>
      <c r="AZ874" s="1007">
        <v>642</v>
      </c>
      <c r="BA874" s="347" t="s">
        <v>1</v>
      </c>
      <c r="BB874" s="1008"/>
      <c r="BC874" s="1009"/>
      <c r="BD874" s="1009"/>
    </row>
    <row r="875" spans="1:56" s="1010" customFormat="1" ht="36.75" customHeight="1">
      <c r="A875" s="661">
        <f>SUBTOTAL(3,B$6:B875)</f>
        <v>870</v>
      </c>
      <c r="B875" s="661" t="s">
        <v>2562</v>
      </c>
      <c r="C875" s="662" t="s">
        <v>2563</v>
      </c>
      <c r="D875" s="1011">
        <v>44268</v>
      </c>
      <c r="E875" s="1011" t="s">
        <v>221</v>
      </c>
      <c r="F875" s="787" t="s">
        <v>247</v>
      </c>
      <c r="G875" s="996" t="s">
        <v>2564</v>
      </c>
      <c r="H875" s="1012">
        <v>8500000</v>
      </c>
      <c r="I875" s="1012">
        <v>3500000</v>
      </c>
      <c r="J875" s="1012">
        <v>0</v>
      </c>
      <c r="K875" s="1012">
        <v>0</v>
      </c>
      <c r="L875" s="1013">
        <f t="shared" ref="L875:L937" si="187">SUM(H875:K875)</f>
        <v>12000000</v>
      </c>
      <c r="M875" s="1014">
        <v>22</v>
      </c>
      <c r="N875" s="1013">
        <f t="shared" si="174"/>
        <v>10153846</v>
      </c>
      <c r="O875" s="1015">
        <v>2</v>
      </c>
      <c r="P875" s="1013">
        <f t="shared" si="175"/>
        <v>923077</v>
      </c>
      <c r="Q875" s="1016">
        <v>0</v>
      </c>
      <c r="R875" s="1013">
        <f t="shared" si="176"/>
        <v>0</v>
      </c>
      <c r="S875" s="1013">
        <f t="shared" si="177"/>
        <v>11076923</v>
      </c>
      <c r="T875" s="1017">
        <v>461538</v>
      </c>
      <c r="U875" s="785">
        <v>0</v>
      </c>
      <c r="V875" s="785">
        <v>0</v>
      </c>
      <c r="W875" s="1017">
        <v>0</v>
      </c>
      <c r="X875" s="1017">
        <v>0</v>
      </c>
      <c r="Y875" s="1017">
        <v>0</v>
      </c>
      <c r="Z875" s="1017">
        <v>0</v>
      </c>
      <c r="AA875" s="1018"/>
      <c r="AB875" s="1013"/>
      <c r="AC875" s="1017">
        <v>100000</v>
      </c>
      <c r="AD875" s="1017">
        <v>0</v>
      </c>
      <c r="AE875" s="1013">
        <v>0</v>
      </c>
      <c r="AF875" s="1019"/>
      <c r="AG875" s="1019">
        <f t="shared" si="184"/>
        <v>11638461</v>
      </c>
      <c r="AH875" s="1014">
        <v>0</v>
      </c>
      <c r="AI875" s="1014">
        <v>0</v>
      </c>
      <c r="AJ875" s="1014">
        <v>0</v>
      </c>
      <c r="AK875" s="1018">
        <v>0</v>
      </c>
      <c r="AL875" s="1020">
        <v>0</v>
      </c>
      <c r="AM875" s="1013">
        <f t="shared" si="182"/>
        <v>0</v>
      </c>
      <c r="AN875" s="1045">
        <f t="shared" si="186"/>
        <v>11638461</v>
      </c>
      <c r="AO875" s="1013">
        <v>1260000</v>
      </c>
      <c r="AP875" s="1013">
        <v>44100</v>
      </c>
      <c r="AQ875" s="1013">
        <v>0</v>
      </c>
      <c r="AR875" s="1013">
        <v>0</v>
      </c>
      <c r="AS875" s="1013">
        <v>0</v>
      </c>
      <c r="AT875" s="1045">
        <f t="shared" si="178"/>
        <v>10334361</v>
      </c>
      <c r="AU875" s="1004"/>
      <c r="AV875" s="870"/>
      <c r="AW875" s="782" t="s">
        <v>4978</v>
      </c>
      <c r="AX875" s="782" t="s">
        <v>4979</v>
      </c>
      <c r="AY875" s="1007" t="s">
        <v>221</v>
      </c>
      <c r="AZ875" s="1007">
        <v>622</v>
      </c>
      <c r="BA875" s="347" t="str">
        <f t="shared" ref="BA875:BA924" si="188">+IF(AY875="SK1 Box","Box",IF(AY875="Seaman","Seaman","Bag"))</f>
        <v>Bag</v>
      </c>
      <c r="BB875" s="1008"/>
      <c r="BC875" s="1009"/>
      <c r="BD875" s="1009"/>
    </row>
    <row r="876" spans="1:56" s="1010" customFormat="1" ht="36.75" customHeight="1">
      <c r="A876" s="661">
        <f>SUBTOTAL(3,B$6:B876)</f>
        <v>871</v>
      </c>
      <c r="B876" s="661" t="s">
        <v>2565</v>
      </c>
      <c r="C876" s="662" t="s">
        <v>2566</v>
      </c>
      <c r="D876" s="1011">
        <v>44886</v>
      </c>
      <c r="E876" s="1011" t="s">
        <v>221</v>
      </c>
      <c r="F876" s="787" t="s">
        <v>247</v>
      </c>
      <c r="G876" s="996" t="s">
        <v>2564</v>
      </c>
      <c r="H876" s="1012">
        <v>8000000</v>
      </c>
      <c r="I876" s="1012">
        <v>2000000</v>
      </c>
      <c r="J876" s="1012">
        <v>0</v>
      </c>
      <c r="K876" s="1012">
        <v>0</v>
      </c>
      <c r="L876" s="1013">
        <f t="shared" si="187"/>
        <v>10000000</v>
      </c>
      <c r="M876" s="1014">
        <v>23</v>
      </c>
      <c r="N876" s="1013">
        <f t="shared" ref="N876:N938" si="189">ROUND((H876+I876+J876+K876)/IF($M$2&gt;26,26,$M$2)*M876,0)</f>
        <v>8846154</v>
      </c>
      <c r="O876" s="1015">
        <v>2</v>
      </c>
      <c r="P876" s="1013">
        <f t="shared" ref="P876:P938" si="190">ROUND((H876+I876+J876+K876)/IF($M$2&gt;26,26,$M$2)*O876,0)</f>
        <v>769231</v>
      </c>
      <c r="Q876" s="1016">
        <v>0</v>
      </c>
      <c r="R876" s="1013">
        <f t="shared" ref="R876:R938" si="191">IF(M876&gt;0,ROUND(N876/IF(M876&gt;26,26,M876)/8*Q876*30%,0),0)</f>
        <v>0</v>
      </c>
      <c r="S876" s="1013">
        <f t="shared" ref="S876:S938" si="192">N876+P876+R876</f>
        <v>9615385</v>
      </c>
      <c r="T876" s="1017">
        <v>480769</v>
      </c>
      <c r="U876" s="785">
        <v>0</v>
      </c>
      <c r="V876" s="785">
        <v>0</v>
      </c>
      <c r="W876" s="1017">
        <v>0</v>
      </c>
      <c r="X876" s="1017">
        <v>0</v>
      </c>
      <c r="Y876" s="1017">
        <v>0</v>
      </c>
      <c r="Z876" s="1017">
        <v>0</v>
      </c>
      <c r="AA876" s="1018"/>
      <c r="AB876" s="1013"/>
      <c r="AC876" s="1017">
        <v>0</v>
      </c>
      <c r="AD876" s="1017">
        <v>0</v>
      </c>
      <c r="AE876" s="1013">
        <v>0</v>
      </c>
      <c r="AF876" s="1019"/>
      <c r="AG876" s="1019">
        <f t="shared" si="184"/>
        <v>10096154</v>
      </c>
      <c r="AH876" s="1014">
        <v>0</v>
      </c>
      <c r="AI876" s="1014">
        <v>0</v>
      </c>
      <c r="AJ876" s="1014">
        <v>0</v>
      </c>
      <c r="AK876" s="1018">
        <v>0</v>
      </c>
      <c r="AL876" s="1020">
        <v>0</v>
      </c>
      <c r="AM876" s="1013">
        <f t="shared" si="182"/>
        <v>0</v>
      </c>
      <c r="AN876" s="1045">
        <f t="shared" si="186"/>
        <v>10096154</v>
      </c>
      <c r="AO876" s="1013">
        <v>1050000</v>
      </c>
      <c r="AP876" s="1013">
        <v>44100</v>
      </c>
      <c r="AQ876" s="1013">
        <v>0</v>
      </c>
      <c r="AR876" s="1013">
        <v>0</v>
      </c>
      <c r="AS876" s="1013">
        <v>0</v>
      </c>
      <c r="AT876" s="1045">
        <f t="shared" si="178"/>
        <v>9002054</v>
      </c>
      <c r="AU876" s="1004"/>
      <c r="AV876" s="870"/>
      <c r="AW876" s="782" t="s">
        <v>4980</v>
      </c>
      <c r="AX876" s="782" t="s">
        <v>4981</v>
      </c>
      <c r="AY876" s="1007" t="s">
        <v>221</v>
      </c>
      <c r="AZ876" s="1007">
        <v>622</v>
      </c>
      <c r="BA876" s="347" t="str">
        <f t="shared" si="188"/>
        <v>Bag</v>
      </c>
      <c r="BB876" s="1008"/>
      <c r="BC876" s="1009"/>
      <c r="BD876" s="1009"/>
    </row>
    <row r="877" spans="1:56" s="1010" customFormat="1" ht="36.75" customHeight="1">
      <c r="A877" s="661">
        <f>SUBTOTAL(3,B$6:B877)</f>
        <v>872</v>
      </c>
      <c r="B877" s="661" t="s">
        <v>2567</v>
      </c>
      <c r="C877" s="662" t="s">
        <v>2568</v>
      </c>
      <c r="D877" s="1011">
        <v>41499</v>
      </c>
      <c r="E877" s="1011" t="s">
        <v>221</v>
      </c>
      <c r="F877" s="787" t="s">
        <v>247</v>
      </c>
      <c r="G877" s="996" t="s">
        <v>2569</v>
      </c>
      <c r="H877" s="1012">
        <v>7934000</v>
      </c>
      <c r="I877" s="1012">
        <v>6500000</v>
      </c>
      <c r="J877" s="1012">
        <v>0</v>
      </c>
      <c r="K877" s="1012">
        <v>0</v>
      </c>
      <c r="L877" s="1013">
        <f t="shared" si="187"/>
        <v>14434000</v>
      </c>
      <c r="M877" s="1014">
        <v>24</v>
      </c>
      <c r="N877" s="1013">
        <f t="shared" si="189"/>
        <v>13323692</v>
      </c>
      <c r="O877" s="1015">
        <v>2</v>
      </c>
      <c r="P877" s="1013">
        <f t="shared" si="190"/>
        <v>1110308</v>
      </c>
      <c r="Q877" s="1016">
        <v>0</v>
      </c>
      <c r="R877" s="1013">
        <f t="shared" si="191"/>
        <v>0</v>
      </c>
      <c r="S877" s="1013">
        <f t="shared" si="192"/>
        <v>14434000</v>
      </c>
      <c r="T877" s="1017">
        <v>500000</v>
      </c>
      <c r="U877" s="785">
        <v>0</v>
      </c>
      <c r="V877" s="785">
        <v>200000</v>
      </c>
      <c r="W877" s="1017">
        <v>500000</v>
      </c>
      <c r="X877" s="1017">
        <v>0</v>
      </c>
      <c r="Y877" s="1017">
        <v>400000</v>
      </c>
      <c r="Z877" s="1017">
        <v>700000</v>
      </c>
      <c r="AA877" s="1018"/>
      <c r="AB877" s="1013"/>
      <c r="AC877" s="1017">
        <v>0</v>
      </c>
      <c r="AD877" s="1017">
        <v>0</v>
      </c>
      <c r="AE877" s="1013">
        <v>0</v>
      </c>
      <c r="AF877" s="1019"/>
      <c r="AG877" s="1019">
        <f t="shared" si="184"/>
        <v>16734000</v>
      </c>
      <c r="AH877" s="1014">
        <v>48</v>
      </c>
      <c r="AI877" s="1014">
        <v>0</v>
      </c>
      <c r="AJ877" s="1014">
        <v>0</v>
      </c>
      <c r="AK877" s="1018">
        <v>0</v>
      </c>
      <c r="AL877" s="1020">
        <v>0</v>
      </c>
      <c r="AM877" s="1013">
        <f t="shared" si="182"/>
        <v>4996385</v>
      </c>
      <c r="AN877" s="1045">
        <f t="shared" si="186"/>
        <v>21730385</v>
      </c>
      <c r="AO877" s="1013">
        <v>1515570</v>
      </c>
      <c r="AP877" s="1013">
        <v>44100</v>
      </c>
      <c r="AQ877" s="1013">
        <v>137468</v>
      </c>
      <c r="AR877" s="1013">
        <v>0</v>
      </c>
      <c r="AS877" s="1013">
        <v>0</v>
      </c>
      <c r="AT877" s="1045">
        <f t="shared" ref="AT877:AT940" si="193">+ROUND(SUM(AN877:AN877)-SUM(AO877:AS877),0)</f>
        <v>20033247</v>
      </c>
      <c r="AU877" s="1004"/>
      <c r="AV877" s="870"/>
      <c r="AW877" s="782" t="s">
        <v>4982</v>
      </c>
      <c r="AX877" s="782" t="s">
        <v>4983</v>
      </c>
      <c r="AY877" s="1007" t="s">
        <v>221</v>
      </c>
      <c r="AZ877" s="1007">
        <v>622</v>
      </c>
      <c r="BA877" s="347" t="str">
        <f t="shared" si="188"/>
        <v>Bag</v>
      </c>
      <c r="BB877" s="1008"/>
      <c r="BC877" s="1009"/>
      <c r="BD877" s="1009"/>
    </row>
    <row r="878" spans="1:56" s="1010" customFormat="1" ht="36.75" customHeight="1">
      <c r="A878" s="661">
        <f>SUBTOTAL(3,B$6:B878)</f>
        <v>873</v>
      </c>
      <c r="B878" s="661" t="s">
        <v>2570</v>
      </c>
      <c r="C878" s="662" t="s">
        <v>2571</v>
      </c>
      <c r="D878" s="1011">
        <v>41522</v>
      </c>
      <c r="E878" s="1011" t="s">
        <v>221</v>
      </c>
      <c r="F878" s="787" t="s">
        <v>247</v>
      </c>
      <c r="G878" s="996" t="s">
        <v>2425</v>
      </c>
      <c r="H878" s="1012">
        <v>7333000</v>
      </c>
      <c r="I878" s="1012">
        <v>1700000</v>
      </c>
      <c r="J878" s="1012">
        <v>0</v>
      </c>
      <c r="K878" s="1012">
        <v>0</v>
      </c>
      <c r="L878" s="1013">
        <f t="shared" si="187"/>
        <v>9033000</v>
      </c>
      <c r="M878" s="1014">
        <v>24</v>
      </c>
      <c r="N878" s="1013">
        <f t="shared" si="189"/>
        <v>8338154</v>
      </c>
      <c r="O878" s="1015">
        <v>2</v>
      </c>
      <c r="P878" s="1013">
        <f t="shared" si="190"/>
        <v>694846</v>
      </c>
      <c r="Q878" s="1016">
        <v>0</v>
      </c>
      <c r="R878" s="1013">
        <f t="shared" si="191"/>
        <v>0</v>
      </c>
      <c r="S878" s="1013">
        <f t="shared" si="192"/>
        <v>9033000</v>
      </c>
      <c r="T878" s="1017">
        <v>500000</v>
      </c>
      <c r="U878" s="785">
        <v>0</v>
      </c>
      <c r="V878" s="785">
        <v>200000</v>
      </c>
      <c r="W878" s="1017">
        <v>500000</v>
      </c>
      <c r="X878" s="1017">
        <v>0</v>
      </c>
      <c r="Y878" s="1017">
        <v>400000</v>
      </c>
      <c r="Z878" s="1017">
        <v>400000</v>
      </c>
      <c r="AA878" s="1018"/>
      <c r="AB878" s="1013"/>
      <c r="AC878" s="1017">
        <v>100000</v>
      </c>
      <c r="AD878" s="1017">
        <v>0</v>
      </c>
      <c r="AE878" s="1013">
        <v>65141.828125</v>
      </c>
      <c r="AF878" s="1019"/>
      <c r="AG878" s="1019">
        <f t="shared" si="184"/>
        <v>11198142</v>
      </c>
      <c r="AH878" s="1014">
        <v>0</v>
      </c>
      <c r="AI878" s="1014">
        <v>0</v>
      </c>
      <c r="AJ878" s="1014">
        <v>0</v>
      </c>
      <c r="AK878" s="1018">
        <v>0</v>
      </c>
      <c r="AL878" s="1020">
        <v>0</v>
      </c>
      <c r="AM878" s="1013">
        <f t="shared" si="182"/>
        <v>0</v>
      </c>
      <c r="AN878" s="1045">
        <f t="shared" si="186"/>
        <v>11198142</v>
      </c>
      <c r="AO878" s="1013">
        <v>948465</v>
      </c>
      <c r="AP878" s="1013">
        <v>44100</v>
      </c>
      <c r="AQ878" s="1013">
        <v>0</v>
      </c>
      <c r="AR878" s="1013">
        <v>0</v>
      </c>
      <c r="AS878" s="1013">
        <v>0</v>
      </c>
      <c r="AT878" s="1045">
        <f t="shared" si="193"/>
        <v>10205577</v>
      </c>
      <c r="AU878" s="1004"/>
      <c r="AV878" s="870"/>
      <c r="AW878" s="782" t="s">
        <v>4984</v>
      </c>
      <c r="AX878" s="782" t="s">
        <v>4985</v>
      </c>
      <c r="AY878" s="1007" t="s">
        <v>221</v>
      </c>
      <c r="AZ878" s="1007">
        <v>622</v>
      </c>
      <c r="BA878" s="347" t="str">
        <f t="shared" si="188"/>
        <v>Bag</v>
      </c>
      <c r="BB878" s="1008"/>
      <c r="BC878" s="1009"/>
      <c r="BD878" s="1009"/>
    </row>
    <row r="879" spans="1:56" s="1010" customFormat="1" ht="36.75" customHeight="1">
      <c r="A879" s="661">
        <f>SUBTOTAL(3,B$6:B879)</f>
        <v>874</v>
      </c>
      <c r="B879" s="661" t="s">
        <v>2572</v>
      </c>
      <c r="C879" s="662" t="s">
        <v>2573</v>
      </c>
      <c r="D879" s="1011">
        <v>43529</v>
      </c>
      <c r="E879" s="1011" t="s">
        <v>221</v>
      </c>
      <c r="F879" s="787" t="s">
        <v>247</v>
      </c>
      <c r="G879" s="996" t="s">
        <v>2574</v>
      </c>
      <c r="H879" s="1012">
        <v>6998000</v>
      </c>
      <c r="I879" s="1012">
        <v>1100000</v>
      </c>
      <c r="J879" s="1012">
        <v>0</v>
      </c>
      <c r="K879" s="1012">
        <v>1900000</v>
      </c>
      <c r="L879" s="1013">
        <f t="shared" si="187"/>
        <v>9998000</v>
      </c>
      <c r="M879" s="1014">
        <v>24</v>
      </c>
      <c r="N879" s="1013">
        <f t="shared" si="189"/>
        <v>9228923</v>
      </c>
      <c r="O879" s="1015">
        <v>2</v>
      </c>
      <c r="P879" s="1013">
        <f t="shared" si="190"/>
        <v>769077</v>
      </c>
      <c r="Q879" s="1016">
        <v>0</v>
      </c>
      <c r="R879" s="1013">
        <f t="shared" si="191"/>
        <v>0</v>
      </c>
      <c r="S879" s="1013">
        <f t="shared" si="192"/>
        <v>9998000</v>
      </c>
      <c r="T879" s="1017">
        <v>0</v>
      </c>
      <c r="U879" s="785">
        <v>0</v>
      </c>
      <c r="V879" s="785">
        <v>200000</v>
      </c>
      <c r="W879" s="1017">
        <v>500000</v>
      </c>
      <c r="X879" s="1017">
        <v>0</v>
      </c>
      <c r="Y879" s="1017">
        <v>400000</v>
      </c>
      <c r="Z879" s="1017">
        <v>700000</v>
      </c>
      <c r="AA879" s="1018"/>
      <c r="AB879" s="1013"/>
      <c r="AC879" s="1017">
        <v>100000</v>
      </c>
      <c r="AD879" s="1017">
        <v>0</v>
      </c>
      <c r="AE879" s="1013">
        <v>72100.9609375</v>
      </c>
      <c r="AF879" s="1019"/>
      <c r="AG879" s="1019">
        <f t="shared" si="184"/>
        <v>11970101</v>
      </c>
      <c r="AH879" s="1014">
        <v>24</v>
      </c>
      <c r="AI879" s="1014">
        <v>0</v>
      </c>
      <c r="AJ879" s="1014">
        <v>0</v>
      </c>
      <c r="AK879" s="1018">
        <v>0</v>
      </c>
      <c r="AL879" s="1020">
        <v>0</v>
      </c>
      <c r="AM879" s="1013">
        <f t="shared" si="182"/>
        <v>1730423</v>
      </c>
      <c r="AN879" s="1045">
        <f t="shared" si="186"/>
        <v>13700524</v>
      </c>
      <c r="AO879" s="1013">
        <v>1049790</v>
      </c>
      <c r="AP879" s="1013">
        <v>44100</v>
      </c>
      <c r="AQ879" s="1013">
        <v>58696</v>
      </c>
      <c r="AR879" s="1013">
        <v>0</v>
      </c>
      <c r="AS879" s="1013">
        <v>0</v>
      </c>
      <c r="AT879" s="1045">
        <f t="shared" si="193"/>
        <v>12547938</v>
      </c>
      <c r="AU879" s="1004"/>
      <c r="AV879" s="870"/>
      <c r="AW879" s="782" t="s">
        <v>4986</v>
      </c>
      <c r="AX879" s="782" t="s">
        <v>4987</v>
      </c>
      <c r="AY879" s="1007" t="s">
        <v>221</v>
      </c>
      <c r="AZ879" s="1007">
        <v>622</v>
      </c>
      <c r="BA879" s="347" t="str">
        <f t="shared" si="188"/>
        <v>Bag</v>
      </c>
      <c r="BB879" s="1008"/>
      <c r="BC879" s="1009"/>
      <c r="BD879" s="1009"/>
    </row>
    <row r="880" spans="1:56" s="1010" customFormat="1" ht="36.75" customHeight="1">
      <c r="A880" s="661">
        <f>SUBTOTAL(3,B$6:B880)</f>
        <v>875</v>
      </c>
      <c r="B880" s="661" t="s">
        <v>2575</v>
      </c>
      <c r="C880" s="662" t="s">
        <v>2576</v>
      </c>
      <c r="D880" s="1011">
        <v>43833</v>
      </c>
      <c r="E880" s="1011" t="s">
        <v>221</v>
      </c>
      <c r="F880" s="787" t="s">
        <v>248</v>
      </c>
      <c r="G880" s="996" t="s">
        <v>2577</v>
      </c>
      <c r="H880" s="1012">
        <v>5931000</v>
      </c>
      <c r="I880" s="1012">
        <v>2500000</v>
      </c>
      <c r="J880" s="1012">
        <v>298000</v>
      </c>
      <c r="K880" s="1012">
        <v>0</v>
      </c>
      <c r="L880" s="1013">
        <f t="shared" si="187"/>
        <v>8729000</v>
      </c>
      <c r="M880" s="1014">
        <v>24</v>
      </c>
      <c r="N880" s="1013">
        <f t="shared" si="189"/>
        <v>8057538</v>
      </c>
      <c r="O880" s="1015">
        <v>2</v>
      </c>
      <c r="P880" s="1013">
        <f t="shared" si="190"/>
        <v>671462</v>
      </c>
      <c r="Q880" s="1016">
        <v>0</v>
      </c>
      <c r="R880" s="1013">
        <f t="shared" si="191"/>
        <v>0</v>
      </c>
      <c r="S880" s="1013">
        <f t="shared" si="192"/>
        <v>8729000</v>
      </c>
      <c r="T880" s="1017">
        <v>0</v>
      </c>
      <c r="U880" s="785">
        <v>0</v>
      </c>
      <c r="V880" s="785">
        <v>200000</v>
      </c>
      <c r="W880" s="1017">
        <v>500000</v>
      </c>
      <c r="X880" s="1017">
        <v>0</v>
      </c>
      <c r="Y880" s="1017">
        <v>400000</v>
      </c>
      <c r="Z880" s="1017">
        <v>444852</v>
      </c>
      <c r="AA880" s="1018"/>
      <c r="AB880" s="1013"/>
      <c r="AC880" s="1017">
        <v>0</v>
      </c>
      <c r="AD880" s="1017">
        <v>0</v>
      </c>
      <c r="AE880" s="1013">
        <v>0</v>
      </c>
      <c r="AF880" s="1019"/>
      <c r="AG880" s="1019">
        <f t="shared" si="184"/>
        <v>10273852</v>
      </c>
      <c r="AH880" s="1014">
        <v>64</v>
      </c>
      <c r="AI880" s="1014">
        <v>0</v>
      </c>
      <c r="AJ880" s="1014">
        <v>0</v>
      </c>
      <c r="AK880" s="1018">
        <v>0</v>
      </c>
      <c r="AL880" s="1020">
        <v>0</v>
      </c>
      <c r="AM880" s="1013">
        <f t="shared" si="182"/>
        <v>4028769</v>
      </c>
      <c r="AN880" s="1045">
        <f t="shared" si="186"/>
        <v>14302621</v>
      </c>
      <c r="AO880" s="1013">
        <v>916545</v>
      </c>
      <c r="AP880" s="1013">
        <v>44100</v>
      </c>
      <c r="AQ880" s="1013">
        <v>0</v>
      </c>
      <c r="AR880" s="1013">
        <v>0</v>
      </c>
      <c r="AS880" s="1013">
        <v>0</v>
      </c>
      <c r="AT880" s="1045">
        <f t="shared" si="193"/>
        <v>13341976</v>
      </c>
      <c r="AU880" s="1004"/>
      <c r="AV880" s="870"/>
      <c r="AW880" s="782" t="s">
        <v>4988</v>
      </c>
      <c r="AX880" s="782" t="s">
        <v>4989</v>
      </c>
      <c r="AY880" s="1007" t="s">
        <v>221</v>
      </c>
      <c r="AZ880" s="1007">
        <v>622</v>
      </c>
      <c r="BA880" s="347" t="str">
        <f t="shared" si="188"/>
        <v>Bag</v>
      </c>
      <c r="BB880" s="1008"/>
      <c r="BC880" s="1009"/>
      <c r="BD880" s="1009"/>
    </row>
    <row r="881" spans="1:56" s="1010" customFormat="1" ht="36.75" customHeight="1">
      <c r="A881" s="661">
        <f>SUBTOTAL(3,B$6:B881)</f>
        <v>876</v>
      </c>
      <c r="B881" s="661" t="s">
        <v>2578</v>
      </c>
      <c r="C881" s="662" t="s">
        <v>2579</v>
      </c>
      <c r="D881" s="1011">
        <v>43869</v>
      </c>
      <c r="E881" s="1011" t="s">
        <v>221</v>
      </c>
      <c r="F881" s="787" t="s">
        <v>248</v>
      </c>
      <c r="G881" s="996" t="s">
        <v>2577</v>
      </c>
      <c r="H881" s="1012">
        <v>5931000</v>
      </c>
      <c r="I881" s="1012">
        <v>2500000</v>
      </c>
      <c r="J881" s="1012">
        <v>298000</v>
      </c>
      <c r="K881" s="1012">
        <v>0</v>
      </c>
      <c r="L881" s="1013">
        <f t="shared" si="187"/>
        <v>8729000</v>
      </c>
      <c r="M881" s="1014">
        <v>24</v>
      </c>
      <c r="N881" s="1013">
        <f t="shared" si="189"/>
        <v>8057538</v>
      </c>
      <c r="O881" s="1015">
        <v>2</v>
      </c>
      <c r="P881" s="1013">
        <f t="shared" si="190"/>
        <v>671462</v>
      </c>
      <c r="Q881" s="1016">
        <v>0</v>
      </c>
      <c r="R881" s="1013">
        <f t="shared" si="191"/>
        <v>0</v>
      </c>
      <c r="S881" s="1013">
        <f t="shared" si="192"/>
        <v>8729000</v>
      </c>
      <c r="T881" s="1017">
        <v>0</v>
      </c>
      <c r="U881" s="785">
        <v>0</v>
      </c>
      <c r="V881" s="785">
        <v>200000</v>
      </c>
      <c r="W881" s="1017">
        <v>500000</v>
      </c>
      <c r="X881" s="1017">
        <v>0</v>
      </c>
      <c r="Y881" s="1017">
        <v>400000</v>
      </c>
      <c r="Z881" s="1017">
        <v>419524</v>
      </c>
      <c r="AA881" s="1018"/>
      <c r="AB881" s="1013"/>
      <c r="AC881" s="1017">
        <v>0</v>
      </c>
      <c r="AD881" s="1017">
        <v>0</v>
      </c>
      <c r="AE881" s="1013">
        <v>0</v>
      </c>
      <c r="AF881" s="1019"/>
      <c r="AG881" s="1019">
        <f t="shared" si="184"/>
        <v>10248524</v>
      </c>
      <c r="AH881" s="1014">
        <v>64</v>
      </c>
      <c r="AI881" s="1014">
        <v>0</v>
      </c>
      <c r="AJ881" s="1014">
        <v>0</v>
      </c>
      <c r="AK881" s="1018">
        <v>0</v>
      </c>
      <c r="AL881" s="1020">
        <v>0</v>
      </c>
      <c r="AM881" s="1013">
        <f t="shared" si="182"/>
        <v>4028769</v>
      </c>
      <c r="AN881" s="1045">
        <f t="shared" si="186"/>
        <v>14277293</v>
      </c>
      <c r="AO881" s="1013">
        <v>916545</v>
      </c>
      <c r="AP881" s="1013">
        <v>44100</v>
      </c>
      <c r="AQ881" s="1013">
        <v>55891</v>
      </c>
      <c r="AR881" s="1013">
        <v>0</v>
      </c>
      <c r="AS881" s="1013">
        <v>0</v>
      </c>
      <c r="AT881" s="1045">
        <f t="shared" si="193"/>
        <v>13260757</v>
      </c>
      <c r="AU881" s="1004"/>
      <c r="AV881" s="870"/>
      <c r="AW881" s="782" t="s">
        <v>4990</v>
      </c>
      <c r="AX881" s="782" t="s">
        <v>4991</v>
      </c>
      <c r="AY881" s="1007" t="s">
        <v>221</v>
      </c>
      <c r="AZ881" s="1007">
        <v>622</v>
      </c>
      <c r="BA881" s="347" t="str">
        <f t="shared" si="188"/>
        <v>Bag</v>
      </c>
      <c r="BB881" s="1008"/>
      <c r="BC881" s="1009"/>
      <c r="BD881" s="1009"/>
    </row>
    <row r="882" spans="1:56" s="1010" customFormat="1" ht="36.75" customHeight="1">
      <c r="A882" s="661">
        <f>SUBTOTAL(3,B$6:B882)</f>
        <v>877</v>
      </c>
      <c r="B882" s="661" t="s">
        <v>2580</v>
      </c>
      <c r="C882" s="662" t="s">
        <v>2581</v>
      </c>
      <c r="D882" s="1011">
        <v>44253</v>
      </c>
      <c r="E882" s="1011" t="s">
        <v>221</v>
      </c>
      <c r="F882" s="787" t="s">
        <v>248</v>
      </c>
      <c r="G882" s="996" t="s">
        <v>2577</v>
      </c>
      <c r="H882" s="1012">
        <v>5931000</v>
      </c>
      <c r="I882" s="1012">
        <v>1900000</v>
      </c>
      <c r="J882" s="1012">
        <v>298000</v>
      </c>
      <c r="K882" s="1012">
        <v>0</v>
      </c>
      <c r="L882" s="1013">
        <f t="shared" si="187"/>
        <v>8129000</v>
      </c>
      <c r="M882" s="1014">
        <v>24</v>
      </c>
      <c r="N882" s="1013">
        <f t="shared" si="189"/>
        <v>7503692</v>
      </c>
      <c r="O882" s="1015">
        <v>2</v>
      </c>
      <c r="P882" s="1013">
        <f t="shared" si="190"/>
        <v>625308</v>
      </c>
      <c r="Q882" s="1016">
        <v>0</v>
      </c>
      <c r="R882" s="1013">
        <f t="shared" si="191"/>
        <v>0</v>
      </c>
      <c r="S882" s="1013">
        <f t="shared" si="192"/>
        <v>8129000</v>
      </c>
      <c r="T882" s="1017">
        <v>0</v>
      </c>
      <c r="U882" s="785">
        <v>0</v>
      </c>
      <c r="V882" s="785">
        <v>200000</v>
      </c>
      <c r="W882" s="1017">
        <v>500000</v>
      </c>
      <c r="X882" s="1017">
        <v>0</v>
      </c>
      <c r="Y882" s="1017">
        <v>400000</v>
      </c>
      <c r="Z882" s="1017">
        <v>549860</v>
      </c>
      <c r="AA882" s="1018"/>
      <c r="AB882" s="1013"/>
      <c r="AC882" s="1017">
        <v>0</v>
      </c>
      <c r="AD882" s="1017">
        <v>0</v>
      </c>
      <c r="AE882" s="1013">
        <v>0</v>
      </c>
      <c r="AF882" s="1019"/>
      <c r="AG882" s="1019">
        <f t="shared" si="184"/>
        <v>9778860</v>
      </c>
      <c r="AH882" s="1014">
        <v>60</v>
      </c>
      <c r="AI882" s="1014">
        <v>0</v>
      </c>
      <c r="AJ882" s="1014">
        <v>0</v>
      </c>
      <c r="AK882" s="1018">
        <v>0</v>
      </c>
      <c r="AL882" s="1020">
        <v>0</v>
      </c>
      <c r="AM882" s="1013">
        <f t="shared" si="182"/>
        <v>3517356</v>
      </c>
      <c r="AN882" s="1045">
        <f t="shared" si="186"/>
        <v>13296216</v>
      </c>
      <c r="AO882" s="1013">
        <v>853545</v>
      </c>
      <c r="AP882" s="1013">
        <v>44100</v>
      </c>
      <c r="AQ882" s="1013">
        <v>28511</v>
      </c>
      <c r="AR882" s="1013">
        <v>0</v>
      </c>
      <c r="AS882" s="1013">
        <v>0</v>
      </c>
      <c r="AT882" s="1045">
        <f t="shared" si="193"/>
        <v>12370060</v>
      </c>
      <c r="AU882" s="1004"/>
      <c r="AV882" s="870"/>
      <c r="AW882" s="782" t="s">
        <v>4992</v>
      </c>
      <c r="AX882" s="782" t="s">
        <v>4993</v>
      </c>
      <c r="AY882" s="1007" t="s">
        <v>221</v>
      </c>
      <c r="AZ882" s="1007">
        <v>622</v>
      </c>
      <c r="BA882" s="347" t="str">
        <f t="shared" si="188"/>
        <v>Bag</v>
      </c>
      <c r="BB882" s="1008"/>
      <c r="BC882" s="1009"/>
      <c r="BD882" s="1009"/>
    </row>
    <row r="883" spans="1:56" s="1010" customFormat="1" ht="36.75" customHeight="1">
      <c r="A883" s="661">
        <f>SUBTOTAL(3,B$6:B883)</f>
        <v>878</v>
      </c>
      <c r="B883" s="661" t="s">
        <v>2582</v>
      </c>
      <c r="C883" s="662" t="s">
        <v>2583</v>
      </c>
      <c r="D883" s="1011">
        <v>44624</v>
      </c>
      <c r="E883" s="1011" t="s">
        <v>221</v>
      </c>
      <c r="F883" s="787" t="s">
        <v>248</v>
      </c>
      <c r="G883" s="996" t="s">
        <v>1341</v>
      </c>
      <c r="H883" s="1012">
        <v>5931000</v>
      </c>
      <c r="I883" s="1012">
        <v>1200000</v>
      </c>
      <c r="J883" s="1012">
        <v>298000</v>
      </c>
      <c r="K883" s="1012">
        <v>0</v>
      </c>
      <c r="L883" s="1013">
        <f t="shared" si="187"/>
        <v>7429000</v>
      </c>
      <c r="M883" s="1014">
        <v>24</v>
      </c>
      <c r="N883" s="1013">
        <f t="shared" si="189"/>
        <v>6857538</v>
      </c>
      <c r="O883" s="1015">
        <v>2</v>
      </c>
      <c r="P883" s="1013">
        <f t="shared" si="190"/>
        <v>571462</v>
      </c>
      <c r="Q883" s="1016">
        <v>0</v>
      </c>
      <c r="R883" s="1013">
        <f t="shared" si="191"/>
        <v>0</v>
      </c>
      <c r="S883" s="1013">
        <f t="shared" si="192"/>
        <v>7429000</v>
      </c>
      <c r="T883" s="1017">
        <v>0</v>
      </c>
      <c r="U883" s="785">
        <v>0</v>
      </c>
      <c r="V883" s="785">
        <v>200000</v>
      </c>
      <c r="W883" s="1017">
        <v>500000</v>
      </c>
      <c r="X883" s="1017">
        <v>0</v>
      </c>
      <c r="Y883" s="1017">
        <v>400000</v>
      </c>
      <c r="Z883" s="1017">
        <v>419524</v>
      </c>
      <c r="AA883" s="1018"/>
      <c r="AB883" s="1013"/>
      <c r="AC883" s="1017">
        <v>0</v>
      </c>
      <c r="AD883" s="1017">
        <v>0</v>
      </c>
      <c r="AE883" s="1013">
        <v>0</v>
      </c>
      <c r="AF883" s="1019"/>
      <c r="AG883" s="1019">
        <f t="shared" si="184"/>
        <v>8948524</v>
      </c>
      <c r="AH883" s="1014">
        <v>64</v>
      </c>
      <c r="AI883" s="1014">
        <v>0</v>
      </c>
      <c r="AJ883" s="1014">
        <v>0</v>
      </c>
      <c r="AK883" s="1018">
        <v>0</v>
      </c>
      <c r="AL883" s="1020">
        <v>0</v>
      </c>
      <c r="AM883" s="1013">
        <f t="shared" si="182"/>
        <v>3428769</v>
      </c>
      <c r="AN883" s="1045">
        <f t="shared" si="186"/>
        <v>12377293</v>
      </c>
      <c r="AO883" s="1013">
        <v>780045</v>
      </c>
      <c r="AP883" s="1013">
        <v>44100</v>
      </c>
      <c r="AQ883" s="1013">
        <v>0</v>
      </c>
      <c r="AR883" s="1013">
        <v>0</v>
      </c>
      <c r="AS883" s="1013">
        <v>0</v>
      </c>
      <c r="AT883" s="1045">
        <f t="shared" si="193"/>
        <v>11553148</v>
      </c>
      <c r="AU883" s="1004"/>
      <c r="AV883" s="870"/>
      <c r="AW883" s="782" t="s">
        <v>4994</v>
      </c>
      <c r="AX883" s="782" t="s">
        <v>4995</v>
      </c>
      <c r="AY883" s="1007" t="s">
        <v>221</v>
      </c>
      <c r="AZ883" s="1007">
        <v>622</v>
      </c>
      <c r="BA883" s="347" t="str">
        <f t="shared" si="188"/>
        <v>Bag</v>
      </c>
      <c r="BB883" s="1008"/>
      <c r="BC883" s="1009"/>
      <c r="BD883" s="1009"/>
    </row>
    <row r="884" spans="1:56" s="1010" customFormat="1" ht="36.75" customHeight="1">
      <c r="A884" s="661">
        <f>SUBTOTAL(3,B$6:B884)</f>
        <v>879</v>
      </c>
      <c r="B884" s="661" t="s">
        <v>2584</v>
      </c>
      <c r="C884" s="662" t="s">
        <v>2585</v>
      </c>
      <c r="D884" s="1011">
        <v>44967</v>
      </c>
      <c r="E884" s="1011" t="s">
        <v>221</v>
      </c>
      <c r="F884" s="787" t="s">
        <v>248</v>
      </c>
      <c r="G884" s="996" t="s">
        <v>2586</v>
      </c>
      <c r="H884" s="1012">
        <v>5815000</v>
      </c>
      <c r="I884" s="1012">
        <v>1200000</v>
      </c>
      <c r="J884" s="1012">
        <v>292000</v>
      </c>
      <c r="K884" s="1012">
        <v>0</v>
      </c>
      <c r="L884" s="1013">
        <f t="shared" si="187"/>
        <v>7307000</v>
      </c>
      <c r="M884" s="1014">
        <v>24</v>
      </c>
      <c r="N884" s="1013">
        <f t="shared" si="189"/>
        <v>6744923</v>
      </c>
      <c r="O884" s="1015">
        <v>2</v>
      </c>
      <c r="P884" s="1013">
        <f t="shared" si="190"/>
        <v>562077</v>
      </c>
      <c r="Q884" s="1016">
        <v>0</v>
      </c>
      <c r="R884" s="1013">
        <f t="shared" si="191"/>
        <v>0</v>
      </c>
      <c r="S884" s="1013">
        <f t="shared" si="192"/>
        <v>7307000</v>
      </c>
      <c r="T884" s="1017">
        <v>0</v>
      </c>
      <c r="U884" s="785">
        <v>0</v>
      </c>
      <c r="V884" s="785">
        <v>200000</v>
      </c>
      <c r="W884" s="1017">
        <v>500000</v>
      </c>
      <c r="X884" s="1017">
        <v>0</v>
      </c>
      <c r="Y884" s="1017">
        <v>400000</v>
      </c>
      <c r="Z884" s="1017">
        <v>725659</v>
      </c>
      <c r="AA884" s="1018"/>
      <c r="AB884" s="1013"/>
      <c r="AC884" s="1017">
        <v>0</v>
      </c>
      <c r="AD884" s="1017">
        <v>0</v>
      </c>
      <c r="AE884" s="1013">
        <v>0</v>
      </c>
      <c r="AF884" s="1019"/>
      <c r="AG884" s="1019">
        <f t="shared" si="184"/>
        <v>9132659</v>
      </c>
      <c r="AH884" s="1014">
        <v>60</v>
      </c>
      <c r="AI884" s="1014">
        <v>0</v>
      </c>
      <c r="AJ884" s="1014">
        <v>0</v>
      </c>
      <c r="AK884" s="1018">
        <v>0</v>
      </c>
      <c r="AL884" s="1020">
        <v>0</v>
      </c>
      <c r="AM884" s="1013">
        <f t="shared" si="182"/>
        <v>3161683</v>
      </c>
      <c r="AN884" s="1045">
        <f t="shared" si="186"/>
        <v>12294342</v>
      </c>
      <c r="AO884" s="1013">
        <v>767235</v>
      </c>
      <c r="AP884" s="1013">
        <v>44100</v>
      </c>
      <c r="AQ884" s="1013">
        <v>0</v>
      </c>
      <c r="AR884" s="1013">
        <v>0</v>
      </c>
      <c r="AS884" s="1013">
        <v>0</v>
      </c>
      <c r="AT884" s="1045">
        <f t="shared" si="193"/>
        <v>11483007</v>
      </c>
      <c r="AU884" s="1004"/>
      <c r="AV884" s="870"/>
      <c r="AW884" s="782" t="s">
        <v>4996</v>
      </c>
      <c r="AX884" s="782" t="s">
        <v>4997</v>
      </c>
      <c r="AY884" s="1007" t="s">
        <v>221</v>
      </c>
      <c r="AZ884" s="1007">
        <v>622</v>
      </c>
      <c r="BA884" s="347" t="str">
        <f t="shared" si="188"/>
        <v>Bag</v>
      </c>
      <c r="BB884" s="1008"/>
      <c r="BC884" s="1009"/>
      <c r="BD884" s="1009"/>
    </row>
    <row r="885" spans="1:56" s="1010" customFormat="1" ht="36.75" customHeight="1">
      <c r="A885" s="661">
        <f>SUBTOTAL(3,B$6:B885)</f>
        <v>880</v>
      </c>
      <c r="B885" s="661" t="s">
        <v>2587</v>
      </c>
      <c r="C885" s="662" t="s">
        <v>2588</v>
      </c>
      <c r="D885" s="1011">
        <v>44970</v>
      </c>
      <c r="E885" s="1011" t="s">
        <v>221</v>
      </c>
      <c r="F885" s="787" t="s">
        <v>248</v>
      </c>
      <c r="G885" s="996" t="s">
        <v>2586</v>
      </c>
      <c r="H885" s="1012">
        <v>5815000</v>
      </c>
      <c r="I885" s="1012">
        <v>1200000</v>
      </c>
      <c r="J885" s="1012">
        <v>292000</v>
      </c>
      <c r="K885" s="1012">
        <v>0</v>
      </c>
      <c r="L885" s="1013">
        <f t="shared" si="187"/>
        <v>7307000</v>
      </c>
      <c r="M885" s="1014">
        <v>23</v>
      </c>
      <c r="N885" s="1013">
        <f t="shared" si="189"/>
        <v>6463885</v>
      </c>
      <c r="O885" s="1015">
        <v>3</v>
      </c>
      <c r="P885" s="1013">
        <f t="shared" si="190"/>
        <v>843115</v>
      </c>
      <c r="Q885" s="1016">
        <v>0</v>
      </c>
      <c r="R885" s="1013">
        <f t="shared" si="191"/>
        <v>0</v>
      </c>
      <c r="S885" s="1013">
        <f t="shared" si="192"/>
        <v>7307000</v>
      </c>
      <c r="T885" s="1017">
        <v>0</v>
      </c>
      <c r="U885" s="785">
        <v>0</v>
      </c>
      <c r="V885" s="785">
        <v>200000</v>
      </c>
      <c r="W885" s="1017">
        <v>500000</v>
      </c>
      <c r="X885" s="1017">
        <v>0</v>
      </c>
      <c r="Y885" s="1017">
        <v>400000</v>
      </c>
      <c r="Z885" s="1017">
        <v>394354</v>
      </c>
      <c r="AA885" s="1018"/>
      <c r="AB885" s="1013"/>
      <c r="AC885" s="1017">
        <v>0</v>
      </c>
      <c r="AD885" s="1017">
        <v>0</v>
      </c>
      <c r="AE885" s="1013">
        <v>0</v>
      </c>
      <c r="AF885" s="1019"/>
      <c r="AG885" s="1019">
        <f t="shared" si="184"/>
        <v>8801354</v>
      </c>
      <c r="AH885" s="1014">
        <v>56</v>
      </c>
      <c r="AI885" s="1014">
        <v>0</v>
      </c>
      <c r="AJ885" s="1014">
        <v>0</v>
      </c>
      <c r="AK885" s="1018">
        <v>0</v>
      </c>
      <c r="AL885" s="1020">
        <v>0</v>
      </c>
      <c r="AM885" s="1013">
        <f t="shared" si="182"/>
        <v>2950904</v>
      </c>
      <c r="AN885" s="1045">
        <f t="shared" si="186"/>
        <v>11752258</v>
      </c>
      <c r="AO885" s="1013">
        <v>767235</v>
      </c>
      <c r="AP885" s="1013">
        <v>44100</v>
      </c>
      <c r="AQ885" s="1013">
        <v>0</v>
      </c>
      <c r="AR885" s="1013">
        <v>0</v>
      </c>
      <c r="AS885" s="1013">
        <v>0</v>
      </c>
      <c r="AT885" s="1045">
        <f t="shared" si="193"/>
        <v>10940923</v>
      </c>
      <c r="AU885" s="1004"/>
      <c r="AV885" s="870"/>
      <c r="AW885" s="782" t="s">
        <v>4998</v>
      </c>
      <c r="AX885" s="782" t="s">
        <v>4999</v>
      </c>
      <c r="AY885" s="1007" t="s">
        <v>221</v>
      </c>
      <c r="AZ885" s="1007">
        <v>622</v>
      </c>
      <c r="BA885" s="347" t="str">
        <f t="shared" si="188"/>
        <v>Bag</v>
      </c>
      <c r="BB885" s="1008"/>
      <c r="BC885" s="1009"/>
      <c r="BD885" s="1009"/>
    </row>
    <row r="886" spans="1:56" s="1010" customFormat="1" ht="36.75" customHeight="1">
      <c r="A886" s="661">
        <f>SUBTOTAL(3,B$6:B886)</f>
        <v>881</v>
      </c>
      <c r="B886" s="661" t="s">
        <v>2589</v>
      </c>
      <c r="C886" s="662" t="s">
        <v>2590</v>
      </c>
      <c r="D886" s="1011">
        <v>45717</v>
      </c>
      <c r="E886" s="1011" t="s">
        <v>221</v>
      </c>
      <c r="F886" s="787" t="s">
        <v>248</v>
      </c>
      <c r="G886" s="996" t="s">
        <v>2586</v>
      </c>
      <c r="H886" s="1012">
        <v>5023000</v>
      </c>
      <c r="I886" s="1012">
        <v>800000</v>
      </c>
      <c r="J886" s="1012">
        <v>252000</v>
      </c>
      <c r="K886" s="1012">
        <v>0</v>
      </c>
      <c r="L886" s="1013">
        <f t="shared" si="187"/>
        <v>6075000</v>
      </c>
      <c r="M886" s="1014">
        <v>23.9</v>
      </c>
      <c r="N886" s="1013">
        <f t="shared" si="189"/>
        <v>5584327</v>
      </c>
      <c r="O886" s="1015">
        <v>2</v>
      </c>
      <c r="P886" s="1013">
        <f t="shared" si="190"/>
        <v>467308</v>
      </c>
      <c r="Q886" s="1016">
        <v>0</v>
      </c>
      <c r="R886" s="1013">
        <f t="shared" si="191"/>
        <v>0</v>
      </c>
      <c r="S886" s="1013">
        <f t="shared" si="192"/>
        <v>6051635</v>
      </c>
      <c r="T886" s="1017">
        <v>0</v>
      </c>
      <c r="U886" s="785">
        <v>0</v>
      </c>
      <c r="V886" s="785">
        <v>200000</v>
      </c>
      <c r="W886" s="1017">
        <v>500000</v>
      </c>
      <c r="X886" s="1017">
        <v>0</v>
      </c>
      <c r="Y886" s="1017">
        <v>400000</v>
      </c>
      <c r="Z886" s="1017">
        <v>426814</v>
      </c>
      <c r="AA886" s="1018"/>
      <c r="AB886" s="1013"/>
      <c r="AC886" s="1017">
        <v>0</v>
      </c>
      <c r="AD886" s="1017">
        <v>0</v>
      </c>
      <c r="AE886" s="1013">
        <v>0</v>
      </c>
      <c r="AF886" s="1019"/>
      <c r="AG886" s="1019">
        <f t="shared" si="184"/>
        <v>7578449</v>
      </c>
      <c r="AH886" s="1014">
        <v>60</v>
      </c>
      <c r="AI886" s="1014">
        <v>0</v>
      </c>
      <c r="AJ886" s="1014">
        <v>0</v>
      </c>
      <c r="AK886" s="1018">
        <v>0</v>
      </c>
      <c r="AL886" s="1020">
        <v>0</v>
      </c>
      <c r="AM886" s="1013">
        <f t="shared" si="182"/>
        <v>2628606</v>
      </c>
      <c r="AN886" s="1045">
        <f t="shared" si="186"/>
        <v>10207055</v>
      </c>
      <c r="AO886" s="1013">
        <v>637875</v>
      </c>
      <c r="AP886" s="1013">
        <v>44100</v>
      </c>
      <c r="AQ886" s="1013">
        <v>0</v>
      </c>
      <c r="AR886" s="1013">
        <v>0</v>
      </c>
      <c r="AS886" s="1013">
        <v>0</v>
      </c>
      <c r="AT886" s="1045">
        <f t="shared" si="193"/>
        <v>9525080</v>
      </c>
      <c r="AU886" s="1004"/>
      <c r="AV886" s="870"/>
      <c r="AW886" s="782" t="s">
        <v>5000</v>
      </c>
      <c r="AX886" s="782" t="s">
        <v>5001</v>
      </c>
      <c r="AY886" s="1007" t="s">
        <v>221</v>
      </c>
      <c r="AZ886" s="1007">
        <v>622</v>
      </c>
      <c r="BA886" s="347" t="str">
        <f t="shared" si="188"/>
        <v>Bag</v>
      </c>
      <c r="BB886" s="1008"/>
      <c r="BC886" s="1009"/>
      <c r="BD886" s="1009"/>
    </row>
    <row r="887" spans="1:56" s="1010" customFormat="1" ht="36.75" customHeight="1">
      <c r="A887" s="661">
        <f>SUBTOTAL(3,B$6:B887)</f>
        <v>882</v>
      </c>
      <c r="B887" s="661" t="s">
        <v>2591</v>
      </c>
      <c r="C887" s="662" t="s">
        <v>2592</v>
      </c>
      <c r="D887" s="1011">
        <v>45743</v>
      </c>
      <c r="E887" s="1011" t="s">
        <v>221</v>
      </c>
      <c r="F887" s="787" t="s">
        <v>248</v>
      </c>
      <c r="G887" s="996" t="s">
        <v>2586</v>
      </c>
      <c r="H887" s="1012">
        <v>4694000</v>
      </c>
      <c r="I887" s="1012">
        <v>0</v>
      </c>
      <c r="J887" s="1012">
        <v>235000</v>
      </c>
      <c r="K887" s="1012">
        <v>0</v>
      </c>
      <c r="L887" s="1013">
        <f t="shared" si="187"/>
        <v>4929000</v>
      </c>
      <c r="M887" s="1014">
        <v>23.8</v>
      </c>
      <c r="N887" s="1013">
        <f t="shared" si="189"/>
        <v>4511931</v>
      </c>
      <c r="O887" s="1015">
        <v>2</v>
      </c>
      <c r="P887" s="1013">
        <f t="shared" si="190"/>
        <v>379154</v>
      </c>
      <c r="Q887" s="1016">
        <v>0</v>
      </c>
      <c r="R887" s="1013">
        <f t="shared" si="191"/>
        <v>0</v>
      </c>
      <c r="S887" s="1013">
        <f t="shared" si="192"/>
        <v>4891085</v>
      </c>
      <c r="T887" s="1017">
        <v>0</v>
      </c>
      <c r="U887" s="785">
        <v>0</v>
      </c>
      <c r="V887" s="785">
        <v>200000</v>
      </c>
      <c r="W887" s="1017">
        <v>500000</v>
      </c>
      <c r="X887" s="1017">
        <v>0</v>
      </c>
      <c r="Y887" s="1017">
        <v>400000</v>
      </c>
      <c r="Z887" s="1017">
        <v>430076</v>
      </c>
      <c r="AA887" s="1018"/>
      <c r="AB887" s="1013"/>
      <c r="AC887" s="1017">
        <v>0</v>
      </c>
      <c r="AD887" s="1017">
        <v>156472</v>
      </c>
      <c r="AE887" s="1013">
        <v>0</v>
      </c>
      <c r="AF887" s="1019"/>
      <c r="AG887" s="1019">
        <f t="shared" si="184"/>
        <v>6577633</v>
      </c>
      <c r="AH887" s="1014">
        <v>52</v>
      </c>
      <c r="AI887" s="1014">
        <v>0</v>
      </c>
      <c r="AJ887" s="1014">
        <v>0</v>
      </c>
      <c r="AK887" s="1018">
        <v>0</v>
      </c>
      <c r="AL887" s="1020">
        <v>0</v>
      </c>
      <c r="AM887" s="1013">
        <f t="shared" si="182"/>
        <v>1848375</v>
      </c>
      <c r="AN887" s="1045">
        <f t="shared" si="186"/>
        <v>8426008</v>
      </c>
      <c r="AO887" s="1013">
        <v>0</v>
      </c>
      <c r="AP887" s="1013">
        <v>0</v>
      </c>
      <c r="AQ887" s="1013">
        <v>0</v>
      </c>
      <c r="AR887" s="1013">
        <v>0</v>
      </c>
      <c r="AS887" s="1013">
        <v>0</v>
      </c>
      <c r="AT887" s="1045">
        <f t="shared" si="193"/>
        <v>8426008</v>
      </c>
      <c r="AU887" s="1004"/>
      <c r="AV887" s="870"/>
      <c r="AW887" s="782" t="s">
        <v>5002</v>
      </c>
      <c r="AX887" s="782" t="s">
        <v>5003</v>
      </c>
      <c r="AY887" s="1007" t="s">
        <v>221</v>
      </c>
      <c r="AZ887" s="1007">
        <v>622</v>
      </c>
      <c r="BA887" s="347" t="str">
        <f t="shared" si="188"/>
        <v>Bag</v>
      </c>
      <c r="BB887" s="1008"/>
      <c r="BC887" s="1009"/>
      <c r="BD887" s="1009"/>
    </row>
    <row r="888" spans="1:56" s="1010" customFormat="1" ht="36.75" customHeight="1">
      <c r="A888" s="661">
        <f>SUBTOTAL(3,B$6:B888)</f>
        <v>883</v>
      </c>
      <c r="B888" s="661" t="s">
        <v>5780</v>
      </c>
      <c r="C888" s="662" t="s">
        <v>5781</v>
      </c>
      <c r="D888" s="1011">
        <v>45762</v>
      </c>
      <c r="E888" s="1011" t="s">
        <v>221</v>
      </c>
      <c r="F888" s="787" t="s">
        <v>248</v>
      </c>
      <c r="G888" s="996" t="s">
        <v>885</v>
      </c>
      <c r="H888" s="1012">
        <v>4694000</v>
      </c>
      <c r="I888" s="1012">
        <v>1100000</v>
      </c>
      <c r="J888" s="1012">
        <v>235000</v>
      </c>
      <c r="K888" s="1012">
        <v>1400000</v>
      </c>
      <c r="L888" s="1013">
        <f t="shared" si="187"/>
        <v>7429000</v>
      </c>
      <c r="M888" s="1014">
        <v>13</v>
      </c>
      <c r="N888" s="1013">
        <f t="shared" si="189"/>
        <v>3714500</v>
      </c>
      <c r="O888" s="1015">
        <v>1</v>
      </c>
      <c r="P888" s="1013">
        <f t="shared" si="190"/>
        <v>285731</v>
      </c>
      <c r="Q888" s="1016">
        <v>0</v>
      </c>
      <c r="R888" s="1013">
        <f t="shared" si="191"/>
        <v>0</v>
      </c>
      <c r="S888" s="1013">
        <f t="shared" si="192"/>
        <v>4000231</v>
      </c>
      <c r="T888" s="1017">
        <v>0</v>
      </c>
      <c r="U888" s="785">
        <v>0</v>
      </c>
      <c r="V888" s="785">
        <v>108000</v>
      </c>
      <c r="W888" s="1017">
        <v>269000</v>
      </c>
      <c r="X888" s="1017">
        <v>0</v>
      </c>
      <c r="Y888" s="1017">
        <v>81000</v>
      </c>
      <c r="Z888" s="1017">
        <v>186458</v>
      </c>
      <c r="AA888" s="1018"/>
      <c r="AB888" s="1013"/>
      <c r="AC888" s="1017">
        <v>0</v>
      </c>
      <c r="AD888" s="1017">
        <v>0</v>
      </c>
      <c r="AE888" s="1013">
        <v>0</v>
      </c>
      <c r="AF888" s="1019"/>
      <c r="AG888" s="1019">
        <f t="shared" si="184"/>
        <v>4644689</v>
      </c>
      <c r="AH888" s="1014">
        <v>29</v>
      </c>
      <c r="AI888" s="1014">
        <v>0</v>
      </c>
      <c r="AJ888" s="1014">
        <v>0</v>
      </c>
      <c r="AK888" s="1018">
        <v>0</v>
      </c>
      <c r="AL888" s="1020">
        <v>0</v>
      </c>
      <c r="AM888" s="1013">
        <f t="shared" si="182"/>
        <v>1553661</v>
      </c>
      <c r="AN888" s="1045">
        <f t="shared" si="186"/>
        <v>6198350</v>
      </c>
      <c r="AO888" s="1013">
        <v>0</v>
      </c>
      <c r="AP888" s="1013">
        <v>0</v>
      </c>
      <c r="AQ888" s="1013">
        <v>0</v>
      </c>
      <c r="AR888" s="1013">
        <v>0</v>
      </c>
      <c r="AS888" s="1013">
        <v>0</v>
      </c>
      <c r="AT888" s="1045">
        <f t="shared" si="193"/>
        <v>6198350</v>
      </c>
      <c r="AU888" s="1004"/>
      <c r="AV888" s="870"/>
      <c r="AW888" s="782" t="s">
        <v>5880</v>
      </c>
      <c r="AX888" s="782" t="s">
        <v>5881</v>
      </c>
      <c r="AY888" s="1007" t="s">
        <v>221</v>
      </c>
      <c r="AZ888" s="1007">
        <v>622</v>
      </c>
      <c r="BA888" s="347" t="str">
        <f t="shared" si="188"/>
        <v>Bag</v>
      </c>
      <c r="BB888" s="1008"/>
      <c r="BC888" s="1009"/>
      <c r="BD888" s="1009"/>
    </row>
    <row r="889" spans="1:56" s="1010" customFormat="1" ht="36.75" customHeight="1">
      <c r="A889" s="661">
        <f>SUBTOTAL(3,B$6:B889)</f>
        <v>884</v>
      </c>
      <c r="B889" s="661" t="s">
        <v>2593</v>
      </c>
      <c r="C889" s="662" t="s">
        <v>2594</v>
      </c>
      <c r="D889" s="1011">
        <v>41156</v>
      </c>
      <c r="E889" s="1011" t="s">
        <v>221</v>
      </c>
      <c r="F889" s="787" t="s">
        <v>248</v>
      </c>
      <c r="G889" s="996" t="s">
        <v>875</v>
      </c>
      <c r="H889" s="1012">
        <v>6767000</v>
      </c>
      <c r="I889" s="1012">
        <v>4100000</v>
      </c>
      <c r="J889" s="1012">
        <v>338000</v>
      </c>
      <c r="K889" s="1012">
        <v>1900000</v>
      </c>
      <c r="L889" s="1013">
        <f t="shared" si="187"/>
        <v>13105000</v>
      </c>
      <c r="M889" s="1014">
        <v>24</v>
      </c>
      <c r="N889" s="1013">
        <f t="shared" si="189"/>
        <v>12096923</v>
      </c>
      <c r="O889" s="1015">
        <v>2</v>
      </c>
      <c r="P889" s="1013">
        <f t="shared" si="190"/>
        <v>1008077</v>
      </c>
      <c r="Q889" s="1016">
        <v>0</v>
      </c>
      <c r="R889" s="1013">
        <f t="shared" si="191"/>
        <v>0</v>
      </c>
      <c r="S889" s="1013">
        <f t="shared" si="192"/>
        <v>13105000</v>
      </c>
      <c r="T889" s="1017">
        <v>0</v>
      </c>
      <c r="U889" s="785">
        <v>0</v>
      </c>
      <c r="V889" s="785">
        <v>200000</v>
      </c>
      <c r="W889" s="1017">
        <v>500000</v>
      </c>
      <c r="X889" s="1017">
        <v>0</v>
      </c>
      <c r="Y889" s="1017">
        <v>400000</v>
      </c>
      <c r="Z889" s="1017">
        <v>379911</v>
      </c>
      <c r="AA889" s="1018"/>
      <c r="AB889" s="1013"/>
      <c r="AC889" s="1017">
        <v>0</v>
      </c>
      <c r="AD889" s="1017">
        <v>0</v>
      </c>
      <c r="AE889" s="1013">
        <v>0</v>
      </c>
      <c r="AF889" s="1019"/>
      <c r="AG889" s="1019">
        <f t="shared" si="184"/>
        <v>14584911</v>
      </c>
      <c r="AH889" s="1014">
        <v>64</v>
      </c>
      <c r="AI889" s="1014">
        <v>0</v>
      </c>
      <c r="AJ889" s="1014">
        <v>0</v>
      </c>
      <c r="AK889" s="1018">
        <v>0</v>
      </c>
      <c r="AL889" s="1020">
        <v>0</v>
      </c>
      <c r="AM889" s="1013">
        <f t="shared" si="182"/>
        <v>6048462</v>
      </c>
      <c r="AN889" s="1045">
        <f t="shared" si="186"/>
        <v>20633373</v>
      </c>
      <c r="AO889" s="1013">
        <v>1376025</v>
      </c>
      <c r="AP889" s="1013">
        <v>44100</v>
      </c>
      <c r="AQ889" s="1013">
        <v>0</v>
      </c>
      <c r="AR889" s="1013">
        <v>0</v>
      </c>
      <c r="AS889" s="1013">
        <v>0</v>
      </c>
      <c r="AT889" s="1045">
        <f t="shared" si="193"/>
        <v>19213248</v>
      </c>
      <c r="AU889" s="1004"/>
      <c r="AV889" s="870"/>
      <c r="AW889" s="782" t="s">
        <v>5004</v>
      </c>
      <c r="AX889" s="782" t="s">
        <v>5005</v>
      </c>
      <c r="AY889" s="1007" t="s">
        <v>221</v>
      </c>
      <c r="AZ889" s="1007">
        <v>622</v>
      </c>
      <c r="BA889" s="347" t="str">
        <f t="shared" si="188"/>
        <v>Bag</v>
      </c>
      <c r="BB889" s="1008"/>
      <c r="BC889" s="1009"/>
      <c r="BD889" s="1009"/>
    </row>
    <row r="890" spans="1:56" s="1010" customFormat="1" ht="36.75" customHeight="1">
      <c r="A890" s="661">
        <f>SUBTOTAL(3,B$6:B890)</f>
        <v>885</v>
      </c>
      <c r="B890" s="661" t="s">
        <v>2595</v>
      </c>
      <c r="C890" s="662" t="s">
        <v>2596</v>
      </c>
      <c r="D890" s="1011">
        <v>43514</v>
      </c>
      <c r="E890" s="1011" t="s">
        <v>221</v>
      </c>
      <c r="F890" s="787" t="s">
        <v>248</v>
      </c>
      <c r="G890" s="996" t="s">
        <v>885</v>
      </c>
      <c r="H890" s="1012">
        <v>5931000</v>
      </c>
      <c r="I890" s="1012">
        <v>2500000</v>
      </c>
      <c r="J890" s="1012">
        <v>298000</v>
      </c>
      <c r="K890" s="1012">
        <v>0</v>
      </c>
      <c r="L890" s="1013">
        <f t="shared" si="187"/>
        <v>8729000</v>
      </c>
      <c r="M890" s="1014">
        <v>23.8</v>
      </c>
      <c r="N890" s="1013">
        <f t="shared" si="189"/>
        <v>7990392</v>
      </c>
      <c r="O890" s="1015">
        <v>2</v>
      </c>
      <c r="P890" s="1013">
        <f t="shared" si="190"/>
        <v>671462</v>
      </c>
      <c r="Q890" s="1016">
        <v>0</v>
      </c>
      <c r="R890" s="1013">
        <f t="shared" si="191"/>
        <v>0</v>
      </c>
      <c r="S890" s="1013">
        <f t="shared" si="192"/>
        <v>8661854</v>
      </c>
      <c r="T890" s="1017">
        <v>0</v>
      </c>
      <c r="U890" s="785">
        <v>0</v>
      </c>
      <c r="V890" s="785">
        <v>200000</v>
      </c>
      <c r="W890" s="1017">
        <v>500000</v>
      </c>
      <c r="X890" s="1017">
        <v>200000</v>
      </c>
      <c r="Y890" s="1017">
        <v>400000</v>
      </c>
      <c r="Z890" s="1017">
        <v>383990</v>
      </c>
      <c r="AA890" s="1018"/>
      <c r="AB890" s="1013"/>
      <c r="AC890" s="1017">
        <v>0</v>
      </c>
      <c r="AD890" s="1017">
        <v>0</v>
      </c>
      <c r="AE890" s="1013">
        <v>0</v>
      </c>
      <c r="AF890" s="1019"/>
      <c r="AG890" s="1019">
        <f t="shared" si="184"/>
        <v>10345844</v>
      </c>
      <c r="AH890" s="1014">
        <v>60</v>
      </c>
      <c r="AI890" s="1014">
        <v>0</v>
      </c>
      <c r="AJ890" s="1014">
        <v>0</v>
      </c>
      <c r="AK890" s="1018">
        <v>0</v>
      </c>
      <c r="AL890" s="1020">
        <v>0</v>
      </c>
      <c r="AM890" s="1013">
        <f t="shared" si="182"/>
        <v>3776971</v>
      </c>
      <c r="AN890" s="1045">
        <f t="shared" si="186"/>
        <v>14122815</v>
      </c>
      <c r="AO890" s="1013">
        <v>916545</v>
      </c>
      <c r="AP890" s="1013">
        <v>44100</v>
      </c>
      <c r="AQ890" s="1013">
        <v>0</v>
      </c>
      <c r="AR890" s="1013">
        <v>0</v>
      </c>
      <c r="AS890" s="1013">
        <v>0</v>
      </c>
      <c r="AT890" s="1045">
        <f t="shared" si="193"/>
        <v>13162170</v>
      </c>
      <c r="AU890" s="1004"/>
      <c r="AV890" s="870"/>
      <c r="AW890" s="782" t="s">
        <v>5006</v>
      </c>
      <c r="AX890" s="782" t="s">
        <v>5007</v>
      </c>
      <c r="AY890" s="1007" t="s">
        <v>221</v>
      </c>
      <c r="AZ890" s="1007">
        <v>622</v>
      </c>
      <c r="BA890" s="347" t="str">
        <f t="shared" si="188"/>
        <v>Bag</v>
      </c>
      <c r="BB890" s="1008"/>
      <c r="BC890" s="1009"/>
      <c r="BD890" s="1009"/>
    </row>
    <row r="891" spans="1:56" s="1010" customFormat="1" ht="36.75" customHeight="1">
      <c r="A891" s="661">
        <f>SUBTOTAL(3,B$6:B891)</f>
        <v>886</v>
      </c>
      <c r="B891" s="661" t="s">
        <v>2597</v>
      </c>
      <c r="C891" s="662" t="s">
        <v>2598</v>
      </c>
      <c r="D891" s="1011">
        <v>43627</v>
      </c>
      <c r="E891" s="1011" t="s">
        <v>221</v>
      </c>
      <c r="F891" s="787" t="s">
        <v>533</v>
      </c>
      <c r="G891" s="996" t="s">
        <v>2599</v>
      </c>
      <c r="H891" s="1012">
        <v>10283000</v>
      </c>
      <c r="I891" s="1012">
        <v>5000000</v>
      </c>
      <c r="J891" s="1012">
        <v>514000</v>
      </c>
      <c r="K891" s="1012">
        <v>3855000</v>
      </c>
      <c r="L891" s="1013">
        <f t="shared" si="187"/>
        <v>19652000</v>
      </c>
      <c r="M891" s="1014">
        <v>19</v>
      </c>
      <c r="N891" s="1013">
        <f t="shared" si="189"/>
        <v>14361077</v>
      </c>
      <c r="O891" s="1015">
        <v>2</v>
      </c>
      <c r="P891" s="1013">
        <f t="shared" si="190"/>
        <v>1511692</v>
      </c>
      <c r="Q891" s="1016">
        <v>32.5</v>
      </c>
      <c r="R891" s="1013">
        <f t="shared" si="191"/>
        <v>921188</v>
      </c>
      <c r="S891" s="1013">
        <f t="shared" si="192"/>
        <v>16793957</v>
      </c>
      <c r="T891" s="1017">
        <v>403846</v>
      </c>
      <c r="U891" s="785">
        <v>150000</v>
      </c>
      <c r="V891" s="785">
        <v>200000</v>
      </c>
      <c r="W891" s="1017">
        <v>0</v>
      </c>
      <c r="X891" s="1017">
        <v>0</v>
      </c>
      <c r="Y891" s="1017">
        <v>0</v>
      </c>
      <c r="Z891" s="1017">
        <v>157354</v>
      </c>
      <c r="AA891" s="1018"/>
      <c r="AB891" s="1013"/>
      <c r="AC891" s="1017">
        <v>0</v>
      </c>
      <c r="AD891" s="1017">
        <v>0</v>
      </c>
      <c r="AE891" s="1013">
        <v>0</v>
      </c>
      <c r="AF891" s="1019"/>
      <c r="AG891" s="1019">
        <f t="shared" si="184"/>
        <v>17705157</v>
      </c>
      <c r="AH891" s="1014">
        <v>42</v>
      </c>
      <c r="AI891" s="1014">
        <v>8</v>
      </c>
      <c r="AJ891" s="1014">
        <v>8</v>
      </c>
      <c r="AK891" s="1018">
        <v>0</v>
      </c>
      <c r="AL891" s="1020">
        <v>0</v>
      </c>
      <c r="AM891" s="1013">
        <f t="shared" si="182"/>
        <v>9051258</v>
      </c>
      <c r="AN891" s="1045">
        <f t="shared" si="186"/>
        <v>26756415</v>
      </c>
      <c r="AO891" s="1013">
        <v>2063460</v>
      </c>
      <c r="AP891" s="1013">
        <v>44100</v>
      </c>
      <c r="AQ891" s="1013">
        <v>0</v>
      </c>
      <c r="AR891" s="1013">
        <v>0</v>
      </c>
      <c r="AS891" s="1013">
        <v>0</v>
      </c>
      <c r="AT891" s="1045">
        <f t="shared" si="193"/>
        <v>24648855</v>
      </c>
      <c r="AU891" s="1004"/>
      <c r="AV891" s="870"/>
      <c r="AW891" s="782" t="s">
        <v>5008</v>
      </c>
      <c r="AX891" s="782" t="s">
        <v>5009</v>
      </c>
      <c r="AY891" s="1007" t="s">
        <v>221</v>
      </c>
      <c r="AZ891" s="1007">
        <v>622</v>
      </c>
      <c r="BA891" s="347" t="str">
        <f t="shared" si="188"/>
        <v>Bag</v>
      </c>
      <c r="BB891" s="1008"/>
      <c r="BC891" s="1009"/>
      <c r="BD891" s="1009"/>
    </row>
    <row r="892" spans="1:56" s="1010" customFormat="1" ht="36.75" customHeight="1">
      <c r="A892" s="661">
        <f>SUBTOTAL(3,B$6:B892)</f>
        <v>887</v>
      </c>
      <c r="B892" s="661" t="s">
        <v>2600</v>
      </c>
      <c r="C892" s="662" t="s">
        <v>2601</v>
      </c>
      <c r="D892" s="1011">
        <v>43766</v>
      </c>
      <c r="E892" s="1011" t="s">
        <v>221</v>
      </c>
      <c r="F892" s="787" t="s">
        <v>533</v>
      </c>
      <c r="G892" s="996" t="s">
        <v>2602</v>
      </c>
      <c r="H892" s="1012">
        <v>9283000</v>
      </c>
      <c r="I892" s="1012">
        <v>3000000</v>
      </c>
      <c r="J892" s="1012">
        <v>464000</v>
      </c>
      <c r="K892" s="1012">
        <v>694000</v>
      </c>
      <c r="L892" s="1013">
        <f t="shared" si="187"/>
        <v>13441000</v>
      </c>
      <c r="M892" s="1014">
        <v>22.9</v>
      </c>
      <c r="N892" s="1013">
        <f t="shared" si="189"/>
        <v>11838419</v>
      </c>
      <c r="O892" s="1015">
        <v>3</v>
      </c>
      <c r="P892" s="1013">
        <f t="shared" si="190"/>
        <v>1550885</v>
      </c>
      <c r="Q892" s="1016">
        <v>32.5</v>
      </c>
      <c r="R892" s="1013">
        <f t="shared" si="191"/>
        <v>630047</v>
      </c>
      <c r="S892" s="1013">
        <f t="shared" si="192"/>
        <v>14019351</v>
      </c>
      <c r="T892" s="1017">
        <v>498077</v>
      </c>
      <c r="U892" s="785">
        <v>150000</v>
      </c>
      <c r="V892" s="785">
        <v>200000</v>
      </c>
      <c r="W892" s="1017">
        <v>500000</v>
      </c>
      <c r="X892" s="1017">
        <v>0</v>
      </c>
      <c r="Y892" s="1017">
        <v>400000</v>
      </c>
      <c r="Z892" s="1017">
        <v>320078</v>
      </c>
      <c r="AA892" s="1018"/>
      <c r="AB892" s="1013"/>
      <c r="AC892" s="1017">
        <v>0</v>
      </c>
      <c r="AD892" s="1017">
        <v>0</v>
      </c>
      <c r="AE892" s="1013">
        <v>0</v>
      </c>
      <c r="AF892" s="1019"/>
      <c r="AG892" s="1019">
        <f t="shared" si="184"/>
        <v>16087506</v>
      </c>
      <c r="AH892" s="1014">
        <v>45</v>
      </c>
      <c r="AI892" s="1014">
        <v>8</v>
      </c>
      <c r="AJ892" s="1014">
        <v>8</v>
      </c>
      <c r="AK892" s="1018">
        <v>0</v>
      </c>
      <c r="AL892" s="1020">
        <v>0</v>
      </c>
      <c r="AM892" s="1013">
        <f t="shared" si="182"/>
        <v>6481405</v>
      </c>
      <c r="AN892" s="1045">
        <f t="shared" si="186"/>
        <v>22568911</v>
      </c>
      <c r="AO892" s="1013">
        <v>1411305</v>
      </c>
      <c r="AP892" s="1013">
        <v>44100</v>
      </c>
      <c r="AQ892" s="1013">
        <v>408991</v>
      </c>
      <c r="AR892" s="1013">
        <v>0</v>
      </c>
      <c r="AS892" s="1013">
        <v>0</v>
      </c>
      <c r="AT892" s="1045">
        <f t="shared" si="193"/>
        <v>20704515</v>
      </c>
      <c r="AU892" s="1004"/>
      <c r="AV892" s="870"/>
      <c r="AW892" s="782" t="s">
        <v>5010</v>
      </c>
      <c r="AX892" s="782" t="s">
        <v>5011</v>
      </c>
      <c r="AY892" s="1007" t="s">
        <v>221</v>
      </c>
      <c r="AZ892" s="1007">
        <v>622</v>
      </c>
      <c r="BA892" s="347" t="str">
        <f t="shared" si="188"/>
        <v>Bag</v>
      </c>
      <c r="BB892" s="1008"/>
      <c r="BC892" s="1009"/>
      <c r="BD892" s="1009"/>
    </row>
    <row r="893" spans="1:56" s="1010" customFormat="1" ht="36.75" customHeight="1">
      <c r="A893" s="661">
        <f>SUBTOTAL(3,B$6:B893)</f>
        <v>888</v>
      </c>
      <c r="B893" s="661" t="s">
        <v>2603</v>
      </c>
      <c r="C893" s="662" t="s">
        <v>2604</v>
      </c>
      <c r="D893" s="1011">
        <v>43808</v>
      </c>
      <c r="E893" s="1011" t="s">
        <v>221</v>
      </c>
      <c r="F893" s="787" t="s">
        <v>533</v>
      </c>
      <c r="G893" s="996" t="s">
        <v>2605</v>
      </c>
      <c r="H893" s="1012">
        <v>7783000</v>
      </c>
      <c r="I893" s="1012">
        <v>1000000</v>
      </c>
      <c r="J893" s="1012">
        <v>389000</v>
      </c>
      <c r="K893" s="1012">
        <v>0</v>
      </c>
      <c r="L893" s="1013">
        <f t="shared" si="187"/>
        <v>9172000</v>
      </c>
      <c r="M893" s="1014">
        <v>24</v>
      </c>
      <c r="N893" s="1013">
        <f t="shared" si="189"/>
        <v>8466462</v>
      </c>
      <c r="O893" s="1015">
        <v>2</v>
      </c>
      <c r="P893" s="1013">
        <f t="shared" si="190"/>
        <v>705538</v>
      </c>
      <c r="Q893" s="1016">
        <v>58.5</v>
      </c>
      <c r="R893" s="1013">
        <f t="shared" si="191"/>
        <v>773888</v>
      </c>
      <c r="S893" s="1013">
        <f t="shared" si="192"/>
        <v>9945888</v>
      </c>
      <c r="T893" s="1017">
        <v>0</v>
      </c>
      <c r="U893" s="785">
        <v>270000</v>
      </c>
      <c r="V893" s="785">
        <v>200000</v>
      </c>
      <c r="W893" s="1017">
        <v>500000</v>
      </c>
      <c r="X893" s="1017">
        <v>0</v>
      </c>
      <c r="Y893" s="1017">
        <v>400000</v>
      </c>
      <c r="Z893" s="1017">
        <v>261096</v>
      </c>
      <c r="AA893" s="1018"/>
      <c r="AB893" s="1013"/>
      <c r="AC893" s="1017">
        <v>0</v>
      </c>
      <c r="AD893" s="1017">
        <v>0</v>
      </c>
      <c r="AE893" s="1013">
        <v>0</v>
      </c>
      <c r="AF893" s="1019"/>
      <c r="AG893" s="1019">
        <f t="shared" si="184"/>
        <v>11576984</v>
      </c>
      <c r="AH893" s="1014">
        <v>28.5</v>
      </c>
      <c r="AI893" s="1014">
        <v>0</v>
      </c>
      <c r="AJ893" s="1014">
        <v>12</v>
      </c>
      <c r="AK893" s="1018">
        <v>0</v>
      </c>
      <c r="AL893" s="1020">
        <v>0</v>
      </c>
      <c r="AM893" s="1013">
        <f t="shared" si="182"/>
        <v>2996334</v>
      </c>
      <c r="AN893" s="1045">
        <f t="shared" si="186"/>
        <v>14573318</v>
      </c>
      <c r="AO893" s="1013">
        <v>963060</v>
      </c>
      <c r="AP893" s="1013">
        <v>44100</v>
      </c>
      <c r="AQ893" s="1013">
        <v>86297</v>
      </c>
      <c r="AR893" s="1013">
        <v>0</v>
      </c>
      <c r="AS893" s="1013">
        <v>0</v>
      </c>
      <c r="AT893" s="1045">
        <f t="shared" si="193"/>
        <v>13479861</v>
      </c>
      <c r="AU893" s="1004"/>
      <c r="AV893" s="870"/>
      <c r="AW893" s="782" t="s">
        <v>5012</v>
      </c>
      <c r="AX893" s="782" t="s">
        <v>5013</v>
      </c>
      <c r="AY893" s="1007" t="s">
        <v>221</v>
      </c>
      <c r="AZ893" s="1007">
        <v>622</v>
      </c>
      <c r="BA893" s="347" t="str">
        <f t="shared" si="188"/>
        <v>Bag</v>
      </c>
      <c r="BB893" s="1008"/>
      <c r="BC893" s="1009"/>
      <c r="BD893" s="1009"/>
    </row>
    <row r="894" spans="1:56" s="1010" customFormat="1" ht="36.75" customHeight="1">
      <c r="A894" s="661">
        <f>SUBTOTAL(3,B$6:B894)</f>
        <v>889</v>
      </c>
      <c r="B894" s="661" t="s">
        <v>2606</v>
      </c>
      <c r="C894" s="662" t="s">
        <v>2607</v>
      </c>
      <c r="D894" s="1011">
        <v>43864</v>
      </c>
      <c r="E894" s="1011" t="s">
        <v>221</v>
      </c>
      <c r="F894" s="787" t="s">
        <v>533</v>
      </c>
      <c r="G894" s="996" t="s">
        <v>2608</v>
      </c>
      <c r="H894" s="1012">
        <v>9283000</v>
      </c>
      <c r="I894" s="1012">
        <v>4100000</v>
      </c>
      <c r="J894" s="1012">
        <v>464000</v>
      </c>
      <c r="K894" s="1012">
        <v>988000</v>
      </c>
      <c r="L894" s="1013">
        <f t="shared" si="187"/>
        <v>14835000</v>
      </c>
      <c r="M894" s="1014">
        <v>24</v>
      </c>
      <c r="N894" s="1013">
        <f t="shared" si="189"/>
        <v>13693846</v>
      </c>
      <c r="O894" s="1015">
        <v>2</v>
      </c>
      <c r="P894" s="1013">
        <f t="shared" si="190"/>
        <v>1141154</v>
      </c>
      <c r="Q894" s="1016">
        <v>32.5</v>
      </c>
      <c r="R894" s="1013">
        <f t="shared" si="191"/>
        <v>695391</v>
      </c>
      <c r="S894" s="1013">
        <f t="shared" si="192"/>
        <v>15530391</v>
      </c>
      <c r="T894" s="1017">
        <v>500000</v>
      </c>
      <c r="U894" s="785">
        <v>150000</v>
      </c>
      <c r="V894" s="785">
        <v>200000</v>
      </c>
      <c r="W894" s="1017">
        <v>500000</v>
      </c>
      <c r="X894" s="1017">
        <v>0</v>
      </c>
      <c r="Y894" s="1017">
        <v>400000</v>
      </c>
      <c r="Z894" s="1017">
        <v>147378</v>
      </c>
      <c r="AA894" s="1018"/>
      <c r="AB894" s="1013"/>
      <c r="AC894" s="1017">
        <v>0</v>
      </c>
      <c r="AD894" s="1017">
        <v>0</v>
      </c>
      <c r="AE894" s="1013">
        <v>0</v>
      </c>
      <c r="AF894" s="1019"/>
      <c r="AG894" s="1019">
        <f t="shared" si="184"/>
        <v>17427769</v>
      </c>
      <c r="AH894" s="1014">
        <v>44</v>
      </c>
      <c r="AI894" s="1014">
        <v>8</v>
      </c>
      <c r="AJ894" s="1014">
        <v>6</v>
      </c>
      <c r="AK894" s="1018">
        <v>0</v>
      </c>
      <c r="AL894" s="1020">
        <v>0</v>
      </c>
      <c r="AM894" s="1013">
        <f t="shared" si="182"/>
        <v>6747072</v>
      </c>
      <c r="AN894" s="1045">
        <f t="shared" si="186"/>
        <v>24174841</v>
      </c>
      <c r="AO894" s="1013">
        <v>1557675</v>
      </c>
      <c r="AP894" s="1013">
        <v>44100</v>
      </c>
      <c r="AQ894" s="1013">
        <v>541139</v>
      </c>
      <c r="AR894" s="1013">
        <v>0</v>
      </c>
      <c r="AS894" s="1013">
        <v>0</v>
      </c>
      <c r="AT894" s="1045">
        <f t="shared" si="193"/>
        <v>22031927</v>
      </c>
      <c r="AU894" s="1004"/>
      <c r="AV894" s="870"/>
      <c r="AW894" s="782" t="s">
        <v>5014</v>
      </c>
      <c r="AX894" s="782" t="s">
        <v>5015</v>
      </c>
      <c r="AY894" s="1007" t="s">
        <v>221</v>
      </c>
      <c r="AZ894" s="1007">
        <v>622</v>
      </c>
      <c r="BA894" s="347" t="str">
        <f t="shared" si="188"/>
        <v>Bag</v>
      </c>
      <c r="BB894" s="1008"/>
      <c r="BC894" s="1009"/>
      <c r="BD894" s="1009"/>
    </row>
    <row r="895" spans="1:56" s="1010" customFormat="1" ht="36.75" customHeight="1">
      <c r="A895" s="661">
        <f>SUBTOTAL(3,B$6:B895)</f>
        <v>890</v>
      </c>
      <c r="B895" s="661" t="s">
        <v>2609</v>
      </c>
      <c r="C895" s="662" t="s">
        <v>2610</v>
      </c>
      <c r="D895" s="1011">
        <v>43866</v>
      </c>
      <c r="E895" s="1011" t="s">
        <v>221</v>
      </c>
      <c r="F895" s="787" t="s">
        <v>533</v>
      </c>
      <c r="G895" s="996" t="s">
        <v>2608</v>
      </c>
      <c r="H895" s="1012">
        <v>9283000</v>
      </c>
      <c r="I895" s="1012">
        <v>4800000</v>
      </c>
      <c r="J895" s="1012">
        <v>464000</v>
      </c>
      <c r="K895" s="1012">
        <v>2286000</v>
      </c>
      <c r="L895" s="1013">
        <f t="shared" si="187"/>
        <v>16833000</v>
      </c>
      <c r="M895" s="1014">
        <v>22.9</v>
      </c>
      <c r="N895" s="1013">
        <f t="shared" si="189"/>
        <v>14825988</v>
      </c>
      <c r="O895" s="1015">
        <v>3</v>
      </c>
      <c r="P895" s="1013">
        <f t="shared" si="190"/>
        <v>1942269</v>
      </c>
      <c r="Q895" s="1016">
        <v>58.5</v>
      </c>
      <c r="R895" s="1013">
        <f t="shared" si="191"/>
        <v>1420284</v>
      </c>
      <c r="S895" s="1013">
        <f t="shared" si="192"/>
        <v>18188541</v>
      </c>
      <c r="T895" s="1017">
        <v>498077</v>
      </c>
      <c r="U895" s="785">
        <v>270000</v>
      </c>
      <c r="V895" s="785">
        <v>200000</v>
      </c>
      <c r="W895" s="1017">
        <v>500000</v>
      </c>
      <c r="X895" s="1017">
        <v>0</v>
      </c>
      <c r="Y895" s="1017">
        <v>400000</v>
      </c>
      <c r="Z895" s="1017">
        <v>310310</v>
      </c>
      <c r="AA895" s="1018"/>
      <c r="AB895" s="1013"/>
      <c r="AC895" s="1017">
        <v>0</v>
      </c>
      <c r="AD895" s="1017">
        <v>0</v>
      </c>
      <c r="AE895" s="1013">
        <v>0</v>
      </c>
      <c r="AF895" s="1019"/>
      <c r="AG895" s="1019">
        <f t="shared" si="184"/>
        <v>20366928</v>
      </c>
      <c r="AH895" s="1014">
        <v>32</v>
      </c>
      <c r="AI895" s="1014">
        <v>0</v>
      </c>
      <c r="AJ895" s="1014">
        <v>14</v>
      </c>
      <c r="AK895" s="1018">
        <v>0</v>
      </c>
      <c r="AL895" s="1020">
        <v>0</v>
      </c>
      <c r="AM895" s="1013">
        <f t="shared" si="182"/>
        <v>6263818</v>
      </c>
      <c r="AN895" s="1045">
        <f t="shared" si="186"/>
        <v>26630746</v>
      </c>
      <c r="AO895" s="1013">
        <v>1767465</v>
      </c>
      <c r="AP895" s="1013">
        <v>44100</v>
      </c>
      <c r="AQ895" s="1013">
        <v>35189</v>
      </c>
      <c r="AR895" s="1013">
        <v>0</v>
      </c>
      <c r="AS895" s="1013">
        <v>0</v>
      </c>
      <c r="AT895" s="1045">
        <f t="shared" si="193"/>
        <v>24783992</v>
      </c>
      <c r="AU895" s="1004"/>
      <c r="AV895" s="870"/>
      <c r="AW895" s="782" t="s">
        <v>5016</v>
      </c>
      <c r="AX895" s="782" t="s">
        <v>5017</v>
      </c>
      <c r="AY895" s="1007" t="s">
        <v>221</v>
      </c>
      <c r="AZ895" s="1007">
        <v>622</v>
      </c>
      <c r="BA895" s="347" t="str">
        <f t="shared" si="188"/>
        <v>Bag</v>
      </c>
      <c r="BB895" s="1008"/>
      <c r="BC895" s="1009"/>
      <c r="BD895" s="1009"/>
    </row>
    <row r="896" spans="1:56" s="1010" customFormat="1" ht="36.75" customHeight="1">
      <c r="A896" s="661">
        <f>SUBTOTAL(3,B$6:B896)</f>
        <v>891</v>
      </c>
      <c r="B896" s="661" t="s">
        <v>2611</v>
      </c>
      <c r="C896" s="662" t="s">
        <v>2612</v>
      </c>
      <c r="D896" s="1011">
        <v>43882</v>
      </c>
      <c r="E896" s="1011" t="s">
        <v>221</v>
      </c>
      <c r="F896" s="787" t="s">
        <v>533</v>
      </c>
      <c r="G896" s="996" t="s">
        <v>2605</v>
      </c>
      <c r="H896" s="1012">
        <v>8283000</v>
      </c>
      <c r="I896" s="1012">
        <v>1600000</v>
      </c>
      <c r="J896" s="1012">
        <v>414000</v>
      </c>
      <c r="K896" s="1012">
        <v>0</v>
      </c>
      <c r="L896" s="1013">
        <f t="shared" si="187"/>
        <v>10297000</v>
      </c>
      <c r="M896" s="1014">
        <v>22.7</v>
      </c>
      <c r="N896" s="1013">
        <f t="shared" si="189"/>
        <v>8990073</v>
      </c>
      <c r="O896" s="1015">
        <v>3</v>
      </c>
      <c r="P896" s="1013">
        <f t="shared" si="190"/>
        <v>1188115</v>
      </c>
      <c r="Q896" s="1016">
        <v>6.5</v>
      </c>
      <c r="R896" s="1013">
        <f t="shared" si="191"/>
        <v>96534</v>
      </c>
      <c r="S896" s="1013">
        <f t="shared" si="192"/>
        <v>10274722</v>
      </c>
      <c r="T896" s="1017">
        <v>0</v>
      </c>
      <c r="U896" s="785">
        <v>30000</v>
      </c>
      <c r="V896" s="785">
        <v>200000</v>
      </c>
      <c r="W896" s="1017">
        <v>500000</v>
      </c>
      <c r="X896" s="1017">
        <v>0</v>
      </c>
      <c r="Y896" s="1017">
        <v>400000</v>
      </c>
      <c r="Z896" s="1017">
        <v>158965</v>
      </c>
      <c r="AA896" s="1018"/>
      <c r="AB896" s="1013"/>
      <c r="AC896" s="1017">
        <v>0</v>
      </c>
      <c r="AD896" s="1017">
        <v>0</v>
      </c>
      <c r="AE896" s="1013">
        <v>0</v>
      </c>
      <c r="AF896" s="1019"/>
      <c r="AG896" s="1019">
        <f t="shared" si="184"/>
        <v>11563687</v>
      </c>
      <c r="AH896" s="1014">
        <v>56</v>
      </c>
      <c r="AI896" s="1014">
        <v>0</v>
      </c>
      <c r="AJ896" s="1014">
        <v>0</v>
      </c>
      <c r="AK896" s="1018">
        <v>0</v>
      </c>
      <c r="AL896" s="1020">
        <v>0</v>
      </c>
      <c r="AM896" s="1013">
        <f t="shared" si="182"/>
        <v>4158404</v>
      </c>
      <c r="AN896" s="1045">
        <f t="shared" si="186"/>
        <v>15722091</v>
      </c>
      <c r="AO896" s="1013">
        <v>1081185</v>
      </c>
      <c r="AP896" s="1013">
        <v>44100</v>
      </c>
      <c r="AQ896" s="1013">
        <v>0</v>
      </c>
      <c r="AR896" s="1013">
        <v>0</v>
      </c>
      <c r="AS896" s="1013">
        <v>0</v>
      </c>
      <c r="AT896" s="1045">
        <f t="shared" si="193"/>
        <v>14596806</v>
      </c>
      <c r="AU896" s="1004"/>
      <c r="AV896" s="870"/>
      <c r="AW896" s="782" t="s">
        <v>5018</v>
      </c>
      <c r="AX896" s="782" t="s">
        <v>5019</v>
      </c>
      <c r="AY896" s="1007" t="s">
        <v>221</v>
      </c>
      <c r="AZ896" s="1007">
        <v>622</v>
      </c>
      <c r="BA896" s="347" t="str">
        <f t="shared" si="188"/>
        <v>Bag</v>
      </c>
      <c r="BB896" s="1008"/>
      <c r="BC896" s="1009"/>
      <c r="BD896" s="1009"/>
    </row>
    <row r="897" spans="1:56" s="1010" customFormat="1" ht="36.75" customHeight="1">
      <c r="A897" s="661">
        <f>SUBTOTAL(3,B$6:B897)</f>
        <v>892</v>
      </c>
      <c r="B897" s="661" t="s">
        <v>2613</v>
      </c>
      <c r="C897" s="662" t="s">
        <v>2614</v>
      </c>
      <c r="D897" s="1011">
        <v>43983</v>
      </c>
      <c r="E897" s="1011" t="s">
        <v>221</v>
      </c>
      <c r="F897" s="787" t="s">
        <v>533</v>
      </c>
      <c r="G897" s="996" t="s">
        <v>2602</v>
      </c>
      <c r="H897" s="1012">
        <v>9283000</v>
      </c>
      <c r="I897" s="1012">
        <v>3000000</v>
      </c>
      <c r="J897" s="1012">
        <v>464000</v>
      </c>
      <c r="K897" s="1012">
        <v>161000</v>
      </c>
      <c r="L897" s="1013">
        <f t="shared" si="187"/>
        <v>12908000</v>
      </c>
      <c r="M897" s="1014">
        <v>19.8</v>
      </c>
      <c r="N897" s="1013">
        <f t="shared" si="189"/>
        <v>9829938</v>
      </c>
      <c r="O897" s="1015">
        <v>6</v>
      </c>
      <c r="P897" s="1013">
        <f t="shared" si="190"/>
        <v>2978769</v>
      </c>
      <c r="Q897" s="1016">
        <v>26</v>
      </c>
      <c r="R897" s="1013">
        <f t="shared" si="191"/>
        <v>484050</v>
      </c>
      <c r="S897" s="1013">
        <f t="shared" si="192"/>
        <v>13292757</v>
      </c>
      <c r="T897" s="1017">
        <v>0</v>
      </c>
      <c r="U897" s="785">
        <v>120000</v>
      </c>
      <c r="V897" s="785">
        <v>200000</v>
      </c>
      <c r="W897" s="1017">
        <v>500000</v>
      </c>
      <c r="X897" s="1017">
        <v>0</v>
      </c>
      <c r="Y897" s="1017">
        <v>150000</v>
      </c>
      <c r="Z897" s="1017">
        <v>26257</v>
      </c>
      <c r="AA897" s="1018"/>
      <c r="AB897" s="1013"/>
      <c r="AC897" s="1017">
        <v>0</v>
      </c>
      <c r="AD897" s="1017">
        <v>0</v>
      </c>
      <c r="AE897" s="1013">
        <v>0</v>
      </c>
      <c r="AF897" s="1019"/>
      <c r="AG897" s="1019">
        <f t="shared" si="184"/>
        <v>14289014</v>
      </c>
      <c r="AH897" s="1014">
        <v>24</v>
      </c>
      <c r="AI897" s="1014">
        <v>8</v>
      </c>
      <c r="AJ897" s="1014">
        <v>2</v>
      </c>
      <c r="AK897" s="1018">
        <v>0</v>
      </c>
      <c r="AL897" s="1020">
        <v>0</v>
      </c>
      <c r="AM897" s="1013">
        <f t="shared" si="182"/>
        <v>3487642</v>
      </c>
      <c r="AN897" s="1045">
        <f t="shared" si="186"/>
        <v>17776656</v>
      </c>
      <c r="AO897" s="1013">
        <v>1355340</v>
      </c>
      <c r="AP897" s="1013">
        <v>44100</v>
      </c>
      <c r="AQ897" s="1013">
        <v>182979</v>
      </c>
      <c r="AR897" s="1013">
        <v>0</v>
      </c>
      <c r="AS897" s="1013">
        <v>0</v>
      </c>
      <c r="AT897" s="1045">
        <f t="shared" si="193"/>
        <v>16194237</v>
      </c>
      <c r="AU897" s="1004"/>
      <c r="AV897" s="870"/>
      <c r="AW897" s="782" t="s">
        <v>5020</v>
      </c>
      <c r="AX897" s="782" t="s">
        <v>5021</v>
      </c>
      <c r="AY897" s="1007" t="s">
        <v>221</v>
      </c>
      <c r="AZ897" s="1007">
        <v>622</v>
      </c>
      <c r="BA897" s="347" t="str">
        <f t="shared" si="188"/>
        <v>Bag</v>
      </c>
      <c r="BB897" s="1008"/>
      <c r="BC897" s="1009"/>
      <c r="BD897" s="1009"/>
    </row>
    <row r="898" spans="1:56" s="1010" customFormat="1" ht="36.75" customHeight="1">
      <c r="A898" s="661">
        <f>SUBTOTAL(3,B$6:B898)</f>
        <v>893</v>
      </c>
      <c r="B898" s="661" t="s">
        <v>2615</v>
      </c>
      <c r="C898" s="662" t="s">
        <v>2616</v>
      </c>
      <c r="D898" s="1011">
        <v>44258</v>
      </c>
      <c r="E898" s="1011" t="s">
        <v>221</v>
      </c>
      <c r="F898" s="787" t="s">
        <v>533</v>
      </c>
      <c r="G898" s="996" t="s">
        <v>2602</v>
      </c>
      <c r="H898" s="1012">
        <v>9283000</v>
      </c>
      <c r="I898" s="1012">
        <v>2500000</v>
      </c>
      <c r="J898" s="1012">
        <v>464000</v>
      </c>
      <c r="K898" s="1012">
        <v>153000</v>
      </c>
      <c r="L898" s="1013">
        <f t="shared" si="187"/>
        <v>12400000</v>
      </c>
      <c r="M898" s="1014">
        <v>24</v>
      </c>
      <c r="N898" s="1013">
        <f t="shared" si="189"/>
        <v>11446154</v>
      </c>
      <c r="O898" s="1015">
        <v>2</v>
      </c>
      <c r="P898" s="1013">
        <f t="shared" si="190"/>
        <v>953846</v>
      </c>
      <c r="Q898" s="1016">
        <v>32.5</v>
      </c>
      <c r="R898" s="1013">
        <f t="shared" si="191"/>
        <v>581250</v>
      </c>
      <c r="S898" s="1013">
        <f t="shared" si="192"/>
        <v>12981250</v>
      </c>
      <c r="T898" s="1017">
        <v>0</v>
      </c>
      <c r="U898" s="785">
        <v>150000</v>
      </c>
      <c r="V898" s="785">
        <v>200000</v>
      </c>
      <c r="W898" s="1017">
        <v>500000</v>
      </c>
      <c r="X898" s="1017">
        <v>0</v>
      </c>
      <c r="Y898" s="1017">
        <v>400000</v>
      </c>
      <c r="Z898" s="1017">
        <v>179796</v>
      </c>
      <c r="AA898" s="1018"/>
      <c r="AB898" s="1013"/>
      <c r="AC898" s="1017">
        <v>100000</v>
      </c>
      <c r="AD898" s="1017">
        <v>0</v>
      </c>
      <c r="AE898" s="1013">
        <v>0</v>
      </c>
      <c r="AF898" s="1019"/>
      <c r="AG898" s="1019">
        <f t="shared" si="184"/>
        <v>14511046</v>
      </c>
      <c r="AH898" s="1014">
        <v>44</v>
      </c>
      <c r="AI898" s="1014">
        <v>8</v>
      </c>
      <c r="AJ898" s="1014">
        <v>6</v>
      </c>
      <c r="AK898" s="1018">
        <v>0</v>
      </c>
      <c r="AL898" s="1020">
        <v>0</v>
      </c>
      <c r="AM898" s="1013">
        <f t="shared" si="182"/>
        <v>5639615</v>
      </c>
      <c r="AN898" s="1045">
        <f t="shared" si="186"/>
        <v>20150661</v>
      </c>
      <c r="AO898" s="1013">
        <v>1302000</v>
      </c>
      <c r="AP898" s="1013">
        <v>44100</v>
      </c>
      <c r="AQ898" s="1013">
        <v>39274</v>
      </c>
      <c r="AR898" s="1013">
        <v>0</v>
      </c>
      <c r="AS898" s="1013">
        <v>0</v>
      </c>
      <c r="AT898" s="1045">
        <f t="shared" si="193"/>
        <v>18765287</v>
      </c>
      <c r="AU898" s="1004"/>
      <c r="AV898" s="870"/>
      <c r="AW898" s="782" t="s">
        <v>5022</v>
      </c>
      <c r="AX898" s="782" t="s">
        <v>5023</v>
      </c>
      <c r="AY898" s="1007" t="s">
        <v>221</v>
      </c>
      <c r="AZ898" s="1007">
        <v>622</v>
      </c>
      <c r="BA898" s="347" t="str">
        <f t="shared" si="188"/>
        <v>Bag</v>
      </c>
      <c r="BB898" s="1008"/>
      <c r="BC898" s="1009"/>
      <c r="BD898" s="1009"/>
    </row>
    <row r="899" spans="1:56" s="1010" customFormat="1" ht="36.75" customHeight="1">
      <c r="A899" s="661">
        <f>SUBTOTAL(3,B$6:B899)</f>
        <v>894</v>
      </c>
      <c r="B899" s="661" t="s">
        <v>2617</v>
      </c>
      <c r="C899" s="662" t="s">
        <v>2618</v>
      </c>
      <c r="D899" s="1011">
        <v>44260</v>
      </c>
      <c r="E899" s="1011" t="s">
        <v>221</v>
      </c>
      <c r="F899" s="787" t="s">
        <v>533</v>
      </c>
      <c r="G899" s="996" t="s">
        <v>2605</v>
      </c>
      <c r="H899" s="1012">
        <v>8283000</v>
      </c>
      <c r="I899" s="1012">
        <v>2200000</v>
      </c>
      <c r="J899" s="1012">
        <v>414000</v>
      </c>
      <c r="K899" s="1012">
        <v>153000</v>
      </c>
      <c r="L899" s="1013">
        <f t="shared" si="187"/>
        <v>11050000</v>
      </c>
      <c r="M899" s="1014">
        <v>24</v>
      </c>
      <c r="N899" s="1013">
        <f t="shared" si="189"/>
        <v>10200000</v>
      </c>
      <c r="O899" s="1015">
        <v>2</v>
      </c>
      <c r="P899" s="1013">
        <f t="shared" si="190"/>
        <v>850000</v>
      </c>
      <c r="Q899" s="1016">
        <v>32.5</v>
      </c>
      <c r="R899" s="1013">
        <f t="shared" si="191"/>
        <v>517969</v>
      </c>
      <c r="S899" s="1013">
        <f t="shared" si="192"/>
        <v>11567969</v>
      </c>
      <c r="T899" s="1017">
        <v>0</v>
      </c>
      <c r="U899" s="785">
        <v>150000</v>
      </c>
      <c r="V899" s="785">
        <v>200000</v>
      </c>
      <c r="W899" s="1017">
        <v>500000</v>
      </c>
      <c r="X899" s="1017">
        <v>0</v>
      </c>
      <c r="Y899" s="1017">
        <v>400000</v>
      </c>
      <c r="Z899" s="1017">
        <v>314859</v>
      </c>
      <c r="AA899" s="1018"/>
      <c r="AB899" s="1013"/>
      <c r="AC899" s="1017">
        <v>0</v>
      </c>
      <c r="AD899" s="1017">
        <v>0</v>
      </c>
      <c r="AE899" s="1013">
        <v>0</v>
      </c>
      <c r="AF899" s="1019"/>
      <c r="AG899" s="1019">
        <f t="shared" si="184"/>
        <v>13132828</v>
      </c>
      <c r="AH899" s="1014">
        <v>45</v>
      </c>
      <c r="AI899" s="1014">
        <v>0</v>
      </c>
      <c r="AJ899" s="1014">
        <v>8</v>
      </c>
      <c r="AK899" s="1018">
        <v>0</v>
      </c>
      <c r="AL899" s="1020">
        <v>0</v>
      </c>
      <c r="AM899" s="1013">
        <f t="shared" si="182"/>
        <v>4478438</v>
      </c>
      <c r="AN899" s="1045">
        <f t="shared" si="186"/>
        <v>17611266</v>
      </c>
      <c r="AO899" s="1013">
        <v>1160250</v>
      </c>
      <c r="AP899" s="1013">
        <v>44100</v>
      </c>
      <c r="AQ899" s="1013">
        <v>168512</v>
      </c>
      <c r="AR899" s="1013">
        <v>0</v>
      </c>
      <c r="AS899" s="1013">
        <v>0</v>
      </c>
      <c r="AT899" s="1045">
        <f t="shared" si="193"/>
        <v>16238404</v>
      </c>
      <c r="AU899" s="1004"/>
      <c r="AV899" s="870"/>
      <c r="AW899" s="782" t="s">
        <v>5024</v>
      </c>
      <c r="AX899" s="782" t="s">
        <v>5025</v>
      </c>
      <c r="AY899" s="1007" t="s">
        <v>221</v>
      </c>
      <c r="AZ899" s="1007">
        <v>622</v>
      </c>
      <c r="BA899" s="347" t="str">
        <f t="shared" si="188"/>
        <v>Bag</v>
      </c>
      <c r="BB899" s="1008"/>
      <c r="BC899" s="1009"/>
      <c r="BD899" s="1009"/>
    </row>
    <row r="900" spans="1:56" s="1010" customFormat="1" ht="36.75" customHeight="1">
      <c r="A900" s="661">
        <f>SUBTOTAL(3,B$6:B900)</f>
        <v>895</v>
      </c>
      <c r="B900" s="661" t="s">
        <v>2619</v>
      </c>
      <c r="C900" s="662" t="s">
        <v>2620</v>
      </c>
      <c r="D900" s="1011">
        <v>44313</v>
      </c>
      <c r="E900" s="1011" t="s">
        <v>221</v>
      </c>
      <c r="F900" s="787" t="s">
        <v>533</v>
      </c>
      <c r="G900" s="996" t="s">
        <v>2602</v>
      </c>
      <c r="H900" s="1012">
        <v>7783000</v>
      </c>
      <c r="I900" s="1012">
        <v>1500000</v>
      </c>
      <c r="J900" s="1012">
        <v>389000</v>
      </c>
      <c r="K900" s="1012">
        <v>1428000</v>
      </c>
      <c r="L900" s="1013">
        <f t="shared" si="187"/>
        <v>11100000</v>
      </c>
      <c r="M900" s="1014">
        <v>24</v>
      </c>
      <c r="N900" s="1013">
        <f t="shared" si="189"/>
        <v>10246154</v>
      </c>
      <c r="O900" s="1015">
        <v>2</v>
      </c>
      <c r="P900" s="1013">
        <f t="shared" si="190"/>
        <v>853846</v>
      </c>
      <c r="Q900" s="1016">
        <v>32.5</v>
      </c>
      <c r="R900" s="1013">
        <f t="shared" si="191"/>
        <v>520313</v>
      </c>
      <c r="S900" s="1013">
        <f t="shared" si="192"/>
        <v>11620313</v>
      </c>
      <c r="T900" s="1017">
        <v>0</v>
      </c>
      <c r="U900" s="785">
        <v>150000</v>
      </c>
      <c r="V900" s="785">
        <v>200000</v>
      </c>
      <c r="W900" s="1017">
        <v>500000</v>
      </c>
      <c r="X900" s="1017">
        <v>0</v>
      </c>
      <c r="Y900" s="1017">
        <v>400000</v>
      </c>
      <c r="Z900" s="1017">
        <v>180337</v>
      </c>
      <c r="AA900" s="1018"/>
      <c r="AB900" s="1013"/>
      <c r="AC900" s="1017">
        <v>100000</v>
      </c>
      <c r="AD900" s="1017">
        <v>0</v>
      </c>
      <c r="AE900" s="1013">
        <v>0</v>
      </c>
      <c r="AF900" s="1019"/>
      <c r="AG900" s="1019">
        <f t="shared" si="184"/>
        <v>13150650</v>
      </c>
      <c r="AH900" s="1014">
        <v>46</v>
      </c>
      <c r="AI900" s="1014">
        <v>8</v>
      </c>
      <c r="AJ900" s="1014">
        <v>8</v>
      </c>
      <c r="AK900" s="1018">
        <v>0</v>
      </c>
      <c r="AL900" s="1020">
        <v>0</v>
      </c>
      <c r="AM900" s="1013">
        <f t="shared" si="182"/>
        <v>5432596</v>
      </c>
      <c r="AN900" s="1045">
        <f t="shared" si="186"/>
        <v>18583246</v>
      </c>
      <c r="AO900" s="1013">
        <v>1165500</v>
      </c>
      <c r="AP900" s="1013">
        <v>44100</v>
      </c>
      <c r="AQ900" s="1013">
        <v>0</v>
      </c>
      <c r="AR900" s="1013">
        <v>0</v>
      </c>
      <c r="AS900" s="1013">
        <v>0</v>
      </c>
      <c r="AT900" s="1045">
        <f t="shared" si="193"/>
        <v>17373646</v>
      </c>
      <c r="AU900" s="1004"/>
      <c r="AV900" s="870"/>
      <c r="AW900" s="782" t="s">
        <v>5026</v>
      </c>
      <c r="AX900" s="782" t="s">
        <v>5027</v>
      </c>
      <c r="AY900" s="1007" t="s">
        <v>221</v>
      </c>
      <c r="AZ900" s="1007">
        <v>622</v>
      </c>
      <c r="BA900" s="347" t="str">
        <f t="shared" si="188"/>
        <v>Bag</v>
      </c>
      <c r="BB900" s="1008"/>
      <c r="BC900" s="1009"/>
      <c r="BD900" s="1009"/>
    </row>
    <row r="901" spans="1:56" s="1010" customFormat="1" ht="36.75" customHeight="1">
      <c r="A901" s="661">
        <f>SUBTOTAL(3,B$6:B901)</f>
        <v>896</v>
      </c>
      <c r="B901" s="661" t="s">
        <v>2621</v>
      </c>
      <c r="C901" s="662" t="s">
        <v>2622</v>
      </c>
      <c r="D901" s="1011">
        <v>44348</v>
      </c>
      <c r="E901" s="1011" t="s">
        <v>221</v>
      </c>
      <c r="F901" s="787" t="s">
        <v>533</v>
      </c>
      <c r="G901" s="996" t="s">
        <v>2605</v>
      </c>
      <c r="H901" s="1012">
        <v>7783000</v>
      </c>
      <c r="I901" s="1012">
        <v>1900000</v>
      </c>
      <c r="J901" s="1012">
        <v>389000</v>
      </c>
      <c r="K901" s="1012">
        <v>1328000</v>
      </c>
      <c r="L901" s="1013">
        <f t="shared" si="187"/>
        <v>11400000</v>
      </c>
      <c r="M901" s="1014">
        <v>18.899999999999999</v>
      </c>
      <c r="N901" s="1013">
        <f t="shared" si="189"/>
        <v>8286923</v>
      </c>
      <c r="O901" s="1015">
        <v>2</v>
      </c>
      <c r="P901" s="1013">
        <f t="shared" si="190"/>
        <v>876923</v>
      </c>
      <c r="Q901" s="1016">
        <v>32.5</v>
      </c>
      <c r="R901" s="1013">
        <f t="shared" si="191"/>
        <v>534375</v>
      </c>
      <c r="S901" s="1013">
        <f t="shared" si="192"/>
        <v>9698221</v>
      </c>
      <c r="T901" s="1017">
        <v>0</v>
      </c>
      <c r="U901" s="785">
        <v>150000</v>
      </c>
      <c r="V901" s="785">
        <v>200000</v>
      </c>
      <c r="W901" s="1017">
        <v>0</v>
      </c>
      <c r="X901" s="1017">
        <v>0</v>
      </c>
      <c r="Y901" s="1017">
        <v>0</v>
      </c>
      <c r="Z901" s="1017">
        <v>35390</v>
      </c>
      <c r="AA901" s="1018"/>
      <c r="AB901" s="1013"/>
      <c r="AC901" s="1017">
        <v>0</v>
      </c>
      <c r="AD901" s="1017">
        <v>0</v>
      </c>
      <c r="AE901" s="1013">
        <v>0</v>
      </c>
      <c r="AF901" s="1019"/>
      <c r="AG901" s="1019">
        <f t="shared" si="184"/>
        <v>10083611</v>
      </c>
      <c r="AH901" s="1014">
        <v>32</v>
      </c>
      <c r="AI901" s="1014">
        <v>0</v>
      </c>
      <c r="AJ901" s="1014">
        <v>6</v>
      </c>
      <c r="AK901" s="1018">
        <v>0</v>
      </c>
      <c r="AL901" s="1020">
        <v>0</v>
      </c>
      <c r="AM901" s="1013">
        <f t="shared" si="182"/>
        <v>3321346</v>
      </c>
      <c r="AN901" s="1045">
        <f t="shared" si="186"/>
        <v>13404957</v>
      </c>
      <c r="AO901" s="1013">
        <v>1197000</v>
      </c>
      <c r="AP901" s="1013">
        <v>44100</v>
      </c>
      <c r="AQ901" s="1013">
        <v>0</v>
      </c>
      <c r="AR901" s="1013">
        <v>0</v>
      </c>
      <c r="AS901" s="1013">
        <v>0</v>
      </c>
      <c r="AT901" s="1045">
        <f t="shared" si="193"/>
        <v>12163857</v>
      </c>
      <c r="AU901" s="1004"/>
      <c r="AV901" s="870"/>
      <c r="AW901" s="782" t="s">
        <v>5028</v>
      </c>
      <c r="AX901" s="782" t="s">
        <v>5029</v>
      </c>
      <c r="AY901" s="1007" t="s">
        <v>221</v>
      </c>
      <c r="AZ901" s="1007">
        <v>622</v>
      </c>
      <c r="BA901" s="347" t="str">
        <f t="shared" si="188"/>
        <v>Bag</v>
      </c>
      <c r="BB901" s="1008"/>
      <c r="BC901" s="1009"/>
      <c r="BD901" s="1009"/>
    </row>
    <row r="902" spans="1:56" s="1010" customFormat="1" ht="36.75" customHeight="1">
      <c r="A902" s="661">
        <f>SUBTOTAL(3,B$6:B902)</f>
        <v>897</v>
      </c>
      <c r="B902" s="661" t="s">
        <v>2623</v>
      </c>
      <c r="C902" s="662" t="s">
        <v>2624</v>
      </c>
      <c r="D902" s="1011">
        <v>44606</v>
      </c>
      <c r="E902" s="1011" t="s">
        <v>221</v>
      </c>
      <c r="F902" s="787" t="s">
        <v>533</v>
      </c>
      <c r="G902" s="996" t="s">
        <v>2602</v>
      </c>
      <c r="H902" s="1012">
        <v>7783000</v>
      </c>
      <c r="I902" s="1012">
        <v>2500000</v>
      </c>
      <c r="J902" s="1012">
        <v>389000</v>
      </c>
      <c r="K902" s="1012">
        <v>2364000</v>
      </c>
      <c r="L902" s="1013">
        <f t="shared" si="187"/>
        <v>13036000</v>
      </c>
      <c r="M902" s="1014">
        <v>23</v>
      </c>
      <c r="N902" s="1013">
        <f t="shared" si="189"/>
        <v>11531846</v>
      </c>
      <c r="O902" s="1015">
        <v>3</v>
      </c>
      <c r="P902" s="1013">
        <f t="shared" si="190"/>
        <v>1504154</v>
      </c>
      <c r="Q902" s="1016">
        <v>32.5</v>
      </c>
      <c r="R902" s="1013">
        <f t="shared" si="191"/>
        <v>611062</v>
      </c>
      <c r="S902" s="1013">
        <f t="shared" si="192"/>
        <v>13647062</v>
      </c>
      <c r="T902" s="1017">
        <v>0</v>
      </c>
      <c r="U902" s="785">
        <v>150000</v>
      </c>
      <c r="V902" s="785">
        <v>200000</v>
      </c>
      <c r="W902" s="1017">
        <v>500000</v>
      </c>
      <c r="X902" s="1017">
        <v>0</v>
      </c>
      <c r="Y902" s="1017">
        <v>400000</v>
      </c>
      <c r="Z902" s="1017">
        <v>245715</v>
      </c>
      <c r="AA902" s="1018"/>
      <c r="AB902" s="1013"/>
      <c r="AC902" s="1017">
        <v>0</v>
      </c>
      <c r="AD902" s="1017">
        <v>0</v>
      </c>
      <c r="AE902" s="1013">
        <v>0</v>
      </c>
      <c r="AF902" s="1019"/>
      <c r="AG902" s="1019">
        <f t="shared" si="184"/>
        <v>15142777</v>
      </c>
      <c r="AH902" s="1014">
        <v>40</v>
      </c>
      <c r="AI902" s="1014">
        <v>0</v>
      </c>
      <c r="AJ902" s="1014">
        <v>6</v>
      </c>
      <c r="AK902" s="1018">
        <v>0</v>
      </c>
      <c r="AL902" s="1020">
        <v>0</v>
      </c>
      <c r="AM902" s="1013">
        <f t="shared" si="182"/>
        <v>4550065</v>
      </c>
      <c r="AN902" s="1045">
        <f t="shared" si="186"/>
        <v>19692842</v>
      </c>
      <c r="AO902" s="1013">
        <v>1368780</v>
      </c>
      <c r="AP902" s="1013">
        <v>44100</v>
      </c>
      <c r="AQ902" s="1013">
        <v>264590</v>
      </c>
      <c r="AR902" s="1013">
        <v>0</v>
      </c>
      <c r="AS902" s="1013">
        <v>0</v>
      </c>
      <c r="AT902" s="1045">
        <f t="shared" si="193"/>
        <v>18015372</v>
      </c>
      <c r="AU902" s="1004"/>
      <c r="AV902" s="870"/>
      <c r="AW902" s="782" t="s">
        <v>5030</v>
      </c>
      <c r="AX902" s="782" t="s">
        <v>5031</v>
      </c>
      <c r="AY902" s="1007" t="s">
        <v>221</v>
      </c>
      <c r="AZ902" s="1007">
        <v>622</v>
      </c>
      <c r="BA902" s="347" t="str">
        <f t="shared" si="188"/>
        <v>Bag</v>
      </c>
      <c r="BB902" s="1008"/>
      <c r="BC902" s="1009"/>
      <c r="BD902" s="1009"/>
    </row>
    <row r="903" spans="1:56" s="1010" customFormat="1" ht="36.75" customHeight="1">
      <c r="A903" s="661">
        <f>SUBTOTAL(3,B$6:B903)</f>
        <v>898</v>
      </c>
      <c r="B903" s="661" t="s">
        <v>2625</v>
      </c>
      <c r="C903" s="662" t="s">
        <v>2626</v>
      </c>
      <c r="D903" s="1011">
        <v>44634</v>
      </c>
      <c r="E903" s="1011" t="s">
        <v>221</v>
      </c>
      <c r="F903" s="787" t="s">
        <v>533</v>
      </c>
      <c r="G903" s="996" t="s">
        <v>2605</v>
      </c>
      <c r="H903" s="1012">
        <v>7783000</v>
      </c>
      <c r="I903" s="1012">
        <v>1600000</v>
      </c>
      <c r="J903" s="1012">
        <v>389000</v>
      </c>
      <c r="K903" s="1012">
        <v>0</v>
      </c>
      <c r="L903" s="1013">
        <f t="shared" si="187"/>
        <v>9772000</v>
      </c>
      <c r="M903" s="1014">
        <v>24</v>
      </c>
      <c r="N903" s="1013">
        <f t="shared" si="189"/>
        <v>9020308</v>
      </c>
      <c r="O903" s="1015">
        <v>2</v>
      </c>
      <c r="P903" s="1013">
        <f t="shared" si="190"/>
        <v>751692</v>
      </c>
      <c r="Q903" s="1016">
        <v>32.5</v>
      </c>
      <c r="R903" s="1013">
        <f t="shared" si="191"/>
        <v>458063</v>
      </c>
      <c r="S903" s="1013">
        <f t="shared" si="192"/>
        <v>10230063</v>
      </c>
      <c r="T903" s="1017">
        <v>0</v>
      </c>
      <c r="U903" s="785">
        <v>150000</v>
      </c>
      <c r="V903" s="785">
        <v>200000</v>
      </c>
      <c r="W903" s="1017">
        <v>500000</v>
      </c>
      <c r="X903" s="1017">
        <v>0</v>
      </c>
      <c r="Y903" s="1017">
        <v>400000</v>
      </c>
      <c r="Z903" s="1017">
        <v>162224</v>
      </c>
      <c r="AA903" s="1018"/>
      <c r="AB903" s="1013"/>
      <c r="AC903" s="1017">
        <v>0</v>
      </c>
      <c r="AD903" s="1017">
        <v>0</v>
      </c>
      <c r="AE903" s="1013">
        <v>0</v>
      </c>
      <c r="AF903" s="1019"/>
      <c r="AG903" s="1019">
        <f t="shared" si="184"/>
        <v>11642287</v>
      </c>
      <c r="AH903" s="1014">
        <v>48</v>
      </c>
      <c r="AI903" s="1014">
        <v>8</v>
      </c>
      <c r="AJ903" s="1014">
        <v>7</v>
      </c>
      <c r="AK903" s="1018">
        <v>0</v>
      </c>
      <c r="AL903" s="1020">
        <v>0</v>
      </c>
      <c r="AM903" s="1013">
        <f t="shared" ref="AM903:AM966" si="194">ROUND((N903/IF(M903&gt;26,26,M903)/8*(AH903*$AH$5+AI903*$AI$5+AJ903*$AJ$5+AK903*$AK$5+AL903*$AL$5)),0)</f>
        <v>4824925</v>
      </c>
      <c r="AN903" s="1045">
        <f t="shared" si="186"/>
        <v>16467212</v>
      </c>
      <c r="AO903" s="1013">
        <v>1026060</v>
      </c>
      <c r="AP903" s="1013">
        <v>44100</v>
      </c>
      <c r="AQ903" s="1013">
        <v>0</v>
      </c>
      <c r="AR903" s="1013">
        <v>0</v>
      </c>
      <c r="AS903" s="1013">
        <v>0</v>
      </c>
      <c r="AT903" s="1045">
        <f t="shared" si="193"/>
        <v>15397052</v>
      </c>
      <c r="AU903" s="1004"/>
      <c r="AV903" s="870"/>
      <c r="AW903" s="782" t="s">
        <v>5032</v>
      </c>
      <c r="AX903" s="782" t="s">
        <v>5033</v>
      </c>
      <c r="AY903" s="1007" t="s">
        <v>221</v>
      </c>
      <c r="AZ903" s="1007">
        <v>622</v>
      </c>
      <c r="BA903" s="347" t="str">
        <f t="shared" si="188"/>
        <v>Bag</v>
      </c>
      <c r="BB903" s="1008"/>
      <c r="BC903" s="1009"/>
      <c r="BD903" s="1009"/>
    </row>
    <row r="904" spans="1:56" s="1010" customFormat="1" ht="36.75" customHeight="1">
      <c r="A904" s="661">
        <f>SUBTOTAL(3,B$6:B904)</f>
        <v>899</v>
      </c>
      <c r="B904" s="661" t="s">
        <v>2627</v>
      </c>
      <c r="C904" s="662" t="s">
        <v>2628</v>
      </c>
      <c r="D904" s="1011">
        <v>44992</v>
      </c>
      <c r="E904" s="1011" t="s">
        <v>221</v>
      </c>
      <c r="F904" s="787" t="s">
        <v>533</v>
      </c>
      <c r="G904" s="996" t="s">
        <v>2605</v>
      </c>
      <c r="H904" s="1012">
        <v>7778000</v>
      </c>
      <c r="I904" s="1012">
        <v>1600000</v>
      </c>
      <c r="J904" s="1012">
        <v>389000</v>
      </c>
      <c r="K904" s="1012">
        <v>0</v>
      </c>
      <c r="L904" s="1013">
        <f t="shared" si="187"/>
        <v>9767000</v>
      </c>
      <c r="M904" s="1014">
        <v>24</v>
      </c>
      <c r="N904" s="1013">
        <f t="shared" si="189"/>
        <v>9015692</v>
      </c>
      <c r="O904" s="1015">
        <v>2</v>
      </c>
      <c r="P904" s="1013">
        <f t="shared" si="190"/>
        <v>751308</v>
      </c>
      <c r="Q904" s="1016">
        <v>32.5</v>
      </c>
      <c r="R904" s="1013">
        <f t="shared" si="191"/>
        <v>457828</v>
      </c>
      <c r="S904" s="1013">
        <f t="shared" si="192"/>
        <v>10224828</v>
      </c>
      <c r="T904" s="1017">
        <v>0</v>
      </c>
      <c r="U904" s="785">
        <v>150000</v>
      </c>
      <c r="V904" s="785">
        <v>200000</v>
      </c>
      <c r="W904" s="1017">
        <v>500000</v>
      </c>
      <c r="X904" s="1017">
        <v>0</v>
      </c>
      <c r="Y904" s="1017">
        <v>400000</v>
      </c>
      <c r="Z904" s="1017">
        <v>147378</v>
      </c>
      <c r="AA904" s="1018"/>
      <c r="AB904" s="1013"/>
      <c r="AC904" s="1017">
        <v>0</v>
      </c>
      <c r="AD904" s="1017">
        <v>0</v>
      </c>
      <c r="AE904" s="1013">
        <v>0</v>
      </c>
      <c r="AF904" s="1019"/>
      <c r="AG904" s="1019">
        <f t="shared" si="184"/>
        <v>11622206</v>
      </c>
      <c r="AH904" s="1014">
        <v>44</v>
      </c>
      <c r="AI904" s="1014">
        <v>8</v>
      </c>
      <c r="AJ904" s="1014">
        <v>6</v>
      </c>
      <c r="AK904" s="1018">
        <v>0</v>
      </c>
      <c r="AL904" s="1020">
        <v>0</v>
      </c>
      <c r="AM904" s="1013">
        <f t="shared" si="194"/>
        <v>4442107</v>
      </c>
      <c r="AN904" s="1045">
        <f t="shared" si="186"/>
        <v>16064313</v>
      </c>
      <c r="AO904" s="1013">
        <v>1025535</v>
      </c>
      <c r="AP904" s="1013">
        <v>44100</v>
      </c>
      <c r="AQ904" s="1013">
        <v>98117</v>
      </c>
      <c r="AR904" s="1013">
        <v>0</v>
      </c>
      <c r="AS904" s="1013">
        <v>0</v>
      </c>
      <c r="AT904" s="1045">
        <f t="shared" si="193"/>
        <v>14896561</v>
      </c>
      <c r="AU904" s="1004"/>
      <c r="AV904" s="870"/>
      <c r="AW904" s="782" t="s">
        <v>5034</v>
      </c>
      <c r="AX904" s="782" t="s">
        <v>5035</v>
      </c>
      <c r="AY904" s="1007" t="s">
        <v>221</v>
      </c>
      <c r="AZ904" s="1007">
        <v>622</v>
      </c>
      <c r="BA904" s="347" t="str">
        <f t="shared" si="188"/>
        <v>Bag</v>
      </c>
      <c r="BB904" s="1008"/>
      <c r="BC904" s="1009"/>
      <c r="BD904" s="1009"/>
    </row>
    <row r="905" spans="1:56" s="1010" customFormat="1" ht="36.75" customHeight="1">
      <c r="A905" s="661">
        <f>SUBTOTAL(3,B$6:B905)</f>
        <v>900</v>
      </c>
      <c r="B905" s="661" t="s">
        <v>2629</v>
      </c>
      <c r="C905" s="662" t="s">
        <v>2630</v>
      </c>
      <c r="D905" s="1011">
        <v>45008</v>
      </c>
      <c r="E905" s="1011" t="s">
        <v>221</v>
      </c>
      <c r="F905" s="787" t="s">
        <v>533</v>
      </c>
      <c r="G905" s="996" t="s">
        <v>2602</v>
      </c>
      <c r="H905" s="1012">
        <v>9283000</v>
      </c>
      <c r="I905" s="1012">
        <v>3500000</v>
      </c>
      <c r="J905" s="1012">
        <v>464000</v>
      </c>
      <c r="K905" s="1012">
        <v>0</v>
      </c>
      <c r="L905" s="1013">
        <f t="shared" si="187"/>
        <v>13247000</v>
      </c>
      <c r="M905" s="1014">
        <v>17</v>
      </c>
      <c r="N905" s="1013">
        <f t="shared" si="189"/>
        <v>8661500</v>
      </c>
      <c r="O905" s="1015">
        <v>2</v>
      </c>
      <c r="P905" s="1013">
        <f t="shared" si="190"/>
        <v>1019000</v>
      </c>
      <c r="Q905" s="1016">
        <v>0</v>
      </c>
      <c r="R905" s="1013">
        <f t="shared" si="191"/>
        <v>0</v>
      </c>
      <c r="S905" s="1013">
        <f t="shared" si="192"/>
        <v>9680500</v>
      </c>
      <c r="T905" s="1017">
        <v>0</v>
      </c>
      <c r="U905" s="785">
        <v>0</v>
      </c>
      <c r="V905" s="785">
        <v>200000</v>
      </c>
      <c r="W905" s="1017">
        <v>0</v>
      </c>
      <c r="X905" s="1017">
        <v>0</v>
      </c>
      <c r="Y905" s="1017">
        <v>0</v>
      </c>
      <c r="Z905" s="1017">
        <v>102114</v>
      </c>
      <c r="AA905" s="1018"/>
      <c r="AB905" s="1013"/>
      <c r="AC905" s="1017">
        <v>0</v>
      </c>
      <c r="AD905" s="1017">
        <v>0</v>
      </c>
      <c r="AE905" s="1013">
        <v>0</v>
      </c>
      <c r="AF905" s="1019"/>
      <c r="AG905" s="1019">
        <f t="shared" si="184"/>
        <v>9982614</v>
      </c>
      <c r="AH905" s="1014">
        <v>41</v>
      </c>
      <c r="AI905" s="1014">
        <v>0</v>
      </c>
      <c r="AJ905" s="1014">
        <v>0</v>
      </c>
      <c r="AK905" s="1018">
        <v>0</v>
      </c>
      <c r="AL905" s="1020">
        <v>0</v>
      </c>
      <c r="AM905" s="1013">
        <f t="shared" si="194"/>
        <v>3916781</v>
      </c>
      <c r="AN905" s="1045">
        <f t="shared" si="186"/>
        <v>13899395</v>
      </c>
      <c r="AO905" s="1013">
        <v>1390935</v>
      </c>
      <c r="AP905" s="1013">
        <v>44100</v>
      </c>
      <c r="AQ905" s="1013">
        <v>0</v>
      </c>
      <c r="AR905" s="1013">
        <v>0</v>
      </c>
      <c r="AS905" s="1013">
        <v>0</v>
      </c>
      <c r="AT905" s="1045">
        <f t="shared" si="193"/>
        <v>12464360</v>
      </c>
      <c r="AU905" s="1004"/>
      <c r="AV905" s="870"/>
      <c r="AW905" s="782" t="s">
        <v>5036</v>
      </c>
      <c r="AX905" s="782" t="s">
        <v>5037</v>
      </c>
      <c r="AY905" s="1007" t="s">
        <v>221</v>
      </c>
      <c r="AZ905" s="1007">
        <v>622</v>
      </c>
      <c r="BA905" s="347" t="str">
        <f t="shared" si="188"/>
        <v>Bag</v>
      </c>
      <c r="BB905" s="1008"/>
      <c r="BC905" s="1009"/>
      <c r="BD905" s="1009"/>
    </row>
    <row r="906" spans="1:56" s="1010" customFormat="1" ht="36.75" customHeight="1">
      <c r="A906" s="661">
        <f>SUBTOTAL(3,B$6:B906)</f>
        <v>901</v>
      </c>
      <c r="B906" s="661" t="s">
        <v>2631</v>
      </c>
      <c r="C906" s="662" t="s">
        <v>2632</v>
      </c>
      <c r="D906" s="1011">
        <v>45377</v>
      </c>
      <c r="E906" s="1011" t="s">
        <v>221</v>
      </c>
      <c r="F906" s="787" t="s">
        <v>533</v>
      </c>
      <c r="G906" s="996" t="s">
        <v>2608</v>
      </c>
      <c r="H906" s="1012">
        <v>9283000</v>
      </c>
      <c r="I906" s="1012">
        <v>4800000</v>
      </c>
      <c r="J906" s="1012">
        <v>464000</v>
      </c>
      <c r="K906" s="1012">
        <v>0</v>
      </c>
      <c r="L906" s="1013">
        <f t="shared" si="187"/>
        <v>14547000</v>
      </c>
      <c r="M906" s="1014">
        <v>23.9</v>
      </c>
      <c r="N906" s="1013">
        <f t="shared" si="189"/>
        <v>13372050</v>
      </c>
      <c r="O906" s="1015">
        <v>2</v>
      </c>
      <c r="P906" s="1013">
        <f t="shared" si="190"/>
        <v>1119000</v>
      </c>
      <c r="Q906" s="1016">
        <v>58.5</v>
      </c>
      <c r="R906" s="1013">
        <f t="shared" si="191"/>
        <v>1227403</v>
      </c>
      <c r="S906" s="1013">
        <f t="shared" si="192"/>
        <v>15718453</v>
      </c>
      <c r="T906" s="1017">
        <v>0</v>
      </c>
      <c r="U906" s="785">
        <v>270000</v>
      </c>
      <c r="V906" s="785">
        <v>200000</v>
      </c>
      <c r="W906" s="1017">
        <v>500000</v>
      </c>
      <c r="X906" s="1017">
        <v>0</v>
      </c>
      <c r="Y906" s="1017">
        <v>400000</v>
      </c>
      <c r="Z906" s="1017">
        <v>290075</v>
      </c>
      <c r="AA906" s="1018"/>
      <c r="AB906" s="1013"/>
      <c r="AC906" s="1017">
        <v>200000</v>
      </c>
      <c r="AD906" s="1017">
        <v>0</v>
      </c>
      <c r="AE906" s="1013">
        <v>0</v>
      </c>
      <c r="AF906" s="1019"/>
      <c r="AG906" s="1019">
        <f t="shared" si="184"/>
        <v>17578528</v>
      </c>
      <c r="AH906" s="1014">
        <v>33.5</v>
      </c>
      <c r="AI906" s="1014">
        <v>0</v>
      </c>
      <c r="AJ906" s="1014">
        <v>12</v>
      </c>
      <c r="AK906" s="1018">
        <v>0</v>
      </c>
      <c r="AL906" s="1020">
        <v>0</v>
      </c>
      <c r="AM906" s="1013">
        <f t="shared" si="194"/>
        <v>5276784</v>
      </c>
      <c r="AN906" s="1045">
        <f t="shared" si="186"/>
        <v>22855312</v>
      </c>
      <c r="AO906" s="1013">
        <v>1527435</v>
      </c>
      <c r="AP906" s="1013">
        <v>44100</v>
      </c>
      <c r="AQ906" s="1013">
        <v>0</v>
      </c>
      <c r="AR906" s="1013">
        <v>0</v>
      </c>
      <c r="AS906" s="1013">
        <v>0</v>
      </c>
      <c r="AT906" s="1045">
        <f t="shared" si="193"/>
        <v>21283777</v>
      </c>
      <c r="AU906" s="1004"/>
      <c r="AV906" s="870"/>
      <c r="AW906" s="782" t="s">
        <v>5038</v>
      </c>
      <c r="AX906" s="782" t="s">
        <v>5039</v>
      </c>
      <c r="AY906" s="1007" t="s">
        <v>221</v>
      </c>
      <c r="AZ906" s="1007">
        <v>622</v>
      </c>
      <c r="BA906" s="347" t="str">
        <f t="shared" si="188"/>
        <v>Bag</v>
      </c>
      <c r="BB906" s="1008"/>
      <c r="BC906" s="1009"/>
      <c r="BD906" s="1009"/>
    </row>
    <row r="907" spans="1:56" s="1010" customFormat="1" ht="36.75" customHeight="1">
      <c r="A907" s="661">
        <f>SUBTOTAL(3,B$6:B907)</f>
        <v>902</v>
      </c>
      <c r="B907" s="661" t="s">
        <v>2633</v>
      </c>
      <c r="C907" s="662" t="s">
        <v>2634</v>
      </c>
      <c r="D907" s="1011">
        <v>45444</v>
      </c>
      <c r="E907" s="1011" t="s">
        <v>221</v>
      </c>
      <c r="F907" s="787" t="s">
        <v>533</v>
      </c>
      <c r="G907" s="996" t="s">
        <v>2605</v>
      </c>
      <c r="H907" s="1012">
        <v>5740000</v>
      </c>
      <c r="I907" s="1012">
        <v>1000000</v>
      </c>
      <c r="J907" s="1012">
        <v>287000</v>
      </c>
      <c r="K907" s="1012">
        <v>0</v>
      </c>
      <c r="L907" s="1013">
        <f t="shared" si="187"/>
        <v>7027000</v>
      </c>
      <c r="M907" s="1014">
        <v>20.6</v>
      </c>
      <c r="N907" s="1013">
        <f t="shared" si="189"/>
        <v>5567546</v>
      </c>
      <c r="O907" s="1015">
        <v>3</v>
      </c>
      <c r="P907" s="1013">
        <f t="shared" si="190"/>
        <v>810808</v>
      </c>
      <c r="Q907" s="1016">
        <v>26</v>
      </c>
      <c r="R907" s="1013">
        <f t="shared" si="191"/>
        <v>263512</v>
      </c>
      <c r="S907" s="1013">
        <f t="shared" si="192"/>
        <v>6641866</v>
      </c>
      <c r="T907" s="1017">
        <v>0</v>
      </c>
      <c r="U907" s="785">
        <v>120000</v>
      </c>
      <c r="V907" s="785">
        <v>200000</v>
      </c>
      <c r="W907" s="1017">
        <v>0</v>
      </c>
      <c r="X907" s="1017">
        <v>0</v>
      </c>
      <c r="Y907" s="1017">
        <v>150000</v>
      </c>
      <c r="Z907" s="1017">
        <v>216261</v>
      </c>
      <c r="AA907" s="1018"/>
      <c r="AB907" s="1013"/>
      <c r="AC907" s="1017">
        <v>0</v>
      </c>
      <c r="AD907" s="1017">
        <v>0</v>
      </c>
      <c r="AE907" s="1013">
        <v>0</v>
      </c>
      <c r="AF907" s="1019"/>
      <c r="AG907" s="1019">
        <f t="shared" si="184"/>
        <v>7328127</v>
      </c>
      <c r="AH907" s="1014">
        <v>36</v>
      </c>
      <c r="AI907" s="1014">
        <v>0</v>
      </c>
      <c r="AJ907" s="1014">
        <v>6</v>
      </c>
      <c r="AK907" s="1018">
        <v>0</v>
      </c>
      <c r="AL907" s="1020">
        <v>0</v>
      </c>
      <c r="AM907" s="1013">
        <f t="shared" si="194"/>
        <v>2249991</v>
      </c>
      <c r="AN907" s="1045">
        <f t="shared" si="186"/>
        <v>9578118</v>
      </c>
      <c r="AO907" s="1013">
        <v>737835</v>
      </c>
      <c r="AP907" s="1013">
        <v>44100</v>
      </c>
      <c r="AQ907" s="1013">
        <v>0</v>
      </c>
      <c r="AR907" s="1013">
        <v>0</v>
      </c>
      <c r="AS907" s="1013">
        <v>0</v>
      </c>
      <c r="AT907" s="1045">
        <f t="shared" si="193"/>
        <v>8796183</v>
      </c>
      <c r="AU907" s="1004"/>
      <c r="AV907" s="870"/>
      <c r="AW907" s="782" t="s">
        <v>5040</v>
      </c>
      <c r="AX907" s="782" t="s">
        <v>5041</v>
      </c>
      <c r="AY907" s="1007" t="s">
        <v>221</v>
      </c>
      <c r="AZ907" s="1007">
        <v>622</v>
      </c>
      <c r="BA907" s="347" t="str">
        <f t="shared" si="188"/>
        <v>Bag</v>
      </c>
      <c r="BB907" s="1008"/>
      <c r="BC907" s="1009"/>
      <c r="BD907" s="1009"/>
    </row>
    <row r="908" spans="1:56" s="1010" customFormat="1" ht="36.75" customHeight="1">
      <c r="A908" s="661">
        <f>SUBTOTAL(3,B$6:B908)</f>
        <v>903</v>
      </c>
      <c r="B908" s="661" t="s">
        <v>2635</v>
      </c>
      <c r="C908" s="662" t="s">
        <v>2636</v>
      </c>
      <c r="D908" s="1011">
        <v>45502</v>
      </c>
      <c r="E908" s="1011" t="s">
        <v>221</v>
      </c>
      <c r="F908" s="787" t="s">
        <v>533</v>
      </c>
      <c r="G908" s="996" t="s">
        <v>1163</v>
      </c>
      <c r="H908" s="1012">
        <v>5274000</v>
      </c>
      <c r="I908" s="1012">
        <v>700000</v>
      </c>
      <c r="J908" s="1012">
        <v>265000</v>
      </c>
      <c r="K908" s="1012">
        <v>0</v>
      </c>
      <c r="L908" s="1013">
        <f t="shared" si="187"/>
        <v>6239000</v>
      </c>
      <c r="M908" s="1014">
        <v>24</v>
      </c>
      <c r="N908" s="1013">
        <f t="shared" si="189"/>
        <v>5759077</v>
      </c>
      <c r="O908" s="1015">
        <v>2</v>
      </c>
      <c r="P908" s="1013">
        <f t="shared" si="190"/>
        <v>479923</v>
      </c>
      <c r="Q908" s="1016">
        <v>0</v>
      </c>
      <c r="R908" s="1013">
        <f t="shared" si="191"/>
        <v>0</v>
      </c>
      <c r="S908" s="1013">
        <f t="shared" si="192"/>
        <v>6239000</v>
      </c>
      <c r="T908" s="1017">
        <v>0</v>
      </c>
      <c r="U908" s="785">
        <v>0</v>
      </c>
      <c r="V908" s="785">
        <v>200000</v>
      </c>
      <c r="W908" s="1017">
        <v>500000</v>
      </c>
      <c r="X908" s="1017">
        <v>0</v>
      </c>
      <c r="Y908" s="1017">
        <v>400000</v>
      </c>
      <c r="Z908" s="1017">
        <v>198764</v>
      </c>
      <c r="AA908" s="1018"/>
      <c r="AB908" s="1013"/>
      <c r="AC908" s="1017">
        <v>0</v>
      </c>
      <c r="AD908" s="1017">
        <v>0</v>
      </c>
      <c r="AE908" s="1013">
        <v>0</v>
      </c>
      <c r="AF908" s="1019"/>
      <c r="AG908" s="1019">
        <f t="shared" si="184"/>
        <v>7537764</v>
      </c>
      <c r="AH908" s="1014">
        <v>64</v>
      </c>
      <c r="AI908" s="1014">
        <v>0</v>
      </c>
      <c r="AJ908" s="1014">
        <v>0</v>
      </c>
      <c r="AK908" s="1018">
        <v>0</v>
      </c>
      <c r="AL908" s="1020">
        <v>0</v>
      </c>
      <c r="AM908" s="1013">
        <f t="shared" si="194"/>
        <v>2879539</v>
      </c>
      <c r="AN908" s="1045">
        <f t="shared" si="186"/>
        <v>10417303</v>
      </c>
      <c r="AO908" s="1013">
        <v>655095</v>
      </c>
      <c r="AP908" s="1013">
        <v>44100</v>
      </c>
      <c r="AQ908" s="1013">
        <v>0</v>
      </c>
      <c r="AR908" s="1013">
        <v>0</v>
      </c>
      <c r="AS908" s="1013">
        <v>0</v>
      </c>
      <c r="AT908" s="1045">
        <f t="shared" si="193"/>
        <v>9718108</v>
      </c>
      <c r="AU908" s="1004"/>
      <c r="AV908" s="870"/>
      <c r="AW908" s="782" t="s">
        <v>5042</v>
      </c>
      <c r="AX908" s="782" t="s">
        <v>5043</v>
      </c>
      <c r="AY908" s="1007" t="s">
        <v>221</v>
      </c>
      <c r="AZ908" s="1007">
        <v>622</v>
      </c>
      <c r="BA908" s="347" t="str">
        <f t="shared" si="188"/>
        <v>Bag</v>
      </c>
      <c r="BB908" s="1008"/>
      <c r="BC908" s="1009"/>
      <c r="BD908" s="1009"/>
    </row>
    <row r="909" spans="1:56" s="1010" customFormat="1" ht="36.75" customHeight="1">
      <c r="A909" s="661">
        <f>SUBTOTAL(3,B$6:B909)</f>
        <v>904</v>
      </c>
      <c r="B909" s="661" t="s">
        <v>2637</v>
      </c>
      <c r="C909" s="662" t="s">
        <v>2638</v>
      </c>
      <c r="D909" s="1011">
        <v>45520</v>
      </c>
      <c r="E909" s="1011" t="s">
        <v>221</v>
      </c>
      <c r="F909" s="787" t="s">
        <v>533</v>
      </c>
      <c r="G909" s="996" t="s">
        <v>2602</v>
      </c>
      <c r="H909" s="1012">
        <v>7783000</v>
      </c>
      <c r="I909" s="1012">
        <v>3000000</v>
      </c>
      <c r="J909" s="1012">
        <v>389000</v>
      </c>
      <c r="K909" s="1012">
        <v>0</v>
      </c>
      <c r="L909" s="1013">
        <f t="shared" si="187"/>
        <v>11172000</v>
      </c>
      <c r="M909" s="1014">
        <v>21.7</v>
      </c>
      <c r="N909" s="1013">
        <f t="shared" si="189"/>
        <v>9324323</v>
      </c>
      <c r="O909" s="1015">
        <v>3</v>
      </c>
      <c r="P909" s="1013">
        <f t="shared" si="190"/>
        <v>1289077</v>
      </c>
      <c r="Q909" s="1016">
        <v>26</v>
      </c>
      <c r="R909" s="1013">
        <f t="shared" si="191"/>
        <v>418950</v>
      </c>
      <c r="S909" s="1013">
        <f t="shared" si="192"/>
        <v>11032350</v>
      </c>
      <c r="T909" s="1017">
        <v>0</v>
      </c>
      <c r="U909" s="785">
        <v>120000</v>
      </c>
      <c r="V909" s="785">
        <v>200000</v>
      </c>
      <c r="W909" s="1017">
        <v>0</v>
      </c>
      <c r="X909" s="1017">
        <v>0</v>
      </c>
      <c r="Y909" s="1017">
        <v>400000</v>
      </c>
      <c r="Z909" s="1017">
        <v>134027</v>
      </c>
      <c r="AA909" s="1018"/>
      <c r="AB909" s="1013"/>
      <c r="AC909" s="1017">
        <v>0</v>
      </c>
      <c r="AD909" s="1017">
        <v>0</v>
      </c>
      <c r="AE909" s="1013">
        <v>0</v>
      </c>
      <c r="AF909" s="1019"/>
      <c r="AG909" s="1019">
        <f t="shared" si="184"/>
        <v>11886377</v>
      </c>
      <c r="AH909" s="1014">
        <v>36</v>
      </c>
      <c r="AI909" s="1014">
        <v>8</v>
      </c>
      <c r="AJ909" s="1014">
        <v>5</v>
      </c>
      <c r="AK909" s="1018">
        <v>0</v>
      </c>
      <c r="AL909" s="1020">
        <v>0</v>
      </c>
      <c r="AM909" s="1013">
        <f t="shared" si="194"/>
        <v>4323779</v>
      </c>
      <c r="AN909" s="1045">
        <f t="shared" si="186"/>
        <v>16210156</v>
      </c>
      <c r="AO909" s="1013">
        <v>1173060</v>
      </c>
      <c r="AP909" s="1013">
        <v>44100</v>
      </c>
      <c r="AQ909" s="1013">
        <v>101312</v>
      </c>
      <c r="AR909" s="1013">
        <v>0</v>
      </c>
      <c r="AS909" s="1013">
        <v>0</v>
      </c>
      <c r="AT909" s="1045">
        <f t="shared" si="193"/>
        <v>14891684</v>
      </c>
      <c r="AU909" s="1004"/>
      <c r="AV909" s="870"/>
      <c r="AW909" s="782" t="s">
        <v>5044</v>
      </c>
      <c r="AX909" s="782" t="s">
        <v>5045</v>
      </c>
      <c r="AY909" s="1007" t="s">
        <v>221</v>
      </c>
      <c r="AZ909" s="1007">
        <v>622</v>
      </c>
      <c r="BA909" s="347" t="str">
        <f t="shared" si="188"/>
        <v>Bag</v>
      </c>
      <c r="BB909" s="1008"/>
      <c r="BC909" s="1009"/>
      <c r="BD909" s="1009"/>
    </row>
    <row r="910" spans="1:56" s="1010" customFormat="1" ht="36.75" customHeight="1">
      <c r="A910" s="661">
        <f>SUBTOTAL(3,B$6:B910)</f>
        <v>905</v>
      </c>
      <c r="B910" s="661" t="s">
        <v>2639</v>
      </c>
      <c r="C910" s="662" t="s">
        <v>2640</v>
      </c>
      <c r="D910" s="1011">
        <v>45520</v>
      </c>
      <c r="E910" s="1011" t="s">
        <v>221</v>
      </c>
      <c r="F910" s="787" t="s">
        <v>533</v>
      </c>
      <c r="G910" s="996" t="s">
        <v>2602</v>
      </c>
      <c r="H910" s="1012">
        <v>7783000</v>
      </c>
      <c r="I910" s="1012">
        <v>3000000</v>
      </c>
      <c r="J910" s="1012">
        <v>389000</v>
      </c>
      <c r="K910" s="1012">
        <v>500000</v>
      </c>
      <c r="L910" s="1013">
        <f t="shared" si="187"/>
        <v>11672000</v>
      </c>
      <c r="M910" s="1014">
        <v>23</v>
      </c>
      <c r="N910" s="1013">
        <f t="shared" si="189"/>
        <v>10325231</v>
      </c>
      <c r="O910" s="1015">
        <v>3</v>
      </c>
      <c r="P910" s="1013">
        <f t="shared" si="190"/>
        <v>1346769</v>
      </c>
      <c r="Q910" s="1016">
        <v>32.5</v>
      </c>
      <c r="R910" s="1013">
        <f t="shared" si="191"/>
        <v>547125</v>
      </c>
      <c r="S910" s="1013">
        <f t="shared" si="192"/>
        <v>12219125</v>
      </c>
      <c r="T910" s="1017">
        <v>0</v>
      </c>
      <c r="U910" s="785">
        <v>150000</v>
      </c>
      <c r="V910" s="785">
        <v>200000</v>
      </c>
      <c r="W910" s="1017">
        <v>500000</v>
      </c>
      <c r="X910" s="1017">
        <v>0</v>
      </c>
      <c r="Y910" s="1017">
        <v>400000</v>
      </c>
      <c r="Z910" s="1017">
        <v>116821</v>
      </c>
      <c r="AA910" s="1018"/>
      <c r="AB910" s="1013"/>
      <c r="AC910" s="1017">
        <v>100000</v>
      </c>
      <c r="AD910" s="1017">
        <v>0</v>
      </c>
      <c r="AE910" s="1013">
        <v>0</v>
      </c>
      <c r="AF910" s="1019"/>
      <c r="AG910" s="1019">
        <f t="shared" si="184"/>
        <v>13685946</v>
      </c>
      <c r="AH910" s="1014">
        <v>36</v>
      </c>
      <c r="AI910" s="1014">
        <v>8</v>
      </c>
      <c r="AJ910" s="1014">
        <v>6</v>
      </c>
      <c r="AK910" s="1018">
        <v>0</v>
      </c>
      <c r="AL910" s="1020">
        <v>0</v>
      </c>
      <c r="AM910" s="1013">
        <f t="shared" si="194"/>
        <v>4635131</v>
      </c>
      <c r="AN910" s="1045">
        <f t="shared" si="186"/>
        <v>18321077</v>
      </c>
      <c r="AO910" s="1013">
        <v>1225560</v>
      </c>
      <c r="AP910" s="1013">
        <v>44100</v>
      </c>
      <c r="AQ910" s="1013">
        <v>0</v>
      </c>
      <c r="AR910" s="1013">
        <v>0</v>
      </c>
      <c r="AS910" s="1013">
        <v>0</v>
      </c>
      <c r="AT910" s="1045">
        <f t="shared" si="193"/>
        <v>17051417</v>
      </c>
      <c r="AU910" s="1004"/>
      <c r="AV910" s="870"/>
      <c r="AW910" s="782" t="s">
        <v>5046</v>
      </c>
      <c r="AX910" s="782" t="s">
        <v>5047</v>
      </c>
      <c r="AY910" s="1007" t="s">
        <v>221</v>
      </c>
      <c r="AZ910" s="1007">
        <v>622</v>
      </c>
      <c r="BA910" s="347" t="str">
        <f t="shared" si="188"/>
        <v>Bag</v>
      </c>
      <c r="BB910" s="1008"/>
      <c r="BC910" s="1009"/>
      <c r="BD910" s="1009"/>
    </row>
    <row r="911" spans="1:56" s="1010" customFormat="1" ht="36.75" customHeight="1">
      <c r="A911" s="661">
        <f>SUBTOTAL(3,B$6:B911)</f>
        <v>906</v>
      </c>
      <c r="B911" s="661" t="s">
        <v>2641</v>
      </c>
      <c r="C911" s="662" t="s">
        <v>2642</v>
      </c>
      <c r="D911" s="1011">
        <v>45523</v>
      </c>
      <c r="E911" s="1011" t="s">
        <v>221</v>
      </c>
      <c r="F911" s="787" t="s">
        <v>533</v>
      </c>
      <c r="G911" s="996" t="s">
        <v>2602</v>
      </c>
      <c r="H911" s="1012">
        <v>7783000</v>
      </c>
      <c r="I911" s="1012">
        <v>3000000</v>
      </c>
      <c r="J911" s="1012">
        <v>389000</v>
      </c>
      <c r="K911" s="1012">
        <v>0</v>
      </c>
      <c r="L911" s="1013">
        <f t="shared" si="187"/>
        <v>11172000</v>
      </c>
      <c r="M911" s="1014">
        <v>22.9</v>
      </c>
      <c r="N911" s="1013">
        <f t="shared" si="189"/>
        <v>9839954</v>
      </c>
      <c r="O911" s="1015">
        <v>3</v>
      </c>
      <c r="P911" s="1013">
        <f t="shared" si="190"/>
        <v>1289077</v>
      </c>
      <c r="Q911" s="1016">
        <v>32.5</v>
      </c>
      <c r="R911" s="1013">
        <f t="shared" si="191"/>
        <v>523688</v>
      </c>
      <c r="S911" s="1013">
        <f t="shared" si="192"/>
        <v>11652719</v>
      </c>
      <c r="T911" s="1017">
        <v>0</v>
      </c>
      <c r="U911" s="785">
        <v>150000</v>
      </c>
      <c r="V911" s="785">
        <v>200000</v>
      </c>
      <c r="W911" s="1017">
        <v>500000</v>
      </c>
      <c r="X911" s="1017">
        <v>0</v>
      </c>
      <c r="Y911" s="1017">
        <v>400000</v>
      </c>
      <c r="Z911" s="1017">
        <v>274585</v>
      </c>
      <c r="AA911" s="1018"/>
      <c r="AB911" s="1013"/>
      <c r="AC911" s="1017">
        <v>0</v>
      </c>
      <c r="AD911" s="1017">
        <v>0</v>
      </c>
      <c r="AE911" s="1013">
        <v>0</v>
      </c>
      <c r="AF911" s="1019"/>
      <c r="AG911" s="1019">
        <f t="shared" si="184"/>
        <v>13177304</v>
      </c>
      <c r="AH911" s="1014">
        <v>45</v>
      </c>
      <c r="AI911" s="1014">
        <v>8</v>
      </c>
      <c r="AJ911" s="1014">
        <v>6</v>
      </c>
      <c r="AK911" s="1018">
        <v>0</v>
      </c>
      <c r="AL911" s="1020">
        <v>0</v>
      </c>
      <c r="AM911" s="1013">
        <f t="shared" si="194"/>
        <v>5161679</v>
      </c>
      <c r="AN911" s="1045">
        <f t="shared" si="186"/>
        <v>18338983</v>
      </c>
      <c r="AO911" s="1013">
        <v>1173060</v>
      </c>
      <c r="AP911" s="1013">
        <v>44100</v>
      </c>
      <c r="AQ911" s="1013">
        <v>187477</v>
      </c>
      <c r="AR911" s="1013">
        <v>0</v>
      </c>
      <c r="AS911" s="1013">
        <v>0</v>
      </c>
      <c r="AT911" s="1045">
        <f t="shared" si="193"/>
        <v>16934346</v>
      </c>
      <c r="AU911" s="1004"/>
      <c r="AV911" s="870"/>
      <c r="AW911" s="782" t="s">
        <v>5048</v>
      </c>
      <c r="AX911" s="782" t="s">
        <v>5049</v>
      </c>
      <c r="AY911" s="1007" t="s">
        <v>221</v>
      </c>
      <c r="AZ911" s="1007">
        <v>622</v>
      </c>
      <c r="BA911" s="347" t="str">
        <f t="shared" si="188"/>
        <v>Bag</v>
      </c>
      <c r="BB911" s="1008"/>
      <c r="BC911" s="1009"/>
      <c r="BD911" s="1009"/>
    </row>
    <row r="912" spans="1:56" s="1010" customFormat="1" ht="36.75" customHeight="1">
      <c r="A912" s="661">
        <f>SUBTOTAL(3,B$6:B912)</f>
        <v>907</v>
      </c>
      <c r="B912" s="661" t="s">
        <v>2643</v>
      </c>
      <c r="C912" s="662" t="s">
        <v>2644</v>
      </c>
      <c r="D912" s="1011">
        <v>45523</v>
      </c>
      <c r="E912" s="1011" t="s">
        <v>221</v>
      </c>
      <c r="F912" s="787" t="s">
        <v>533</v>
      </c>
      <c r="G912" s="996" t="s">
        <v>2605</v>
      </c>
      <c r="H912" s="1012">
        <v>8283000</v>
      </c>
      <c r="I912" s="1012">
        <v>2200000</v>
      </c>
      <c r="J912" s="1012">
        <v>414000</v>
      </c>
      <c r="K912" s="1012">
        <v>0</v>
      </c>
      <c r="L912" s="1013">
        <f t="shared" si="187"/>
        <v>10897000</v>
      </c>
      <c r="M912" s="1014">
        <v>23.8</v>
      </c>
      <c r="N912" s="1013">
        <f t="shared" si="189"/>
        <v>9974946</v>
      </c>
      <c r="O912" s="1015">
        <v>2</v>
      </c>
      <c r="P912" s="1013">
        <f t="shared" si="190"/>
        <v>838231</v>
      </c>
      <c r="Q912" s="1016">
        <v>58.5</v>
      </c>
      <c r="R912" s="1013">
        <f t="shared" si="191"/>
        <v>919434</v>
      </c>
      <c r="S912" s="1013">
        <f t="shared" si="192"/>
        <v>11732611</v>
      </c>
      <c r="T912" s="1017">
        <v>0</v>
      </c>
      <c r="U912" s="785">
        <v>270000</v>
      </c>
      <c r="V912" s="785">
        <v>200000</v>
      </c>
      <c r="W912" s="1017">
        <v>500000</v>
      </c>
      <c r="X912" s="1017">
        <v>0</v>
      </c>
      <c r="Y912" s="1017">
        <v>400000</v>
      </c>
      <c r="Z912" s="1017">
        <v>312508</v>
      </c>
      <c r="AA912" s="1018"/>
      <c r="AB912" s="1013"/>
      <c r="AC912" s="1017">
        <v>0</v>
      </c>
      <c r="AD912" s="1017">
        <v>0</v>
      </c>
      <c r="AE912" s="1013">
        <v>0</v>
      </c>
      <c r="AF912" s="1019"/>
      <c r="AG912" s="1019">
        <f t="shared" si="184"/>
        <v>13415119</v>
      </c>
      <c r="AH912" s="1014">
        <v>36</v>
      </c>
      <c r="AI912" s="1014">
        <v>8</v>
      </c>
      <c r="AJ912" s="1014">
        <v>14</v>
      </c>
      <c r="AK912" s="1018">
        <v>0</v>
      </c>
      <c r="AL912" s="1020">
        <v>0</v>
      </c>
      <c r="AM912" s="1013">
        <f t="shared" si="194"/>
        <v>5207509</v>
      </c>
      <c r="AN912" s="1045">
        <f t="shared" si="186"/>
        <v>18622628</v>
      </c>
      <c r="AO912" s="1013">
        <v>1144185</v>
      </c>
      <c r="AP912" s="1013">
        <v>44100</v>
      </c>
      <c r="AQ912" s="1013">
        <v>174504</v>
      </c>
      <c r="AR912" s="1013">
        <v>0</v>
      </c>
      <c r="AS912" s="1013">
        <v>0</v>
      </c>
      <c r="AT912" s="1045">
        <f t="shared" si="193"/>
        <v>17259839</v>
      </c>
      <c r="AU912" s="1004"/>
      <c r="AV912" s="870"/>
      <c r="AW912" s="782" t="s">
        <v>5050</v>
      </c>
      <c r="AX912" s="782" t="s">
        <v>5051</v>
      </c>
      <c r="AY912" s="1007" t="s">
        <v>221</v>
      </c>
      <c r="AZ912" s="1007">
        <v>622</v>
      </c>
      <c r="BA912" s="347" t="str">
        <f t="shared" si="188"/>
        <v>Bag</v>
      </c>
      <c r="BB912" s="1008"/>
      <c r="BC912" s="1009"/>
      <c r="BD912" s="1009"/>
    </row>
    <row r="913" spans="1:56" s="1010" customFormat="1" ht="36.75" customHeight="1">
      <c r="A913" s="661">
        <f>SUBTOTAL(3,B$6:B913)</f>
        <v>908</v>
      </c>
      <c r="B913" s="661" t="s">
        <v>2645</v>
      </c>
      <c r="C913" s="662" t="s">
        <v>2646</v>
      </c>
      <c r="D913" s="1011">
        <v>45640</v>
      </c>
      <c r="E913" s="1011" t="s">
        <v>221</v>
      </c>
      <c r="F913" s="787" t="s">
        <v>533</v>
      </c>
      <c r="G913" s="996" t="s">
        <v>2602</v>
      </c>
      <c r="H913" s="1012">
        <v>7783000</v>
      </c>
      <c r="I913" s="1012">
        <v>3000000</v>
      </c>
      <c r="J913" s="1012">
        <v>389000</v>
      </c>
      <c r="K913" s="1012">
        <v>0</v>
      </c>
      <c r="L913" s="1013">
        <f t="shared" si="187"/>
        <v>11172000</v>
      </c>
      <c r="M913" s="1014">
        <v>23</v>
      </c>
      <c r="N913" s="1013">
        <f t="shared" si="189"/>
        <v>9882923</v>
      </c>
      <c r="O913" s="1015">
        <v>3</v>
      </c>
      <c r="P913" s="1013">
        <f t="shared" si="190"/>
        <v>1289077</v>
      </c>
      <c r="Q913" s="1016">
        <v>0</v>
      </c>
      <c r="R913" s="1013">
        <f t="shared" si="191"/>
        <v>0</v>
      </c>
      <c r="S913" s="1013">
        <f t="shared" si="192"/>
        <v>11172000</v>
      </c>
      <c r="T913" s="1017">
        <v>0</v>
      </c>
      <c r="U913" s="785">
        <v>0</v>
      </c>
      <c r="V913" s="785">
        <v>200000</v>
      </c>
      <c r="W913" s="1017">
        <v>500000</v>
      </c>
      <c r="X913" s="1017">
        <v>0</v>
      </c>
      <c r="Y913" s="1017">
        <v>300000</v>
      </c>
      <c r="Z913" s="1017">
        <v>70268</v>
      </c>
      <c r="AA913" s="1018"/>
      <c r="AB913" s="1013"/>
      <c r="AC913" s="1017">
        <v>0</v>
      </c>
      <c r="AD913" s="1017">
        <v>0</v>
      </c>
      <c r="AE913" s="1013">
        <v>0</v>
      </c>
      <c r="AF913" s="1019"/>
      <c r="AG913" s="1019">
        <f t="shared" ref="AG913:AG976" si="195">ROUND(SUM(S913:AF913)-AA913,0)</f>
        <v>12242268</v>
      </c>
      <c r="AH913" s="1014">
        <v>64</v>
      </c>
      <c r="AI913" s="1014">
        <v>0</v>
      </c>
      <c r="AJ913" s="1014">
        <v>0</v>
      </c>
      <c r="AK913" s="1018">
        <v>0</v>
      </c>
      <c r="AL913" s="1020">
        <v>0</v>
      </c>
      <c r="AM913" s="1013">
        <f t="shared" si="194"/>
        <v>5156308</v>
      </c>
      <c r="AN913" s="1045">
        <f t="shared" si="186"/>
        <v>17398576</v>
      </c>
      <c r="AO913" s="1013">
        <v>1173060</v>
      </c>
      <c r="AP913" s="1013">
        <v>44100</v>
      </c>
      <c r="AQ913" s="1013">
        <v>180337</v>
      </c>
      <c r="AR913" s="1013">
        <v>0</v>
      </c>
      <c r="AS913" s="1013">
        <v>0</v>
      </c>
      <c r="AT913" s="1045">
        <f t="shared" si="193"/>
        <v>16001079</v>
      </c>
      <c r="AU913" s="1004"/>
      <c r="AV913" s="870"/>
      <c r="AW913" s="782" t="s">
        <v>5052</v>
      </c>
      <c r="AX913" s="782" t="s">
        <v>5053</v>
      </c>
      <c r="AY913" s="1007" t="s">
        <v>221</v>
      </c>
      <c r="AZ913" s="1007">
        <v>622</v>
      </c>
      <c r="BA913" s="347" t="str">
        <f t="shared" si="188"/>
        <v>Bag</v>
      </c>
      <c r="BB913" s="1008"/>
      <c r="BC913" s="1009"/>
      <c r="BD913" s="1009"/>
    </row>
    <row r="914" spans="1:56" s="1010" customFormat="1" ht="36.75" customHeight="1">
      <c r="A914" s="661">
        <f>SUBTOTAL(3,B$6:B914)</f>
        <v>909</v>
      </c>
      <c r="B914" s="661" t="s">
        <v>2647</v>
      </c>
      <c r="C914" s="662" t="s">
        <v>2648</v>
      </c>
      <c r="D914" s="1011">
        <v>45727</v>
      </c>
      <c r="E914" s="1011" t="s">
        <v>221</v>
      </c>
      <c r="F914" s="787" t="s">
        <v>533</v>
      </c>
      <c r="G914" s="996" t="s">
        <v>2608</v>
      </c>
      <c r="H914" s="1012">
        <v>9283000</v>
      </c>
      <c r="I914" s="1012">
        <v>4800000</v>
      </c>
      <c r="J914" s="1012">
        <v>464000</v>
      </c>
      <c r="K914" s="1012">
        <v>853000</v>
      </c>
      <c r="L914" s="1013">
        <f t="shared" si="187"/>
        <v>15400000</v>
      </c>
      <c r="M914" s="1014">
        <v>24</v>
      </c>
      <c r="N914" s="1013">
        <f t="shared" si="189"/>
        <v>14215385</v>
      </c>
      <c r="O914" s="1015">
        <v>2</v>
      </c>
      <c r="P914" s="1013">
        <f t="shared" si="190"/>
        <v>1184615</v>
      </c>
      <c r="Q914" s="1016">
        <v>32.5</v>
      </c>
      <c r="R914" s="1013">
        <f t="shared" si="191"/>
        <v>721875</v>
      </c>
      <c r="S914" s="1013">
        <f t="shared" si="192"/>
        <v>16121875</v>
      </c>
      <c r="T914" s="1017">
        <v>0</v>
      </c>
      <c r="U914" s="785">
        <v>150000</v>
      </c>
      <c r="V914" s="785">
        <v>200000</v>
      </c>
      <c r="W914" s="1017">
        <v>500000</v>
      </c>
      <c r="X914" s="1017">
        <v>0</v>
      </c>
      <c r="Y914" s="1017">
        <v>300000</v>
      </c>
      <c r="Z914" s="1017">
        <v>35141</v>
      </c>
      <c r="AA914" s="1018"/>
      <c r="AB914" s="1013"/>
      <c r="AC914" s="1017">
        <v>0</v>
      </c>
      <c r="AD914" s="1017">
        <v>0</v>
      </c>
      <c r="AE914" s="1013">
        <v>0</v>
      </c>
      <c r="AF914" s="1019"/>
      <c r="AG914" s="1019">
        <f t="shared" si="195"/>
        <v>17307016</v>
      </c>
      <c r="AH914" s="1014">
        <v>44</v>
      </c>
      <c r="AI914" s="1014">
        <v>8</v>
      </c>
      <c r="AJ914" s="1014">
        <v>6</v>
      </c>
      <c r="AK914" s="1018">
        <v>0</v>
      </c>
      <c r="AL914" s="1020">
        <v>0</v>
      </c>
      <c r="AM914" s="1013">
        <f t="shared" si="194"/>
        <v>7004039</v>
      </c>
      <c r="AN914" s="1045">
        <f t="shared" si="186"/>
        <v>24311055</v>
      </c>
      <c r="AO914" s="1013">
        <v>1589441</v>
      </c>
      <c r="AP914" s="1013">
        <v>0</v>
      </c>
      <c r="AQ914" s="1013">
        <v>608993</v>
      </c>
      <c r="AR914" s="1013">
        <v>0</v>
      </c>
      <c r="AS914" s="1013">
        <v>420143</v>
      </c>
      <c r="AT914" s="1045">
        <f t="shared" si="193"/>
        <v>21692478</v>
      </c>
      <c r="AU914" s="1004"/>
      <c r="AV914" s="870"/>
      <c r="AW914" s="782" t="s">
        <v>5054</v>
      </c>
      <c r="AX914" s="782" t="s">
        <v>5055</v>
      </c>
      <c r="AY914" s="1007" t="s">
        <v>221</v>
      </c>
      <c r="AZ914" s="1007">
        <v>622</v>
      </c>
      <c r="BA914" s="347" t="str">
        <f t="shared" si="188"/>
        <v>Bag</v>
      </c>
      <c r="BB914" s="1008"/>
      <c r="BC914" s="1009"/>
      <c r="BD914" s="1009"/>
    </row>
    <row r="915" spans="1:56" s="1010" customFormat="1" ht="36.75" customHeight="1">
      <c r="A915" s="661">
        <f>SUBTOTAL(3,B$6:B915)</f>
        <v>910</v>
      </c>
      <c r="B915" s="661" t="s">
        <v>2649</v>
      </c>
      <c r="C915" s="662" t="s">
        <v>2650</v>
      </c>
      <c r="D915" s="1011">
        <v>40941</v>
      </c>
      <c r="E915" s="1011" t="s">
        <v>221</v>
      </c>
      <c r="F915" s="787" t="s">
        <v>533</v>
      </c>
      <c r="G915" s="996" t="s">
        <v>2608</v>
      </c>
      <c r="H915" s="1012">
        <v>9283000</v>
      </c>
      <c r="I915" s="1012">
        <v>2000000</v>
      </c>
      <c r="J915" s="1012">
        <v>464000</v>
      </c>
      <c r="K915" s="1012">
        <v>1772000</v>
      </c>
      <c r="L915" s="1013">
        <f t="shared" si="187"/>
        <v>13519000</v>
      </c>
      <c r="M915" s="1014">
        <v>24</v>
      </c>
      <c r="N915" s="1013">
        <f t="shared" si="189"/>
        <v>12479077</v>
      </c>
      <c r="O915" s="1015">
        <v>2</v>
      </c>
      <c r="P915" s="1013">
        <f t="shared" si="190"/>
        <v>1039923</v>
      </c>
      <c r="Q915" s="1016">
        <v>32.5</v>
      </c>
      <c r="R915" s="1013">
        <f t="shared" si="191"/>
        <v>633703</v>
      </c>
      <c r="S915" s="1013">
        <f t="shared" si="192"/>
        <v>14152703</v>
      </c>
      <c r="T915" s="1017">
        <v>0</v>
      </c>
      <c r="U915" s="785">
        <v>150000</v>
      </c>
      <c r="V915" s="785">
        <v>200000</v>
      </c>
      <c r="W915" s="1017">
        <v>500000</v>
      </c>
      <c r="X915" s="1017">
        <v>0</v>
      </c>
      <c r="Y915" s="1017">
        <v>400000</v>
      </c>
      <c r="Z915" s="1017">
        <v>263695</v>
      </c>
      <c r="AA915" s="1018"/>
      <c r="AB915" s="1013"/>
      <c r="AC915" s="1017">
        <v>0</v>
      </c>
      <c r="AD915" s="1017">
        <v>0</v>
      </c>
      <c r="AE915" s="1013">
        <v>0</v>
      </c>
      <c r="AF915" s="1019"/>
      <c r="AG915" s="1019">
        <f t="shared" si="195"/>
        <v>15666398</v>
      </c>
      <c r="AH915" s="1014">
        <v>44</v>
      </c>
      <c r="AI915" s="1014">
        <v>8</v>
      </c>
      <c r="AJ915" s="1014">
        <v>6</v>
      </c>
      <c r="AK915" s="1018">
        <v>0</v>
      </c>
      <c r="AL915" s="1020">
        <v>0</v>
      </c>
      <c r="AM915" s="1013">
        <f t="shared" si="194"/>
        <v>6148545</v>
      </c>
      <c r="AN915" s="1045">
        <f t="shared" si="186"/>
        <v>21814943</v>
      </c>
      <c r="AO915" s="1013">
        <v>1419495</v>
      </c>
      <c r="AP915" s="1013">
        <v>44100</v>
      </c>
      <c r="AQ915" s="1013">
        <v>0</v>
      </c>
      <c r="AR915" s="1013">
        <v>0</v>
      </c>
      <c r="AS915" s="1013">
        <v>0</v>
      </c>
      <c r="AT915" s="1045">
        <f t="shared" si="193"/>
        <v>20351348</v>
      </c>
      <c r="AU915" s="1004"/>
      <c r="AV915" s="870"/>
      <c r="AW915" s="782" t="s">
        <v>5056</v>
      </c>
      <c r="AX915" s="782" t="s">
        <v>5057</v>
      </c>
      <c r="AY915" s="1007" t="s">
        <v>221</v>
      </c>
      <c r="AZ915" s="1007">
        <v>622</v>
      </c>
      <c r="BA915" s="347" t="str">
        <f t="shared" si="188"/>
        <v>Bag</v>
      </c>
      <c r="BB915" s="1008"/>
      <c r="BC915" s="1009"/>
      <c r="BD915" s="1009"/>
    </row>
    <row r="916" spans="1:56" s="1010" customFormat="1" ht="36.75" customHeight="1">
      <c r="A916" s="661">
        <f>SUBTOTAL(3,B$6:B916)</f>
        <v>911</v>
      </c>
      <c r="B916" s="661" t="s">
        <v>2651</v>
      </c>
      <c r="C916" s="662" t="s">
        <v>2652</v>
      </c>
      <c r="D916" s="1011">
        <v>41353</v>
      </c>
      <c r="E916" s="1011" t="s">
        <v>221</v>
      </c>
      <c r="F916" s="787" t="s">
        <v>533</v>
      </c>
      <c r="G916" s="996" t="s">
        <v>2605</v>
      </c>
      <c r="H916" s="1012">
        <v>8283000</v>
      </c>
      <c r="I916" s="1012">
        <v>1000000</v>
      </c>
      <c r="J916" s="1012">
        <v>414000</v>
      </c>
      <c r="K916" s="1012">
        <v>0</v>
      </c>
      <c r="L916" s="1013">
        <f t="shared" si="187"/>
        <v>9697000</v>
      </c>
      <c r="M916" s="1014">
        <v>22.8</v>
      </c>
      <c r="N916" s="1013">
        <f t="shared" si="189"/>
        <v>8503523</v>
      </c>
      <c r="O916" s="1015">
        <v>3</v>
      </c>
      <c r="P916" s="1013">
        <f t="shared" si="190"/>
        <v>1118885</v>
      </c>
      <c r="Q916" s="1016">
        <v>32.5</v>
      </c>
      <c r="R916" s="1013">
        <f t="shared" si="191"/>
        <v>454547</v>
      </c>
      <c r="S916" s="1013">
        <f t="shared" si="192"/>
        <v>10076955</v>
      </c>
      <c r="T916" s="1017">
        <v>0</v>
      </c>
      <c r="U916" s="785">
        <v>150000</v>
      </c>
      <c r="V916" s="785">
        <v>200000</v>
      </c>
      <c r="W916" s="1017">
        <v>500000</v>
      </c>
      <c r="X916" s="1017">
        <v>0</v>
      </c>
      <c r="Y916" s="1017">
        <v>400000</v>
      </c>
      <c r="Z916" s="1017">
        <v>180337</v>
      </c>
      <c r="AA916" s="1018"/>
      <c r="AB916" s="1013"/>
      <c r="AC916" s="1017">
        <v>0</v>
      </c>
      <c r="AD916" s="1017">
        <v>0</v>
      </c>
      <c r="AE916" s="1013">
        <v>0</v>
      </c>
      <c r="AF916" s="1019"/>
      <c r="AG916" s="1019">
        <f t="shared" si="195"/>
        <v>11507292</v>
      </c>
      <c r="AH916" s="1014">
        <v>46</v>
      </c>
      <c r="AI916" s="1014">
        <v>16</v>
      </c>
      <c r="AJ916" s="1014">
        <v>8</v>
      </c>
      <c r="AK916" s="1018">
        <v>0</v>
      </c>
      <c r="AL916" s="1020">
        <v>0</v>
      </c>
      <c r="AM916" s="1013">
        <f t="shared" si="194"/>
        <v>5491859</v>
      </c>
      <c r="AN916" s="1045">
        <f t="shared" si="186"/>
        <v>16999151</v>
      </c>
      <c r="AO916" s="1013">
        <v>1018185</v>
      </c>
      <c r="AP916" s="1013">
        <v>44100</v>
      </c>
      <c r="AQ916" s="1013">
        <v>119899</v>
      </c>
      <c r="AR916" s="1013">
        <v>0</v>
      </c>
      <c r="AS916" s="1013">
        <v>0</v>
      </c>
      <c r="AT916" s="1045">
        <f t="shared" si="193"/>
        <v>15816967</v>
      </c>
      <c r="AU916" s="1004"/>
      <c r="AV916" s="870"/>
      <c r="AW916" s="782" t="s">
        <v>5058</v>
      </c>
      <c r="AX916" s="782" t="s">
        <v>5059</v>
      </c>
      <c r="AY916" s="1007" t="s">
        <v>221</v>
      </c>
      <c r="AZ916" s="1007">
        <v>622</v>
      </c>
      <c r="BA916" s="347" t="str">
        <f t="shared" si="188"/>
        <v>Bag</v>
      </c>
      <c r="BB916" s="1008"/>
      <c r="BC916" s="1009"/>
      <c r="BD916" s="1009"/>
    </row>
    <row r="917" spans="1:56" s="1010" customFormat="1" ht="36.75" customHeight="1">
      <c r="A917" s="661">
        <f>SUBTOTAL(3,B$6:B917)</f>
        <v>912</v>
      </c>
      <c r="B917" s="661" t="s">
        <v>2653</v>
      </c>
      <c r="C917" s="662" t="s">
        <v>2654</v>
      </c>
      <c r="D917" s="1011">
        <v>42948</v>
      </c>
      <c r="E917" s="1011" t="s">
        <v>221</v>
      </c>
      <c r="F917" s="787" t="s">
        <v>533</v>
      </c>
      <c r="G917" s="996" t="s">
        <v>2608</v>
      </c>
      <c r="H917" s="1012">
        <v>9283000</v>
      </c>
      <c r="I917" s="1012">
        <v>4800000</v>
      </c>
      <c r="J917" s="1012">
        <v>464000</v>
      </c>
      <c r="K917" s="1012">
        <v>1084000</v>
      </c>
      <c r="L917" s="1013">
        <f t="shared" si="187"/>
        <v>15631000</v>
      </c>
      <c r="M917" s="1014">
        <v>24</v>
      </c>
      <c r="N917" s="1013">
        <f t="shared" si="189"/>
        <v>14428615</v>
      </c>
      <c r="O917" s="1015">
        <v>2</v>
      </c>
      <c r="P917" s="1013">
        <f t="shared" si="190"/>
        <v>1202385</v>
      </c>
      <c r="Q917" s="1016">
        <v>32.5</v>
      </c>
      <c r="R917" s="1013">
        <f t="shared" si="191"/>
        <v>732703</v>
      </c>
      <c r="S917" s="1013">
        <f t="shared" si="192"/>
        <v>16363703</v>
      </c>
      <c r="T917" s="1017">
        <v>500000</v>
      </c>
      <c r="U917" s="785">
        <v>150000</v>
      </c>
      <c r="V917" s="785">
        <v>200000</v>
      </c>
      <c r="W917" s="1017">
        <v>500000</v>
      </c>
      <c r="X917" s="1017">
        <v>0</v>
      </c>
      <c r="Y917" s="1017">
        <v>400000</v>
      </c>
      <c r="Z917" s="1017">
        <v>820078</v>
      </c>
      <c r="AA917" s="1018"/>
      <c r="AB917" s="1013"/>
      <c r="AC917" s="1017">
        <v>0</v>
      </c>
      <c r="AD917" s="1017">
        <v>0</v>
      </c>
      <c r="AE917" s="1013">
        <v>0</v>
      </c>
      <c r="AF917" s="1019"/>
      <c r="AG917" s="1019">
        <f t="shared" si="195"/>
        <v>18933781</v>
      </c>
      <c r="AH917" s="1014">
        <v>45</v>
      </c>
      <c r="AI917" s="1014">
        <v>8</v>
      </c>
      <c r="AJ917" s="1014">
        <v>8</v>
      </c>
      <c r="AK917" s="1018">
        <v>0</v>
      </c>
      <c r="AL917" s="1020">
        <v>0</v>
      </c>
      <c r="AM917" s="1013">
        <f t="shared" si="194"/>
        <v>7537448</v>
      </c>
      <c r="AN917" s="1045">
        <f t="shared" si="186"/>
        <v>26471229</v>
      </c>
      <c r="AO917" s="1013">
        <v>1641255</v>
      </c>
      <c r="AP917" s="1013">
        <v>44100</v>
      </c>
      <c r="AQ917" s="1013">
        <v>284391</v>
      </c>
      <c r="AR917" s="1013">
        <v>0</v>
      </c>
      <c r="AS917" s="1013">
        <v>0</v>
      </c>
      <c r="AT917" s="1045">
        <f t="shared" si="193"/>
        <v>24501483</v>
      </c>
      <c r="AU917" s="1004"/>
      <c r="AV917" s="870"/>
      <c r="AW917" s="782" t="s">
        <v>5060</v>
      </c>
      <c r="AX917" s="782" t="s">
        <v>5061</v>
      </c>
      <c r="AY917" s="1007" t="s">
        <v>221</v>
      </c>
      <c r="AZ917" s="1007">
        <v>622</v>
      </c>
      <c r="BA917" s="347" t="str">
        <f t="shared" si="188"/>
        <v>Bag</v>
      </c>
      <c r="BB917" s="1008"/>
      <c r="BC917" s="1009"/>
      <c r="BD917" s="1009"/>
    </row>
    <row r="918" spans="1:56" s="1010" customFormat="1" ht="36.75" customHeight="1">
      <c r="A918" s="661">
        <f>SUBTOTAL(3,B$6:B918)</f>
        <v>913</v>
      </c>
      <c r="B918" s="661" t="s">
        <v>2655</v>
      </c>
      <c r="C918" s="662" t="s">
        <v>2656</v>
      </c>
      <c r="D918" s="1011">
        <v>43361</v>
      </c>
      <c r="E918" s="1011" t="s">
        <v>221</v>
      </c>
      <c r="F918" s="787" t="s">
        <v>533</v>
      </c>
      <c r="G918" s="996" t="s">
        <v>2608</v>
      </c>
      <c r="H918" s="1012">
        <v>9283000</v>
      </c>
      <c r="I918" s="1012">
        <v>3400000</v>
      </c>
      <c r="J918" s="1012">
        <v>464000</v>
      </c>
      <c r="K918" s="1012">
        <v>2416000</v>
      </c>
      <c r="L918" s="1013">
        <f t="shared" si="187"/>
        <v>15563000</v>
      </c>
      <c r="M918" s="1014">
        <v>24</v>
      </c>
      <c r="N918" s="1013">
        <f t="shared" si="189"/>
        <v>14365846</v>
      </c>
      <c r="O918" s="1015">
        <v>2</v>
      </c>
      <c r="P918" s="1013">
        <f t="shared" si="190"/>
        <v>1197154</v>
      </c>
      <c r="Q918" s="1016">
        <v>32.5</v>
      </c>
      <c r="R918" s="1013">
        <f t="shared" si="191"/>
        <v>729516</v>
      </c>
      <c r="S918" s="1013">
        <f t="shared" si="192"/>
        <v>16292516</v>
      </c>
      <c r="T918" s="1017">
        <v>500000</v>
      </c>
      <c r="U918" s="785">
        <v>150000</v>
      </c>
      <c r="V918" s="785">
        <v>200000</v>
      </c>
      <c r="W918" s="1017">
        <v>500000</v>
      </c>
      <c r="X918" s="1017">
        <v>0</v>
      </c>
      <c r="Y918" s="1017">
        <v>400000</v>
      </c>
      <c r="Z918" s="1017">
        <v>155202</v>
      </c>
      <c r="AA918" s="1018"/>
      <c r="AB918" s="1013"/>
      <c r="AC918" s="1017">
        <v>0</v>
      </c>
      <c r="AD918" s="1017">
        <v>0</v>
      </c>
      <c r="AE918" s="1013">
        <v>0</v>
      </c>
      <c r="AF918" s="1019"/>
      <c r="AG918" s="1019">
        <f t="shared" si="195"/>
        <v>18197718</v>
      </c>
      <c r="AH918" s="1014">
        <v>44</v>
      </c>
      <c r="AI918" s="1014">
        <v>8</v>
      </c>
      <c r="AJ918" s="1014">
        <v>7</v>
      </c>
      <c r="AK918" s="1018">
        <v>0</v>
      </c>
      <c r="AL918" s="1020">
        <v>0</v>
      </c>
      <c r="AM918" s="1013">
        <f t="shared" si="194"/>
        <v>7235298</v>
      </c>
      <c r="AN918" s="1045">
        <f t="shared" si="186"/>
        <v>25433016</v>
      </c>
      <c r="AO918" s="1013">
        <v>1634115</v>
      </c>
      <c r="AP918" s="1013">
        <v>44100</v>
      </c>
      <c r="AQ918" s="1013">
        <v>222430</v>
      </c>
      <c r="AR918" s="1013">
        <v>0</v>
      </c>
      <c r="AS918" s="1013">
        <v>0</v>
      </c>
      <c r="AT918" s="1045">
        <f t="shared" si="193"/>
        <v>23532371</v>
      </c>
      <c r="AU918" s="1004"/>
      <c r="AV918" s="870"/>
      <c r="AW918" s="782" t="s">
        <v>5062</v>
      </c>
      <c r="AX918" s="782" t="s">
        <v>5063</v>
      </c>
      <c r="AY918" s="1007" t="s">
        <v>221</v>
      </c>
      <c r="AZ918" s="1007">
        <v>622</v>
      </c>
      <c r="BA918" s="347" t="str">
        <f t="shared" si="188"/>
        <v>Bag</v>
      </c>
      <c r="BB918" s="1008"/>
      <c r="BC918" s="1009"/>
      <c r="BD918" s="1009"/>
    </row>
    <row r="919" spans="1:56" s="1010" customFormat="1" ht="36.75" customHeight="1">
      <c r="A919" s="661">
        <f>SUBTOTAL(3,B$6:B919)</f>
        <v>914</v>
      </c>
      <c r="B919" s="661" t="s">
        <v>2657</v>
      </c>
      <c r="C919" s="662" t="s">
        <v>2658</v>
      </c>
      <c r="D919" s="1011">
        <v>43363</v>
      </c>
      <c r="E919" s="1011" t="s">
        <v>221</v>
      </c>
      <c r="F919" s="787" t="s">
        <v>533</v>
      </c>
      <c r="G919" s="996" t="s">
        <v>2602</v>
      </c>
      <c r="H919" s="1012">
        <v>9283000</v>
      </c>
      <c r="I919" s="1012">
        <v>1500000</v>
      </c>
      <c r="J919" s="1012">
        <v>464000</v>
      </c>
      <c r="K919" s="1012">
        <v>272000</v>
      </c>
      <c r="L919" s="1013">
        <f t="shared" si="187"/>
        <v>11519000</v>
      </c>
      <c r="M919" s="1014">
        <v>23.8</v>
      </c>
      <c r="N919" s="1013">
        <f t="shared" si="189"/>
        <v>10544315</v>
      </c>
      <c r="O919" s="1015">
        <v>2</v>
      </c>
      <c r="P919" s="1013">
        <f t="shared" si="190"/>
        <v>886077</v>
      </c>
      <c r="Q919" s="1016">
        <v>58.5</v>
      </c>
      <c r="R919" s="1013">
        <f t="shared" si="191"/>
        <v>971916</v>
      </c>
      <c r="S919" s="1013">
        <f t="shared" si="192"/>
        <v>12402308</v>
      </c>
      <c r="T919" s="1017">
        <v>496154</v>
      </c>
      <c r="U919" s="785">
        <v>270000</v>
      </c>
      <c r="V919" s="785">
        <v>200000</v>
      </c>
      <c r="W919" s="1017">
        <v>500000</v>
      </c>
      <c r="X919" s="1017">
        <v>0</v>
      </c>
      <c r="Y919" s="1017">
        <v>400000</v>
      </c>
      <c r="Z919" s="1017">
        <v>310243</v>
      </c>
      <c r="AA919" s="1018"/>
      <c r="AB919" s="1013"/>
      <c r="AC919" s="1017">
        <v>0</v>
      </c>
      <c r="AD919" s="1017">
        <v>0</v>
      </c>
      <c r="AE919" s="1013">
        <v>0</v>
      </c>
      <c r="AF919" s="1019"/>
      <c r="AG919" s="1019">
        <f t="shared" si="195"/>
        <v>14578705</v>
      </c>
      <c r="AH919" s="1014">
        <v>32</v>
      </c>
      <c r="AI919" s="1014">
        <v>8</v>
      </c>
      <c r="AJ919" s="1014">
        <v>14</v>
      </c>
      <c r="AK919" s="1018">
        <v>0</v>
      </c>
      <c r="AL919" s="1020">
        <v>0</v>
      </c>
      <c r="AM919" s="1013">
        <f t="shared" si="194"/>
        <v>5172474</v>
      </c>
      <c r="AN919" s="1045">
        <f t="shared" si="186"/>
        <v>19751179</v>
      </c>
      <c r="AO919" s="1013">
        <v>1209495</v>
      </c>
      <c r="AP919" s="1013">
        <v>44100</v>
      </c>
      <c r="AQ919" s="1013">
        <v>199582</v>
      </c>
      <c r="AR919" s="1013">
        <v>0</v>
      </c>
      <c r="AS919" s="1013">
        <v>0</v>
      </c>
      <c r="AT919" s="1045">
        <f t="shared" si="193"/>
        <v>18298002</v>
      </c>
      <c r="AU919" s="1004"/>
      <c r="AV919" s="870"/>
      <c r="AW919" s="782" t="s">
        <v>5064</v>
      </c>
      <c r="AX919" s="782" t="s">
        <v>5065</v>
      </c>
      <c r="AY919" s="1007" t="s">
        <v>221</v>
      </c>
      <c r="AZ919" s="1007">
        <v>622</v>
      </c>
      <c r="BA919" s="347" t="str">
        <f t="shared" si="188"/>
        <v>Bag</v>
      </c>
      <c r="BB919" s="1008"/>
      <c r="BC919" s="1009"/>
      <c r="BD919" s="1009"/>
    </row>
    <row r="920" spans="1:56" s="1010" customFormat="1" ht="36.75" customHeight="1">
      <c r="A920" s="661">
        <f>SUBTOTAL(3,B$6:B920)</f>
        <v>915</v>
      </c>
      <c r="B920" s="661" t="s">
        <v>2659</v>
      </c>
      <c r="C920" s="662" t="s">
        <v>2660</v>
      </c>
      <c r="D920" s="1011">
        <v>43438</v>
      </c>
      <c r="E920" s="1011" t="s">
        <v>221</v>
      </c>
      <c r="F920" s="787" t="s">
        <v>533</v>
      </c>
      <c r="G920" s="996" t="s">
        <v>2599</v>
      </c>
      <c r="H920" s="1012">
        <v>10283000</v>
      </c>
      <c r="I920" s="1012">
        <v>8000000</v>
      </c>
      <c r="J920" s="1012">
        <v>514000</v>
      </c>
      <c r="K920" s="1012">
        <v>1173000</v>
      </c>
      <c r="L920" s="1013">
        <f t="shared" si="187"/>
        <v>19970000</v>
      </c>
      <c r="M920" s="1014">
        <v>23.9</v>
      </c>
      <c r="N920" s="1013">
        <f t="shared" si="189"/>
        <v>18357038</v>
      </c>
      <c r="O920" s="1015">
        <v>2</v>
      </c>
      <c r="P920" s="1013">
        <f t="shared" si="190"/>
        <v>1536154</v>
      </c>
      <c r="Q920" s="1016">
        <v>6.5</v>
      </c>
      <c r="R920" s="1013">
        <f t="shared" si="191"/>
        <v>187219</v>
      </c>
      <c r="S920" s="1013">
        <f t="shared" si="192"/>
        <v>20080411</v>
      </c>
      <c r="T920" s="1017">
        <v>498077</v>
      </c>
      <c r="U920" s="785">
        <v>30000</v>
      </c>
      <c r="V920" s="785">
        <v>200000</v>
      </c>
      <c r="W920" s="1017">
        <v>500000</v>
      </c>
      <c r="X920" s="1017">
        <v>0</v>
      </c>
      <c r="Y920" s="1017">
        <v>400000</v>
      </c>
      <c r="Z920" s="1017">
        <v>697935</v>
      </c>
      <c r="AA920" s="1018"/>
      <c r="AB920" s="1013"/>
      <c r="AC920" s="1017">
        <v>0</v>
      </c>
      <c r="AD920" s="1017">
        <v>0</v>
      </c>
      <c r="AE920" s="1013">
        <v>0</v>
      </c>
      <c r="AF920" s="1019"/>
      <c r="AG920" s="1019">
        <f t="shared" si="195"/>
        <v>22406423</v>
      </c>
      <c r="AH920" s="1014">
        <v>56</v>
      </c>
      <c r="AI920" s="1014">
        <v>8</v>
      </c>
      <c r="AJ920" s="1014">
        <v>0</v>
      </c>
      <c r="AK920" s="1018">
        <v>0</v>
      </c>
      <c r="AL920" s="1020">
        <v>0</v>
      </c>
      <c r="AM920" s="1013">
        <f t="shared" si="194"/>
        <v>9600961</v>
      </c>
      <c r="AN920" s="1045">
        <f t="shared" si="186"/>
        <v>32007384</v>
      </c>
      <c r="AO920" s="1013">
        <v>2096850</v>
      </c>
      <c r="AP920" s="1013">
        <v>44100</v>
      </c>
      <c r="AQ920" s="1013">
        <v>356889</v>
      </c>
      <c r="AR920" s="1013">
        <v>0</v>
      </c>
      <c r="AS920" s="1013">
        <v>0</v>
      </c>
      <c r="AT920" s="1045">
        <f t="shared" si="193"/>
        <v>29509545</v>
      </c>
      <c r="AU920" s="1004"/>
      <c r="AV920" s="870"/>
      <c r="AW920" s="782" t="s">
        <v>5066</v>
      </c>
      <c r="AX920" s="782" t="s">
        <v>5067</v>
      </c>
      <c r="AY920" s="1007" t="s">
        <v>221</v>
      </c>
      <c r="AZ920" s="1007">
        <v>622</v>
      </c>
      <c r="BA920" s="347" t="str">
        <f t="shared" si="188"/>
        <v>Bag</v>
      </c>
      <c r="BB920" s="1008"/>
      <c r="BC920" s="1009"/>
      <c r="BD920" s="1009"/>
    </row>
    <row r="921" spans="1:56" s="1010" customFormat="1" ht="36.75" customHeight="1">
      <c r="A921" s="661">
        <f>SUBTOTAL(3,B$6:B921)</f>
        <v>916</v>
      </c>
      <c r="B921" s="661" t="s">
        <v>2661</v>
      </c>
      <c r="C921" s="662" t="s">
        <v>2662</v>
      </c>
      <c r="D921" s="1011">
        <v>43516</v>
      </c>
      <c r="E921" s="1011" t="s">
        <v>221</v>
      </c>
      <c r="F921" s="787" t="s">
        <v>533</v>
      </c>
      <c r="G921" s="996" t="s">
        <v>2602</v>
      </c>
      <c r="H921" s="1012">
        <v>9283000</v>
      </c>
      <c r="I921" s="1012">
        <v>3000000</v>
      </c>
      <c r="J921" s="1012">
        <v>464000</v>
      </c>
      <c r="K921" s="1012">
        <v>272000</v>
      </c>
      <c r="L921" s="1013">
        <f t="shared" si="187"/>
        <v>13019000</v>
      </c>
      <c r="M921" s="1014">
        <v>23.8</v>
      </c>
      <c r="N921" s="1013">
        <f t="shared" si="189"/>
        <v>11917392</v>
      </c>
      <c r="O921" s="1015">
        <v>2</v>
      </c>
      <c r="P921" s="1013">
        <f t="shared" si="190"/>
        <v>1001462</v>
      </c>
      <c r="Q921" s="1016">
        <v>58.5</v>
      </c>
      <c r="R921" s="1013">
        <f t="shared" si="191"/>
        <v>1098478</v>
      </c>
      <c r="S921" s="1013">
        <f t="shared" si="192"/>
        <v>14017332</v>
      </c>
      <c r="T921" s="1017">
        <v>496154</v>
      </c>
      <c r="U921" s="785">
        <v>270000</v>
      </c>
      <c r="V921" s="785">
        <v>200000</v>
      </c>
      <c r="W921" s="1017">
        <v>500000</v>
      </c>
      <c r="X921" s="1017">
        <v>0</v>
      </c>
      <c r="Y921" s="1017">
        <v>400000</v>
      </c>
      <c r="Z921" s="1017">
        <v>290075</v>
      </c>
      <c r="AA921" s="1018"/>
      <c r="AB921" s="1013"/>
      <c r="AC921" s="1017">
        <v>0</v>
      </c>
      <c r="AD921" s="1017">
        <v>0</v>
      </c>
      <c r="AE921" s="1013">
        <v>0</v>
      </c>
      <c r="AF921" s="1019"/>
      <c r="AG921" s="1019">
        <f t="shared" si="195"/>
        <v>16173561</v>
      </c>
      <c r="AH921" s="1014">
        <v>33.5</v>
      </c>
      <c r="AI921" s="1014">
        <v>0</v>
      </c>
      <c r="AJ921" s="1014">
        <v>12</v>
      </c>
      <c r="AK921" s="1018">
        <v>0</v>
      </c>
      <c r="AL921" s="1020">
        <v>0</v>
      </c>
      <c r="AM921" s="1013">
        <f t="shared" si="194"/>
        <v>4722517</v>
      </c>
      <c r="AN921" s="1045">
        <f t="shared" si="186"/>
        <v>20896078</v>
      </c>
      <c r="AO921" s="1013">
        <v>1366995</v>
      </c>
      <c r="AP921" s="1013">
        <v>44100</v>
      </c>
      <c r="AQ921" s="1013">
        <v>265984</v>
      </c>
      <c r="AR921" s="1013">
        <v>0</v>
      </c>
      <c r="AS921" s="1013">
        <v>0</v>
      </c>
      <c r="AT921" s="1045">
        <f t="shared" si="193"/>
        <v>19218999</v>
      </c>
      <c r="AU921" s="1004"/>
      <c r="AV921" s="870"/>
      <c r="AW921" s="782" t="s">
        <v>5068</v>
      </c>
      <c r="AX921" s="782" t="s">
        <v>5069</v>
      </c>
      <c r="AY921" s="1007" t="s">
        <v>221</v>
      </c>
      <c r="AZ921" s="1007">
        <v>622</v>
      </c>
      <c r="BA921" s="347" t="str">
        <f t="shared" si="188"/>
        <v>Bag</v>
      </c>
      <c r="BB921" s="1008"/>
      <c r="BC921" s="1009"/>
      <c r="BD921" s="1009"/>
    </row>
    <row r="922" spans="1:56" s="1010" customFormat="1" ht="36.75" customHeight="1">
      <c r="A922" s="661">
        <f>SUBTOTAL(3,B$6:B922)</f>
        <v>917</v>
      </c>
      <c r="B922" s="661" t="s">
        <v>2663</v>
      </c>
      <c r="C922" s="662" t="s">
        <v>2664</v>
      </c>
      <c r="D922" s="1011">
        <v>43525</v>
      </c>
      <c r="E922" s="1011" t="s">
        <v>221</v>
      </c>
      <c r="F922" s="787" t="s">
        <v>533</v>
      </c>
      <c r="G922" s="996" t="s">
        <v>2608</v>
      </c>
      <c r="H922" s="1012">
        <v>9283000</v>
      </c>
      <c r="I922" s="1012">
        <v>4800000</v>
      </c>
      <c r="J922" s="1012">
        <v>464000</v>
      </c>
      <c r="K922" s="1012">
        <v>1284000</v>
      </c>
      <c r="L922" s="1013">
        <f t="shared" si="187"/>
        <v>15831000</v>
      </c>
      <c r="M922" s="1014">
        <v>23</v>
      </c>
      <c r="N922" s="1013">
        <f t="shared" si="189"/>
        <v>14004346</v>
      </c>
      <c r="O922" s="1015">
        <v>3</v>
      </c>
      <c r="P922" s="1013">
        <f t="shared" si="190"/>
        <v>1826654</v>
      </c>
      <c r="Q922" s="1016">
        <v>32.5</v>
      </c>
      <c r="R922" s="1013">
        <f t="shared" si="191"/>
        <v>742078</v>
      </c>
      <c r="S922" s="1013">
        <f t="shared" si="192"/>
        <v>16573078</v>
      </c>
      <c r="T922" s="1017">
        <v>500000</v>
      </c>
      <c r="U922" s="785">
        <v>150000</v>
      </c>
      <c r="V922" s="785">
        <v>200000</v>
      </c>
      <c r="W922" s="1017">
        <v>500000</v>
      </c>
      <c r="X922" s="1017">
        <v>0</v>
      </c>
      <c r="Y922" s="1017">
        <v>400000</v>
      </c>
      <c r="Z922" s="1017">
        <v>175040</v>
      </c>
      <c r="AA922" s="1018"/>
      <c r="AB922" s="1013"/>
      <c r="AC922" s="1017">
        <v>0</v>
      </c>
      <c r="AD922" s="1017">
        <v>0</v>
      </c>
      <c r="AE922" s="1013">
        <v>0</v>
      </c>
      <c r="AF922" s="1019"/>
      <c r="AG922" s="1019">
        <f t="shared" si="195"/>
        <v>18498118</v>
      </c>
      <c r="AH922" s="1014">
        <v>42</v>
      </c>
      <c r="AI922" s="1014">
        <v>8</v>
      </c>
      <c r="AJ922" s="1014">
        <v>8</v>
      </c>
      <c r="AK922" s="1018">
        <v>0</v>
      </c>
      <c r="AL922" s="1020">
        <v>0</v>
      </c>
      <c r="AM922" s="1013">
        <f t="shared" si="194"/>
        <v>7291393</v>
      </c>
      <c r="AN922" s="1045">
        <f t="shared" si="186"/>
        <v>25789511</v>
      </c>
      <c r="AO922" s="1013">
        <v>1662255</v>
      </c>
      <c r="AP922" s="1013">
        <v>44100</v>
      </c>
      <c r="AQ922" s="1013">
        <v>660820</v>
      </c>
      <c r="AR922" s="1013">
        <v>0</v>
      </c>
      <c r="AS922" s="1013">
        <v>0</v>
      </c>
      <c r="AT922" s="1045">
        <f t="shared" si="193"/>
        <v>23422336</v>
      </c>
      <c r="AU922" s="1004"/>
      <c r="AV922" s="870"/>
      <c r="AW922" s="782" t="s">
        <v>5070</v>
      </c>
      <c r="AX922" s="782" t="s">
        <v>5071</v>
      </c>
      <c r="AY922" s="1007" t="s">
        <v>221</v>
      </c>
      <c r="AZ922" s="1007">
        <v>622</v>
      </c>
      <c r="BA922" s="347" t="str">
        <f t="shared" si="188"/>
        <v>Bag</v>
      </c>
      <c r="BB922" s="1008"/>
      <c r="BC922" s="1009"/>
      <c r="BD922" s="1009"/>
    </row>
    <row r="923" spans="1:56" s="1010" customFormat="1" ht="36.75" customHeight="1">
      <c r="A923" s="661">
        <f>SUBTOTAL(3,B$6:B923)</f>
        <v>918</v>
      </c>
      <c r="B923" s="661" t="s">
        <v>2665</v>
      </c>
      <c r="C923" s="662" t="s">
        <v>2666</v>
      </c>
      <c r="D923" s="1011">
        <v>43539</v>
      </c>
      <c r="E923" s="1011" t="s">
        <v>221</v>
      </c>
      <c r="F923" s="787" t="s">
        <v>533</v>
      </c>
      <c r="G923" s="996" t="s">
        <v>2608</v>
      </c>
      <c r="H923" s="1012">
        <v>9283000</v>
      </c>
      <c r="I923" s="1012">
        <v>4100000</v>
      </c>
      <c r="J923" s="1012">
        <v>464000</v>
      </c>
      <c r="K923" s="1012">
        <v>772000</v>
      </c>
      <c r="L923" s="1013">
        <f t="shared" si="187"/>
        <v>14619000</v>
      </c>
      <c r="M923" s="1014">
        <v>21.9</v>
      </c>
      <c r="N923" s="1013">
        <f t="shared" si="189"/>
        <v>12313696</v>
      </c>
      <c r="O923" s="1015">
        <v>2</v>
      </c>
      <c r="P923" s="1013">
        <f t="shared" si="190"/>
        <v>1124538</v>
      </c>
      <c r="Q923" s="1016">
        <v>32</v>
      </c>
      <c r="R923" s="1013">
        <f t="shared" si="191"/>
        <v>674723</v>
      </c>
      <c r="S923" s="1013">
        <f t="shared" si="192"/>
        <v>14112957</v>
      </c>
      <c r="T923" s="1017">
        <v>459615</v>
      </c>
      <c r="U923" s="785">
        <v>150000</v>
      </c>
      <c r="V923" s="785">
        <v>200000</v>
      </c>
      <c r="W923" s="1017">
        <v>0</v>
      </c>
      <c r="X923" s="1017">
        <v>0</v>
      </c>
      <c r="Y923" s="1017">
        <v>300000</v>
      </c>
      <c r="Z923" s="1017">
        <v>281931</v>
      </c>
      <c r="AA923" s="1018"/>
      <c r="AB923" s="1013"/>
      <c r="AC923" s="1017">
        <v>100000</v>
      </c>
      <c r="AD923" s="1017">
        <v>0</v>
      </c>
      <c r="AE923" s="1013">
        <v>0</v>
      </c>
      <c r="AF923" s="1019"/>
      <c r="AG923" s="1019">
        <f t="shared" si="195"/>
        <v>15604503</v>
      </c>
      <c r="AH923" s="1014">
        <v>37</v>
      </c>
      <c r="AI923" s="1014">
        <v>8</v>
      </c>
      <c r="AJ923" s="1014">
        <v>6</v>
      </c>
      <c r="AK923" s="1018">
        <v>0</v>
      </c>
      <c r="AL923" s="1020">
        <v>0</v>
      </c>
      <c r="AM923" s="1013">
        <f t="shared" si="194"/>
        <v>5910855</v>
      </c>
      <c r="AN923" s="1045">
        <f t="shared" si="186"/>
        <v>21515358</v>
      </c>
      <c r="AO923" s="1013">
        <v>1534995</v>
      </c>
      <c r="AP923" s="1013">
        <v>44100</v>
      </c>
      <c r="AQ923" s="1013">
        <v>55982</v>
      </c>
      <c r="AR923" s="1013">
        <v>0</v>
      </c>
      <c r="AS923" s="1013">
        <v>0</v>
      </c>
      <c r="AT923" s="1045">
        <f t="shared" si="193"/>
        <v>19880281</v>
      </c>
      <c r="AU923" s="1004"/>
      <c r="AV923" s="870"/>
      <c r="AW923" s="782" t="s">
        <v>5072</v>
      </c>
      <c r="AX923" s="782" t="s">
        <v>5073</v>
      </c>
      <c r="AY923" s="1007" t="s">
        <v>221</v>
      </c>
      <c r="AZ923" s="1007">
        <v>622</v>
      </c>
      <c r="BA923" s="347" t="str">
        <f t="shared" si="188"/>
        <v>Bag</v>
      </c>
      <c r="BB923" s="1008"/>
      <c r="BC923" s="1009"/>
      <c r="BD923" s="1009"/>
    </row>
    <row r="924" spans="1:56" s="1010" customFormat="1" ht="36.75" customHeight="1">
      <c r="A924" s="661">
        <f>SUBTOTAL(3,B$6:B924)</f>
        <v>919</v>
      </c>
      <c r="B924" s="661" t="s">
        <v>2667</v>
      </c>
      <c r="C924" s="662" t="s">
        <v>2668</v>
      </c>
      <c r="D924" s="1011">
        <v>43612</v>
      </c>
      <c r="E924" s="1011" t="s">
        <v>221</v>
      </c>
      <c r="F924" s="787" t="s">
        <v>249</v>
      </c>
      <c r="G924" s="996" t="s">
        <v>2669</v>
      </c>
      <c r="H924" s="1012">
        <v>9246000</v>
      </c>
      <c r="I924" s="1012">
        <v>2100000</v>
      </c>
      <c r="J924" s="1012">
        <v>462000</v>
      </c>
      <c r="K924" s="1012">
        <v>0</v>
      </c>
      <c r="L924" s="1013">
        <f t="shared" si="187"/>
        <v>11808000</v>
      </c>
      <c r="M924" s="1014">
        <v>24</v>
      </c>
      <c r="N924" s="1013">
        <f t="shared" si="189"/>
        <v>10899692</v>
      </c>
      <c r="O924" s="1015">
        <v>2</v>
      </c>
      <c r="P924" s="1013">
        <f t="shared" si="190"/>
        <v>908308</v>
      </c>
      <c r="Q924" s="1016">
        <v>0</v>
      </c>
      <c r="R924" s="1013">
        <f t="shared" si="191"/>
        <v>0</v>
      </c>
      <c r="S924" s="1013">
        <f t="shared" si="192"/>
        <v>11808000</v>
      </c>
      <c r="T924" s="1017">
        <v>500000</v>
      </c>
      <c r="U924" s="785">
        <v>0</v>
      </c>
      <c r="V924" s="785">
        <v>200000</v>
      </c>
      <c r="W924" s="1017">
        <v>500000</v>
      </c>
      <c r="X924" s="1017">
        <v>0</v>
      </c>
      <c r="Y924" s="1017">
        <v>400000</v>
      </c>
      <c r="Z924" s="1017">
        <v>198764</v>
      </c>
      <c r="AA924" s="1018"/>
      <c r="AB924" s="1013"/>
      <c r="AC924" s="1017">
        <v>0</v>
      </c>
      <c r="AD924" s="1017">
        <v>0</v>
      </c>
      <c r="AE924" s="1013">
        <v>0</v>
      </c>
      <c r="AF924" s="1019"/>
      <c r="AG924" s="1019">
        <f t="shared" si="195"/>
        <v>13606764</v>
      </c>
      <c r="AH924" s="1014">
        <v>64</v>
      </c>
      <c r="AI924" s="1014">
        <v>16</v>
      </c>
      <c r="AJ924" s="1014">
        <v>0</v>
      </c>
      <c r="AK924" s="1018">
        <v>0</v>
      </c>
      <c r="AL924" s="1020">
        <v>0</v>
      </c>
      <c r="AM924" s="1013">
        <f t="shared" si="194"/>
        <v>7266461</v>
      </c>
      <c r="AN924" s="1045">
        <f t="shared" si="186"/>
        <v>20873225</v>
      </c>
      <c r="AO924" s="1013">
        <v>1239840</v>
      </c>
      <c r="AP924" s="1013">
        <v>44100</v>
      </c>
      <c r="AQ924" s="1013">
        <v>0</v>
      </c>
      <c r="AR924" s="1013">
        <v>0</v>
      </c>
      <c r="AS924" s="1013">
        <v>0</v>
      </c>
      <c r="AT924" s="1045">
        <f t="shared" si="193"/>
        <v>19589285</v>
      </c>
      <c r="AU924" s="1004"/>
      <c r="AV924" s="870"/>
      <c r="AW924" s="782" t="s">
        <v>5074</v>
      </c>
      <c r="AX924" s="782" t="s">
        <v>5075</v>
      </c>
      <c r="AY924" s="1007" t="s">
        <v>221</v>
      </c>
      <c r="AZ924" s="1007">
        <v>627</v>
      </c>
      <c r="BA924" s="347" t="str">
        <f t="shared" si="188"/>
        <v>Bag</v>
      </c>
      <c r="BB924" s="1008"/>
      <c r="BC924" s="1009"/>
      <c r="BD924" s="1009"/>
    </row>
    <row r="925" spans="1:56" s="1010" customFormat="1" ht="36.75" customHeight="1">
      <c r="A925" s="661">
        <f>SUBTOTAL(3,B$6:B925)</f>
        <v>920</v>
      </c>
      <c r="B925" s="661" t="s">
        <v>398</v>
      </c>
      <c r="C925" s="662" t="s">
        <v>399</v>
      </c>
      <c r="D925" s="1011">
        <v>42079</v>
      </c>
      <c r="E925" s="1011" t="s">
        <v>221</v>
      </c>
      <c r="F925" s="787" t="s">
        <v>249</v>
      </c>
      <c r="G925" s="996" t="s">
        <v>1311</v>
      </c>
      <c r="H925" s="1012">
        <v>11130000</v>
      </c>
      <c r="I925" s="1012">
        <v>18370000</v>
      </c>
      <c r="J925" s="1012">
        <v>0</v>
      </c>
      <c r="K925" s="1012">
        <v>0</v>
      </c>
      <c r="L925" s="1013">
        <f t="shared" si="187"/>
        <v>29500000</v>
      </c>
      <c r="M925" s="1014">
        <v>23</v>
      </c>
      <c r="N925" s="1013">
        <f t="shared" si="189"/>
        <v>26096154</v>
      </c>
      <c r="O925" s="1015">
        <v>2</v>
      </c>
      <c r="P925" s="1013">
        <f t="shared" si="190"/>
        <v>2269231</v>
      </c>
      <c r="Q925" s="1016">
        <v>0</v>
      </c>
      <c r="R925" s="1013">
        <f t="shared" si="191"/>
        <v>0</v>
      </c>
      <c r="S925" s="1013">
        <f t="shared" si="192"/>
        <v>28365385</v>
      </c>
      <c r="T925" s="1017">
        <v>480769</v>
      </c>
      <c r="U925" s="785">
        <v>0</v>
      </c>
      <c r="V925" s="785">
        <v>0</v>
      </c>
      <c r="W925" s="1017">
        <v>0</v>
      </c>
      <c r="X925" s="1017">
        <v>0</v>
      </c>
      <c r="Y925" s="1017">
        <v>0</v>
      </c>
      <c r="Z925" s="1017">
        <v>0</v>
      </c>
      <c r="AA925" s="1018"/>
      <c r="AB925" s="1013"/>
      <c r="AC925" s="1017">
        <v>0</v>
      </c>
      <c r="AD925" s="1017">
        <v>0</v>
      </c>
      <c r="AE925" s="1013">
        <v>0</v>
      </c>
      <c r="AF925" s="1019"/>
      <c r="AG925" s="1019">
        <f t="shared" si="195"/>
        <v>28846154</v>
      </c>
      <c r="AH925" s="1014">
        <v>0</v>
      </c>
      <c r="AI925" s="1014">
        <v>16</v>
      </c>
      <c r="AJ925" s="1014">
        <v>0</v>
      </c>
      <c r="AK925" s="1018">
        <v>0</v>
      </c>
      <c r="AL925" s="1020">
        <v>0</v>
      </c>
      <c r="AM925" s="1013">
        <f t="shared" si="194"/>
        <v>4538462</v>
      </c>
      <c r="AN925" s="1045">
        <f t="shared" si="186"/>
        <v>33384616</v>
      </c>
      <c r="AO925" s="1013">
        <v>3097500</v>
      </c>
      <c r="AP925" s="1013">
        <v>44100</v>
      </c>
      <c r="AQ925" s="1013">
        <v>0</v>
      </c>
      <c r="AR925" s="1013">
        <v>0</v>
      </c>
      <c r="AS925" s="1013">
        <v>0</v>
      </c>
      <c r="AT925" s="1045">
        <f t="shared" si="193"/>
        <v>30243016</v>
      </c>
      <c r="AU925" s="1004"/>
      <c r="AV925" s="870"/>
      <c r="AW925" s="782" t="s">
        <v>5076</v>
      </c>
      <c r="AX925" s="782" t="s">
        <v>5077</v>
      </c>
      <c r="AY925" s="1007" t="s">
        <v>221</v>
      </c>
      <c r="AZ925" s="1007">
        <v>627</v>
      </c>
      <c r="BA925" s="347" t="s">
        <v>78</v>
      </c>
      <c r="BB925" s="1008"/>
      <c r="BC925" s="1009"/>
      <c r="BD925" s="1009"/>
    </row>
    <row r="926" spans="1:56" s="1010" customFormat="1" ht="36.75" customHeight="1">
      <c r="A926" s="661">
        <f>SUBTOTAL(3,B$6:B926)</f>
        <v>921</v>
      </c>
      <c r="B926" s="661" t="s">
        <v>2670</v>
      </c>
      <c r="C926" s="662" t="s">
        <v>2671</v>
      </c>
      <c r="D926" s="1011">
        <v>43569</v>
      </c>
      <c r="E926" s="1011" t="s">
        <v>221</v>
      </c>
      <c r="F926" s="787" t="s">
        <v>534</v>
      </c>
      <c r="G926" s="996" t="s">
        <v>872</v>
      </c>
      <c r="H926" s="1012">
        <v>5931000</v>
      </c>
      <c r="I926" s="1012">
        <v>2300000</v>
      </c>
      <c r="J926" s="1012">
        <v>0</v>
      </c>
      <c r="K926" s="1012">
        <v>0</v>
      </c>
      <c r="L926" s="1013">
        <f t="shared" si="187"/>
        <v>8231000</v>
      </c>
      <c r="M926" s="1014">
        <v>23</v>
      </c>
      <c r="N926" s="1013">
        <f t="shared" si="189"/>
        <v>7281269</v>
      </c>
      <c r="O926" s="1015">
        <v>3</v>
      </c>
      <c r="P926" s="1013">
        <f t="shared" si="190"/>
        <v>949731</v>
      </c>
      <c r="Q926" s="1016">
        <v>32.5</v>
      </c>
      <c r="R926" s="1013">
        <f t="shared" si="191"/>
        <v>385828</v>
      </c>
      <c r="S926" s="1013">
        <f t="shared" si="192"/>
        <v>8616828</v>
      </c>
      <c r="T926" s="1017">
        <v>0</v>
      </c>
      <c r="U926" s="785">
        <v>150000</v>
      </c>
      <c r="V926" s="785">
        <v>200000</v>
      </c>
      <c r="W926" s="1017">
        <v>500000</v>
      </c>
      <c r="X926" s="1017">
        <v>0</v>
      </c>
      <c r="Y926" s="1017">
        <v>400000</v>
      </c>
      <c r="Z926" s="1017">
        <v>475339</v>
      </c>
      <c r="AA926" s="1018"/>
      <c r="AB926" s="1013"/>
      <c r="AC926" s="1017">
        <v>0</v>
      </c>
      <c r="AD926" s="1017">
        <v>0</v>
      </c>
      <c r="AE926" s="1013">
        <v>0</v>
      </c>
      <c r="AF926" s="1019"/>
      <c r="AG926" s="1019">
        <f t="shared" si="195"/>
        <v>10342167</v>
      </c>
      <c r="AH926" s="1014">
        <v>32</v>
      </c>
      <c r="AI926" s="1014">
        <v>0</v>
      </c>
      <c r="AJ926" s="1014">
        <v>0</v>
      </c>
      <c r="AK926" s="1018">
        <v>0</v>
      </c>
      <c r="AL926" s="1020">
        <v>0</v>
      </c>
      <c r="AM926" s="1013">
        <f t="shared" si="194"/>
        <v>1899461</v>
      </c>
      <c r="AN926" s="1045">
        <f t="shared" si="186"/>
        <v>12241628</v>
      </c>
      <c r="AO926" s="1013">
        <v>864255</v>
      </c>
      <c r="AP926" s="1013">
        <v>44100</v>
      </c>
      <c r="AQ926" s="1013">
        <v>0</v>
      </c>
      <c r="AR926" s="1013">
        <v>0</v>
      </c>
      <c r="AS926" s="1013">
        <v>0</v>
      </c>
      <c r="AT926" s="1045">
        <f t="shared" si="193"/>
        <v>11333273</v>
      </c>
      <c r="AU926" s="1004"/>
      <c r="AV926" s="870"/>
      <c r="AW926" s="782" t="s">
        <v>5078</v>
      </c>
      <c r="AX926" s="782" t="s">
        <v>5079</v>
      </c>
      <c r="AY926" s="1007" t="s">
        <v>221</v>
      </c>
      <c r="AZ926" s="1007">
        <v>622</v>
      </c>
      <c r="BA926" s="347" t="str">
        <f t="shared" ref="BA926:BA989" si="196">+IF(AY926="SK1 Box","Box",IF(AY926="Seaman","Seaman","Bag"))</f>
        <v>Bag</v>
      </c>
      <c r="BB926" s="1008"/>
      <c r="BC926" s="1009"/>
      <c r="BD926" s="1009"/>
    </row>
    <row r="927" spans="1:56" s="1010" customFormat="1" ht="36.75" customHeight="1">
      <c r="A927" s="661">
        <f>SUBTOTAL(3,B$6:B927)</f>
        <v>922</v>
      </c>
      <c r="B927" s="661" t="s">
        <v>2672</v>
      </c>
      <c r="C927" s="662" t="s">
        <v>2673</v>
      </c>
      <c r="D927" s="1011">
        <v>44030</v>
      </c>
      <c r="E927" s="1011" t="s">
        <v>221</v>
      </c>
      <c r="F927" s="787" t="s">
        <v>534</v>
      </c>
      <c r="G927" s="996" t="s">
        <v>872</v>
      </c>
      <c r="H927" s="1012">
        <v>5931000</v>
      </c>
      <c r="I927" s="1012">
        <v>2000000</v>
      </c>
      <c r="J927" s="1012">
        <v>0</v>
      </c>
      <c r="K927" s="1012">
        <v>0</v>
      </c>
      <c r="L927" s="1013">
        <f t="shared" si="187"/>
        <v>7931000</v>
      </c>
      <c r="M927" s="1014">
        <v>23.5</v>
      </c>
      <c r="N927" s="1013">
        <f t="shared" si="189"/>
        <v>7168404</v>
      </c>
      <c r="O927" s="1015">
        <v>2</v>
      </c>
      <c r="P927" s="1013">
        <f t="shared" si="190"/>
        <v>610077</v>
      </c>
      <c r="Q927" s="1016">
        <v>32.5</v>
      </c>
      <c r="R927" s="1013">
        <f t="shared" si="191"/>
        <v>371766</v>
      </c>
      <c r="S927" s="1013">
        <f t="shared" si="192"/>
        <v>8150247</v>
      </c>
      <c r="T927" s="1017">
        <v>0</v>
      </c>
      <c r="U927" s="785">
        <v>150000</v>
      </c>
      <c r="V927" s="785">
        <v>200000</v>
      </c>
      <c r="W927" s="1017">
        <v>500000</v>
      </c>
      <c r="X927" s="1017">
        <v>0</v>
      </c>
      <c r="Y927" s="1017">
        <v>300000</v>
      </c>
      <c r="Z927" s="1017">
        <v>409618</v>
      </c>
      <c r="AA927" s="1018"/>
      <c r="AB927" s="1013"/>
      <c r="AC927" s="1017">
        <v>0</v>
      </c>
      <c r="AD927" s="1017">
        <v>0</v>
      </c>
      <c r="AE927" s="1013">
        <v>0</v>
      </c>
      <c r="AF927" s="1019"/>
      <c r="AG927" s="1019">
        <f t="shared" si="195"/>
        <v>9709865</v>
      </c>
      <c r="AH927" s="1014">
        <v>28</v>
      </c>
      <c r="AI927" s="1014">
        <v>0</v>
      </c>
      <c r="AJ927" s="1014">
        <v>0</v>
      </c>
      <c r="AK927" s="1018">
        <v>0</v>
      </c>
      <c r="AL927" s="1020">
        <v>0</v>
      </c>
      <c r="AM927" s="1013">
        <f t="shared" si="194"/>
        <v>1601452</v>
      </c>
      <c r="AN927" s="1045">
        <f t="shared" si="186"/>
        <v>11311317</v>
      </c>
      <c r="AO927" s="1013">
        <v>832755</v>
      </c>
      <c r="AP927" s="1013">
        <v>44100</v>
      </c>
      <c r="AQ927" s="1013">
        <v>0</v>
      </c>
      <c r="AR927" s="1013">
        <v>0</v>
      </c>
      <c r="AS927" s="1013">
        <v>0</v>
      </c>
      <c r="AT927" s="1045">
        <f t="shared" si="193"/>
        <v>10434462</v>
      </c>
      <c r="AU927" s="1004"/>
      <c r="AV927" s="870"/>
      <c r="AW927" s="782" t="s">
        <v>5080</v>
      </c>
      <c r="AX927" s="782" t="s">
        <v>5081</v>
      </c>
      <c r="AY927" s="1007" t="s">
        <v>221</v>
      </c>
      <c r="AZ927" s="1007">
        <v>622</v>
      </c>
      <c r="BA927" s="347" t="str">
        <f t="shared" si="196"/>
        <v>Bag</v>
      </c>
      <c r="BB927" s="1008"/>
      <c r="BC927" s="1009"/>
      <c r="BD927" s="1009"/>
    </row>
    <row r="928" spans="1:56" s="1010" customFormat="1" ht="36.75" customHeight="1">
      <c r="A928" s="661">
        <f>SUBTOTAL(3,B$6:B928)</f>
        <v>923</v>
      </c>
      <c r="B928" s="661" t="s">
        <v>2674</v>
      </c>
      <c r="C928" s="662" t="s">
        <v>2675</v>
      </c>
      <c r="D928" s="1011">
        <v>44251</v>
      </c>
      <c r="E928" s="1011" t="s">
        <v>221</v>
      </c>
      <c r="F928" s="787" t="s">
        <v>534</v>
      </c>
      <c r="G928" s="996" t="s">
        <v>872</v>
      </c>
      <c r="H928" s="1012">
        <v>5931000</v>
      </c>
      <c r="I928" s="1012">
        <v>2000000</v>
      </c>
      <c r="J928" s="1012">
        <v>0</v>
      </c>
      <c r="K928" s="1012">
        <v>0</v>
      </c>
      <c r="L928" s="1013">
        <f t="shared" si="187"/>
        <v>7931000</v>
      </c>
      <c r="M928" s="1014">
        <v>23.8</v>
      </c>
      <c r="N928" s="1013">
        <f t="shared" si="189"/>
        <v>7259915</v>
      </c>
      <c r="O928" s="1015">
        <v>2</v>
      </c>
      <c r="P928" s="1013">
        <f t="shared" si="190"/>
        <v>610077</v>
      </c>
      <c r="Q928" s="1016">
        <v>26</v>
      </c>
      <c r="R928" s="1013">
        <f t="shared" si="191"/>
        <v>297412</v>
      </c>
      <c r="S928" s="1013">
        <f t="shared" si="192"/>
        <v>8167404</v>
      </c>
      <c r="T928" s="1017">
        <v>0</v>
      </c>
      <c r="U928" s="785">
        <v>120000</v>
      </c>
      <c r="V928" s="785">
        <v>200000</v>
      </c>
      <c r="W928" s="1017">
        <v>500000</v>
      </c>
      <c r="X928" s="1017">
        <v>0</v>
      </c>
      <c r="Y928" s="1017">
        <v>400000</v>
      </c>
      <c r="Z928" s="1017">
        <v>500321</v>
      </c>
      <c r="AA928" s="1018"/>
      <c r="AB928" s="1013"/>
      <c r="AC928" s="1017">
        <v>0</v>
      </c>
      <c r="AD928" s="1017">
        <v>0</v>
      </c>
      <c r="AE928" s="1013">
        <v>0</v>
      </c>
      <c r="AF928" s="1019"/>
      <c r="AG928" s="1019">
        <f t="shared" si="195"/>
        <v>9887725</v>
      </c>
      <c r="AH928" s="1014">
        <v>44</v>
      </c>
      <c r="AI928" s="1014">
        <v>0</v>
      </c>
      <c r="AJ928" s="1014">
        <v>0</v>
      </c>
      <c r="AK928" s="1018">
        <v>0</v>
      </c>
      <c r="AL928" s="1020">
        <v>0</v>
      </c>
      <c r="AM928" s="1013">
        <f t="shared" si="194"/>
        <v>2516567</v>
      </c>
      <c r="AN928" s="1045">
        <f t="shared" ref="AN928:AN990" si="197">ROUND(AG928+AM928,0)</f>
        <v>12404292</v>
      </c>
      <c r="AO928" s="1013">
        <v>832755</v>
      </c>
      <c r="AP928" s="1013">
        <v>44100</v>
      </c>
      <c r="AQ928" s="1013">
        <v>0</v>
      </c>
      <c r="AR928" s="1013">
        <v>0</v>
      </c>
      <c r="AS928" s="1013">
        <v>0</v>
      </c>
      <c r="AT928" s="1045">
        <f t="shared" si="193"/>
        <v>11527437</v>
      </c>
      <c r="AU928" s="1004"/>
      <c r="AV928" s="870"/>
      <c r="AW928" s="782" t="s">
        <v>5082</v>
      </c>
      <c r="AX928" s="782" t="s">
        <v>5083</v>
      </c>
      <c r="AY928" s="1007" t="s">
        <v>221</v>
      </c>
      <c r="AZ928" s="1007">
        <v>622</v>
      </c>
      <c r="BA928" s="347" t="str">
        <f t="shared" si="196"/>
        <v>Bag</v>
      </c>
      <c r="BB928" s="1008"/>
      <c r="BC928" s="1009"/>
      <c r="BD928" s="1009"/>
    </row>
    <row r="929" spans="1:56" s="1010" customFormat="1" ht="36.75" customHeight="1">
      <c r="A929" s="661">
        <f>SUBTOTAL(3,B$6:B929)</f>
        <v>924</v>
      </c>
      <c r="B929" s="661" t="s">
        <v>2676</v>
      </c>
      <c r="C929" s="662" t="s">
        <v>2677</v>
      </c>
      <c r="D929" s="1011">
        <v>44293</v>
      </c>
      <c r="E929" s="1011" t="s">
        <v>221</v>
      </c>
      <c r="F929" s="787" t="s">
        <v>534</v>
      </c>
      <c r="G929" s="996" t="s">
        <v>872</v>
      </c>
      <c r="H929" s="1012">
        <v>5931000</v>
      </c>
      <c r="I929" s="1012">
        <v>2000000</v>
      </c>
      <c r="J929" s="1012">
        <v>0</v>
      </c>
      <c r="K929" s="1012">
        <v>0</v>
      </c>
      <c r="L929" s="1013">
        <f t="shared" si="187"/>
        <v>7931000</v>
      </c>
      <c r="M929" s="1014">
        <v>23</v>
      </c>
      <c r="N929" s="1013">
        <f t="shared" si="189"/>
        <v>7015885</v>
      </c>
      <c r="O929" s="1015">
        <v>3</v>
      </c>
      <c r="P929" s="1013">
        <f t="shared" si="190"/>
        <v>915115</v>
      </c>
      <c r="Q929" s="1016">
        <v>32.5</v>
      </c>
      <c r="R929" s="1013">
        <f t="shared" si="191"/>
        <v>371766</v>
      </c>
      <c r="S929" s="1013">
        <f t="shared" si="192"/>
        <v>8302766</v>
      </c>
      <c r="T929" s="1017">
        <v>0</v>
      </c>
      <c r="U929" s="785">
        <v>150000</v>
      </c>
      <c r="V929" s="785">
        <v>200000</v>
      </c>
      <c r="W929" s="1017">
        <v>500000</v>
      </c>
      <c r="X929" s="1017">
        <v>0</v>
      </c>
      <c r="Y929" s="1017">
        <v>400000</v>
      </c>
      <c r="Z929" s="1017">
        <v>351268</v>
      </c>
      <c r="AA929" s="1018"/>
      <c r="AB929" s="1013"/>
      <c r="AC929" s="1017">
        <v>0</v>
      </c>
      <c r="AD929" s="1017">
        <v>0</v>
      </c>
      <c r="AE929" s="1013">
        <v>0</v>
      </c>
      <c r="AF929" s="1019"/>
      <c r="AG929" s="1019">
        <f t="shared" si="195"/>
        <v>9904034</v>
      </c>
      <c r="AH929" s="1014">
        <v>28</v>
      </c>
      <c r="AI929" s="1014">
        <v>0</v>
      </c>
      <c r="AJ929" s="1014">
        <v>0</v>
      </c>
      <c r="AK929" s="1018">
        <v>0</v>
      </c>
      <c r="AL929" s="1020">
        <v>0</v>
      </c>
      <c r="AM929" s="1013">
        <f t="shared" si="194"/>
        <v>1601452</v>
      </c>
      <c r="AN929" s="1045">
        <f t="shared" si="197"/>
        <v>11505486</v>
      </c>
      <c r="AO929" s="1013">
        <v>832755</v>
      </c>
      <c r="AP929" s="1013">
        <v>44100</v>
      </c>
      <c r="AQ929" s="1013">
        <v>0</v>
      </c>
      <c r="AR929" s="1013">
        <v>0</v>
      </c>
      <c r="AS929" s="1013">
        <v>0</v>
      </c>
      <c r="AT929" s="1045">
        <f t="shared" si="193"/>
        <v>10628631</v>
      </c>
      <c r="AU929" s="1004"/>
      <c r="AV929" s="870"/>
      <c r="AW929" s="782" t="s">
        <v>5084</v>
      </c>
      <c r="AX929" s="782" t="s">
        <v>5085</v>
      </c>
      <c r="AY929" s="1007" t="s">
        <v>221</v>
      </c>
      <c r="AZ929" s="1007">
        <v>622</v>
      </c>
      <c r="BA929" s="347" t="str">
        <f t="shared" si="196"/>
        <v>Bag</v>
      </c>
      <c r="BB929" s="1008"/>
      <c r="BC929" s="1009"/>
      <c r="BD929" s="1009"/>
    </row>
    <row r="930" spans="1:56" s="1010" customFormat="1" ht="36.75" customHeight="1">
      <c r="A930" s="661">
        <f>SUBTOTAL(3,B$6:B930)</f>
        <v>925</v>
      </c>
      <c r="B930" s="661" t="s">
        <v>2678</v>
      </c>
      <c r="C930" s="662" t="s">
        <v>2679</v>
      </c>
      <c r="D930" s="1011">
        <v>44972</v>
      </c>
      <c r="E930" s="1011" t="s">
        <v>221</v>
      </c>
      <c r="F930" s="787" t="s">
        <v>534</v>
      </c>
      <c r="G930" s="996" t="s">
        <v>2680</v>
      </c>
      <c r="H930" s="1012">
        <v>5815000</v>
      </c>
      <c r="I930" s="1012">
        <v>900000</v>
      </c>
      <c r="J930" s="1012">
        <v>0</v>
      </c>
      <c r="K930" s="1012">
        <v>0</v>
      </c>
      <c r="L930" s="1013">
        <f t="shared" si="187"/>
        <v>6715000</v>
      </c>
      <c r="M930" s="1014">
        <v>24</v>
      </c>
      <c r="N930" s="1013">
        <f t="shared" si="189"/>
        <v>6198462</v>
      </c>
      <c r="O930" s="1015">
        <v>2</v>
      </c>
      <c r="P930" s="1013">
        <f t="shared" si="190"/>
        <v>516538</v>
      </c>
      <c r="Q930" s="1016">
        <v>26</v>
      </c>
      <c r="R930" s="1013">
        <f t="shared" si="191"/>
        <v>251813</v>
      </c>
      <c r="S930" s="1013">
        <f t="shared" si="192"/>
        <v>6966813</v>
      </c>
      <c r="T930" s="1017">
        <v>0</v>
      </c>
      <c r="U930" s="785">
        <v>120000</v>
      </c>
      <c r="V930" s="785">
        <v>200000</v>
      </c>
      <c r="W930" s="1017">
        <v>500000</v>
      </c>
      <c r="X930" s="1017">
        <v>0</v>
      </c>
      <c r="Y930" s="1017">
        <v>400000</v>
      </c>
      <c r="Z930" s="1017">
        <v>500321</v>
      </c>
      <c r="AA930" s="1018"/>
      <c r="AB930" s="1013"/>
      <c r="AC930" s="1017">
        <v>0</v>
      </c>
      <c r="AD930" s="1017">
        <v>0</v>
      </c>
      <c r="AE930" s="1013">
        <v>0</v>
      </c>
      <c r="AF930" s="1019"/>
      <c r="AG930" s="1019">
        <f t="shared" si="195"/>
        <v>8687134</v>
      </c>
      <c r="AH930" s="1014">
        <v>44</v>
      </c>
      <c r="AI930" s="1014">
        <v>0</v>
      </c>
      <c r="AJ930" s="1014">
        <v>0</v>
      </c>
      <c r="AK930" s="1018">
        <v>0</v>
      </c>
      <c r="AL930" s="1020">
        <v>0</v>
      </c>
      <c r="AM930" s="1013">
        <f t="shared" si="194"/>
        <v>2130721</v>
      </c>
      <c r="AN930" s="1045">
        <f t="shared" si="197"/>
        <v>10817855</v>
      </c>
      <c r="AO930" s="1013">
        <v>705075</v>
      </c>
      <c r="AP930" s="1013">
        <v>44100</v>
      </c>
      <c r="AQ930" s="1013">
        <v>0</v>
      </c>
      <c r="AR930" s="1013">
        <v>0</v>
      </c>
      <c r="AS930" s="1013">
        <v>0</v>
      </c>
      <c r="AT930" s="1045">
        <f t="shared" si="193"/>
        <v>10068680</v>
      </c>
      <c r="AU930" s="1004"/>
      <c r="AV930" s="870"/>
      <c r="AW930" s="782" t="s">
        <v>5086</v>
      </c>
      <c r="AX930" s="782" t="s">
        <v>5087</v>
      </c>
      <c r="AY930" s="1007" t="s">
        <v>221</v>
      </c>
      <c r="AZ930" s="1007">
        <v>622</v>
      </c>
      <c r="BA930" s="347" t="str">
        <f t="shared" si="196"/>
        <v>Bag</v>
      </c>
      <c r="BB930" s="1008"/>
      <c r="BC930" s="1009"/>
      <c r="BD930" s="1009"/>
    </row>
    <row r="931" spans="1:56" s="1010" customFormat="1" ht="36.75" customHeight="1">
      <c r="A931" s="661">
        <f>SUBTOTAL(3,B$6:B931)</f>
        <v>926</v>
      </c>
      <c r="B931" s="661" t="s">
        <v>2681</v>
      </c>
      <c r="C931" s="662" t="s">
        <v>2682</v>
      </c>
      <c r="D931" s="1011">
        <v>45345</v>
      </c>
      <c r="E931" s="1011" t="s">
        <v>221</v>
      </c>
      <c r="F931" s="787" t="s">
        <v>534</v>
      </c>
      <c r="G931" s="996" t="s">
        <v>2683</v>
      </c>
      <c r="H931" s="1012">
        <v>5538000</v>
      </c>
      <c r="I931" s="1012">
        <v>600000</v>
      </c>
      <c r="J931" s="1012">
        <v>0</v>
      </c>
      <c r="K931" s="1012">
        <v>0</v>
      </c>
      <c r="L931" s="1013">
        <f t="shared" si="187"/>
        <v>6138000</v>
      </c>
      <c r="M931" s="1014">
        <v>12.9</v>
      </c>
      <c r="N931" s="1013">
        <f t="shared" si="189"/>
        <v>3045392</v>
      </c>
      <c r="O931" s="1015">
        <v>2</v>
      </c>
      <c r="P931" s="1013">
        <f t="shared" si="190"/>
        <v>472154</v>
      </c>
      <c r="Q931" s="1016">
        <v>0</v>
      </c>
      <c r="R931" s="1013">
        <f t="shared" si="191"/>
        <v>0</v>
      </c>
      <c r="S931" s="1013">
        <f t="shared" si="192"/>
        <v>3517546</v>
      </c>
      <c r="T931" s="1017">
        <v>0</v>
      </c>
      <c r="U931" s="785">
        <v>0</v>
      </c>
      <c r="V931" s="785">
        <v>200000</v>
      </c>
      <c r="W931" s="1017">
        <v>0</v>
      </c>
      <c r="X931" s="1017">
        <v>0</v>
      </c>
      <c r="Y931" s="1017">
        <v>0</v>
      </c>
      <c r="Z931" s="1017">
        <v>238628</v>
      </c>
      <c r="AA931" s="1018"/>
      <c r="AB931" s="1013"/>
      <c r="AC931" s="1017">
        <v>0</v>
      </c>
      <c r="AD931" s="1017">
        <v>0</v>
      </c>
      <c r="AE931" s="1013">
        <v>0</v>
      </c>
      <c r="AF931" s="1019"/>
      <c r="AG931" s="1019">
        <f t="shared" si="195"/>
        <v>3956174</v>
      </c>
      <c r="AH931" s="1014">
        <v>28</v>
      </c>
      <c r="AI931" s="1014">
        <v>0</v>
      </c>
      <c r="AJ931" s="1014">
        <v>0</v>
      </c>
      <c r="AK931" s="1018">
        <v>0</v>
      </c>
      <c r="AL931" s="1020">
        <v>0</v>
      </c>
      <c r="AM931" s="1013">
        <f t="shared" si="194"/>
        <v>1239404</v>
      </c>
      <c r="AN931" s="1045">
        <f t="shared" si="197"/>
        <v>5195578</v>
      </c>
      <c r="AO931" s="1013">
        <v>644490</v>
      </c>
      <c r="AP931" s="1013">
        <v>44100</v>
      </c>
      <c r="AQ931" s="1013">
        <v>0</v>
      </c>
      <c r="AR931" s="1013">
        <v>0</v>
      </c>
      <c r="AS931" s="1013">
        <v>0</v>
      </c>
      <c r="AT931" s="1045">
        <f t="shared" si="193"/>
        <v>4506988</v>
      </c>
      <c r="AU931" s="1004"/>
      <c r="AV931" s="870"/>
      <c r="AW931" s="782" t="s">
        <v>5088</v>
      </c>
      <c r="AX931" s="782" t="s">
        <v>5089</v>
      </c>
      <c r="AY931" s="1007" t="s">
        <v>221</v>
      </c>
      <c r="AZ931" s="1007">
        <v>622</v>
      </c>
      <c r="BA931" s="347" t="str">
        <f t="shared" si="196"/>
        <v>Bag</v>
      </c>
      <c r="BB931" s="1008"/>
      <c r="BC931" s="1009"/>
      <c r="BD931" s="1009"/>
    </row>
    <row r="932" spans="1:56" s="1010" customFormat="1" ht="36.75" customHeight="1">
      <c r="A932" s="661">
        <f>SUBTOTAL(3,B$6:B932)</f>
        <v>927</v>
      </c>
      <c r="B932" s="661" t="s">
        <v>2684</v>
      </c>
      <c r="C932" s="662" t="s">
        <v>2685</v>
      </c>
      <c r="D932" s="1011">
        <v>45457</v>
      </c>
      <c r="E932" s="1011" t="s">
        <v>221</v>
      </c>
      <c r="F932" s="787" t="s">
        <v>534</v>
      </c>
      <c r="G932" s="996" t="s">
        <v>1395</v>
      </c>
      <c r="H932" s="1012">
        <v>5274000</v>
      </c>
      <c r="I932" s="1012">
        <v>400000</v>
      </c>
      <c r="J932" s="1012">
        <v>0</v>
      </c>
      <c r="K932" s="1012">
        <v>0</v>
      </c>
      <c r="L932" s="1013">
        <f t="shared" si="187"/>
        <v>5674000</v>
      </c>
      <c r="M932" s="1014">
        <v>23.8</v>
      </c>
      <c r="N932" s="1013">
        <f t="shared" si="189"/>
        <v>5193892</v>
      </c>
      <c r="O932" s="1015">
        <v>2</v>
      </c>
      <c r="P932" s="1013">
        <f t="shared" si="190"/>
        <v>436462</v>
      </c>
      <c r="Q932" s="1016">
        <v>32.5</v>
      </c>
      <c r="R932" s="1013">
        <f t="shared" si="191"/>
        <v>265969</v>
      </c>
      <c r="S932" s="1013">
        <f t="shared" si="192"/>
        <v>5896323</v>
      </c>
      <c r="T932" s="1017">
        <v>0</v>
      </c>
      <c r="U932" s="785">
        <v>150000</v>
      </c>
      <c r="V932" s="785">
        <v>200000</v>
      </c>
      <c r="W932" s="1017">
        <v>500000</v>
      </c>
      <c r="X932" s="1017">
        <v>0</v>
      </c>
      <c r="Y932" s="1017">
        <v>400000</v>
      </c>
      <c r="Z932" s="1017">
        <v>409618</v>
      </c>
      <c r="AA932" s="1018"/>
      <c r="AB932" s="1013"/>
      <c r="AC932" s="1017">
        <v>0</v>
      </c>
      <c r="AD932" s="1017">
        <v>0</v>
      </c>
      <c r="AE932" s="1013">
        <v>0</v>
      </c>
      <c r="AF932" s="1019"/>
      <c r="AG932" s="1019">
        <f t="shared" si="195"/>
        <v>7555941</v>
      </c>
      <c r="AH932" s="1014">
        <v>20</v>
      </c>
      <c r="AI932" s="1014">
        <v>0</v>
      </c>
      <c r="AJ932" s="1014">
        <v>0</v>
      </c>
      <c r="AK932" s="1018">
        <v>0</v>
      </c>
      <c r="AL932" s="1020">
        <v>0</v>
      </c>
      <c r="AM932" s="1013">
        <f t="shared" si="194"/>
        <v>818365</v>
      </c>
      <c r="AN932" s="1045">
        <f t="shared" si="197"/>
        <v>8374306</v>
      </c>
      <c r="AO932" s="1013">
        <v>595770</v>
      </c>
      <c r="AP932" s="1013">
        <v>44100</v>
      </c>
      <c r="AQ932" s="1013">
        <v>0</v>
      </c>
      <c r="AR932" s="1013">
        <v>0</v>
      </c>
      <c r="AS932" s="1013">
        <v>0</v>
      </c>
      <c r="AT932" s="1045">
        <f t="shared" si="193"/>
        <v>7734436</v>
      </c>
      <c r="AU932" s="1004"/>
      <c r="AV932" s="870"/>
      <c r="AW932" s="782" t="s">
        <v>5090</v>
      </c>
      <c r="AX932" s="782" t="s">
        <v>5091</v>
      </c>
      <c r="AY932" s="1007" t="s">
        <v>221</v>
      </c>
      <c r="AZ932" s="1007">
        <v>622</v>
      </c>
      <c r="BA932" s="347" t="str">
        <f t="shared" si="196"/>
        <v>Bag</v>
      </c>
      <c r="BB932" s="1008"/>
      <c r="BC932" s="1009"/>
      <c r="BD932" s="1009"/>
    </row>
    <row r="933" spans="1:56" s="1010" customFormat="1" ht="36.75" customHeight="1">
      <c r="A933" s="661">
        <f>SUBTOTAL(3,B$6:B933)</f>
        <v>928</v>
      </c>
      <c r="B933" s="661" t="s">
        <v>2686</v>
      </c>
      <c r="C933" s="662" t="s">
        <v>2687</v>
      </c>
      <c r="D933" s="1011">
        <v>45490</v>
      </c>
      <c r="E933" s="1011" t="s">
        <v>221</v>
      </c>
      <c r="F933" s="787" t="s">
        <v>534</v>
      </c>
      <c r="G933" s="996" t="s">
        <v>872</v>
      </c>
      <c r="H933" s="1012">
        <v>5274000</v>
      </c>
      <c r="I933" s="1012">
        <v>900000</v>
      </c>
      <c r="J933" s="1012">
        <v>0</v>
      </c>
      <c r="K933" s="1012">
        <v>0</v>
      </c>
      <c r="L933" s="1013">
        <f t="shared" si="187"/>
        <v>6174000</v>
      </c>
      <c r="M933" s="1014">
        <v>24</v>
      </c>
      <c r="N933" s="1013">
        <f t="shared" si="189"/>
        <v>5699077</v>
      </c>
      <c r="O933" s="1015">
        <v>2</v>
      </c>
      <c r="P933" s="1013">
        <f t="shared" si="190"/>
        <v>474923</v>
      </c>
      <c r="Q933" s="1016">
        <v>32.5</v>
      </c>
      <c r="R933" s="1013">
        <f t="shared" si="191"/>
        <v>289406</v>
      </c>
      <c r="S933" s="1013">
        <f t="shared" si="192"/>
        <v>6463406</v>
      </c>
      <c r="T933" s="1017">
        <v>0</v>
      </c>
      <c r="U933" s="785">
        <v>150000</v>
      </c>
      <c r="V933" s="785">
        <v>200000</v>
      </c>
      <c r="W933" s="1017">
        <v>500000</v>
      </c>
      <c r="X933" s="1017">
        <v>0</v>
      </c>
      <c r="Y933" s="1017">
        <v>400000</v>
      </c>
      <c r="Z933" s="1017">
        <v>499028</v>
      </c>
      <c r="AA933" s="1018"/>
      <c r="AB933" s="1013"/>
      <c r="AC933" s="1017">
        <v>0</v>
      </c>
      <c r="AD933" s="1017">
        <v>0</v>
      </c>
      <c r="AE933" s="1013">
        <v>0</v>
      </c>
      <c r="AF933" s="1019"/>
      <c r="AG933" s="1019">
        <f t="shared" si="195"/>
        <v>8212434</v>
      </c>
      <c r="AH933" s="1014">
        <v>40</v>
      </c>
      <c r="AI933" s="1014">
        <v>0</v>
      </c>
      <c r="AJ933" s="1014">
        <v>0</v>
      </c>
      <c r="AK933" s="1018">
        <v>0</v>
      </c>
      <c r="AL933" s="1020">
        <v>0</v>
      </c>
      <c r="AM933" s="1013">
        <f t="shared" si="194"/>
        <v>1780962</v>
      </c>
      <c r="AN933" s="1045">
        <f t="shared" si="197"/>
        <v>9993396</v>
      </c>
      <c r="AO933" s="1013">
        <v>648270</v>
      </c>
      <c r="AP933" s="1013">
        <v>44100</v>
      </c>
      <c r="AQ933" s="1013">
        <v>0</v>
      </c>
      <c r="AR933" s="1013">
        <v>0</v>
      </c>
      <c r="AS933" s="1013">
        <v>0</v>
      </c>
      <c r="AT933" s="1045">
        <f t="shared" si="193"/>
        <v>9301026</v>
      </c>
      <c r="AU933" s="1004"/>
      <c r="AV933" s="870"/>
      <c r="AW933" s="782" t="s">
        <v>5092</v>
      </c>
      <c r="AX933" s="782" t="s">
        <v>5093</v>
      </c>
      <c r="AY933" s="1007" t="s">
        <v>221</v>
      </c>
      <c r="AZ933" s="1007">
        <v>622</v>
      </c>
      <c r="BA933" s="347" t="str">
        <f t="shared" si="196"/>
        <v>Bag</v>
      </c>
      <c r="BB933" s="1008"/>
      <c r="BC933" s="1009"/>
      <c r="BD933" s="1009"/>
    </row>
    <row r="934" spans="1:56" s="1010" customFormat="1" ht="36.75" customHeight="1">
      <c r="A934" s="661">
        <f>SUBTOTAL(3,B$6:B934)</f>
        <v>929</v>
      </c>
      <c r="B934" s="661" t="s">
        <v>2688</v>
      </c>
      <c r="C934" s="662" t="s">
        <v>2689</v>
      </c>
      <c r="D934" s="1011">
        <v>45499</v>
      </c>
      <c r="E934" s="1011" t="s">
        <v>221</v>
      </c>
      <c r="F934" s="787" t="s">
        <v>534</v>
      </c>
      <c r="G934" s="996" t="s">
        <v>1395</v>
      </c>
      <c r="H934" s="1012">
        <v>5274000</v>
      </c>
      <c r="I934" s="1012">
        <v>400000</v>
      </c>
      <c r="J934" s="1012">
        <v>0</v>
      </c>
      <c r="K934" s="1012">
        <v>0</v>
      </c>
      <c r="L934" s="1013">
        <f t="shared" si="187"/>
        <v>5674000</v>
      </c>
      <c r="M934" s="1014">
        <v>23</v>
      </c>
      <c r="N934" s="1013">
        <f t="shared" si="189"/>
        <v>5019308</v>
      </c>
      <c r="O934" s="1015">
        <v>3</v>
      </c>
      <c r="P934" s="1013">
        <f t="shared" si="190"/>
        <v>654692</v>
      </c>
      <c r="Q934" s="1016">
        <v>32.5</v>
      </c>
      <c r="R934" s="1013">
        <f t="shared" si="191"/>
        <v>265969</v>
      </c>
      <c r="S934" s="1013">
        <f t="shared" si="192"/>
        <v>5939969</v>
      </c>
      <c r="T934" s="1017">
        <v>0</v>
      </c>
      <c r="U934" s="785">
        <v>150000</v>
      </c>
      <c r="V934" s="785">
        <v>200000</v>
      </c>
      <c r="W934" s="1017">
        <v>500000</v>
      </c>
      <c r="X934" s="1017">
        <v>0</v>
      </c>
      <c r="Y934" s="1017">
        <v>300000</v>
      </c>
      <c r="Z934" s="1017">
        <v>388953</v>
      </c>
      <c r="AA934" s="1018"/>
      <c r="AB934" s="1013"/>
      <c r="AC934" s="1017">
        <v>0</v>
      </c>
      <c r="AD934" s="1017">
        <v>0</v>
      </c>
      <c r="AE934" s="1013">
        <v>0</v>
      </c>
      <c r="AF934" s="1019"/>
      <c r="AG934" s="1019">
        <f t="shared" si="195"/>
        <v>7478922</v>
      </c>
      <c r="AH934" s="1014">
        <v>16</v>
      </c>
      <c r="AI934" s="1014">
        <v>0</v>
      </c>
      <c r="AJ934" s="1014">
        <v>0</v>
      </c>
      <c r="AK934" s="1018">
        <v>0</v>
      </c>
      <c r="AL934" s="1020">
        <v>0</v>
      </c>
      <c r="AM934" s="1013">
        <f t="shared" si="194"/>
        <v>654692</v>
      </c>
      <c r="AN934" s="1045">
        <f t="shared" si="197"/>
        <v>8133614</v>
      </c>
      <c r="AO934" s="1013">
        <v>595770</v>
      </c>
      <c r="AP934" s="1013">
        <v>44100</v>
      </c>
      <c r="AQ934" s="1013">
        <v>0</v>
      </c>
      <c r="AR934" s="1013">
        <v>0</v>
      </c>
      <c r="AS934" s="1013">
        <v>0</v>
      </c>
      <c r="AT934" s="1045">
        <f t="shared" si="193"/>
        <v>7493744</v>
      </c>
      <c r="AU934" s="1004"/>
      <c r="AV934" s="870"/>
      <c r="AW934" s="782" t="s">
        <v>5094</v>
      </c>
      <c r="AX934" s="782" t="s">
        <v>5095</v>
      </c>
      <c r="AY934" s="1007" t="s">
        <v>221</v>
      </c>
      <c r="AZ934" s="1007">
        <v>622</v>
      </c>
      <c r="BA934" s="347" t="str">
        <f t="shared" si="196"/>
        <v>Bag</v>
      </c>
      <c r="BB934" s="1008"/>
      <c r="BC934" s="1009"/>
      <c r="BD934" s="1009"/>
    </row>
    <row r="935" spans="1:56" s="1010" customFormat="1" ht="36.75" customHeight="1">
      <c r="A935" s="661">
        <f>SUBTOTAL(3,B$6:B935)</f>
        <v>930</v>
      </c>
      <c r="B935" s="661" t="s">
        <v>2690</v>
      </c>
      <c r="C935" s="662" t="s">
        <v>2691</v>
      </c>
      <c r="D935" s="1011">
        <v>45698</v>
      </c>
      <c r="E935" s="1011" t="s">
        <v>221</v>
      </c>
      <c r="F935" s="787" t="s">
        <v>534</v>
      </c>
      <c r="G935" s="996" t="s">
        <v>2692</v>
      </c>
      <c r="H935" s="1012">
        <v>5023000</v>
      </c>
      <c r="I935" s="1012">
        <v>400000</v>
      </c>
      <c r="J935" s="1012">
        <v>0</v>
      </c>
      <c r="K935" s="1012">
        <v>0</v>
      </c>
      <c r="L935" s="1013">
        <f t="shared" si="187"/>
        <v>5423000</v>
      </c>
      <c r="M935" s="1014">
        <v>23</v>
      </c>
      <c r="N935" s="1013">
        <f t="shared" si="189"/>
        <v>4797269</v>
      </c>
      <c r="O935" s="1015">
        <v>3</v>
      </c>
      <c r="P935" s="1013">
        <f t="shared" si="190"/>
        <v>625731</v>
      </c>
      <c r="Q935" s="1016">
        <v>0</v>
      </c>
      <c r="R935" s="1013">
        <f t="shared" si="191"/>
        <v>0</v>
      </c>
      <c r="S935" s="1013">
        <f t="shared" si="192"/>
        <v>5423000</v>
      </c>
      <c r="T935" s="1017">
        <v>0</v>
      </c>
      <c r="U935" s="785">
        <v>0</v>
      </c>
      <c r="V935" s="785">
        <v>200000</v>
      </c>
      <c r="W935" s="1017">
        <v>500000</v>
      </c>
      <c r="X935" s="1017">
        <v>0</v>
      </c>
      <c r="Y935" s="1017">
        <v>400000</v>
      </c>
      <c r="Z935" s="1017">
        <v>403388</v>
      </c>
      <c r="AA935" s="1018"/>
      <c r="AB935" s="1013"/>
      <c r="AC935" s="1017">
        <v>0</v>
      </c>
      <c r="AD935" s="1017">
        <v>0</v>
      </c>
      <c r="AE935" s="1013">
        <v>0</v>
      </c>
      <c r="AF935" s="1019"/>
      <c r="AG935" s="1019">
        <f t="shared" si="195"/>
        <v>6926388</v>
      </c>
      <c r="AH935" s="1014">
        <v>48</v>
      </c>
      <c r="AI935" s="1014">
        <v>0</v>
      </c>
      <c r="AJ935" s="1014">
        <v>0</v>
      </c>
      <c r="AK935" s="1018">
        <v>0</v>
      </c>
      <c r="AL935" s="1020">
        <v>0</v>
      </c>
      <c r="AM935" s="1013">
        <f t="shared" si="194"/>
        <v>1877192</v>
      </c>
      <c r="AN935" s="1045">
        <f t="shared" si="197"/>
        <v>8803580</v>
      </c>
      <c r="AO935" s="1013">
        <v>569415</v>
      </c>
      <c r="AP935" s="1013">
        <v>44100</v>
      </c>
      <c r="AQ935" s="1013">
        <v>0</v>
      </c>
      <c r="AR935" s="1013">
        <v>0</v>
      </c>
      <c r="AS935" s="1013">
        <v>0</v>
      </c>
      <c r="AT935" s="1045">
        <f t="shared" si="193"/>
        <v>8190065</v>
      </c>
      <c r="AU935" s="1004"/>
      <c r="AV935" s="870"/>
      <c r="AW935" s="782" t="s">
        <v>5096</v>
      </c>
      <c r="AX935" s="782" t="s">
        <v>5097</v>
      </c>
      <c r="AY935" s="1007" t="s">
        <v>221</v>
      </c>
      <c r="AZ935" s="1007">
        <v>622</v>
      </c>
      <c r="BA935" s="347" t="str">
        <f t="shared" si="196"/>
        <v>Bag</v>
      </c>
      <c r="BB935" s="1008"/>
      <c r="BC935" s="1009"/>
      <c r="BD935" s="1009"/>
    </row>
    <row r="936" spans="1:56" s="1010" customFormat="1" ht="36.75" customHeight="1">
      <c r="A936" s="661">
        <f>SUBTOTAL(3,B$6:B936)</f>
        <v>931</v>
      </c>
      <c r="B936" s="661" t="s">
        <v>2693</v>
      </c>
      <c r="C936" s="662" t="s">
        <v>2694</v>
      </c>
      <c r="D936" s="1011">
        <v>45698</v>
      </c>
      <c r="E936" s="1011" t="s">
        <v>221</v>
      </c>
      <c r="F936" s="787" t="s">
        <v>534</v>
      </c>
      <c r="G936" s="996" t="s">
        <v>2692</v>
      </c>
      <c r="H936" s="1012">
        <v>5023000</v>
      </c>
      <c r="I936" s="1012">
        <v>400000</v>
      </c>
      <c r="J936" s="1012">
        <v>0</v>
      </c>
      <c r="K936" s="1012">
        <v>0</v>
      </c>
      <c r="L936" s="1013">
        <f t="shared" si="187"/>
        <v>5423000</v>
      </c>
      <c r="M936" s="1014">
        <v>22.8</v>
      </c>
      <c r="N936" s="1013">
        <f t="shared" si="189"/>
        <v>4755554</v>
      </c>
      <c r="O936" s="1015">
        <v>3</v>
      </c>
      <c r="P936" s="1013">
        <f t="shared" si="190"/>
        <v>625731</v>
      </c>
      <c r="Q936" s="1016">
        <v>0</v>
      </c>
      <c r="R936" s="1013">
        <f t="shared" si="191"/>
        <v>0</v>
      </c>
      <c r="S936" s="1013">
        <f t="shared" si="192"/>
        <v>5381285</v>
      </c>
      <c r="T936" s="1017">
        <v>0</v>
      </c>
      <c r="U936" s="785">
        <v>0</v>
      </c>
      <c r="V936" s="785">
        <v>200000</v>
      </c>
      <c r="W936" s="1017">
        <v>500000</v>
      </c>
      <c r="X936" s="1017">
        <v>0</v>
      </c>
      <c r="Y936" s="1017">
        <v>400000</v>
      </c>
      <c r="Z936" s="1017">
        <v>425208</v>
      </c>
      <c r="AA936" s="1018"/>
      <c r="AB936" s="1013"/>
      <c r="AC936" s="1017">
        <v>0</v>
      </c>
      <c r="AD936" s="1017">
        <v>0</v>
      </c>
      <c r="AE936" s="1013">
        <v>0</v>
      </c>
      <c r="AF936" s="1019"/>
      <c r="AG936" s="1019">
        <f t="shared" si="195"/>
        <v>6906493</v>
      </c>
      <c r="AH936" s="1014">
        <v>36</v>
      </c>
      <c r="AI936" s="1014">
        <v>0</v>
      </c>
      <c r="AJ936" s="1014">
        <v>0</v>
      </c>
      <c r="AK936" s="1018">
        <v>0</v>
      </c>
      <c r="AL936" s="1020">
        <v>0</v>
      </c>
      <c r="AM936" s="1013">
        <f t="shared" si="194"/>
        <v>1407894</v>
      </c>
      <c r="AN936" s="1045">
        <f t="shared" si="197"/>
        <v>8314387</v>
      </c>
      <c r="AO936" s="1013">
        <v>569415</v>
      </c>
      <c r="AP936" s="1013">
        <v>44100</v>
      </c>
      <c r="AQ936" s="1013">
        <v>0</v>
      </c>
      <c r="AR936" s="1013">
        <v>0</v>
      </c>
      <c r="AS936" s="1013">
        <v>0</v>
      </c>
      <c r="AT936" s="1045">
        <f t="shared" si="193"/>
        <v>7700872</v>
      </c>
      <c r="AU936" s="1004"/>
      <c r="AV936" s="870"/>
      <c r="AW936" s="782" t="s">
        <v>5098</v>
      </c>
      <c r="AX936" s="782" t="s">
        <v>5099</v>
      </c>
      <c r="AY936" s="1007" t="s">
        <v>221</v>
      </c>
      <c r="AZ936" s="1007">
        <v>622</v>
      </c>
      <c r="BA936" s="347" t="str">
        <f t="shared" si="196"/>
        <v>Bag</v>
      </c>
      <c r="BB936" s="1008"/>
      <c r="BC936" s="1009"/>
      <c r="BD936" s="1009"/>
    </row>
    <row r="937" spans="1:56" s="1010" customFormat="1" ht="36.75" customHeight="1">
      <c r="A937" s="661">
        <f>SUBTOTAL(3,B$6:B937)</f>
        <v>932</v>
      </c>
      <c r="B937" s="661" t="s">
        <v>2695</v>
      </c>
      <c r="C937" s="662" t="s">
        <v>2696</v>
      </c>
      <c r="D937" s="1011">
        <v>45712</v>
      </c>
      <c r="E937" s="1011" t="s">
        <v>221</v>
      </c>
      <c r="F937" s="787" t="s">
        <v>534</v>
      </c>
      <c r="G937" s="996" t="s">
        <v>1395</v>
      </c>
      <c r="H937" s="1012">
        <v>5023000</v>
      </c>
      <c r="I937" s="1012">
        <v>400000</v>
      </c>
      <c r="J937" s="1012">
        <v>0</v>
      </c>
      <c r="K937" s="1012">
        <v>0</v>
      </c>
      <c r="L937" s="1013">
        <f t="shared" si="187"/>
        <v>5423000</v>
      </c>
      <c r="M937" s="1014">
        <v>22.9</v>
      </c>
      <c r="N937" s="1013">
        <f t="shared" si="189"/>
        <v>4776412</v>
      </c>
      <c r="O937" s="1015">
        <v>3</v>
      </c>
      <c r="P937" s="1013">
        <f t="shared" si="190"/>
        <v>625731</v>
      </c>
      <c r="Q937" s="1016">
        <v>0</v>
      </c>
      <c r="R937" s="1013">
        <f t="shared" si="191"/>
        <v>0</v>
      </c>
      <c r="S937" s="1013">
        <f t="shared" si="192"/>
        <v>5402143</v>
      </c>
      <c r="T937" s="1017">
        <v>0</v>
      </c>
      <c r="U937" s="785">
        <v>0</v>
      </c>
      <c r="V937" s="785">
        <v>200000</v>
      </c>
      <c r="W937" s="1017">
        <v>500000</v>
      </c>
      <c r="X937" s="1017">
        <v>0</v>
      </c>
      <c r="Y937" s="1017">
        <v>400000</v>
      </c>
      <c r="Z937" s="1017">
        <v>419590</v>
      </c>
      <c r="AA937" s="1018"/>
      <c r="AB937" s="1013"/>
      <c r="AC937" s="1017">
        <v>0</v>
      </c>
      <c r="AD937" s="1017">
        <v>0</v>
      </c>
      <c r="AE937" s="1013">
        <v>0</v>
      </c>
      <c r="AF937" s="1019"/>
      <c r="AG937" s="1019">
        <f t="shared" si="195"/>
        <v>6921733</v>
      </c>
      <c r="AH937" s="1014">
        <v>36</v>
      </c>
      <c r="AI937" s="1014">
        <v>0</v>
      </c>
      <c r="AJ937" s="1014">
        <v>0</v>
      </c>
      <c r="AK937" s="1018">
        <v>0</v>
      </c>
      <c r="AL937" s="1020">
        <v>0</v>
      </c>
      <c r="AM937" s="1013">
        <f t="shared" si="194"/>
        <v>1407894</v>
      </c>
      <c r="AN937" s="1045">
        <f t="shared" si="197"/>
        <v>8329627</v>
      </c>
      <c r="AO937" s="1013">
        <v>569415</v>
      </c>
      <c r="AP937" s="1013">
        <v>44100</v>
      </c>
      <c r="AQ937" s="1013">
        <v>0</v>
      </c>
      <c r="AR937" s="1013">
        <v>0</v>
      </c>
      <c r="AS937" s="1013">
        <v>0</v>
      </c>
      <c r="AT937" s="1045">
        <f t="shared" si="193"/>
        <v>7716112</v>
      </c>
      <c r="AU937" s="1004"/>
      <c r="AV937" s="870"/>
      <c r="AW937" s="782" t="s">
        <v>5100</v>
      </c>
      <c r="AX937" s="782" t="s">
        <v>5101</v>
      </c>
      <c r="AY937" s="1007" t="s">
        <v>221</v>
      </c>
      <c r="AZ937" s="1007">
        <v>622</v>
      </c>
      <c r="BA937" s="347" t="str">
        <f t="shared" si="196"/>
        <v>Bag</v>
      </c>
      <c r="BB937" s="1008"/>
      <c r="BC937" s="1009"/>
      <c r="BD937" s="1009"/>
    </row>
    <row r="938" spans="1:56" s="1010" customFormat="1" ht="36.75" customHeight="1">
      <c r="A938" s="661">
        <f>SUBTOTAL(3,B$6:B938)</f>
        <v>933</v>
      </c>
      <c r="B938" s="661" t="s">
        <v>2697</v>
      </c>
      <c r="C938" s="662" t="s">
        <v>2698</v>
      </c>
      <c r="D938" s="1011">
        <v>42100</v>
      </c>
      <c r="E938" s="1011" t="s">
        <v>221</v>
      </c>
      <c r="F938" s="787" t="s">
        <v>534</v>
      </c>
      <c r="G938" s="996" t="s">
        <v>1406</v>
      </c>
      <c r="H938" s="1012">
        <v>5931000</v>
      </c>
      <c r="I938" s="1012">
        <v>3300000</v>
      </c>
      <c r="J938" s="1012">
        <v>0</v>
      </c>
      <c r="K938" s="1012">
        <v>400000</v>
      </c>
      <c r="L938" s="1013">
        <f t="shared" ref="L938:L1000" si="198">SUM(H938:K938)</f>
        <v>9631000</v>
      </c>
      <c r="M938" s="1014">
        <v>23.9</v>
      </c>
      <c r="N938" s="1013">
        <f t="shared" si="189"/>
        <v>8853112</v>
      </c>
      <c r="O938" s="1015">
        <v>2</v>
      </c>
      <c r="P938" s="1013">
        <f t="shared" si="190"/>
        <v>740846</v>
      </c>
      <c r="Q938" s="1016">
        <v>0</v>
      </c>
      <c r="R938" s="1013">
        <f t="shared" si="191"/>
        <v>0</v>
      </c>
      <c r="S938" s="1013">
        <f t="shared" si="192"/>
        <v>9593958</v>
      </c>
      <c r="T938" s="1017">
        <v>0</v>
      </c>
      <c r="U938" s="785">
        <v>0</v>
      </c>
      <c r="V938" s="785">
        <v>200000</v>
      </c>
      <c r="W938" s="1017">
        <v>500000</v>
      </c>
      <c r="X938" s="1017">
        <v>0</v>
      </c>
      <c r="Y938" s="1017">
        <v>400000</v>
      </c>
      <c r="Z938" s="1017">
        <v>493194</v>
      </c>
      <c r="AA938" s="1018"/>
      <c r="AB938" s="1013"/>
      <c r="AC938" s="1017">
        <v>100000</v>
      </c>
      <c r="AD938" s="1017">
        <v>0</v>
      </c>
      <c r="AE938" s="1013">
        <v>0</v>
      </c>
      <c r="AF938" s="1019"/>
      <c r="AG938" s="1019">
        <f t="shared" si="195"/>
        <v>11287152</v>
      </c>
      <c r="AH938" s="1014">
        <v>36</v>
      </c>
      <c r="AI938" s="1014">
        <v>0</v>
      </c>
      <c r="AJ938" s="1014">
        <v>0</v>
      </c>
      <c r="AK938" s="1018">
        <v>0</v>
      </c>
      <c r="AL938" s="1020">
        <v>0</v>
      </c>
      <c r="AM938" s="1013">
        <f t="shared" si="194"/>
        <v>2500356</v>
      </c>
      <c r="AN938" s="1045">
        <f t="shared" si="197"/>
        <v>13787508</v>
      </c>
      <c r="AO938" s="1013">
        <v>1011255</v>
      </c>
      <c r="AP938" s="1013">
        <v>44100</v>
      </c>
      <c r="AQ938" s="1013">
        <v>52140</v>
      </c>
      <c r="AR938" s="1013">
        <v>0</v>
      </c>
      <c r="AS938" s="1013">
        <v>0</v>
      </c>
      <c r="AT938" s="1045">
        <f t="shared" si="193"/>
        <v>12680013</v>
      </c>
      <c r="AU938" s="1004"/>
      <c r="AV938" s="870"/>
      <c r="AW938" s="782" t="s">
        <v>5102</v>
      </c>
      <c r="AX938" s="782" t="s">
        <v>5103</v>
      </c>
      <c r="AY938" s="1007" t="s">
        <v>221</v>
      </c>
      <c r="AZ938" s="1007">
        <v>622</v>
      </c>
      <c r="BA938" s="347" t="str">
        <f t="shared" si="196"/>
        <v>Bag</v>
      </c>
      <c r="BB938" s="1008"/>
      <c r="BC938" s="1009"/>
      <c r="BD938" s="1009"/>
    </row>
    <row r="939" spans="1:56" s="1010" customFormat="1" ht="36.75" customHeight="1">
      <c r="A939" s="661">
        <f>SUBTOTAL(3,B$6:B939)</f>
        <v>934</v>
      </c>
      <c r="B939" s="661" t="s">
        <v>2699</v>
      </c>
      <c r="C939" s="662" t="s">
        <v>2700</v>
      </c>
      <c r="D939" s="1011">
        <v>43171</v>
      </c>
      <c r="E939" s="1011" t="s">
        <v>221</v>
      </c>
      <c r="F939" s="787" t="s">
        <v>534</v>
      </c>
      <c r="G939" s="996" t="s">
        <v>973</v>
      </c>
      <c r="H939" s="1012">
        <v>5931000</v>
      </c>
      <c r="I939" s="1012">
        <v>1800000</v>
      </c>
      <c r="J939" s="1012">
        <v>0</v>
      </c>
      <c r="K939" s="1012">
        <v>0</v>
      </c>
      <c r="L939" s="1013">
        <f t="shared" si="198"/>
        <v>7731000</v>
      </c>
      <c r="M939" s="1014">
        <v>23</v>
      </c>
      <c r="N939" s="1013">
        <f t="shared" ref="N939:N1001" si="199">ROUND((H939+I939+J939+K939)/IF($M$2&gt;26,26,$M$2)*M939,0)</f>
        <v>6838962</v>
      </c>
      <c r="O939" s="1015">
        <v>3</v>
      </c>
      <c r="P939" s="1013">
        <f t="shared" ref="P939:P1001" si="200">ROUND((H939+I939+J939+K939)/IF($M$2&gt;26,26,$M$2)*O939,0)</f>
        <v>892038</v>
      </c>
      <c r="Q939" s="1016">
        <v>0</v>
      </c>
      <c r="R939" s="1013">
        <f t="shared" ref="R939:R1001" si="201">IF(M939&gt;0,ROUND(N939/IF(M939&gt;26,26,M939)/8*Q939*30%,0),0)</f>
        <v>0</v>
      </c>
      <c r="S939" s="1013">
        <f t="shared" ref="S939:S1001" si="202">N939+P939+R939</f>
        <v>7731000</v>
      </c>
      <c r="T939" s="1017">
        <v>0</v>
      </c>
      <c r="U939" s="785">
        <v>0</v>
      </c>
      <c r="V939" s="785">
        <v>200000</v>
      </c>
      <c r="W939" s="1017">
        <v>500000</v>
      </c>
      <c r="X939" s="1017">
        <v>0</v>
      </c>
      <c r="Y939" s="1017">
        <v>400000</v>
      </c>
      <c r="Z939" s="1017">
        <v>401280</v>
      </c>
      <c r="AA939" s="1018"/>
      <c r="AB939" s="1013"/>
      <c r="AC939" s="1017">
        <v>0</v>
      </c>
      <c r="AD939" s="1017">
        <v>0</v>
      </c>
      <c r="AE939" s="1013">
        <v>0</v>
      </c>
      <c r="AF939" s="1019"/>
      <c r="AG939" s="1019">
        <f t="shared" si="195"/>
        <v>9232280</v>
      </c>
      <c r="AH939" s="1014">
        <v>20</v>
      </c>
      <c r="AI939" s="1014">
        <v>0</v>
      </c>
      <c r="AJ939" s="1014">
        <v>0</v>
      </c>
      <c r="AK939" s="1018">
        <v>0</v>
      </c>
      <c r="AL939" s="1020">
        <v>0</v>
      </c>
      <c r="AM939" s="1013">
        <f t="shared" si="194"/>
        <v>1115048</v>
      </c>
      <c r="AN939" s="1045">
        <f t="shared" si="197"/>
        <v>10347328</v>
      </c>
      <c r="AO939" s="1013">
        <v>811755</v>
      </c>
      <c r="AP939" s="1013">
        <v>44100</v>
      </c>
      <c r="AQ939" s="1013">
        <v>0</v>
      </c>
      <c r="AR939" s="1013">
        <v>0</v>
      </c>
      <c r="AS939" s="1013">
        <v>0</v>
      </c>
      <c r="AT939" s="1045">
        <f t="shared" si="193"/>
        <v>9491473</v>
      </c>
      <c r="AU939" s="1004"/>
      <c r="AV939" s="870"/>
      <c r="AW939" s="782" t="s">
        <v>5104</v>
      </c>
      <c r="AX939" s="782" t="s">
        <v>5105</v>
      </c>
      <c r="AY939" s="1007" t="s">
        <v>221</v>
      </c>
      <c r="AZ939" s="1007">
        <v>622</v>
      </c>
      <c r="BA939" s="347" t="str">
        <f t="shared" si="196"/>
        <v>Bag</v>
      </c>
      <c r="BB939" s="1008"/>
      <c r="BC939" s="1009"/>
      <c r="BD939" s="1009"/>
    </row>
    <row r="940" spans="1:56" s="1010" customFormat="1" ht="36.75" customHeight="1">
      <c r="A940" s="661">
        <f>SUBTOTAL(3,B$6:B940)</f>
        <v>935</v>
      </c>
      <c r="B940" s="661" t="s">
        <v>2701</v>
      </c>
      <c r="C940" s="662" t="s">
        <v>2702</v>
      </c>
      <c r="D940" s="1011">
        <v>43517</v>
      </c>
      <c r="E940" s="1011" t="s">
        <v>221</v>
      </c>
      <c r="F940" s="787" t="s">
        <v>534</v>
      </c>
      <c r="G940" s="996" t="s">
        <v>973</v>
      </c>
      <c r="H940" s="1012">
        <v>5931000</v>
      </c>
      <c r="I940" s="1012">
        <v>1200000</v>
      </c>
      <c r="J940" s="1012">
        <v>0</v>
      </c>
      <c r="K940" s="1012">
        <v>0</v>
      </c>
      <c r="L940" s="1013">
        <f t="shared" si="198"/>
        <v>7131000</v>
      </c>
      <c r="M940" s="1014">
        <v>23.8</v>
      </c>
      <c r="N940" s="1013">
        <f t="shared" si="199"/>
        <v>6527608</v>
      </c>
      <c r="O940" s="1015">
        <v>2</v>
      </c>
      <c r="P940" s="1013">
        <f t="shared" si="200"/>
        <v>548538</v>
      </c>
      <c r="Q940" s="1016">
        <v>0</v>
      </c>
      <c r="R940" s="1013">
        <f t="shared" si="201"/>
        <v>0</v>
      </c>
      <c r="S940" s="1013">
        <f t="shared" si="202"/>
        <v>7076146</v>
      </c>
      <c r="T940" s="1017">
        <v>0</v>
      </c>
      <c r="U940" s="785">
        <v>0</v>
      </c>
      <c r="V940" s="785">
        <v>200000</v>
      </c>
      <c r="W940" s="1017">
        <v>500000</v>
      </c>
      <c r="X940" s="1017">
        <v>0</v>
      </c>
      <c r="Y940" s="1017">
        <v>400000</v>
      </c>
      <c r="Z940" s="1017">
        <v>546744</v>
      </c>
      <c r="AA940" s="1018"/>
      <c r="AB940" s="1013"/>
      <c r="AC940" s="1017">
        <v>0</v>
      </c>
      <c r="AD940" s="1017">
        <v>0</v>
      </c>
      <c r="AE940" s="1013">
        <v>0</v>
      </c>
      <c r="AF940" s="1019"/>
      <c r="AG940" s="1019">
        <f t="shared" si="195"/>
        <v>8722890</v>
      </c>
      <c r="AH940" s="1014">
        <v>52</v>
      </c>
      <c r="AI940" s="1014">
        <v>0</v>
      </c>
      <c r="AJ940" s="1014">
        <v>0</v>
      </c>
      <c r="AK940" s="1018">
        <v>0</v>
      </c>
      <c r="AL940" s="1020">
        <v>0</v>
      </c>
      <c r="AM940" s="1013">
        <f t="shared" si="194"/>
        <v>2674125</v>
      </c>
      <c r="AN940" s="1045">
        <f t="shared" si="197"/>
        <v>11397015</v>
      </c>
      <c r="AO940" s="1013">
        <v>748755</v>
      </c>
      <c r="AP940" s="1013">
        <v>44100</v>
      </c>
      <c r="AQ940" s="1013">
        <v>0</v>
      </c>
      <c r="AR940" s="1013">
        <v>0</v>
      </c>
      <c r="AS940" s="1013">
        <v>0</v>
      </c>
      <c r="AT940" s="1045">
        <f t="shared" si="193"/>
        <v>10604160</v>
      </c>
      <c r="AU940" s="1004"/>
      <c r="AV940" s="870"/>
      <c r="AW940" s="782" t="s">
        <v>5106</v>
      </c>
      <c r="AX940" s="782" t="s">
        <v>5107</v>
      </c>
      <c r="AY940" s="1007" t="s">
        <v>221</v>
      </c>
      <c r="AZ940" s="1007">
        <v>622</v>
      </c>
      <c r="BA940" s="347" t="str">
        <f t="shared" si="196"/>
        <v>Bag</v>
      </c>
      <c r="BB940" s="1008"/>
      <c r="BC940" s="1009"/>
      <c r="BD940" s="1009"/>
    </row>
    <row r="941" spans="1:56" s="1010" customFormat="1" ht="36.75" customHeight="1">
      <c r="A941" s="661">
        <f>SUBTOTAL(3,B$6:B941)</f>
        <v>936</v>
      </c>
      <c r="B941" s="661" t="s">
        <v>2703</v>
      </c>
      <c r="C941" s="662" t="s">
        <v>2704</v>
      </c>
      <c r="D941" s="1011">
        <v>44014</v>
      </c>
      <c r="E941" s="1011" t="s">
        <v>221</v>
      </c>
      <c r="F941" s="787" t="s">
        <v>250</v>
      </c>
      <c r="G941" s="996" t="s">
        <v>885</v>
      </c>
      <c r="H941" s="1012">
        <v>5931000</v>
      </c>
      <c r="I941" s="1012">
        <v>1100000</v>
      </c>
      <c r="J941" s="1012">
        <v>0</v>
      </c>
      <c r="K941" s="1012">
        <v>100000</v>
      </c>
      <c r="L941" s="1013">
        <f t="shared" si="198"/>
        <v>7131000</v>
      </c>
      <c r="M941" s="1014">
        <v>22.9</v>
      </c>
      <c r="N941" s="1013">
        <f t="shared" si="199"/>
        <v>6280765</v>
      </c>
      <c r="O941" s="1015">
        <v>3</v>
      </c>
      <c r="P941" s="1013">
        <f t="shared" si="200"/>
        <v>822808</v>
      </c>
      <c r="Q941" s="1016">
        <v>26</v>
      </c>
      <c r="R941" s="1013">
        <f t="shared" si="201"/>
        <v>267412</v>
      </c>
      <c r="S941" s="1013">
        <f t="shared" si="202"/>
        <v>7370985</v>
      </c>
      <c r="T941" s="1017">
        <v>0</v>
      </c>
      <c r="U941" s="785">
        <v>120000</v>
      </c>
      <c r="V941" s="785">
        <v>200000</v>
      </c>
      <c r="W941" s="1017">
        <v>500000</v>
      </c>
      <c r="X941" s="1017">
        <v>0</v>
      </c>
      <c r="Y941" s="1017">
        <v>400000</v>
      </c>
      <c r="Z941" s="1017">
        <v>369149</v>
      </c>
      <c r="AA941" s="1018"/>
      <c r="AB941" s="1013"/>
      <c r="AC941" s="1017">
        <v>100000</v>
      </c>
      <c r="AD941" s="1017">
        <v>0</v>
      </c>
      <c r="AE941" s="1013">
        <v>0</v>
      </c>
      <c r="AF941" s="1019"/>
      <c r="AG941" s="1019">
        <f t="shared" si="195"/>
        <v>9060134</v>
      </c>
      <c r="AH941" s="1014">
        <v>41</v>
      </c>
      <c r="AI941" s="1014">
        <v>0</v>
      </c>
      <c r="AJ941" s="1014">
        <v>6</v>
      </c>
      <c r="AK941" s="1018">
        <v>0</v>
      </c>
      <c r="AL941" s="1020">
        <v>0</v>
      </c>
      <c r="AM941" s="1013">
        <f t="shared" si="194"/>
        <v>2540419</v>
      </c>
      <c r="AN941" s="1045">
        <f t="shared" si="197"/>
        <v>11600553</v>
      </c>
      <c r="AO941" s="1013">
        <v>748755</v>
      </c>
      <c r="AP941" s="1013">
        <v>44100</v>
      </c>
      <c r="AQ941" s="1013">
        <v>0</v>
      </c>
      <c r="AR941" s="1013">
        <v>0</v>
      </c>
      <c r="AS941" s="1013">
        <v>0</v>
      </c>
      <c r="AT941" s="1045">
        <f t="shared" ref="AT941:AT1004" si="203">+ROUND(SUM(AN941:AN941)-SUM(AO941:AS941),0)</f>
        <v>10807698</v>
      </c>
      <c r="AU941" s="1004"/>
      <c r="AV941" s="870"/>
      <c r="AW941" s="782" t="s">
        <v>5108</v>
      </c>
      <c r="AX941" s="782" t="s">
        <v>5109</v>
      </c>
      <c r="AY941" s="1007" t="s">
        <v>221</v>
      </c>
      <c r="AZ941" s="1007">
        <v>622</v>
      </c>
      <c r="BA941" s="347" t="str">
        <f t="shared" si="196"/>
        <v>Bag</v>
      </c>
      <c r="BB941" s="1008"/>
      <c r="BC941" s="1009"/>
      <c r="BD941" s="1009"/>
    </row>
    <row r="942" spans="1:56" s="1010" customFormat="1" ht="36.75" customHeight="1">
      <c r="A942" s="661">
        <f>SUBTOTAL(3,B$6:B942)</f>
        <v>937</v>
      </c>
      <c r="B942" s="661" t="s">
        <v>2705</v>
      </c>
      <c r="C942" s="662" t="s">
        <v>2706</v>
      </c>
      <c r="D942" s="1011">
        <v>44016</v>
      </c>
      <c r="E942" s="1011" t="s">
        <v>221</v>
      </c>
      <c r="F942" s="787" t="s">
        <v>250</v>
      </c>
      <c r="G942" s="996" t="s">
        <v>885</v>
      </c>
      <c r="H942" s="1012">
        <v>5931000</v>
      </c>
      <c r="I942" s="1012">
        <v>1100000</v>
      </c>
      <c r="J942" s="1012">
        <v>0</v>
      </c>
      <c r="K942" s="1012">
        <v>100000</v>
      </c>
      <c r="L942" s="1013">
        <f t="shared" si="198"/>
        <v>7131000</v>
      </c>
      <c r="M942" s="1014">
        <v>22</v>
      </c>
      <c r="N942" s="1013">
        <f t="shared" si="199"/>
        <v>6033923</v>
      </c>
      <c r="O942" s="1015">
        <v>2</v>
      </c>
      <c r="P942" s="1013">
        <f t="shared" si="200"/>
        <v>548538</v>
      </c>
      <c r="Q942" s="1016">
        <v>0</v>
      </c>
      <c r="R942" s="1013">
        <f t="shared" si="201"/>
        <v>0</v>
      </c>
      <c r="S942" s="1013">
        <f t="shared" si="202"/>
        <v>6582461</v>
      </c>
      <c r="T942" s="1017">
        <v>0</v>
      </c>
      <c r="U942" s="785">
        <v>0</v>
      </c>
      <c r="V942" s="785">
        <v>200000</v>
      </c>
      <c r="W942" s="1017">
        <v>0</v>
      </c>
      <c r="X942" s="1017">
        <v>0</v>
      </c>
      <c r="Y942" s="1017">
        <v>0</v>
      </c>
      <c r="Z942" s="1017">
        <v>372411</v>
      </c>
      <c r="AA942" s="1018"/>
      <c r="AB942" s="1013"/>
      <c r="AC942" s="1017">
        <v>0</v>
      </c>
      <c r="AD942" s="1017">
        <v>0</v>
      </c>
      <c r="AE942" s="1013">
        <v>0</v>
      </c>
      <c r="AF942" s="1019"/>
      <c r="AG942" s="1019">
        <f t="shared" si="195"/>
        <v>7154872</v>
      </c>
      <c r="AH942" s="1014">
        <v>56</v>
      </c>
      <c r="AI942" s="1014">
        <v>0</v>
      </c>
      <c r="AJ942" s="1014">
        <v>0</v>
      </c>
      <c r="AK942" s="1018">
        <v>0</v>
      </c>
      <c r="AL942" s="1020">
        <v>0</v>
      </c>
      <c r="AM942" s="1013">
        <f t="shared" si="194"/>
        <v>2879827</v>
      </c>
      <c r="AN942" s="1045">
        <f t="shared" si="197"/>
        <v>10034699</v>
      </c>
      <c r="AO942" s="1013">
        <v>748755</v>
      </c>
      <c r="AP942" s="1013">
        <v>44100</v>
      </c>
      <c r="AQ942" s="1013">
        <v>0</v>
      </c>
      <c r="AR942" s="1013">
        <v>0</v>
      </c>
      <c r="AS942" s="1013">
        <v>0</v>
      </c>
      <c r="AT942" s="1045">
        <f t="shared" si="203"/>
        <v>9241844</v>
      </c>
      <c r="AU942" s="1004"/>
      <c r="AV942" s="870"/>
      <c r="AW942" s="782" t="s">
        <v>5110</v>
      </c>
      <c r="AX942" s="782" t="s">
        <v>5111</v>
      </c>
      <c r="AY942" s="1007" t="s">
        <v>221</v>
      </c>
      <c r="AZ942" s="1007">
        <v>622</v>
      </c>
      <c r="BA942" s="347" t="str">
        <f t="shared" si="196"/>
        <v>Bag</v>
      </c>
      <c r="BB942" s="1008"/>
      <c r="BC942" s="1009"/>
      <c r="BD942" s="1009"/>
    </row>
    <row r="943" spans="1:56" s="1010" customFormat="1" ht="36.75" customHeight="1">
      <c r="A943" s="661">
        <f>SUBTOTAL(3,B$6:B943)</f>
        <v>938</v>
      </c>
      <c r="B943" s="661" t="s">
        <v>2707</v>
      </c>
      <c r="C943" s="662" t="s">
        <v>2708</v>
      </c>
      <c r="D943" s="1011">
        <v>44256</v>
      </c>
      <c r="E943" s="1011" t="s">
        <v>221</v>
      </c>
      <c r="F943" s="787" t="s">
        <v>250</v>
      </c>
      <c r="G943" s="996" t="s">
        <v>885</v>
      </c>
      <c r="H943" s="1012">
        <v>5931000</v>
      </c>
      <c r="I943" s="1012">
        <v>1500000</v>
      </c>
      <c r="J943" s="1012">
        <v>0</v>
      </c>
      <c r="K943" s="1012">
        <v>0</v>
      </c>
      <c r="L943" s="1013">
        <f t="shared" si="198"/>
        <v>7431000</v>
      </c>
      <c r="M943" s="1014">
        <v>23.6</v>
      </c>
      <c r="N943" s="1013">
        <f t="shared" si="199"/>
        <v>6745062</v>
      </c>
      <c r="O943" s="1015">
        <v>2</v>
      </c>
      <c r="P943" s="1013">
        <f t="shared" si="200"/>
        <v>571615</v>
      </c>
      <c r="Q943" s="1016">
        <v>65</v>
      </c>
      <c r="R943" s="1013">
        <f t="shared" si="201"/>
        <v>696656</v>
      </c>
      <c r="S943" s="1013">
        <f t="shared" si="202"/>
        <v>8013333</v>
      </c>
      <c r="T943" s="1017">
        <v>0</v>
      </c>
      <c r="U943" s="785">
        <v>300000</v>
      </c>
      <c r="V943" s="785">
        <v>200000</v>
      </c>
      <c r="W943" s="1017">
        <v>500000</v>
      </c>
      <c r="X943" s="1017">
        <v>0</v>
      </c>
      <c r="Y943" s="1017">
        <v>400000</v>
      </c>
      <c r="Z943" s="1017">
        <v>456268</v>
      </c>
      <c r="AA943" s="1018"/>
      <c r="AB943" s="1013"/>
      <c r="AC943" s="1017">
        <v>0</v>
      </c>
      <c r="AD943" s="1017">
        <v>0</v>
      </c>
      <c r="AE943" s="1013">
        <v>0</v>
      </c>
      <c r="AF943" s="1019"/>
      <c r="AG943" s="1019">
        <f t="shared" si="195"/>
        <v>9869601</v>
      </c>
      <c r="AH943" s="1014">
        <v>28</v>
      </c>
      <c r="AI943" s="1014">
        <v>0</v>
      </c>
      <c r="AJ943" s="1014">
        <v>6</v>
      </c>
      <c r="AK943" s="1018">
        <v>0</v>
      </c>
      <c r="AL943" s="1020">
        <v>0</v>
      </c>
      <c r="AM943" s="1013">
        <f t="shared" si="194"/>
        <v>1950638</v>
      </c>
      <c r="AN943" s="1045">
        <f t="shared" si="197"/>
        <v>11820239</v>
      </c>
      <c r="AO943" s="1013">
        <v>780255</v>
      </c>
      <c r="AP943" s="1013">
        <v>44100</v>
      </c>
      <c r="AQ943" s="1013">
        <v>0</v>
      </c>
      <c r="AR943" s="1013">
        <v>0</v>
      </c>
      <c r="AS943" s="1013">
        <v>0</v>
      </c>
      <c r="AT943" s="1045">
        <f t="shared" si="203"/>
        <v>10995884</v>
      </c>
      <c r="AU943" s="1004"/>
      <c r="AV943" s="870"/>
      <c r="AW943" s="782" t="s">
        <v>5112</v>
      </c>
      <c r="AX943" s="782" t="s">
        <v>5113</v>
      </c>
      <c r="AY943" s="1007" t="s">
        <v>221</v>
      </c>
      <c r="AZ943" s="1007">
        <v>622</v>
      </c>
      <c r="BA943" s="347" t="str">
        <f t="shared" si="196"/>
        <v>Bag</v>
      </c>
      <c r="BB943" s="1008"/>
      <c r="BC943" s="1009"/>
      <c r="BD943" s="1009"/>
    </row>
    <row r="944" spans="1:56" s="1010" customFormat="1" ht="36.75" customHeight="1">
      <c r="A944" s="661">
        <f>SUBTOTAL(3,B$6:B944)</f>
        <v>939</v>
      </c>
      <c r="B944" s="661" t="s">
        <v>2709</v>
      </c>
      <c r="C944" s="662" t="s">
        <v>2710</v>
      </c>
      <c r="D944" s="1011">
        <v>44256</v>
      </c>
      <c r="E944" s="1011" t="s">
        <v>221</v>
      </c>
      <c r="F944" s="787" t="s">
        <v>250</v>
      </c>
      <c r="G944" s="996" t="s">
        <v>885</v>
      </c>
      <c r="H944" s="1012">
        <v>5931000</v>
      </c>
      <c r="I944" s="1012">
        <v>1500000</v>
      </c>
      <c r="J944" s="1012">
        <v>0</v>
      </c>
      <c r="K944" s="1012">
        <v>0</v>
      </c>
      <c r="L944" s="1013">
        <f t="shared" si="198"/>
        <v>7431000</v>
      </c>
      <c r="M944" s="1014">
        <v>22</v>
      </c>
      <c r="N944" s="1013">
        <f t="shared" si="199"/>
        <v>6287769</v>
      </c>
      <c r="O944" s="1015">
        <v>3</v>
      </c>
      <c r="P944" s="1013">
        <f t="shared" si="200"/>
        <v>857423</v>
      </c>
      <c r="Q944" s="1016">
        <v>58.5</v>
      </c>
      <c r="R944" s="1013">
        <f t="shared" si="201"/>
        <v>626991</v>
      </c>
      <c r="S944" s="1013">
        <f t="shared" si="202"/>
        <v>7772183</v>
      </c>
      <c r="T944" s="1017">
        <v>0</v>
      </c>
      <c r="U944" s="785">
        <v>270000</v>
      </c>
      <c r="V944" s="785">
        <v>200000</v>
      </c>
      <c r="W944" s="1017">
        <v>0</v>
      </c>
      <c r="X944" s="1017">
        <v>0</v>
      </c>
      <c r="Y944" s="1017">
        <v>400000</v>
      </c>
      <c r="Z944" s="1017">
        <v>266310</v>
      </c>
      <c r="AA944" s="1018"/>
      <c r="AB944" s="1013"/>
      <c r="AC944" s="1017">
        <v>0</v>
      </c>
      <c r="AD944" s="1017">
        <v>0</v>
      </c>
      <c r="AE944" s="1013">
        <v>0</v>
      </c>
      <c r="AF944" s="1019"/>
      <c r="AG944" s="1019">
        <f t="shared" si="195"/>
        <v>8908493</v>
      </c>
      <c r="AH944" s="1014">
        <v>32</v>
      </c>
      <c r="AI944" s="1014">
        <v>0</v>
      </c>
      <c r="AJ944" s="1014">
        <v>0</v>
      </c>
      <c r="AK944" s="1018">
        <v>0</v>
      </c>
      <c r="AL944" s="1020">
        <v>0</v>
      </c>
      <c r="AM944" s="1013">
        <f t="shared" si="194"/>
        <v>1714846</v>
      </c>
      <c r="AN944" s="1045">
        <f t="shared" si="197"/>
        <v>10623339</v>
      </c>
      <c r="AO944" s="1013">
        <v>780255</v>
      </c>
      <c r="AP944" s="1013">
        <v>44100</v>
      </c>
      <c r="AQ944" s="1013">
        <v>0</v>
      </c>
      <c r="AR944" s="1013">
        <v>0</v>
      </c>
      <c r="AS944" s="1013">
        <v>0</v>
      </c>
      <c r="AT944" s="1045">
        <f t="shared" si="203"/>
        <v>9798984</v>
      </c>
      <c r="AU944" s="1004"/>
      <c r="AV944" s="870"/>
      <c r="AW944" s="782" t="s">
        <v>5114</v>
      </c>
      <c r="AX944" s="782" t="s">
        <v>5115</v>
      </c>
      <c r="AY944" s="1007" t="s">
        <v>221</v>
      </c>
      <c r="AZ944" s="1007">
        <v>622</v>
      </c>
      <c r="BA944" s="347" t="str">
        <f t="shared" si="196"/>
        <v>Bag</v>
      </c>
      <c r="BB944" s="1008"/>
      <c r="BC944" s="1009"/>
      <c r="BD944" s="1009"/>
    </row>
    <row r="945" spans="1:56" s="1010" customFormat="1" ht="36.75" customHeight="1">
      <c r="A945" s="661">
        <f>SUBTOTAL(3,B$6:B945)</f>
        <v>940</v>
      </c>
      <c r="B945" s="661" t="s">
        <v>2711</v>
      </c>
      <c r="C945" s="662" t="s">
        <v>2712</v>
      </c>
      <c r="D945" s="1011">
        <v>44719</v>
      </c>
      <c r="E945" s="1011" t="s">
        <v>221</v>
      </c>
      <c r="F945" s="787" t="s">
        <v>250</v>
      </c>
      <c r="G945" s="996" t="s">
        <v>899</v>
      </c>
      <c r="H945" s="1012">
        <v>5815000</v>
      </c>
      <c r="I945" s="1012">
        <v>1000000</v>
      </c>
      <c r="J945" s="1012">
        <v>0</v>
      </c>
      <c r="K945" s="1012">
        <v>0</v>
      </c>
      <c r="L945" s="1013">
        <f t="shared" si="198"/>
        <v>6815000</v>
      </c>
      <c r="M945" s="1014">
        <v>22.8</v>
      </c>
      <c r="N945" s="1013">
        <f t="shared" si="199"/>
        <v>5976231</v>
      </c>
      <c r="O945" s="1015">
        <v>2</v>
      </c>
      <c r="P945" s="1013">
        <f t="shared" si="200"/>
        <v>524231</v>
      </c>
      <c r="Q945" s="1016">
        <v>26</v>
      </c>
      <c r="R945" s="1013">
        <f t="shared" si="201"/>
        <v>255563</v>
      </c>
      <c r="S945" s="1013">
        <f t="shared" si="202"/>
        <v>6756025</v>
      </c>
      <c r="T945" s="1017">
        <v>0</v>
      </c>
      <c r="U945" s="785">
        <v>120000</v>
      </c>
      <c r="V945" s="785">
        <v>200000</v>
      </c>
      <c r="W945" s="1017">
        <v>0</v>
      </c>
      <c r="X945" s="1017">
        <v>0</v>
      </c>
      <c r="Y945" s="1017">
        <v>0</v>
      </c>
      <c r="Z945" s="1017">
        <v>354340</v>
      </c>
      <c r="AA945" s="1018"/>
      <c r="AB945" s="1013"/>
      <c r="AC945" s="1017">
        <v>0</v>
      </c>
      <c r="AD945" s="1017">
        <v>0</v>
      </c>
      <c r="AE945" s="1013">
        <v>0</v>
      </c>
      <c r="AF945" s="1019"/>
      <c r="AG945" s="1019">
        <f t="shared" si="195"/>
        <v>7430365</v>
      </c>
      <c r="AH945" s="1014">
        <v>44</v>
      </c>
      <c r="AI945" s="1014">
        <v>0</v>
      </c>
      <c r="AJ945" s="1014">
        <v>0</v>
      </c>
      <c r="AK945" s="1018">
        <v>0</v>
      </c>
      <c r="AL945" s="1020">
        <v>0</v>
      </c>
      <c r="AM945" s="1013">
        <f t="shared" si="194"/>
        <v>2162452</v>
      </c>
      <c r="AN945" s="1045">
        <f t="shared" si="197"/>
        <v>9592817</v>
      </c>
      <c r="AO945" s="1013">
        <v>715575</v>
      </c>
      <c r="AP945" s="1013">
        <v>44100</v>
      </c>
      <c r="AQ945" s="1013">
        <v>0</v>
      </c>
      <c r="AR945" s="1013">
        <v>0</v>
      </c>
      <c r="AS945" s="1013">
        <v>0</v>
      </c>
      <c r="AT945" s="1045">
        <f t="shared" si="203"/>
        <v>8833142</v>
      </c>
      <c r="AU945" s="1004"/>
      <c r="AV945" s="870"/>
      <c r="AW945" s="782" t="s">
        <v>5116</v>
      </c>
      <c r="AX945" s="782" t="s">
        <v>5117</v>
      </c>
      <c r="AY945" s="1007" t="s">
        <v>221</v>
      </c>
      <c r="AZ945" s="1007">
        <v>622</v>
      </c>
      <c r="BA945" s="347" t="str">
        <f t="shared" si="196"/>
        <v>Bag</v>
      </c>
      <c r="BB945" s="1008"/>
      <c r="BC945" s="1009"/>
      <c r="BD945" s="1009"/>
    </row>
    <row r="946" spans="1:56" s="1010" customFormat="1" ht="36.75" customHeight="1">
      <c r="A946" s="661">
        <f>SUBTOTAL(3,B$6:B946)</f>
        <v>941</v>
      </c>
      <c r="B946" s="661" t="s">
        <v>2713</v>
      </c>
      <c r="C946" s="662" t="s">
        <v>2714</v>
      </c>
      <c r="D946" s="1011">
        <v>44977</v>
      </c>
      <c r="E946" s="1011" t="s">
        <v>221</v>
      </c>
      <c r="F946" s="787" t="s">
        <v>250</v>
      </c>
      <c r="G946" s="996" t="s">
        <v>899</v>
      </c>
      <c r="H946" s="1012">
        <v>5815000</v>
      </c>
      <c r="I946" s="1012">
        <v>1000000</v>
      </c>
      <c r="J946" s="1012">
        <v>0</v>
      </c>
      <c r="K946" s="1012">
        <v>0</v>
      </c>
      <c r="L946" s="1013">
        <f t="shared" si="198"/>
        <v>6815000</v>
      </c>
      <c r="M946" s="1014">
        <v>23.6</v>
      </c>
      <c r="N946" s="1013">
        <f t="shared" si="199"/>
        <v>6185923</v>
      </c>
      <c r="O946" s="1015">
        <v>2</v>
      </c>
      <c r="P946" s="1013">
        <f t="shared" si="200"/>
        <v>524231</v>
      </c>
      <c r="Q946" s="1016">
        <v>58.5</v>
      </c>
      <c r="R946" s="1013">
        <f t="shared" si="201"/>
        <v>575016</v>
      </c>
      <c r="S946" s="1013">
        <f t="shared" si="202"/>
        <v>7285170</v>
      </c>
      <c r="T946" s="1017">
        <v>0</v>
      </c>
      <c r="U946" s="785">
        <v>270000</v>
      </c>
      <c r="V946" s="785">
        <v>200000</v>
      </c>
      <c r="W946" s="1017">
        <v>500000</v>
      </c>
      <c r="X946" s="1017">
        <v>0</v>
      </c>
      <c r="Y946" s="1017">
        <v>400000</v>
      </c>
      <c r="Z946" s="1017">
        <v>300686</v>
      </c>
      <c r="AA946" s="1018"/>
      <c r="AB946" s="1013"/>
      <c r="AC946" s="1017">
        <v>0</v>
      </c>
      <c r="AD946" s="1017">
        <v>0</v>
      </c>
      <c r="AE946" s="1013">
        <v>0</v>
      </c>
      <c r="AF946" s="1019"/>
      <c r="AG946" s="1019">
        <f t="shared" si="195"/>
        <v>8955856</v>
      </c>
      <c r="AH946" s="1014">
        <v>36</v>
      </c>
      <c r="AI946" s="1014">
        <v>0</v>
      </c>
      <c r="AJ946" s="1014">
        <v>0</v>
      </c>
      <c r="AK946" s="1018">
        <v>0</v>
      </c>
      <c r="AL946" s="1020">
        <v>0</v>
      </c>
      <c r="AM946" s="1013">
        <f t="shared" si="194"/>
        <v>1769279</v>
      </c>
      <c r="AN946" s="1045">
        <f t="shared" si="197"/>
        <v>10725135</v>
      </c>
      <c r="AO946" s="1013">
        <v>715575</v>
      </c>
      <c r="AP946" s="1013">
        <v>44100</v>
      </c>
      <c r="AQ946" s="1013">
        <v>0</v>
      </c>
      <c r="AR946" s="1013">
        <v>0</v>
      </c>
      <c r="AS946" s="1013">
        <v>0</v>
      </c>
      <c r="AT946" s="1045">
        <f t="shared" si="203"/>
        <v>9965460</v>
      </c>
      <c r="AU946" s="1004"/>
      <c r="AV946" s="870"/>
      <c r="AW946" s="782" t="s">
        <v>5118</v>
      </c>
      <c r="AX946" s="782" t="s">
        <v>5119</v>
      </c>
      <c r="AY946" s="1007" t="s">
        <v>221</v>
      </c>
      <c r="AZ946" s="1007">
        <v>622</v>
      </c>
      <c r="BA946" s="347" t="str">
        <f t="shared" si="196"/>
        <v>Bag</v>
      </c>
      <c r="BB946" s="1008"/>
      <c r="BC946" s="1009"/>
      <c r="BD946" s="1009"/>
    </row>
    <row r="947" spans="1:56" s="1010" customFormat="1" ht="36.75" customHeight="1">
      <c r="A947" s="661">
        <f>SUBTOTAL(3,B$6:B947)</f>
        <v>942</v>
      </c>
      <c r="B947" s="661" t="s">
        <v>2715</v>
      </c>
      <c r="C947" s="662" t="s">
        <v>166</v>
      </c>
      <c r="D947" s="1011">
        <v>45348</v>
      </c>
      <c r="E947" s="1011" t="s">
        <v>221</v>
      </c>
      <c r="F947" s="787" t="s">
        <v>250</v>
      </c>
      <c r="G947" s="996" t="s">
        <v>899</v>
      </c>
      <c r="H947" s="1012">
        <v>5538000</v>
      </c>
      <c r="I947" s="1012">
        <v>800000</v>
      </c>
      <c r="J947" s="1012">
        <v>0</v>
      </c>
      <c r="K947" s="1012">
        <v>0</v>
      </c>
      <c r="L947" s="1013">
        <f t="shared" si="198"/>
        <v>6338000</v>
      </c>
      <c r="M947" s="1014">
        <v>23</v>
      </c>
      <c r="N947" s="1013">
        <f t="shared" si="199"/>
        <v>5606692</v>
      </c>
      <c r="O947" s="1015">
        <v>2</v>
      </c>
      <c r="P947" s="1013">
        <f t="shared" si="200"/>
        <v>487538</v>
      </c>
      <c r="Q947" s="1016">
        <v>32.5</v>
      </c>
      <c r="R947" s="1013">
        <f t="shared" si="201"/>
        <v>297094</v>
      </c>
      <c r="S947" s="1013">
        <f t="shared" si="202"/>
        <v>6391324</v>
      </c>
      <c r="T947" s="1017">
        <v>0</v>
      </c>
      <c r="U947" s="785">
        <v>150000</v>
      </c>
      <c r="V947" s="785">
        <v>200000</v>
      </c>
      <c r="W947" s="1017">
        <v>0</v>
      </c>
      <c r="X947" s="1017">
        <v>0</v>
      </c>
      <c r="Y947" s="1017">
        <v>0</v>
      </c>
      <c r="Z947" s="1017">
        <v>273988</v>
      </c>
      <c r="AA947" s="1018"/>
      <c r="AB947" s="1013"/>
      <c r="AC947" s="1017">
        <v>0</v>
      </c>
      <c r="AD947" s="1017">
        <v>0</v>
      </c>
      <c r="AE947" s="1013">
        <v>0</v>
      </c>
      <c r="AF947" s="1019"/>
      <c r="AG947" s="1019">
        <f t="shared" si="195"/>
        <v>7015312</v>
      </c>
      <c r="AH947" s="1014">
        <v>41</v>
      </c>
      <c r="AI947" s="1014">
        <v>0</v>
      </c>
      <c r="AJ947" s="1014">
        <v>0</v>
      </c>
      <c r="AK947" s="1018">
        <v>0</v>
      </c>
      <c r="AL947" s="1020">
        <v>0</v>
      </c>
      <c r="AM947" s="1013">
        <f t="shared" si="194"/>
        <v>1873976</v>
      </c>
      <c r="AN947" s="1045">
        <f t="shared" si="197"/>
        <v>8889288</v>
      </c>
      <c r="AO947" s="1013">
        <v>665490</v>
      </c>
      <c r="AP947" s="1013">
        <v>44100</v>
      </c>
      <c r="AQ947" s="1013">
        <v>0</v>
      </c>
      <c r="AR947" s="1013">
        <v>0</v>
      </c>
      <c r="AS947" s="1013">
        <v>0</v>
      </c>
      <c r="AT947" s="1045">
        <f t="shared" si="203"/>
        <v>8179698</v>
      </c>
      <c r="AU947" s="1004"/>
      <c r="AV947" s="870"/>
      <c r="AW947" s="782" t="s">
        <v>3372</v>
      </c>
      <c r="AX947" s="782" t="s">
        <v>5120</v>
      </c>
      <c r="AY947" s="1007" t="s">
        <v>221</v>
      </c>
      <c r="AZ947" s="1007">
        <v>622</v>
      </c>
      <c r="BA947" s="347" t="str">
        <f t="shared" si="196"/>
        <v>Bag</v>
      </c>
      <c r="BB947" s="1008"/>
      <c r="BC947" s="1009"/>
      <c r="BD947" s="1009"/>
    </row>
    <row r="948" spans="1:56" s="1010" customFormat="1" ht="36.75" customHeight="1">
      <c r="A948" s="661">
        <f>SUBTOTAL(3,B$6:B948)</f>
        <v>943</v>
      </c>
      <c r="B948" s="661" t="s">
        <v>2716</v>
      </c>
      <c r="C948" s="662" t="s">
        <v>2717</v>
      </c>
      <c r="D948" s="1011">
        <v>45355</v>
      </c>
      <c r="E948" s="1011" t="s">
        <v>221</v>
      </c>
      <c r="F948" s="787" t="s">
        <v>250</v>
      </c>
      <c r="G948" s="996" t="s">
        <v>899</v>
      </c>
      <c r="H948" s="1012">
        <v>5538000</v>
      </c>
      <c r="I948" s="1012">
        <v>800000</v>
      </c>
      <c r="J948" s="1012">
        <v>0</v>
      </c>
      <c r="K948" s="1012">
        <v>0</v>
      </c>
      <c r="L948" s="1013">
        <f t="shared" si="198"/>
        <v>6338000</v>
      </c>
      <c r="M948" s="1014">
        <v>23.4</v>
      </c>
      <c r="N948" s="1013">
        <f t="shared" si="199"/>
        <v>5704200</v>
      </c>
      <c r="O948" s="1015">
        <v>2</v>
      </c>
      <c r="P948" s="1013">
        <f t="shared" si="200"/>
        <v>487538</v>
      </c>
      <c r="Q948" s="1016">
        <v>65</v>
      </c>
      <c r="R948" s="1013">
        <f t="shared" si="201"/>
        <v>594188</v>
      </c>
      <c r="S948" s="1013">
        <f t="shared" si="202"/>
        <v>6785926</v>
      </c>
      <c r="T948" s="1017">
        <v>0</v>
      </c>
      <c r="U948" s="785">
        <v>300000</v>
      </c>
      <c r="V948" s="785">
        <v>200000</v>
      </c>
      <c r="W948" s="1017">
        <v>0</v>
      </c>
      <c r="X948" s="1017">
        <v>0</v>
      </c>
      <c r="Y948" s="1017">
        <v>400000</v>
      </c>
      <c r="Z948" s="1017">
        <v>320810</v>
      </c>
      <c r="AA948" s="1018"/>
      <c r="AB948" s="1013"/>
      <c r="AC948" s="1017">
        <v>0</v>
      </c>
      <c r="AD948" s="1017">
        <v>0</v>
      </c>
      <c r="AE948" s="1013">
        <v>0</v>
      </c>
      <c r="AF948" s="1019"/>
      <c r="AG948" s="1019">
        <f t="shared" si="195"/>
        <v>8006736</v>
      </c>
      <c r="AH948" s="1014">
        <v>20</v>
      </c>
      <c r="AI948" s="1014">
        <v>0</v>
      </c>
      <c r="AJ948" s="1014">
        <v>6</v>
      </c>
      <c r="AK948" s="1018">
        <v>0</v>
      </c>
      <c r="AL948" s="1020">
        <v>0</v>
      </c>
      <c r="AM948" s="1013">
        <f t="shared" si="194"/>
        <v>1298071</v>
      </c>
      <c r="AN948" s="1045">
        <f t="shared" si="197"/>
        <v>9304807</v>
      </c>
      <c r="AO948" s="1013">
        <v>665490</v>
      </c>
      <c r="AP948" s="1013">
        <v>44100</v>
      </c>
      <c r="AQ948" s="1013">
        <v>0</v>
      </c>
      <c r="AR948" s="1013">
        <v>0</v>
      </c>
      <c r="AS948" s="1013">
        <v>0</v>
      </c>
      <c r="AT948" s="1045">
        <f t="shared" si="203"/>
        <v>8595217</v>
      </c>
      <c r="AU948" s="1004"/>
      <c r="AV948" s="870"/>
      <c r="AW948" s="782" t="s">
        <v>5121</v>
      </c>
      <c r="AX948" s="782" t="s">
        <v>5122</v>
      </c>
      <c r="AY948" s="1007" t="s">
        <v>221</v>
      </c>
      <c r="AZ948" s="1007">
        <v>622</v>
      </c>
      <c r="BA948" s="347" t="str">
        <f t="shared" si="196"/>
        <v>Bag</v>
      </c>
      <c r="BB948" s="1008"/>
      <c r="BC948" s="1009"/>
      <c r="BD948" s="1009"/>
    </row>
    <row r="949" spans="1:56" s="1010" customFormat="1" ht="36.75" customHeight="1">
      <c r="A949" s="661">
        <f>SUBTOTAL(3,B$6:B949)</f>
        <v>944</v>
      </c>
      <c r="B949" s="661" t="s">
        <v>2718</v>
      </c>
      <c r="C949" s="662" t="s">
        <v>2719</v>
      </c>
      <c r="D949" s="1011">
        <v>45575</v>
      </c>
      <c r="E949" s="1011" t="s">
        <v>221</v>
      </c>
      <c r="F949" s="787" t="s">
        <v>250</v>
      </c>
      <c r="G949" s="996" t="s">
        <v>899</v>
      </c>
      <c r="H949" s="1012">
        <v>5274000</v>
      </c>
      <c r="I949" s="1012">
        <v>600000</v>
      </c>
      <c r="J949" s="1012">
        <v>0</v>
      </c>
      <c r="K949" s="1012">
        <v>0</v>
      </c>
      <c r="L949" s="1013">
        <f t="shared" si="198"/>
        <v>5874000</v>
      </c>
      <c r="M949" s="1014">
        <v>21.3</v>
      </c>
      <c r="N949" s="1013">
        <f t="shared" si="199"/>
        <v>4812162</v>
      </c>
      <c r="O949" s="1015">
        <v>3</v>
      </c>
      <c r="P949" s="1013">
        <f t="shared" si="200"/>
        <v>677769</v>
      </c>
      <c r="Q949" s="1016">
        <v>26</v>
      </c>
      <c r="R949" s="1013">
        <f t="shared" si="201"/>
        <v>220275</v>
      </c>
      <c r="S949" s="1013">
        <f t="shared" si="202"/>
        <v>5710206</v>
      </c>
      <c r="T949" s="1017">
        <v>0</v>
      </c>
      <c r="U949" s="785">
        <v>120000</v>
      </c>
      <c r="V949" s="785">
        <v>200000</v>
      </c>
      <c r="W949" s="1017">
        <v>0</v>
      </c>
      <c r="X949" s="1017">
        <v>0</v>
      </c>
      <c r="Y949" s="1017">
        <v>0</v>
      </c>
      <c r="Z949" s="1017">
        <v>322236</v>
      </c>
      <c r="AA949" s="1018"/>
      <c r="AB949" s="1013"/>
      <c r="AC949" s="1017">
        <v>0</v>
      </c>
      <c r="AD949" s="1017">
        <v>0</v>
      </c>
      <c r="AE949" s="1013">
        <v>0</v>
      </c>
      <c r="AF949" s="1019"/>
      <c r="AG949" s="1019">
        <f t="shared" si="195"/>
        <v>6352442</v>
      </c>
      <c r="AH949" s="1014">
        <v>37</v>
      </c>
      <c r="AI949" s="1014">
        <v>0</v>
      </c>
      <c r="AJ949" s="1014">
        <v>6</v>
      </c>
      <c r="AK949" s="1018">
        <v>0</v>
      </c>
      <c r="AL949" s="1020">
        <v>0</v>
      </c>
      <c r="AM949" s="1013">
        <f t="shared" si="194"/>
        <v>1923170</v>
      </c>
      <c r="AN949" s="1045">
        <f t="shared" si="197"/>
        <v>8275612</v>
      </c>
      <c r="AO949" s="1013">
        <v>616770</v>
      </c>
      <c r="AP949" s="1013">
        <v>44100</v>
      </c>
      <c r="AQ949" s="1013">
        <v>0</v>
      </c>
      <c r="AR949" s="1013">
        <v>0</v>
      </c>
      <c r="AS949" s="1013">
        <v>0</v>
      </c>
      <c r="AT949" s="1045">
        <f t="shared" si="203"/>
        <v>7614742</v>
      </c>
      <c r="AU949" s="1004"/>
      <c r="AV949" s="870"/>
      <c r="AW949" s="782" t="s">
        <v>5123</v>
      </c>
      <c r="AX949" s="782" t="s">
        <v>5124</v>
      </c>
      <c r="AY949" s="1007" t="s">
        <v>221</v>
      </c>
      <c r="AZ949" s="1007">
        <v>622</v>
      </c>
      <c r="BA949" s="347" t="str">
        <f t="shared" si="196"/>
        <v>Bag</v>
      </c>
      <c r="BB949" s="1008"/>
      <c r="BC949" s="1009"/>
      <c r="BD949" s="1009"/>
    </row>
    <row r="950" spans="1:56" s="1010" customFormat="1" ht="36.75" customHeight="1">
      <c r="A950" s="661">
        <f>SUBTOTAL(3,B$6:B950)</f>
        <v>945</v>
      </c>
      <c r="B950" s="661" t="s">
        <v>2720</v>
      </c>
      <c r="C950" s="662" t="s">
        <v>2721</v>
      </c>
      <c r="D950" s="1011">
        <v>45698</v>
      </c>
      <c r="E950" s="1011" t="s">
        <v>221</v>
      </c>
      <c r="F950" s="787" t="s">
        <v>250</v>
      </c>
      <c r="G950" s="996" t="s">
        <v>2722</v>
      </c>
      <c r="H950" s="1012">
        <v>5023000</v>
      </c>
      <c r="I950" s="1012">
        <v>600000</v>
      </c>
      <c r="J950" s="1012">
        <v>0</v>
      </c>
      <c r="K950" s="1012">
        <v>0</v>
      </c>
      <c r="L950" s="1013">
        <f t="shared" si="198"/>
        <v>5623000</v>
      </c>
      <c r="M950" s="1014">
        <v>23</v>
      </c>
      <c r="N950" s="1013">
        <f t="shared" si="199"/>
        <v>4974192</v>
      </c>
      <c r="O950" s="1015">
        <v>3</v>
      </c>
      <c r="P950" s="1013">
        <f t="shared" si="200"/>
        <v>648808</v>
      </c>
      <c r="Q950" s="1016">
        <v>0</v>
      </c>
      <c r="R950" s="1013">
        <f t="shared" si="201"/>
        <v>0</v>
      </c>
      <c r="S950" s="1013">
        <f t="shared" si="202"/>
        <v>5623000</v>
      </c>
      <c r="T950" s="1017">
        <v>0</v>
      </c>
      <c r="U950" s="785">
        <v>0</v>
      </c>
      <c r="V950" s="785">
        <v>200000</v>
      </c>
      <c r="W950" s="1017">
        <v>500000</v>
      </c>
      <c r="X950" s="1017">
        <v>0</v>
      </c>
      <c r="Y950" s="1017">
        <v>400000</v>
      </c>
      <c r="Z950" s="1017">
        <v>397977</v>
      </c>
      <c r="AA950" s="1018"/>
      <c r="AB950" s="1013"/>
      <c r="AC950" s="1017">
        <v>0</v>
      </c>
      <c r="AD950" s="1017">
        <v>0</v>
      </c>
      <c r="AE950" s="1013">
        <v>0</v>
      </c>
      <c r="AF950" s="1019"/>
      <c r="AG950" s="1019">
        <f t="shared" si="195"/>
        <v>7120977</v>
      </c>
      <c r="AH950" s="1014">
        <v>64</v>
      </c>
      <c r="AI950" s="1014">
        <v>0</v>
      </c>
      <c r="AJ950" s="1014">
        <v>0</v>
      </c>
      <c r="AK950" s="1018">
        <v>0</v>
      </c>
      <c r="AL950" s="1020">
        <v>0</v>
      </c>
      <c r="AM950" s="1013">
        <f t="shared" si="194"/>
        <v>2595231</v>
      </c>
      <c r="AN950" s="1045">
        <f t="shared" si="197"/>
        <v>9716208</v>
      </c>
      <c r="AO950" s="1013">
        <v>590415</v>
      </c>
      <c r="AP950" s="1013">
        <v>44100</v>
      </c>
      <c r="AQ950" s="1013">
        <v>0</v>
      </c>
      <c r="AR950" s="1013">
        <v>0</v>
      </c>
      <c r="AS950" s="1013">
        <v>0</v>
      </c>
      <c r="AT950" s="1045">
        <f t="shared" si="203"/>
        <v>9081693</v>
      </c>
      <c r="AU950" s="1004"/>
      <c r="AV950" s="870"/>
      <c r="AW950" s="782" t="s">
        <v>5125</v>
      </c>
      <c r="AX950" s="782" t="s">
        <v>5126</v>
      </c>
      <c r="AY950" s="1007" t="s">
        <v>221</v>
      </c>
      <c r="AZ950" s="1007">
        <v>622</v>
      </c>
      <c r="BA950" s="347" t="str">
        <f t="shared" si="196"/>
        <v>Bag</v>
      </c>
      <c r="BB950" s="1008"/>
      <c r="BC950" s="1009"/>
      <c r="BD950" s="1009"/>
    </row>
    <row r="951" spans="1:56" s="1010" customFormat="1" ht="36.75" customHeight="1">
      <c r="A951" s="661">
        <f>SUBTOTAL(3,B$6:B951)</f>
        <v>946</v>
      </c>
      <c r="B951" s="661" t="s">
        <v>2723</v>
      </c>
      <c r="C951" s="662" t="s">
        <v>2724</v>
      </c>
      <c r="D951" s="1011">
        <v>45700</v>
      </c>
      <c r="E951" s="1011" t="s">
        <v>221</v>
      </c>
      <c r="F951" s="787" t="s">
        <v>250</v>
      </c>
      <c r="G951" s="996" t="s">
        <v>1341</v>
      </c>
      <c r="H951" s="1012">
        <v>5023000</v>
      </c>
      <c r="I951" s="1012">
        <v>800000</v>
      </c>
      <c r="J951" s="1012">
        <v>0</v>
      </c>
      <c r="K951" s="1012">
        <v>0</v>
      </c>
      <c r="L951" s="1013">
        <f t="shared" si="198"/>
        <v>5823000</v>
      </c>
      <c r="M951" s="1014">
        <v>23</v>
      </c>
      <c r="N951" s="1013">
        <f t="shared" si="199"/>
        <v>5151115</v>
      </c>
      <c r="O951" s="1015">
        <v>3</v>
      </c>
      <c r="P951" s="1013">
        <f t="shared" si="200"/>
        <v>671885</v>
      </c>
      <c r="Q951" s="1016">
        <v>26</v>
      </c>
      <c r="R951" s="1013">
        <f t="shared" si="201"/>
        <v>218362</v>
      </c>
      <c r="S951" s="1013">
        <f t="shared" si="202"/>
        <v>6041362</v>
      </c>
      <c r="T951" s="1017">
        <v>0</v>
      </c>
      <c r="U951" s="785">
        <v>120000</v>
      </c>
      <c r="V951" s="785">
        <v>200000</v>
      </c>
      <c r="W951" s="1017">
        <v>500000</v>
      </c>
      <c r="X951" s="1017">
        <v>0</v>
      </c>
      <c r="Y951" s="1017">
        <v>400000</v>
      </c>
      <c r="Z951" s="1017">
        <v>367178</v>
      </c>
      <c r="AA951" s="1018"/>
      <c r="AB951" s="1013"/>
      <c r="AC951" s="1017">
        <v>0</v>
      </c>
      <c r="AD951" s="1017">
        <v>0</v>
      </c>
      <c r="AE951" s="1013">
        <v>0</v>
      </c>
      <c r="AF951" s="1019"/>
      <c r="AG951" s="1019">
        <f t="shared" si="195"/>
        <v>7628540</v>
      </c>
      <c r="AH951" s="1014">
        <v>45</v>
      </c>
      <c r="AI951" s="1014">
        <v>0</v>
      </c>
      <c r="AJ951" s="1014">
        <v>6</v>
      </c>
      <c r="AK951" s="1018">
        <v>0</v>
      </c>
      <c r="AL951" s="1020">
        <v>0</v>
      </c>
      <c r="AM951" s="1013">
        <f t="shared" si="194"/>
        <v>2242415</v>
      </c>
      <c r="AN951" s="1045">
        <f t="shared" si="197"/>
        <v>9870955</v>
      </c>
      <c r="AO951" s="1013">
        <v>611415</v>
      </c>
      <c r="AP951" s="1013">
        <v>44100</v>
      </c>
      <c r="AQ951" s="1013">
        <v>0</v>
      </c>
      <c r="AR951" s="1013">
        <v>0</v>
      </c>
      <c r="AS951" s="1013">
        <v>0</v>
      </c>
      <c r="AT951" s="1045">
        <f t="shared" si="203"/>
        <v>9215440</v>
      </c>
      <c r="AU951" s="1004"/>
      <c r="AV951" s="870"/>
      <c r="AW951" s="782" t="s">
        <v>5127</v>
      </c>
      <c r="AX951" s="782" t="s">
        <v>5128</v>
      </c>
      <c r="AY951" s="1007" t="s">
        <v>221</v>
      </c>
      <c r="AZ951" s="1007">
        <v>622</v>
      </c>
      <c r="BA951" s="347" t="str">
        <f t="shared" si="196"/>
        <v>Bag</v>
      </c>
      <c r="BB951" s="1008"/>
      <c r="BC951" s="1009"/>
      <c r="BD951" s="1009"/>
    </row>
    <row r="952" spans="1:56" s="1010" customFormat="1" ht="36.75" customHeight="1">
      <c r="A952" s="661">
        <f>SUBTOTAL(3,B$6:B952)</f>
        <v>947</v>
      </c>
      <c r="B952" s="661" t="s">
        <v>2725</v>
      </c>
      <c r="C952" s="662" t="s">
        <v>2726</v>
      </c>
      <c r="D952" s="1011">
        <v>45702</v>
      </c>
      <c r="E952" s="1011" t="s">
        <v>221</v>
      </c>
      <c r="F952" s="787" t="s">
        <v>250</v>
      </c>
      <c r="G952" s="996" t="s">
        <v>899</v>
      </c>
      <c r="H952" s="1012">
        <v>5023000</v>
      </c>
      <c r="I952" s="1012">
        <v>600000</v>
      </c>
      <c r="J952" s="1012">
        <v>0</v>
      </c>
      <c r="K952" s="1012">
        <v>0</v>
      </c>
      <c r="L952" s="1013">
        <f t="shared" si="198"/>
        <v>5623000</v>
      </c>
      <c r="M952" s="1014">
        <v>23</v>
      </c>
      <c r="N952" s="1013">
        <f t="shared" si="199"/>
        <v>4974192</v>
      </c>
      <c r="O952" s="1015">
        <v>3</v>
      </c>
      <c r="P952" s="1013">
        <f t="shared" si="200"/>
        <v>648808</v>
      </c>
      <c r="Q952" s="1016">
        <v>0</v>
      </c>
      <c r="R952" s="1013">
        <f t="shared" si="201"/>
        <v>0</v>
      </c>
      <c r="S952" s="1013">
        <f t="shared" si="202"/>
        <v>5623000</v>
      </c>
      <c r="T952" s="1017">
        <v>0</v>
      </c>
      <c r="U952" s="785">
        <v>0</v>
      </c>
      <c r="V952" s="785">
        <v>200000</v>
      </c>
      <c r="W952" s="1017">
        <v>500000</v>
      </c>
      <c r="X952" s="1017">
        <v>0</v>
      </c>
      <c r="Y952" s="1017">
        <v>400000</v>
      </c>
      <c r="Z952" s="1017">
        <v>389338</v>
      </c>
      <c r="AA952" s="1018"/>
      <c r="AB952" s="1013"/>
      <c r="AC952" s="1017">
        <v>0</v>
      </c>
      <c r="AD952" s="1017">
        <v>0</v>
      </c>
      <c r="AE952" s="1013">
        <v>0</v>
      </c>
      <c r="AF952" s="1019"/>
      <c r="AG952" s="1019">
        <f t="shared" si="195"/>
        <v>7112338</v>
      </c>
      <c r="AH952" s="1014">
        <v>56</v>
      </c>
      <c r="AI952" s="1014">
        <v>0</v>
      </c>
      <c r="AJ952" s="1014">
        <v>0</v>
      </c>
      <c r="AK952" s="1018">
        <v>0</v>
      </c>
      <c r="AL952" s="1020">
        <v>0</v>
      </c>
      <c r="AM952" s="1013">
        <f t="shared" si="194"/>
        <v>2270827</v>
      </c>
      <c r="AN952" s="1045">
        <f t="shared" si="197"/>
        <v>9383165</v>
      </c>
      <c r="AO952" s="1013">
        <v>590415</v>
      </c>
      <c r="AP952" s="1013">
        <v>0</v>
      </c>
      <c r="AQ952" s="1013">
        <v>0</v>
      </c>
      <c r="AR952" s="1013">
        <v>0</v>
      </c>
      <c r="AS952" s="1013">
        <v>0</v>
      </c>
      <c r="AT952" s="1045">
        <f t="shared" si="203"/>
        <v>8792750</v>
      </c>
      <c r="AU952" s="1004"/>
      <c r="AV952" s="870"/>
      <c r="AW952" s="782" t="s">
        <v>5129</v>
      </c>
      <c r="AX952" s="782" t="s">
        <v>5130</v>
      </c>
      <c r="AY952" s="1007" t="s">
        <v>221</v>
      </c>
      <c r="AZ952" s="1007">
        <v>622</v>
      </c>
      <c r="BA952" s="347" t="str">
        <f t="shared" si="196"/>
        <v>Bag</v>
      </c>
      <c r="BB952" s="1008"/>
      <c r="BC952" s="1009"/>
      <c r="BD952" s="1009"/>
    </row>
    <row r="953" spans="1:56" s="1010" customFormat="1" ht="36.75" customHeight="1">
      <c r="A953" s="661">
        <f>SUBTOTAL(3,B$6:B953)</f>
        <v>948</v>
      </c>
      <c r="B953" s="661" t="s">
        <v>2727</v>
      </c>
      <c r="C953" s="662" t="s">
        <v>2728</v>
      </c>
      <c r="D953" s="1011">
        <v>45708</v>
      </c>
      <c r="E953" s="1011" t="s">
        <v>221</v>
      </c>
      <c r="F953" s="787" t="s">
        <v>250</v>
      </c>
      <c r="G953" s="996" t="s">
        <v>899</v>
      </c>
      <c r="H953" s="1012">
        <v>5023000</v>
      </c>
      <c r="I953" s="1012">
        <v>600000</v>
      </c>
      <c r="J953" s="1012">
        <v>0</v>
      </c>
      <c r="K953" s="1012">
        <v>0</v>
      </c>
      <c r="L953" s="1013">
        <f t="shared" si="198"/>
        <v>5623000</v>
      </c>
      <c r="M953" s="1014">
        <v>23</v>
      </c>
      <c r="N953" s="1013">
        <f t="shared" si="199"/>
        <v>4974192</v>
      </c>
      <c r="O953" s="1015">
        <v>3</v>
      </c>
      <c r="P953" s="1013">
        <f t="shared" si="200"/>
        <v>648808</v>
      </c>
      <c r="Q953" s="1016">
        <v>58.5</v>
      </c>
      <c r="R953" s="1013">
        <f t="shared" si="201"/>
        <v>474441</v>
      </c>
      <c r="S953" s="1013">
        <f t="shared" si="202"/>
        <v>6097441</v>
      </c>
      <c r="T953" s="1017">
        <v>0</v>
      </c>
      <c r="U953" s="785">
        <v>270000</v>
      </c>
      <c r="V953" s="785">
        <v>200000</v>
      </c>
      <c r="W953" s="1017">
        <v>500000</v>
      </c>
      <c r="X953" s="1017">
        <v>0</v>
      </c>
      <c r="Y953" s="1017">
        <v>400000</v>
      </c>
      <c r="Z953" s="1017">
        <v>285144</v>
      </c>
      <c r="AA953" s="1018"/>
      <c r="AB953" s="1013"/>
      <c r="AC953" s="1017">
        <v>0</v>
      </c>
      <c r="AD953" s="1017">
        <v>0</v>
      </c>
      <c r="AE953" s="1013">
        <v>0</v>
      </c>
      <c r="AF953" s="1019"/>
      <c r="AG953" s="1019">
        <f t="shared" si="195"/>
        <v>7752585</v>
      </c>
      <c r="AH953" s="1014">
        <v>32</v>
      </c>
      <c r="AI953" s="1014">
        <v>0</v>
      </c>
      <c r="AJ953" s="1014">
        <v>0</v>
      </c>
      <c r="AK953" s="1018">
        <v>0</v>
      </c>
      <c r="AL953" s="1020">
        <v>0</v>
      </c>
      <c r="AM953" s="1013">
        <f t="shared" si="194"/>
        <v>1297615</v>
      </c>
      <c r="AN953" s="1045">
        <f t="shared" si="197"/>
        <v>9050200</v>
      </c>
      <c r="AO953" s="1013">
        <v>590415</v>
      </c>
      <c r="AP953" s="1013">
        <v>44100</v>
      </c>
      <c r="AQ953" s="1013">
        <v>0</v>
      </c>
      <c r="AR953" s="1013">
        <v>0</v>
      </c>
      <c r="AS953" s="1013">
        <v>0</v>
      </c>
      <c r="AT953" s="1045">
        <f t="shared" si="203"/>
        <v>8415685</v>
      </c>
      <c r="AU953" s="1004"/>
      <c r="AV953" s="870"/>
      <c r="AW953" s="782" t="s">
        <v>5131</v>
      </c>
      <c r="AX953" s="782" t="s">
        <v>5132</v>
      </c>
      <c r="AY953" s="1007" t="s">
        <v>221</v>
      </c>
      <c r="AZ953" s="1007">
        <v>622</v>
      </c>
      <c r="BA953" s="347" t="str">
        <f t="shared" si="196"/>
        <v>Bag</v>
      </c>
      <c r="BB953" s="1008"/>
      <c r="BC953" s="1009"/>
      <c r="BD953" s="1009"/>
    </row>
    <row r="954" spans="1:56" s="1010" customFormat="1" ht="36.75" customHeight="1">
      <c r="A954" s="661">
        <f>SUBTOTAL(3,B$6:B954)</f>
        <v>949</v>
      </c>
      <c r="B954" s="661" t="s">
        <v>2729</v>
      </c>
      <c r="C954" s="662" t="s">
        <v>2730</v>
      </c>
      <c r="D954" s="1011">
        <v>42583</v>
      </c>
      <c r="E954" s="1011" t="s">
        <v>221</v>
      </c>
      <c r="F954" s="787" t="s">
        <v>250</v>
      </c>
      <c r="G954" s="996" t="s">
        <v>885</v>
      </c>
      <c r="H954" s="1012">
        <v>5931000</v>
      </c>
      <c r="I954" s="1012">
        <v>2500000</v>
      </c>
      <c r="J954" s="1012">
        <v>0</v>
      </c>
      <c r="K954" s="1012">
        <v>0</v>
      </c>
      <c r="L954" s="1013">
        <f t="shared" si="198"/>
        <v>8431000</v>
      </c>
      <c r="M954" s="1014">
        <v>24</v>
      </c>
      <c r="N954" s="1013">
        <f t="shared" si="199"/>
        <v>7782462</v>
      </c>
      <c r="O954" s="1015">
        <v>2</v>
      </c>
      <c r="P954" s="1013">
        <f t="shared" si="200"/>
        <v>648538</v>
      </c>
      <c r="Q954" s="1016">
        <v>0</v>
      </c>
      <c r="R954" s="1013">
        <f t="shared" si="201"/>
        <v>0</v>
      </c>
      <c r="S954" s="1013">
        <f t="shared" si="202"/>
        <v>8431000</v>
      </c>
      <c r="T954" s="1017">
        <v>0</v>
      </c>
      <c r="U954" s="785">
        <v>0</v>
      </c>
      <c r="V954" s="785">
        <v>200000</v>
      </c>
      <c r="W954" s="1017">
        <v>500000</v>
      </c>
      <c r="X954" s="1017">
        <v>0</v>
      </c>
      <c r="Y954" s="1017">
        <v>400000</v>
      </c>
      <c r="Z954" s="1017">
        <v>360296</v>
      </c>
      <c r="AA954" s="1018"/>
      <c r="AB954" s="1013"/>
      <c r="AC954" s="1017">
        <v>0</v>
      </c>
      <c r="AD954" s="1017">
        <v>0</v>
      </c>
      <c r="AE954" s="1013">
        <v>0</v>
      </c>
      <c r="AF954" s="1019"/>
      <c r="AG954" s="1019">
        <f t="shared" si="195"/>
        <v>9891296</v>
      </c>
      <c r="AH954" s="1014">
        <v>64</v>
      </c>
      <c r="AI954" s="1014">
        <v>0</v>
      </c>
      <c r="AJ954" s="1014">
        <v>0</v>
      </c>
      <c r="AK954" s="1018">
        <v>0</v>
      </c>
      <c r="AL954" s="1020">
        <v>0</v>
      </c>
      <c r="AM954" s="1013">
        <f t="shared" si="194"/>
        <v>3891231</v>
      </c>
      <c r="AN954" s="1045">
        <f t="shared" si="197"/>
        <v>13782527</v>
      </c>
      <c r="AO954" s="1013">
        <v>885255</v>
      </c>
      <c r="AP954" s="1013">
        <v>44100</v>
      </c>
      <c r="AQ954" s="1013">
        <v>35010</v>
      </c>
      <c r="AR954" s="1013">
        <v>0</v>
      </c>
      <c r="AS954" s="1013">
        <v>0</v>
      </c>
      <c r="AT954" s="1045">
        <f t="shared" si="203"/>
        <v>12818162</v>
      </c>
      <c r="AU954" s="1004"/>
      <c r="AV954" s="870"/>
      <c r="AW954" s="782" t="s">
        <v>5133</v>
      </c>
      <c r="AX954" s="782" t="s">
        <v>5134</v>
      </c>
      <c r="AY954" s="1007" t="s">
        <v>221</v>
      </c>
      <c r="AZ954" s="1007">
        <v>622</v>
      </c>
      <c r="BA954" s="347" t="str">
        <f t="shared" si="196"/>
        <v>Bag</v>
      </c>
      <c r="BB954" s="1008"/>
      <c r="BC954" s="1009"/>
      <c r="BD954" s="1009"/>
    </row>
    <row r="955" spans="1:56" s="1010" customFormat="1" ht="36.75" customHeight="1">
      <c r="A955" s="661">
        <f>SUBTOTAL(3,B$6:B955)</f>
        <v>950</v>
      </c>
      <c r="B955" s="661" t="s">
        <v>2731</v>
      </c>
      <c r="C955" s="662" t="s">
        <v>2369</v>
      </c>
      <c r="D955" s="1011">
        <v>43735</v>
      </c>
      <c r="E955" s="1011" t="s">
        <v>221</v>
      </c>
      <c r="F955" s="787" t="s">
        <v>251</v>
      </c>
      <c r="G955" s="996" t="s">
        <v>987</v>
      </c>
      <c r="H955" s="1012">
        <v>5931000</v>
      </c>
      <c r="I955" s="1012">
        <v>400000</v>
      </c>
      <c r="J955" s="1012">
        <v>298000</v>
      </c>
      <c r="K955" s="1012">
        <v>600000</v>
      </c>
      <c r="L955" s="1013">
        <f t="shared" si="198"/>
        <v>7229000</v>
      </c>
      <c r="M955" s="1014">
        <v>24</v>
      </c>
      <c r="N955" s="1013">
        <f t="shared" si="199"/>
        <v>6672923</v>
      </c>
      <c r="O955" s="1015">
        <v>2</v>
      </c>
      <c r="P955" s="1013">
        <f t="shared" si="200"/>
        <v>556077</v>
      </c>
      <c r="Q955" s="1016">
        <v>0</v>
      </c>
      <c r="R955" s="1013">
        <f t="shared" si="201"/>
        <v>0</v>
      </c>
      <c r="S955" s="1013">
        <f t="shared" si="202"/>
        <v>7229000</v>
      </c>
      <c r="T955" s="1017">
        <v>0</v>
      </c>
      <c r="U955" s="785">
        <v>0</v>
      </c>
      <c r="V955" s="785">
        <v>200000</v>
      </c>
      <c r="W955" s="1017">
        <v>500000</v>
      </c>
      <c r="X955" s="1017">
        <v>0</v>
      </c>
      <c r="Y955" s="1017">
        <v>400000</v>
      </c>
      <c r="Z955" s="1017">
        <v>386723</v>
      </c>
      <c r="AA955" s="1018"/>
      <c r="AB955" s="1013"/>
      <c r="AC955" s="1017">
        <v>0</v>
      </c>
      <c r="AD955" s="1017">
        <v>0</v>
      </c>
      <c r="AE955" s="1013">
        <v>0</v>
      </c>
      <c r="AF955" s="1019"/>
      <c r="AG955" s="1019">
        <f t="shared" si="195"/>
        <v>8715723</v>
      </c>
      <c r="AH955" s="1014">
        <v>48</v>
      </c>
      <c r="AI955" s="1014">
        <v>0</v>
      </c>
      <c r="AJ955" s="1014">
        <v>0</v>
      </c>
      <c r="AK955" s="1018">
        <v>0</v>
      </c>
      <c r="AL955" s="1020">
        <v>0</v>
      </c>
      <c r="AM955" s="1013">
        <f t="shared" si="194"/>
        <v>2502346</v>
      </c>
      <c r="AN955" s="1045">
        <f t="shared" si="197"/>
        <v>11218069</v>
      </c>
      <c r="AO955" s="1013">
        <v>759045</v>
      </c>
      <c r="AP955" s="1013">
        <v>44100</v>
      </c>
      <c r="AQ955" s="1013">
        <v>0</v>
      </c>
      <c r="AR955" s="1013">
        <v>0</v>
      </c>
      <c r="AS955" s="1013">
        <v>0</v>
      </c>
      <c r="AT955" s="1045">
        <f t="shared" si="203"/>
        <v>10414924</v>
      </c>
      <c r="AU955" s="1004"/>
      <c r="AV955" s="870"/>
      <c r="AW955" s="782" t="s">
        <v>4795</v>
      </c>
      <c r="AX955" s="782" t="s">
        <v>5135</v>
      </c>
      <c r="AY955" s="1007" t="s">
        <v>221</v>
      </c>
      <c r="AZ955" s="1007">
        <v>622</v>
      </c>
      <c r="BA955" s="347" t="str">
        <f t="shared" si="196"/>
        <v>Bag</v>
      </c>
      <c r="BB955" s="1008"/>
      <c r="BC955" s="1009"/>
      <c r="BD955" s="1009"/>
    </row>
    <row r="956" spans="1:56" s="1010" customFormat="1" ht="36.75" customHeight="1">
      <c r="A956" s="661">
        <f>SUBTOTAL(3,B$6:B956)</f>
        <v>951</v>
      </c>
      <c r="B956" s="661" t="s">
        <v>2732</v>
      </c>
      <c r="C956" s="662" t="s">
        <v>2733</v>
      </c>
      <c r="D956" s="1011">
        <v>43777</v>
      </c>
      <c r="E956" s="1011" t="s">
        <v>221</v>
      </c>
      <c r="F956" s="787" t="s">
        <v>251</v>
      </c>
      <c r="G956" s="996" t="s">
        <v>1686</v>
      </c>
      <c r="H956" s="1012">
        <v>5931000</v>
      </c>
      <c r="I956" s="1012">
        <v>1400000</v>
      </c>
      <c r="J956" s="1012">
        <v>298000</v>
      </c>
      <c r="K956" s="1012">
        <v>200000</v>
      </c>
      <c r="L956" s="1013">
        <f t="shared" si="198"/>
        <v>7829000</v>
      </c>
      <c r="M956" s="1014">
        <v>21.9</v>
      </c>
      <c r="N956" s="1013">
        <f t="shared" si="199"/>
        <v>6594427</v>
      </c>
      <c r="O956" s="1015">
        <v>4</v>
      </c>
      <c r="P956" s="1013">
        <f t="shared" si="200"/>
        <v>1204462</v>
      </c>
      <c r="Q956" s="1016">
        <v>0</v>
      </c>
      <c r="R956" s="1013">
        <f t="shared" si="201"/>
        <v>0</v>
      </c>
      <c r="S956" s="1013">
        <f t="shared" si="202"/>
        <v>7798889</v>
      </c>
      <c r="T956" s="1017">
        <v>0</v>
      </c>
      <c r="U956" s="785">
        <v>0</v>
      </c>
      <c r="V956" s="785">
        <v>200000</v>
      </c>
      <c r="W956" s="1017">
        <v>500000</v>
      </c>
      <c r="X956" s="1017">
        <v>0</v>
      </c>
      <c r="Y956" s="1017">
        <v>400000</v>
      </c>
      <c r="Z956" s="1017">
        <v>352884</v>
      </c>
      <c r="AA956" s="1018"/>
      <c r="AB956" s="1013"/>
      <c r="AC956" s="1017">
        <v>0</v>
      </c>
      <c r="AD956" s="1017">
        <v>0</v>
      </c>
      <c r="AE956" s="1013">
        <v>0</v>
      </c>
      <c r="AF956" s="1019"/>
      <c r="AG956" s="1019">
        <f t="shared" si="195"/>
        <v>9251773</v>
      </c>
      <c r="AH956" s="1014">
        <v>32</v>
      </c>
      <c r="AI956" s="1014">
        <v>0</v>
      </c>
      <c r="AJ956" s="1014">
        <v>0</v>
      </c>
      <c r="AK956" s="1018">
        <v>0</v>
      </c>
      <c r="AL956" s="1020">
        <v>0</v>
      </c>
      <c r="AM956" s="1013">
        <f t="shared" si="194"/>
        <v>1806692</v>
      </c>
      <c r="AN956" s="1045">
        <f t="shared" si="197"/>
        <v>11058465</v>
      </c>
      <c r="AO956" s="1013">
        <v>822045</v>
      </c>
      <c r="AP956" s="1013">
        <v>44100</v>
      </c>
      <c r="AQ956" s="1013">
        <v>0</v>
      </c>
      <c r="AR956" s="1013">
        <v>0</v>
      </c>
      <c r="AS956" s="1013">
        <v>0</v>
      </c>
      <c r="AT956" s="1045">
        <f t="shared" si="203"/>
        <v>10192320</v>
      </c>
      <c r="AU956" s="1004"/>
      <c r="AV956" s="870"/>
      <c r="AW956" s="782" t="s">
        <v>5136</v>
      </c>
      <c r="AX956" s="782" t="s">
        <v>5137</v>
      </c>
      <c r="AY956" s="1007" t="s">
        <v>221</v>
      </c>
      <c r="AZ956" s="1007">
        <v>622</v>
      </c>
      <c r="BA956" s="347" t="str">
        <f t="shared" si="196"/>
        <v>Bag</v>
      </c>
      <c r="BB956" s="1008"/>
      <c r="BC956" s="1009"/>
      <c r="BD956" s="1009"/>
    </row>
    <row r="957" spans="1:56" s="1010" customFormat="1" ht="36.75" customHeight="1">
      <c r="A957" s="661">
        <f>SUBTOTAL(3,B$6:B957)</f>
        <v>952</v>
      </c>
      <c r="B957" s="661" t="s">
        <v>2734</v>
      </c>
      <c r="C957" s="662" t="s">
        <v>2735</v>
      </c>
      <c r="D957" s="1011">
        <v>43910</v>
      </c>
      <c r="E957" s="1011" t="s">
        <v>221</v>
      </c>
      <c r="F957" s="787" t="s">
        <v>251</v>
      </c>
      <c r="G957" s="996" t="s">
        <v>1589</v>
      </c>
      <c r="H957" s="1012">
        <v>5931000</v>
      </c>
      <c r="I957" s="1012">
        <v>900000</v>
      </c>
      <c r="J957" s="1012">
        <v>298000</v>
      </c>
      <c r="K957" s="1012">
        <v>0</v>
      </c>
      <c r="L957" s="1013">
        <f t="shared" si="198"/>
        <v>7129000</v>
      </c>
      <c r="M957" s="1014">
        <v>23.9</v>
      </c>
      <c r="N957" s="1013">
        <f t="shared" si="199"/>
        <v>6553196</v>
      </c>
      <c r="O957" s="1015">
        <v>2</v>
      </c>
      <c r="P957" s="1013">
        <f t="shared" si="200"/>
        <v>548385</v>
      </c>
      <c r="Q957" s="1016">
        <v>0</v>
      </c>
      <c r="R957" s="1013">
        <f t="shared" si="201"/>
        <v>0</v>
      </c>
      <c r="S957" s="1013">
        <f t="shared" si="202"/>
        <v>7101581</v>
      </c>
      <c r="T957" s="1017">
        <v>0</v>
      </c>
      <c r="U957" s="785">
        <v>0</v>
      </c>
      <c r="V957" s="785">
        <v>200000</v>
      </c>
      <c r="W957" s="1017">
        <v>500000</v>
      </c>
      <c r="X957" s="1017">
        <v>0</v>
      </c>
      <c r="Y957" s="1017">
        <v>400000</v>
      </c>
      <c r="Z957" s="1017">
        <v>385111</v>
      </c>
      <c r="AA957" s="1018"/>
      <c r="AB957" s="1013"/>
      <c r="AC957" s="1017">
        <v>0</v>
      </c>
      <c r="AD957" s="1017">
        <v>0</v>
      </c>
      <c r="AE957" s="1013">
        <v>0</v>
      </c>
      <c r="AF957" s="1019"/>
      <c r="AG957" s="1019">
        <f t="shared" si="195"/>
        <v>8586692</v>
      </c>
      <c r="AH957" s="1014">
        <v>44</v>
      </c>
      <c r="AI957" s="1014">
        <v>0</v>
      </c>
      <c r="AJ957" s="1014">
        <v>0</v>
      </c>
      <c r="AK957" s="1018">
        <v>0</v>
      </c>
      <c r="AL957" s="1020">
        <v>0</v>
      </c>
      <c r="AM957" s="1013">
        <f t="shared" si="194"/>
        <v>2262086</v>
      </c>
      <c r="AN957" s="1045">
        <f t="shared" si="197"/>
        <v>10848778</v>
      </c>
      <c r="AO957" s="1013">
        <v>748545</v>
      </c>
      <c r="AP957" s="1013">
        <v>44100</v>
      </c>
      <c r="AQ957" s="1013">
        <v>0</v>
      </c>
      <c r="AR957" s="1013">
        <v>0</v>
      </c>
      <c r="AS957" s="1013">
        <v>0</v>
      </c>
      <c r="AT957" s="1045">
        <f t="shared" si="203"/>
        <v>10056133</v>
      </c>
      <c r="AU957" s="1004"/>
      <c r="AV957" s="870"/>
      <c r="AW957" s="782" t="s">
        <v>5138</v>
      </c>
      <c r="AX957" s="782" t="s">
        <v>5139</v>
      </c>
      <c r="AY957" s="1007" t="s">
        <v>221</v>
      </c>
      <c r="AZ957" s="1007">
        <v>622</v>
      </c>
      <c r="BA957" s="347" t="str">
        <f t="shared" si="196"/>
        <v>Bag</v>
      </c>
      <c r="BB957" s="1008"/>
      <c r="BC957" s="1009"/>
      <c r="BD957" s="1009"/>
    </row>
    <row r="958" spans="1:56" s="1010" customFormat="1" ht="36.75" customHeight="1">
      <c r="A958" s="661">
        <f>SUBTOTAL(3,B$6:B958)</f>
        <v>953</v>
      </c>
      <c r="B958" s="661" t="s">
        <v>2736</v>
      </c>
      <c r="C958" s="662" t="s">
        <v>2737</v>
      </c>
      <c r="D958" s="1011">
        <v>44254</v>
      </c>
      <c r="E958" s="1011" t="s">
        <v>221</v>
      </c>
      <c r="F958" s="787" t="s">
        <v>251</v>
      </c>
      <c r="G958" s="996" t="s">
        <v>992</v>
      </c>
      <c r="H958" s="1012">
        <v>5931000</v>
      </c>
      <c r="I958" s="1012">
        <v>900000</v>
      </c>
      <c r="J958" s="1012">
        <v>298000</v>
      </c>
      <c r="K958" s="1012">
        <v>0</v>
      </c>
      <c r="L958" s="1013">
        <f t="shared" si="198"/>
        <v>7129000</v>
      </c>
      <c r="M958" s="1014">
        <v>23</v>
      </c>
      <c r="N958" s="1013">
        <f t="shared" si="199"/>
        <v>6306423</v>
      </c>
      <c r="O958" s="1015">
        <v>3</v>
      </c>
      <c r="P958" s="1013">
        <f t="shared" si="200"/>
        <v>822577</v>
      </c>
      <c r="Q958" s="1016">
        <v>0</v>
      </c>
      <c r="R958" s="1013">
        <f t="shared" si="201"/>
        <v>0</v>
      </c>
      <c r="S958" s="1013">
        <f t="shared" si="202"/>
        <v>7129000</v>
      </c>
      <c r="T958" s="1017">
        <v>0</v>
      </c>
      <c r="U958" s="785">
        <v>0</v>
      </c>
      <c r="V958" s="785">
        <v>200000</v>
      </c>
      <c r="W958" s="1017">
        <v>500000</v>
      </c>
      <c r="X958" s="1017">
        <v>0</v>
      </c>
      <c r="Y958" s="1017">
        <v>300000</v>
      </c>
      <c r="Z958" s="1017">
        <v>370609</v>
      </c>
      <c r="AA958" s="1018"/>
      <c r="AB958" s="1013"/>
      <c r="AC958" s="1017">
        <v>100000</v>
      </c>
      <c r="AD958" s="1017">
        <v>0</v>
      </c>
      <c r="AE958" s="1013">
        <v>0</v>
      </c>
      <c r="AF958" s="1019"/>
      <c r="AG958" s="1019">
        <f t="shared" si="195"/>
        <v>8599609</v>
      </c>
      <c r="AH958" s="1014">
        <v>56</v>
      </c>
      <c r="AI958" s="1014">
        <v>0</v>
      </c>
      <c r="AJ958" s="1014">
        <v>0</v>
      </c>
      <c r="AK958" s="1018">
        <v>0</v>
      </c>
      <c r="AL958" s="1020">
        <v>0</v>
      </c>
      <c r="AM958" s="1013">
        <f t="shared" si="194"/>
        <v>2879019</v>
      </c>
      <c r="AN958" s="1045">
        <f t="shared" si="197"/>
        <v>11478628</v>
      </c>
      <c r="AO958" s="1013">
        <v>748545</v>
      </c>
      <c r="AP958" s="1013">
        <v>44100</v>
      </c>
      <c r="AQ958" s="1013">
        <v>0</v>
      </c>
      <c r="AR958" s="1013">
        <v>0</v>
      </c>
      <c r="AS958" s="1013">
        <v>0</v>
      </c>
      <c r="AT958" s="1045">
        <f t="shared" si="203"/>
        <v>10685983</v>
      </c>
      <c r="AU958" s="1004"/>
      <c r="AV958" s="870"/>
      <c r="AW958" s="782" t="s">
        <v>5140</v>
      </c>
      <c r="AX958" s="782" t="s">
        <v>5141</v>
      </c>
      <c r="AY958" s="1007" t="s">
        <v>221</v>
      </c>
      <c r="AZ958" s="1007">
        <v>622</v>
      </c>
      <c r="BA958" s="347" t="str">
        <f t="shared" si="196"/>
        <v>Bag</v>
      </c>
      <c r="BB958" s="1008"/>
      <c r="BC958" s="1009"/>
      <c r="BD958" s="1009"/>
    </row>
    <row r="959" spans="1:56" s="1010" customFormat="1" ht="36.75" customHeight="1">
      <c r="A959" s="661">
        <f>SUBTOTAL(3,B$6:B959)</f>
        <v>954</v>
      </c>
      <c r="B959" s="661" t="s">
        <v>2738</v>
      </c>
      <c r="C959" s="662" t="s">
        <v>2739</v>
      </c>
      <c r="D959" s="1011">
        <v>45345</v>
      </c>
      <c r="E959" s="1011" t="s">
        <v>221</v>
      </c>
      <c r="F959" s="787" t="s">
        <v>251</v>
      </c>
      <c r="G959" s="996" t="s">
        <v>992</v>
      </c>
      <c r="H959" s="1012">
        <v>5538000</v>
      </c>
      <c r="I959" s="1012">
        <v>600000</v>
      </c>
      <c r="J959" s="1012">
        <v>278000</v>
      </c>
      <c r="K959" s="1012">
        <v>0</v>
      </c>
      <c r="L959" s="1013">
        <f t="shared" si="198"/>
        <v>6416000</v>
      </c>
      <c r="M959" s="1014">
        <v>23.9</v>
      </c>
      <c r="N959" s="1013">
        <f t="shared" si="199"/>
        <v>5897785</v>
      </c>
      <c r="O959" s="1015">
        <v>2</v>
      </c>
      <c r="P959" s="1013">
        <f t="shared" si="200"/>
        <v>493538</v>
      </c>
      <c r="Q959" s="1016">
        <v>0</v>
      </c>
      <c r="R959" s="1013">
        <f t="shared" si="201"/>
        <v>0</v>
      </c>
      <c r="S959" s="1013">
        <f t="shared" si="202"/>
        <v>6391323</v>
      </c>
      <c r="T959" s="1017">
        <v>0</v>
      </c>
      <c r="U959" s="785">
        <v>0</v>
      </c>
      <c r="V959" s="785">
        <v>200000</v>
      </c>
      <c r="W959" s="1017">
        <v>500000</v>
      </c>
      <c r="X959" s="1017">
        <v>0</v>
      </c>
      <c r="Y959" s="1017">
        <v>400000</v>
      </c>
      <c r="Z959" s="1017">
        <v>385111</v>
      </c>
      <c r="AA959" s="1018"/>
      <c r="AB959" s="1013"/>
      <c r="AC959" s="1017">
        <v>0</v>
      </c>
      <c r="AD959" s="1017">
        <v>0</v>
      </c>
      <c r="AE959" s="1013">
        <v>0</v>
      </c>
      <c r="AF959" s="1019"/>
      <c r="AG959" s="1019">
        <f t="shared" si="195"/>
        <v>7876434</v>
      </c>
      <c r="AH959" s="1014">
        <v>48</v>
      </c>
      <c r="AI959" s="1014">
        <v>0</v>
      </c>
      <c r="AJ959" s="1014">
        <v>0</v>
      </c>
      <c r="AK959" s="1018">
        <v>0</v>
      </c>
      <c r="AL959" s="1020">
        <v>0</v>
      </c>
      <c r="AM959" s="1013">
        <f t="shared" si="194"/>
        <v>2220923</v>
      </c>
      <c r="AN959" s="1045">
        <f t="shared" si="197"/>
        <v>10097357</v>
      </c>
      <c r="AO959" s="1013">
        <v>673680</v>
      </c>
      <c r="AP959" s="1013">
        <v>44100</v>
      </c>
      <c r="AQ959" s="1013">
        <v>0</v>
      </c>
      <c r="AR959" s="1013">
        <v>0</v>
      </c>
      <c r="AS959" s="1013">
        <v>0</v>
      </c>
      <c r="AT959" s="1045">
        <f t="shared" si="203"/>
        <v>9379577</v>
      </c>
      <c r="AU959" s="1004"/>
      <c r="AV959" s="870"/>
      <c r="AW959" s="782" t="s">
        <v>5142</v>
      </c>
      <c r="AX959" s="782" t="s">
        <v>5143</v>
      </c>
      <c r="AY959" s="1007" t="s">
        <v>221</v>
      </c>
      <c r="AZ959" s="1007">
        <v>622</v>
      </c>
      <c r="BA959" s="347" t="str">
        <f t="shared" si="196"/>
        <v>Bag</v>
      </c>
      <c r="BB959" s="1008"/>
      <c r="BC959" s="1009"/>
      <c r="BD959" s="1009"/>
    </row>
    <row r="960" spans="1:56" s="1010" customFormat="1" ht="36.75" customHeight="1">
      <c r="A960" s="661">
        <f>SUBTOTAL(3,B$6:B960)</f>
        <v>955</v>
      </c>
      <c r="B960" s="661" t="s">
        <v>2740</v>
      </c>
      <c r="C960" s="662" t="s">
        <v>2741</v>
      </c>
      <c r="D960" s="1011">
        <v>45378</v>
      </c>
      <c r="E960" s="1011" t="s">
        <v>221</v>
      </c>
      <c r="F960" s="787" t="s">
        <v>251</v>
      </c>
      <c r="G960" s="996" t="s">
        <v>1589</v>
      </c>
      <c r="H960" s="1012">
        <v>5538000</v>
      </c>
      <c r="I960" s="1012">
        <v>400000</v>
      </c>
      <c r="J960" s="1012">
        <v>278000</v>
      </c>
      <c r="K960" s="1012">
        <v>0</v>
      </c>
      <c r="L960" s="1013">
        <f t="shared" si="198"/>
        <v>6216000</v>
      </c>
      <c r="M960" s="1014">
        <v>24</v>
      </c>
      <c r="N960" s="1013">
        <f t="shared" si="199"/>
        <v>5737846</v>
      </c>
      <c r="O960" s="1015">
        <v>2</v>
      </c>
      <c r="P960" s="1013">
        <f t="shared" si="200"/>
        <v>478154</v>
      </c>
      <c r="Q960" s="1016">
        <v>0</v>
      </c>
      <c r="R960" s="1013">
        <f t="shared" si="201"/>
        <v>0</v>
      </c>
      <c r="S960" s="1013">
        <f t="shared" si="202"/>
        <v>6216000</v>
      </c>
      <c r="T960" s="1017">
        <v>0</v>
      </c>
      <c r="U960" s="785">
        <v>0</v>
      </c>
      <c r="V960" s="785">
        <v>200000</v>
      </c>
      <c r="W960" s="1017">
        <v>500000</v>
      </c>
      <c r="X960" s="1017">
        <v>0</v>
      </c>
      <c r="Y960" s="1017">
        <v>400000</v>
      </c>
      <c r="Z960" s="1017">
        <v>386723</v>
      </c>
      <c r="AA960" s="1018"/>
      <c r="AB960" s="1013"/>
      <c r="AC960" s="1017">
        <v>0</v>
      </c>
      <c r="AD960" s="1017">
        <v>0</v>
      </c>
      <c r="AE960" s="1013">
        <v>0</v>
      </c>
      <c r="AF960" s="1019"/>
      <c r="AG960" s="1019">
        <f t="shared" si="195"/>
        <v>7702723</v>
      </c>
      <c r="AH960" s="1014">
        <v>56</v>
      </c>
      <c r="AI960" s="1014">
        <v>0</v>
      </c>
      <c r="AJ960" s="1014">
        <v>0</v>
      </c>
      <c r="AK960" s="1018">
        <v>0</v>
      </c>
      <c r="AL960" s="1020">
        <v>0</v>
      </c>
      <c r="AM960" s="1013">
        <f t="shared" si="194"/>
        <v>2510308</v>
      </c>
      <c r="AN960" s="1045">
        <f t="shared" si="197"/>
        <v>10213031</v>
      </c>
      <c r="AO960" s="1013">
        <v>652680</v>
      </c>
      <c r="AP960" s="1013">
        <v>44100</v>
      </c>
      <c r="AQ960" s="1013">
        <v>0</v>
      </c>
      <c r="AR960" s="1013">
        <v>0</v>
      </c>
      <c r="AS960" s="1013">
        <v>0</v>
      </c>
      <c r="AT960" s="1045">
        <f t="shared" si="203"/>
        <v>9516251</v>
      </c>
      <c r="AU960" s="1004"/>
      <c r="AV960" s="870"/>
      <c r="AW960" s="782" t="s">
        <v>5144</v>
      </c>
      <c r="AX960" s="782" t="s">
        <v>5145</v>
      </c>
      <c r="AY960" s="1007" t="s">
        <v>221</v>
      </c>
      <c r="AZ960" s="1007">
        <v>622</v>
      </c>
      <c r="BA960" s="347" t="str">
        <f t="shared" si="196"/>
        <v>Bag</v>
      </c>
      <c r="BB960" s="1008"/>
      <c r="BC960" s="1009"/>
      <c r="BD960" s="1009"/>
    </row>
    <row r="961" spans="1:56" s="1010" customFormat="1" ht="36.75" customHeight="1">
      <c r="A961" s="661">
        <f>SUBTOTAL(3,B$6:B961)</f>
        <v>956</v>
      </c>
      <c r="B961" s="661" t="s">
        <v>2742</v>
      </c>
      <c r="C961" s="662" t="s">
        <v>2743</v>
      </c>
      <c r="D961" s="1011">
        <v>45457</v>
      </c>
      <c r="E961" s="1011" t="s">
        <v>221</v>
      </c>
      <c r="F961" s="787" t="s">
        <v>251</v>
      </c>
      <c r="G961" s="996" t="s">
        <v>987</v>
      </c>
      <c r="H961" s="1012">
        <v>5274000</v>
      </c>
      <c r="I961" s="1012">
        <v>200000</v>
      </c>
      <c r="J961" s="1012">
        <v>265000</v>
      </c>
      <c r="K961" s="1012">
        <v>0</v>
      </c>
      <c r="L961" s="1013">
        <f t="shared" si="198"/>
        <v>5739000</v>
      </c>
      <c r="M961" s="1014">
        <v>23</v>
      </c>
      <c r="N961" s="1013">
        <f t="shared" si="199"/>
        <v>5076808</v>
      </c>
      <c r="O961" s="1015">
        <v>3</v>
      </c>
      <c r="P961" s="1013">
        <f t="shared" si="200"/>
        <v>662192</v>
      </c>
      <c r="Q961" s="1016">
        <v>0</v>
      </c>
      <c r="R961" s="1013">
        <f t="shared" si="201"/>
        <v>0</v>
      </c>
      <c r="S961" s="1013">
        <f t="shared" si="202"/>
        <v>5739000</v>
      </c>
      <c r="T961" s="1017">
        <v>0</v>
      </c>
      <c r="U961" s="785">
        <v>0</v>
      </c>
      <c r="V961" s="785">
        <v>200000</v>
      </c>
      <c r="W961" s="1017">
        <v>500000</v>
      </c>
      <c r="X961" s="1017">
        <v>0</v>
      </c>
      <c r="Y961" s="1017">
        <v>400000</v>
      </c>
      <c r="Z961" s="1017">
        <v>370609</v>
      </c>
      <c r="AA961" s="1018"/>
      <c r="AB961" s="1013"/>
      <c r="AC961" s="1017">
        <v>0</v>
      </c>
      <c r="AD961" s="1017">
        <v>0</v>
      </c>
      <c r="AE961" s="1013">
        <v>0</v>
      </c>
      <c r="AF961" s="1019"/>
      <c r="AG961" s="1019">
        <f t="shared" si="195"/>
        <v>7209609</v>
      </c>
      <c r="AH961" s="1014">
        <v>40</v>
      </c>
      <c r="AI961" s="1014">
        <v>0</v>
      </c>
      <c r="AJ961" s="1014">
        <v>0</v>
      </c>
      <c r="AK961" s="1018">
        <v>0</v>
      </c>
      <c r="AL961" s="1020">
        <v>0</v>
      </c>
      <c r="AM961" s="1013">
        <f t="shared" si="194"/>
        <v>1655481</v>
      </c>
      <c r="AN961" s="1045">
        <f t="shared" si="197"/>
        <v>8865090</v>
      </c>
      <c r="AO961" s="1013">
        <v>602595</v>
      </c>
      <c r="AP961" s="1013">
        <v>44100</v>
      </c>
      <c r="AQ961" s="1013">
        <v>0</v>
      </c>
      <c r="AR961" s="1013">
        <v>0</v>
      </c>
      <c r="AS961" s="1013">
        <v>0</v>
      </c>
      <c r="AT961" s="1045">
        <f t="shared" si="203"/>
        <v>8218395</v>
      </c>
      <c r="AU961" s="1004"/>
      <c r="AV961" s="870"/>
      <c r="AW961" s="782" t="s">
        <v>5146</v>
      </c>
      <c r="AX961" s="782" t="s">
        <v>5147</v>
      </c>
      <c r="AY961" s="1007" t="s">
        <v>221</v>
      </c>
      <c r="AZ961" s="1007">
        <v>622</v>
      </c>
      <c r="BA961" s="347" t="str">
        <f t="shared" si="196"/>
        <v>Bag</v>
      </c>
      <c r="BB961" s="1008"/>
      <c r="BC961" s="1009"/>
      <c r="BD961" s="1009"/>
    </row>
    <row r="962" spans="1:56" s="1010" customFormat="1" ht="36.75" customHeight="1">
      <c r="A962" s="661">
        <f>SUBTOTAL(3,B$6:B962)</f>
        <v>957</v>
      </c>
      <c r="B962" s="661" t="s">
        <v>2744</v>
      </c>
      <c r="C962" s="662" t="s">
        <v>2745</v>
      </c>
      <c r="D962" s="1011">
        <v>45698</v>
      </c>
      <c r="E962" s="1011" t="s">
        <v>221</v>
      </c>
      <c r="F962" s="787" t="s">
        <v>251</v>
      </c>
      <c r="G962" s="996" t="s">
        <v>987</v>
      </c>
      <c r="H962" s="1012">
        <v>5023000</v>
      </c>
      <c r="I962" s="1012">
        <v>200000</v>
      </c>
      <c r="J962" s="1012">
        <v>252000</v>
      </c>
      <c r="K962" s="1012">
        <v>0</v>
      </c>
      <c r="L962" s="1013">
        <f t="shared" si="198"/>
        <v>5475000</v>
      </c>
      <c r="M962" s="1014">
        <v>24</v>
      </c>
      <c r="N962" s="1013">
        <f t="shared" si="199"/>
        <v>5053846</v>
      </c>
      <c r="O962" s="1015">
        <v>2</v>
      </c>
      <c r="P962" s="1013">
        <f t="shared" si="200"/>
        <v>421154</v>
      </c>
      <c r="Q962" s="1016">
        <v>0</v>
      </c>
      <c r="R962" s="1013">
        <f t="shared" si="201"/>
        <v>0</v>
      </c>
      <c r="S962" s="1013">
        <f t="shared" si="202"/>
        <v>5475000</v>
      </c>
      <c r="T962" s="1017">
        <v>0</v>
      </c>
      <c r="U962" s="785">
        <v>0</v>
      </c>
      <c r="V962" s="785">
        <v>200000</v>
      </c>
      <c r="W962" s="1017">
        <v>500000</v>
      </c>
      <c r="X962" s="1017">
        <v>0</v>
      </c>
      <c r="Y962" s="1017">
        <v>400000</v>
      </c>
      <c r="Z962" s="1017">
        <v>386723</v>
      </c>
      <c r="AA962" s="1018"/>
      <c r="AB962" s="1013"/>
      <c r="AC962" s="1017">
        <v>0</v>
      </c>
      <c r="AD962" s="1017">
        <v>0</v>
      </c>
      <c r="AE962" s="1013">
        <v>0</v>
      </c>
      <c r="AF962" s="1019"/>
      <c r="AG962" s="1019">
        <f t="shared" si="195"/>
        <v>6961723</v>
      </c>
      <c r="AH962" s="1014">
        <v>48</v>
      </c>
      <c r="AI962" s="1014">
        <v>0</v>
      </c>
      <c r="AJ962" s="1014">
        <v>0</v>
      </c>
      <c r="AK962" s="1018">
        <v>0</v>
      </c>
      <c r="AL962" s="1020">
        <v>0</v>
      </c>
      <c r="AM962" s="1013">
        <f t="shared" si="194"/>
        <v>1895192</v>
      </c>
      <c r="AN962" s="1045">
        <f t="shared" si="197"/>
        <v>8856915</v>
      </c>
      <c r="AO962" s="1013">
        <v>574875</v>
      </c>
      <c r="AP962" s="1013">
        <v>44100</v>
      </c>
      <c r="AQ962" s="1013">
        <v>0</v>
      </c>
      <c r="AR962" s="1013">
        <v>0</v>
      </c>
      <c r="AS962" s="1013">
        <v>0</v>
      </c>
      <c r="AT962" s="1045">
        <f t="shared" si="203"/>
        <v>8237940</v>
      </c>
      <c r="AU962" s="1004"/>
      <c r="AV962" s="870"/>
      <c r="AW962" s="782" t="s">
        <v>5148</v>
      </c>
      <c r="AX962" s="782" t="s">
        <v>5149</v>
      </c>
      <c r="AY962" s="1007" t="s">
        <v>221</v>
      </c>
      <c r="AZ962" s="1007">
        <v>622</v>
      </c>
      <c r="BA962" s="347" t="str">
        <f t="shared" si="196"/>
        <v>Bag</v>
      </c>
      <c r="BB962" s="1008"/>
      <c r="BC962" s="1009"/>
      <c r="BD962" s="1009"/>
    </row>
    <row r="963" spans="1:56" s="1010" customFormat="1" ht="36.75" customHeight="1">
      <c r="A963" s="661">
        <f>SUBTOTAL(3,B$6:B963)</f>
        <v>958</v>
      </c>
      <c r="B963" s="661" t="s">
        <v>2746</v>
      </c>
      <c r="C963" s="662" t="s">
        <v>2747</v>
      </c>
      <c r="D963" s="1011">
        <v>40683</v>
      </c>
      <c r="E963" s="1011" t="s">
        <v>221</v>
      </c>
      <c r="F963" s="787" t="s">
        <v>251</v>
      </c>
      <c r="G963" s="996" t="s">
        <v>2748</v>
      </c>
      <c r="H963" s="1012">
        <v>5931000</v>
      </c>
      <c r="I963" s="1012">
        <v>1600000</v>
      </c>
      <c r="J963" s="1012">
        <v>298000</v>
      </c>
      <c r="K963" s="1012">
        <v>200000</v>
      </c>
      <c r="L963" s="1013">
        <f t="shared" si="198"/>
        <v>8029000</v>
      </c>
      <c r="M963" s="1014">
        <v>23.9</v>
      </c>
      <c r="N963" s="1013">
        <f t="shared" si="199"/>
        <v>7380504</v>
      </c>
      <c r="O963" s="1015">
        <v>2</v>
      </c>
      <c r="P963" s="1013">
        <f t="shared" si="200"/>
        <v>617615</v>
      </c>
      <c r="Q963" s="1016">
        <v>0</v>
      </c>
      <c r="R963" s="1013">
        <f t="shared" si="201"/>
        <v>0</v>
      </c>
      <c r="S963" s="1013">
        <f t="shared" si="202"/>
        <v>7998119</v>
      </c>
      <c r="T963" s="1017">
        <v>0</v>
      </c>
      <c r="U963" s="785">
        <v>0</v>
      </c>
      <c r="V963" s="785">
        <v>200000</v>
      </c>
      <c r="W963" s="1017">
        <v>500000</v>
      </c>
      <c r="X963" s="1017">
        <v>0</v>
      </c>
      <c r="Y963" s="1017">
        <v>400000</v>
      </c>
      <c r="Z963" s="1017">
        <v>385111</v>
      </c>
      <c r="AA963" s="1018"/>
      <c r="AB963" s="1013"/>
      <c r="AC963" s="1017">
        <v>0</v>
      </c>
      <c r="AD963" s="1017">
        <v>0</v>
      </c>
      <c r="AE963" s="1013">
        <v>0</v>
      </c>
      <c r="AF963" s="1019"/>
      <c r="AG963" s="1019">
        <f t="shared" si="195"/>
        <v>9483230</v>
      </c>
      <c r="AH963" s="1014">
        <v>52</v>
      </c>
      <c r="AI963" s="1014">
        <v>0</v>
      </c>
      <c r="AJ963" s="1014">
        <v>0</v>
      </c>
      <c r="AK963" s="1018">
        <v>0</v>
      </c>
      <c r="AL963" s="1020">
        <v>0</v>
      </c>
      <c r="AM963" s="1013">
        <f t="shared" si="194"/>
        <v>3010875</v>
      </c>
      <c r="AN963" s="1045">
        <f t="shared" si="197"/>
        <v>12494105</v>
      </c>
      <c r="AO963" s="1013">
        <v>843045</v>
      </c>
      <c r="AP963" s="1013">
        <v>44100</v>
      </c>
      <c r="AQ963" s="1013">
        <v>0</v>
      </c>
      <c r="AR963" s="1013">
        <v>0</v>
      </c>
      <c r="AS963" s="1013">
        <v>0</v>
      </c>
      <c r="AT963" s="1045">
        <f t="shared" si="203"/>
        <v>11606960</v>
      </c>
      <c r="AU963" s="1004"/>
      <c r="AV963" s="870"/>
      <c r="AW963" s="782" t="s">
        <v>5150</v>
      </c>
      <c r="AX963" s="782" t="s">
        <v>5151</v>
      </c>
      <c r="AY963" s="1007" t="s">
        <v>221</v>
      </c>
      <c r="AZ963" s="1007">
        <v>622</v>
      </c>
      <c r="BA963" s="347" t="str">
        <f t="shared" si="196"/>
        <v>Bag</v>
      </c>
      <c r="BB963" s="1008"/>
      <c r="BC963" s="1009"/>
      <c r="BD963" s="1009"/>
    </row>
    <row r="964" spans="1:56" s="1010" customFormat="1" ht="36.75" customHeight="1">
      <c r="A964" s="661">
        <f>SUBTOTAL(3,B$6:B964)</f>
        <v>959</v>
      </c>
      <c r="B964" s="661" t="s">
        <v>1175</v>
      </c>
      <c r="C964" s="662" t="s">
        <v>1176</v>
      </c>
      <c r="D964" s="1011">
        <v>40483</v>
      </c>
      <c r="E964" s="1011" t="s">
        <v>221</v>
      </c>
      <c r="F964" s="787" t="s">
        <v>5782</v>
      </c>
      <c r="G964" s="996" t="s">
        <v>797</v>
      </c>
      <c r="H964" s="1012">
        <v>5931000</v>
      </c>
      <c r="I964" s="1012">
        <v>0</v>
      </c>
      <c r="J964" s="1012">
        <v>0</v>
      </c>
      <c r="K964" s="1012">
        <v>0</v>
      </c>
      <c r="L964" s="1013">
        <f t="shared" si="198"/>
        <v>5931000</v>
      </c>
      <c r="M964" s="1014">
        <v>24</v>
      </c>
      <c r="N964" s="1013">
        <f t="shared" si="199"/>
        <v>5474769</v>
      </c>
      <c r="O964" s="1015">
        <v>2</v>
      </c>
      <c r="P964" s="1013">
        <f t="shared" si="200"/>
        <v>456231</v>
      </c>
      <c r="Q964" s="1016">
        <v>0</v>
      </c>
      <c r="R964" s="1013">
        <f t="shared" si="201"/>
        <v>0</v>
      </c>
      <c r="S964" s="1013">
        <f t="shared" si="202"/>
        <v>5931000</v>
      </c>
      <c r="T964" s="1017">
        <v>0</v>
      </c>
      <c r="U964" s="785">
        <v>0</v>
      </c>
      <c r="V964" s="785">
        <v>200000</v>
      </c>
      <c r="W964" s="1017">
        <v>500000</v>
      </c>
      <c r="X964" s="1017">
        <v>0</v>
      </c>
      <c r="Y964" s="1017">
        <v>400000</v>
      </c>
      <c r="Z964" s="1017">
        <v>244377</v>
      </c>
      <c r="AA964" s="1018"/>
      <c r="AB964" s="1013"/>
      <c r="AC964" s="1017">
        <v>0</v>
      </c>
      <c r="AD964" s="1017">
        <v>0</v>
      </c>
      <c r="AE964" s="1013">
        <v>42771.6328125</v>
      </c>
      <c r="AF964" s="1019"/>
      <c r="AG964" s="1019">
        <f t="shared" si="195"/>
        <v>7318149</v>
      </c>
      <c r="AH964" s="1014">
        <v>48</v>
      </c>
      <c r="AI964" s="1014">
        <v>0</v>
      </c>
      <c r="AJ964" s="1014">
        <v>0</v>
      </c>
      <c r="AK964" s="1018">
        <v>0</v>
      </c>
      <c r="AL964" s="1020">
        <v>0</v>
      </c>
      <c r="AM964" s="1013">
        <f t="shared" si="194"/>
        <v>2053038</v>
      </c>
      <c r="AN964" s="1045">
        <f t="shared" si="197"/>
        <v>9371187</v>
      </c>
      <c r="AO964" s="1013">
        <v>622755</v>
      </c>
      <c r="AP964" s="1013">
        <v>44100</v>
      </c>
      <c r="AQ964" s="1013">
        <v>0</v>
      </c>
      <c r="AR964" s="1013">
        <v>0</v>
      </c>
      <c r="AS964" s="1013">
        <v>0</v>
      </c>
      <c r="AT964" s="1045">
        <f t="shared" si="203"/>
        <v>8704332</v>
      </c>
      <c r="AU964" s="1004"/>
      <c r="AV964" s="870"/>
      <c r="AW964" s="782" t="s">
        <v>3692</v>
      </c>
      <c r="AX964" s="782" t="s">
        <v>3693</v>
      </c>
      <c r="AY964" s="1007" t="s">
        <v>221</v>
      </c>
      <c r="AZ964" s="1007">
        <v>622</v>
      </c>
      <c r="BA964" s="347" t="str">
        <f t="shared" si="196"/>
        <v>Bag</v>
      </c>
      <c r="BB964" s="1008"/>
      <c r="BC964" s="1009"/>
      <c r="BD964" s="1009"/>
    </row>
    <row r="965" spans="1:56" s="1010" customFormat="1" ht="36.75" customHeight="1">
      <c r="A965" s="661">
        <f>SUBTOTAL(3,B$6:B965)</f>
        <v>960</v>
      </c>
      <c r="B965" s="661" t="s">
        <v>1181</v>
      </c>
      <c r="C965" s="662" t="s">
        <v>1182</v>
      </c>
      <c r="D965" s="1011">
        <v>40940</v>
      </c>
      <c r="E965" s="1011" t="s">
        <v>221</v>
      </c>
      <c r="F965" s="787" t="s">
        <v>5782</v>
      </c>
      <c r="G965" s="996" t="s">
        <v>1081</v>
      </c>
      <c r="H965" s="1012">
        <v>5931000</v>
      </c>
      <c r="I965" s="1012">
        <v>700000</v>
      </c>
      <c r="J965" s="1012">
        <v>0</v>
      </c>
      <c r="K965" s="1012">
        <v>0</v>
      </c>
      <c r="L965" s="1013">
        <f t="shared" si="198"/>
        <v>6631000</v>
      </c>
      <c r="M965" s="1014">
        <v>22.6</v>
      </c>
      <c r="N965" s="1013">
        <f t="shared" si="199"/>
        <v>5763869</v>
      </c>
      <c r="O965" s="1015">
        <v>3</v>
      </c>
      <c r="P965" s="1013">
        <f t="shared" si="200"/>
        <v>765115</v>
      </c>
      <c r="Q965" s="1016">
        <v>0</v>
      </c>
      <c r="R965" s="1013">
        <f t="shared" si="201"/>
        <v>0</v>
      </c>
      <c r="S965" s="1013">
        <f t="shared" si="202"/>
        <v>6528984</v>
      </c>
      <c r="T965" s="1017">
        <v>0</v>
      </c>
      <c r="U965" s="785">
        <v>0</v>
      </c>
      <c r="V965" s="785">
        <v>200000</v>
      </c>
      <c r="W965" s="1017">
        <v>500000</v>
      </c>
      <c r="X965" s="1017">
        <v>0</v>
      </c>
      <c r="Y965" s="1017">
        <v>400000</v>
      </c>
      <c r="Z965" s="1017">
        <v>243387</v>
      </c>
      <c r="AA965" s="1018"/>
      <c r="AB965" s="1013"/>
      <c r="AC965" s="1017">
        <v>0</v>
      </c>
      <c r="AD965" s="1017">
        <v>0</v>
      </c>
      <c r="AE965" s="1013">
        <v>47819.709623893803</v>
      </c>
      <c r="AF965" s="1019"/>
      <c r="AG965" s="1019">
        <f t="shared" si="195"/>
        <v>7920191</v>
      </c>
      <c r="AH965" s="1014">
        <v>48</v>
      </c>
      <c r="AI965" s="1014">
        <v>0</v>
      </c>
      <c r="AJ965" s="1014">
        <v>0</v>
      </c>
      <c r="AK965" s="1018">
        <v>0</v>
      </c>
      <c r="AL965" s="1020">
        <v>0</v>
      </c>
      <c r="AM965" s="1013">
        <f t="shared" si="194"/>
        <v>2295346</v>
      </c>
      <c r="AN965" s="1045">
        <f t="shared" si="197"/>
        <v>10215537</v>
      </c>
      <c r="AO965" s="1013">
        <v>696255</v>
      </c>
      <c r="AP965" s="1013">
        <v>44100</v>
      </c>
      <c r="AQ965" s="1013">
        <v>0</v>
      </c>
      <c r="AR965" s="1013">
        <v>65000</v>
      </c>
      <c r="AS965" s="1013">
        <v>0</v>
      </c>
      <c r="AT965" s="1045">
        <f t="shared" si="203"/>
        <v>9410182</v>
      </c>
      <c r="AU965" s="1004"/>
      <c r="AV965" s="870"/>
      <c r="AW965" s="782" t="s">
        <v>3698</v>
      </c>
      <c r="AX965" s="782" t="s">
        <v>3699</v>
      </c>
      <c r="AY965" s="1007" t="s">
        <v>221</v>
      </c>
      <c r="AZ965" s="1007">
        <v>622</v>
      </c>
      <c r="BA965" s="347" t="str">
        <f t="shared" si="196"/>
        <v>Bag</v>
      </c>
      <c r="BB965" s="1008"/>
      <c r="BC965" s="1009"/>
      <c r="BD965" s="1009"/>
    </row>
    <row r="966" spans="1:56" s="1010" customFormat="1" ht="36.75" customHeight="1">
      <c r="A966" s="661">
        <f>SUBTOTAL(3,B$6:B966)</f>
        <v>961</v>
      </c>
      <c r="B966" s="661" t="s">
        <v>1183</v>
      </c>
      <c r="C966" s="662" t="s">
        <v>1184</v>
      </c>
      <c r="D966" s="1011">
        <v>40949</v>
      </c>
      <c r="E966" s="1011" t="s">
        <v>221</v>
      </c>
      <c r="F966" s="787" t="s">
        <v>5782</v>
      </c>
      <c r="G966" s="996" t="s">
        <v>797</v>
      </c>
      <c r="H966" s="1012">
        <v>5931000</v>
      </c>
      <c r="I966" s="1012">
        <v>0</v>
      </c>
      <c r="J966" s="1012">
        <v>0</v>
      </c>
      <c r="K966" s="1012">
        <v>0</v>
      </c>
      <c r="L966" s="1013">
        <f t="shared" si="198"/>
        <v>5931000</v>
      </c>
      <c r="M966" s="1014">
        <v>24</v>
      </c>
      <c r="N966" s="1013">
        <f t="shared" si="199"/>
        <v>5474769</v>
      </c>
      <c r="O966" s="1015">
        <v>2</v>
      </c>
      <c r="P966" s="1013">
        <f t="shared" si="200"/>
        <v>456231</v>
      </c>
      <c r="Q966" s="1016">
        <v>0</v>
      </c>
      <c r="R966" s="1013">
        <f t="shared" si="201"/>
        <v>0</v>
      </c>
      <c r="S966" s="1013">
        <f t="shared" si="202"/>
        <v>5931000</v>
      </c>
      <c r="T966" s="1017">
        <v>0</v>
      </c>
      <c r="U966" s="785">
        <v>0</v>
      </c>
      <c r="V966" s="785">
        <v>200000</v>
      </c>
      <c r="W966" s="1017">
        <v>500000</v>
      </c>
      <c r="X966" s="1017">
        <v>0</v>
      </c>
      <c r="Y966" s="1017">
        <v>400000</v>
      </c>
      <c r="Z966" s="1017">
        <v>257262</v>
      </c>
      <c r="AA966" s="1018"/>
      <c r="AB966" s="1013"/>
      <c r="AC966" s="1017">
        <v>0</v>
      </c>
      <c r="AD966" s="1017">
        <v>0</v>
      </c>
      <c r="AE966" s="1013">
        <v>42771.6328125</v>
      </c>
      <c r="AF966" s="1019"/>
      <c r="AG966" s="1019">
        <f t="shared" si="195"/>
        <v>7331034</v>
      </c>
      <c r="AH966" s="1014">
        <v>48</v>
      </c>
      <c r="AI966" s="1014">
        <v>0</v>
      </c>
      <c r="AJ966" s="1014">
        <v>0</v>
      </c>
      <c r="AK966" s="1018">
        <v>0</v>
      </c>
      <c r="AL966" s="1020">
        <v>0</v>
      </c>
      <c r="AM966" s="1013">
        <f t="shared" si="194"/>
        <v>2053038</v>
      </c>
      <c r="AN966" s="1045">
        <f t="shared" si="197"/>
        <v>9384072</v>
      </c>
      <c r="AO966" s="1013">
        <v>622755</v>
      </c>
      <c r="AP966" s="1013">
        <v>44100</v>
      </c>
      <c r="AQ966" s="1013">
        <v>0</v>
      </c>
      <c r="AR966" s="1013">
        <v>0</v>
      </c>
      <c r="AS966" s="1013">
        <v>0</v>
      </c>
      <c r="AT966" s="1045">
        <f t="shared" si="203"/>
        <v>8717217</v>
      </c>
      <c r="AU966" s="1004"/>
      <c r="AV966" s="870"/>
      <c r="AW966" s="782" t="s">
        <v>3700</v>
      </c>
      <c r="AX966" s="782" t="s">
        <v>3701</v>
      </c>
      <c r="AY966" s="1007" t="s">
        <v>221</v>
      </c>
      <c r="AZ966" s="1007">
        <v>622</v>
      </c>
      <c r="BA966" s="347" t="str">
        <f t="shared" si="196"/>
        <v>Bag</v>
      </c>
      <c r="BB966" s="1008"/>
      <c r="BC966" s="1009"/>
      <c r="BD966" s="1009"/>
    </row>
    <row r="967" spans="1:56" s="1010" customFormat="1" ht="36.75" customHeight="1">
      <c r="A967" s="661">
        <f>SUBTOTAL(3,B$6:B967)</f>
        <v>962</v>
      </c>
      <c r="B967" s="661" t="s">
        <v>1187</v>
      </c>
      <c r="C967" s="662" t="s">
        <v>1188</v>
      </c>
      <c r="D967" s="1011">
        <v>40616</v>
      </c>
      <c r="E967" s="1011" t="s">
        <v>221</v>
      </c>
      <c r="F967" s="787" t="s">
        <v>5782</v>
      </c>
      <c r="G967" s="996" t="s">
        <v>797</v>
      </c>
      <c r="H967" s="1012">
        <v>5931000</v>
      </c>
      <c r="I967" s="1012">
        <v>0</v>
      </c>
      <c r="J967" s="1012">
        <v>0</v>
      </c>
      <c r="K967" s="1012">
        <v>0</v>
      </c>
      <c r="L967" s="1013">
        <f t="shared" si="198"/>
        <v>5931000</v>
      </c>
      <c r="M967" s="1014">
        <v>24</v>
      </c>
      <c r="N967" s="1013">
        <f t="shared" si="199"/>
        <v>5474769</v>
      </c>
      <c r="O967" s="1015">
        <v>2</v>
      </c>
      <c r="P967" s="1013">
        <f t="shared" si="200"/>
        <v>456231</v>
      </c>
      <c r="Q967" s="1016">
        <v>0</v>
      </c>
      <c r="R967" s="1013">
        <f t="shared" si="201"/>
        <v>0</v>
      </c>
      <c r="S967" s="1013">
        <f t="shared" si="202"/>
        <v>5931000</v>
      </c>
      <c r="T967" s="1017">
        <v>0</v>
      </c>
      <c r="U967" s="785">
        <v>0</v>
      </c>
      <c r="V967" s="785">
        <v>200000</v>
      </c>
      <c r="W967" s="1017">
        <v>500000</v>
      </c>
      <c r="X967" s="1017">
        <v>0</v>
      </c>
      <c r="Y967" s="1017">
        <v>400000</v>
      </c>
      <c r="Z967" s="1017">
        <v>244833</v>
      </c>
      <c r="AA967" s="1018"/>
      <c r="AB967" s="1013"/>
      <c r="AC967" s="1017">
        <v>0</v>
      </c>
      <c r="AD967" s="1017">
        <v>0</v>
      </c>
      <c r="AE967" s="1013">
        <v>42771.6328125</v>
      </c>
      <c r="AF967" s="1019"/>
      <c r="AG967" s="1019">
        <f t="shared" si="195"/>
        <v>7318605</v>
      </c>
      <c r="AH967" s="1014">
        <v>52</v>
      </c>
      <c r="AI967" s="1014">
        <v>0</v>
      </c>
      <c r="AJ967" s="1014">
        <v>0</v>
      </c>
      <c r="AK967" s="1018">
        <v>0</v>
      </c>
      <c r="AL967" s="1020">
        <v>0</v>
      </c>
      <c r="AM967" s="1013">
        <f t="shared" ref="AM967:AM1030" si="204">ROUND((N967/IF(M967&gt;26,26,M967)/8*(AH967*$AH$5+AI967*$AI$5+AJ967*$AJ$5+AK967*$AK$5+AL967*$AL$5)),0)</f>
        <v>2224125</v>
      </c>
      <c r="AN967" s="1045">
        <f t="shared" si="197"/>
        <v>9542730</v>
      </c>
      <c r="AO967" s="1013">
        <v>622755</v>
      </c>
      <c r="AP967" s="1013">
        <v>44100</v>
      </c>
      <c r="AQ967" s="1013">
        <v>0</v>
      </c>
      <c r="AR967" s="1013">
        <v>0</v>
      </c>
      <c r="AS967" s="1013">
        <v>0</v>
      </c>
      <c r="AT967" s="1045">
        <f t="shared" si="203"/>
        <v>8875875</v>
      </c>
      <c r="AU967" s="1004"/>
      <c r="AV967" s="870"/>
      <c r="AW967" s="782" t="s">
        <v>3704</v>
      </c>
      <c r="AX967" s="782" t="s">
        <v>3705</v>
      </c>
      <c r="AY967" s="1007" t="s">
        <v>221</v>
      </c>
      <c r="AZ967" s="1007">
        <v>622</v>
      </c>
      <c r="BA967" s="347" t="str">
        <f t="shared" si="196"/>
        <v>Bag</v>
      </c>
      <c r="BB967" s="1008"/>
      <c r="BC967" s="1009"/>
      <c r="BD967" s="1009"/>
    </row>
    <row r="968" spans="1:56" s="1010" customFormat="1" ht="36.75" customHeight="1">
      <c r="A968" s="661">
        <f>SUBTOTAL(3,B$6:B968)</f>
        <v>963</v>
      </c>
      <c r="B968" s="661" t="s">
        <v>1192</v>
      </c>
      <c r="C968" s="662" t="s">
        <v>1193</v>
      </c>
      <c r="D968" s="1011">
        <v>41545</v>
      </c>
      <c r="E968" s="1011" t="s">
        <v>221</v>
      </c>
      <c r="F968" s="787" t="s">
        <v>5782</v>
      </c>
      <c r="G968" s="996" t="s">
        <v>797</v>
      </c>
      <c r="H968" s="1012">
        <v>5931000</v>
      </c>
      <c r="I968" s="1012">
        <v>0</v>
      </c>
      <c r="J968" s="1012">
        <v>0</v>
      </c>
      <c r="K968" s="1012">
        <v>0</v>
      </c>
      <c r="L968" s="1013">
        <f t="shared" si="198"/>
        <v>5931000</v>
      </c>
      <c r="M968" s="1014">
        <v>23.6</v>
      </c>
      <c r="N968" s="1013">
        <f t="shared" si="199"/>
        <v>5383523</v>
      </c>
      <c r="O968" s="1015">
        <v>2</v>
      </c>
      <c r="P968" s="1013">
        <f t="shared" si="200"/>
        <v>456231</v>
      </c>
      <c r="Q968" s="1016">
        <v>0</v>
      </c>
      <c r="R968" s="1013">
        <f t="shared" si="201"/>
        <v>0</v>
      </c>
      <c r="S968" s="1013">
        <f t="shared" si="202"/>
        <v>5839754</v>
      </c>
      <c r="T968" s="1017">
        <v>0</v>
      </c>
      <c r="U968" s="785">
        <v>0</v>
      </c>
      <c r="V968" s="785">
        <v>200000</v>
      </c>
      <c r="W968" s="1017">
        <v>500000</v>
      </c>
      <c r="X968" s="1017">
        <v>0</v>
      </c>
      <c r="Y968" s="1017">
        <v>400000</v>
      </c>
      <c r="Z968" s="1017">
        <v>230415</v>
      </c>
      <c r="AA968" s="1018"/>
      <c r="AB968" s="1013"/>
      <c r="AC968" s="1017">
        <v>0</v>
      </c>
      <c r="AD968" s="1017">
        <v>0</v>
      </c>
      <c r="AE968" s="1013">
        <v>42771.634004237283</v>
      </c>
      <c r="AF968" s="1019"/>
      <c r="AG968" s="1019">
        <f t="shared" si="195"/>
        <v>7212941</v>
      </c>
      <c r="AH968" s="1014">
        <v>40</v>
      </c>
      <c r="AI968" s="1014">
        <v>0</v>
      </c>
      <c r="AJ968" s="1014">
        <v>0</v>
      </c>
      <c r="AK968" s="1018">
        <v>0</v>
      </c>
      <c r="AL968" s="1020">
        <v>0</v>
      </c>
      <c r="AM968" s="1013">
        <f t="shared" si="204"/>
        <v>1710865</v>
      </c>
      <c r="AN968" s="1045">
        <f t="shared" si="197"/>
        <v>8923806</v>
      </c>
      <c r="AO968" s="1013">
        <v>622755</v>
      </c>
      <c r="AP968" s="1013">
        <v>44100</v>
      </c>
      <c r="AQ968" s="1013">
        <v>0</v>
      </c>
      <c r="AR968" s="1013">
        <v>0</v>
      </c>
      <c r="AS968" s="1013">
        <v>0</v>
      </c>
      <c r="AT968" s="1045">
        <f t="shared" si="203"/>
        <v>8256951</v>
      </c>
      <c r="AU968" s="1004"/>
      <c r="AV968" s="870"/>
      <c r="AW968" s="782" t="s">
        <v>3708</v>
      </c>
      <c r="AX968" s="782" t="s">
        <v>3709</v>
      </c>
      <c r="AY968" s="1007" t="s">
        <v>221</v>
      </c>
      <c r="AZ968" s="1007">
        <v>622</v>
      </c>
      <c r="BA968" s="347" t="str">
        <f t="shared" si="196"/>
        <v>Bag</v>
      </c>
      <c r="BB968" s="1008"/>
      <c r="BC968" s="1009"/>
      <c r="BD968" s="1009"/>
    </row>
    <row r="969" spans="1:56" s="1010" customFormat="1" ht="36.75" customHeight="1">
      <c r="A969" s="661">
        <f>SUBTOTAL(3,B$6:B969)</f>
        <v>964</v>
      </c>
      <c r="B969" s="661" t="s">
        <v>1196</v>
      </c>
      <c r="C969" s="662" t="s">
        <v>1197</v>
      </c>
      <c r="D969" s="1011">
        <v>42612</v>
      </c>
      <c r="E969" s="1011" t="s">
        <v>221</v>
      </c>
      <c r="F969" s="787" t="s">
        <v>5782</v>
      </c>
      <c r="G969" s="996" t="s">
        <v>872</v>
      </c>
      <c r="H969" s="1012">
        <v>5931000</v>
      </c>
      <c r="I969" s="1012">
        <v>2300000</v>
      </c>
      <c r="J969" s="1012">
        <v>0</v>
      </c>
      <c r="K969" s="1012">
        <v>0</v>
      </c>
      <c r="L969" s="1013">
        <f t="shared" si="198"/>
        <v>8231000</v>
      </c>
      <c r="M969" s="1014">
        <v>22.8</v>
      </c>
      <c r="N969" s="1013">
        <f t="shared" si="199"/>
        <v>7217954</v>
      </c>
      <c r="O969" s="1015">
        <v>3</v>
      </c>
      <c r="P969" s="1013">
        <f t="shared" si="200"/>
        <v>949731</v>
      </c>
      <c r="Q969" s="1016">
        <v>0</v>
      </c>
      <c r="R969" s="1013">
        <f t="shared" si="201"/>
        <v>0</v>
      </c>
      <c r="S969" s="1013">
        <f t="shared" si="202"/>
        <v>8167685</v>
      </c>
      <c r="T969" s="1017">
        <v>0</v>
      </c>
      <c r="U969" s="785">
        <v>0</v>
      </c>
      <c r="V969" s="785">
        <v>200000</v>
      </c>
      <c r="W969" s="1017">
        <v>500000</v>
      </c>
      <c r="X969" s="1017">
        <v>0</v>
      </c>
      <c r="Y969" s="1017">
        <v>400000</v>
      </c>
      <c r="Z969" s="1017">
        <v>220671</v>
      </c>
      <c r="AA969" s="1018"/>
      <c r="AB969" s="1013"/>
      <c r="AC969" s="1017">
        <v>0</v>
      </c>
      <c r="AD969" s="1017">
        <v>0</v>
      </c>
      <c r="AE969" s="1013">
        <v>0</v>
      </c>
      <c r="AF969" s="1019"/>
      <c r="AG969" s="1019">
        <f t="shared" si="195"/>
        <v>9488356</v>
      </c>
      <c r="AH969" s="1014">
        <v>40</v>
      </c>
      <c r="AI969" s="1014">
        <v>0</v>
      </c>
      <c r="AJ969" s="1014">
        <v>0</v>
      </c>
      <c r="AK969" s="1018">
        <v>0</v>
      </c>
      <c r="AL969" s="1020">
        <v>0</v>
      </c>
      <c r="AM969" s="1013">
        <f t="shared" si="204"/>
        <v>2374327</v>
      </c>
      <c r="AN969" s="1045">
        <f t="shared" si="197"/>
        <v>11862683</v>
      </c>
      <c r="AO969" s="1013">
        <v>864255</v>
      </c>
      <c r="AP969" s="1013">
        <v>44100</v>
      </c>
      <c r="AQ969" s="1013">
        <v>0</v>
      </c>
      <c r="AR969" s="1013">
        <v>0</v>
      </c>
      <c r="AS969" s="1013">
        <v>0</v>
      </c>
      <c r="AT969" s="1045">
        <f t="shared" si="203"/>
        <v>10954328</v>
      </c>
      <c r="AU969" s="1004"/>
      <c r="AV969" s="870"/>
      <c r="AW969" s="782" t="s">
        <v>3712</v>
      </c>
      <c r="AX969" s="782" t="s">
        <v>3713</v>
      </c>
      <c r="AY969" s="1007" t="s">
        <v>221</v>
      </c>
      <c r="AZ969" s="1007">
        <v>622</v>
      </c>
      <c r="BA969" s="347" t="str">
        <f t="shared" si="196"/>
        <v>Bag</v>
      </c>
      <c r="BB969" s="1008"/>
      <c r="BC969" s="1009"/>
      <c r="BD969" s="1009"/>
    </row>
    <row r="970" spans="1:56" s="1010" customFormat="1" ht="36.75" customHeight="1">
      <c r="A970" s="661">
        <f>SUBTOTAL(3,B$6:B970)</f>
        <v>965</v>
      </c>
      <c r="B970" s="661" t="s">
        <v>2749</v>
      </c>
      <c r="C970" s="662" t="s">
        <v>2750</v>
      </c>
      <c r="D970" s="1011">
        <v>43739</v>
      </c>
      <c r="E970" s="1011" t="s">
        <v>221</v>
      </c>
      <c r="F970" s="787" t="s">
        <v>252</v>
      </c>
      <c r="G970" s="996" t="s">
        <v>885</v>
      </c>
      <c r="H970" s="1012">
        <v>5931000</v>
      </c>
      <c r="I970" s="1012">
        <v>1100000</v>
      </c>
      <c r="J970" s="1012">
        <v>298000</v>
      </c>
      <c r="K970" s="1012">
        <v>500000</v>
      </c>
      <c r="L970" s="1013">
        <f t="shared" si="198"/>
        <v>7829000</v>
      </c>
      <c r="M970" s="1014">
        <v>22.7</v>
      </c>
      <c r="N970" s="1013">
        <f t="shared" si="199"/>
        <v>6835319</v>
      </c>
      <c r="O970" s="1015">
        <v>3</v>
      </c>
      <c r="P970" s="1013">
        <f t="shared" si="200"/>
        <v>903346</v>
      </c>
      <c r="Q970" s="1016">
        <v>0</v>
      </c>
      <c r="R970" s="1013">
        <f t="shared" si="201"/>
        <v>0</v>
      </c>
      <c r="S970" s="1013">
        <f t="shared" si="202"/>
        <v>7738665</v>
      </c>
      <c r="T970" s="1017">
        <v>0</v>
      </c>
      <c r="U970" s="785">
        <v>0</v>
      </c>
      <c r="V970" s="785">
        <v>200000</v>
      </c>
      <c r="W970" s="1017">
        <v>500000</v>
      </c>
      <c r="X970" s="1017">
        <v>0</v>
      </c>
      <c r="Y970" s="1017">
        <v>400000</v>
      </c>
      <c r="Z970" s="1017">
        <v>346305</v>
      </c>
      <c r="AA970" s="1018"/>
      <c r="AB970" s="1013"/>
      <c r="AC970" s="1017">
        <v>0</v>
      </c>
      <c r="AD970" s="1017">
        <v>0</v>
      </c>
      <c r="AE970" s="1013">
        <v>0</v>
      </c>
      <c r="AF970" s="1019"/>
      <c r="AG970" s="1019">
        <f t="shared" si="195"/>
        <v>9184970</v>
      </c>
      <c r="AH970" s="1014">
        <v>12</v>
      </c>
      <c r="AI970" s="1014">
        <v>0</v>
      </c>
      <c r="AJ970" s="1014">
        <v>0</v>
      </c>
      <c r="AK970" s="1018">
        <v>0</v>
      </c>
      <c r="AL970" s="1020">
        <v>0</v>
      </c>
      <c r="AM970" s="1013">
        <f t="shared" si="204"/>
        <v>677510</v>
      </c>
      <c r="AN970" s="1045">
        <f t="shared" si="197"/>
        <v>9862480</v>
      </c>
      <c r="AO970" s="1013">
        <v>822045</v>
      </c>
      <c r="AP970" s="1013">
        <v>44100</v>
      </c>
      <c r="AQ970" s="1013">
        <v>0</v>
      </c>
      <c r="AR970" s="1013">
        <v>0</v>
      </c>
      <c r="AS970" s="1013">
        <v>0</v>
      </c>
      <c r="AT970" s="1045">
        <f t="shared" si="203"/>
        <v>8996335</v>
      </c>
      <c r="AU970" s="1004"/>
      <c r="AV970" s="870"/>
      <c r="AW970" s="782" t="s">
        <v>5152</v>
      </c>
      <c r="AX970" s="782" t="s">
        <v>5153</v>
      </c>
      <c r="AY970" s="1007" t="s">
        <v>221</v>
      </c>
      <c r="AZ970" s="1007">
        <v>622</v>
      </c>
      <c r="BA970" s="347" t="str">
        <f t="shared" si="196"/>
        <v>Bag</v>
      </c>
      <c r="BB970" s="1008"/>
      <c r="BC970" s="1009"/>
      <c r="BD970" s="1009"/>
    </row>
    <row r="971" spans="1:56" s="1010" customFormat="1" ht="36.75" customHeight="1">
      <c r="A971" s="661">
        <f>SUBTOTAL(3,B$6:B971)</f>
        <v>966</v>
      </c>
      <c r="B971" s="661" t="s">
        <v>2751</v>
      </c>
      <c r="C971" s="662" t="s">
        <v>1909</v>
      </c>
      <c r="D971" s="1011">
        <v>43880</v>
      </c>
      <c r="E971" s="1011" t="s">
        <v>221</v>
      </c>
      <c r="F971" s="787" t="s">
        <v>252</v>
      </c>
      <c r="G971" s="996" t="s">
        <v>885</v>
      </c>
      <c r="H971" s="1012">
        <v>5931000</v>
      </c>
      <c r="I971" s="1012">
        <v>1500000</v>
      </c>
      <c r="J971" s="1012">
        <v>298000</v>
      </c>
      <c r="K971" s="1012">
        <v>0</v>
      </c>
      <c r="L971" s="1013">
        <f t="shared" si="198"/>
        <v>7729000</v>
      </c>
      <c r="M971" s="1014">
        <v>23.9</v>
      </c>
      <c r="N971" s="1013">
        <f t="shared" si="199"/>
        <v>7104735</v>
      </c>
      <c r="O971" s="1015">
        <v>2</v>
      </c>
      <c r="P971" s="1013">
        <f t="shared" si="200"/>
        <v>594538</v>
      </c>
      <c r="Q971" s="1016">
        <v>0</v>
      </c>
      <c r="R971" s="1013">
        <f t="shared" si="201"/>
        <v>0</v>
      </c>
      <c r="S971" s="1013">
        <f t="shared" si="202"/>
        <v>7699273</v>
      </c>
      <c r="T971" s="1017">
        <v>0</v>
      </c>
      <c r="U971" s="785">
        <v>0</v>
      </c>
      <c r="V971" s="785">
        <v>200000</v>
      </c>
      <c r="W971" s="1017">
        <v>500000</v>
      </c>
      <c r="X971" s="1017">
        <v>0</v>
      </c>
      <c r="Y971" s="1017">
        <v>300000</v>
      </c>
      <c r="Z971" s="1017">
        <v>331573</v>
      </c>
      <c r="AA971" s="1018"/>
      <c r="AB971" s="1013"/>
      <c r="AC971" s="1017">
        <v>0</v>
      </c>
      <c r="AD971" s="1017">
        <v>0</v>
      </c>
      <c r="AE971" s="1013">
        <v>0</v>
      </c>
      <c r="AF971" s="1019"/>
      <c r="AG971" s="1019">
        <f t="shared" si="195"/>
        <v>9030846</v>
      </c>
      <c r="AH971" s="1014">
        <v>16</v>
      </c>
      <c r="AI971" s="1014">
        <v>0</v>
      </c>
      <c r="AJ971" s="1014">
        <v>0</v>
      </c>
      <c r="AK971" s="1018">
        <v>0</v>
      </c>
      <c r="AL971" s="1020">
        <v>0</v>
      </c>
      <c r="AM971" s="1013">
        <f t="shared" si="204"/>
        <v>891808</v>
      </c>
      <c r="AN971" s="1045">
        <f t="shared" si="197"/>
        <v>9922654</v>
      </c>
      <c r="AO971" s="1013">
        <v>811545</v>
      </c>
      <c r="AP971" s="1013">
        <v>44100</v>
      </c>
      <c r="AQ971" s="1013">
        <v>0</v>
      </c>
      <c r="AR971" s="1013">
        <v>0</v>
      </c>
      <c r="AS971" s="1013">
        <v>0</v>
      </c>
      <c r="AT971" s="1045">
        <f t="shared" si="203"/>
        <v>9067009</v>
      </c>
      <c r="AU971" s="1004"/>
      <c r="AV971" s="870"/>
      <c r="AW971" s="782" t="s">
        <v>4388</v>
      </c>
      <c r="AX971" s="782" t="s">
        <v>5154</v>
      </c>
      <c r="AY971" s="1007" t="s">
        <v>221</v>
      </c>
      <c r="AZ971" s="1007">
        <v>622</v>
      </c>
      <c r="BA971" s="347" t="str">
        <f t="shared" si="196"/>
        <v>Bag</v>
      </c>
      <c r="BB971" s="1008"/>
      <c r="BC971" s="1009"/>
      <c r="BD971" s="1009"/>
    </row>
    <row r="972" spans="1:56" s="1010" customFormat="1" ht="36.75" customHeight="1">
      <c r="A972" s="661">
        <f>SUBTOTAL(3,B$6:B972)</f>
        <v>967</v>
      </c>
      <c r="B972" s="661" t="s">
        <v>2752</v>
      </c>
      <c r="C972" s="662" t="s">
        <v>2753</v>
      </c>
      <c r="D972" s="1011">
        <v>44972</v>
      </c>
      <c r="E972" s="1011" t="s">
        <v>221</v>
      </c>
      <c r="F972" s="787" t="s">
        <v>252</v>
      </c>
      <c r="G972" s="996" t="s">
        <v>1341</v>
      </c>
      <c r="H972" s="1012">
        <v>5815000</v>
      </c>
      <c r="I972" s="1012">
        <v>1000000</v>
      </c>
      <c r="J972" s="1012">
        <v>292000</v>
      </c>
      <c r="K972" s="1012">
        <v>0</v>
      </c>
      <c r="L972" s="1013">
        <f t="shared" si="198"/>
        <v>7107000</v>
      </c>
      <c r="M972" s="1014">
        <v>23.9</v>
      </c>
      <c r="N972" s="1013">
        <f t="shared" si="199"/>
        <v>6532973</v>
      </c>
      <c r="O972" s="1015">
        <v>2</v>
      </c>
      <c r="P972" s="1013">
        <f t="shared" si="200"/>
        <v>546692</v>
      </c>
      <c r="Q972" s="1016">
        <v>0</v>
      </c>
      <c r="R972" s="1013">
        <f t="shared" si="201"/>
        <v>0</v>
      </c>
      <c r="S972" s="1013">
        <f t="shared" si="202"/>
        <v>7079665</v>
      </c>
      <c r="T972" s="1017">
        <v>0</v>
      </c>
      <c r="U972" s="785">
        <v>0</v>
      </c>
      <c r="V972" s="785">
        <v>200000</v>
      </c>
      <c r="W972" s="1017">
        <v>500000</v>
      </c>
      <c r="X972" s="1017">
        <v>0</v>
      </c>
      <c r="Y972" s="1017">
        <v>400000</v>
      </c>
      <c r="Z972" s="1017">
        <v>441703</v>
      </c>
      <c r="AA972" s="1018"/>
      <c r="AB972" s="1013"/>
      <c r="AC972" s="1017">
        <v>0</v>
      </c>
      <c r="AD972" s="1017">
        <v>0</v>
      </c>
      <c r="AE972" s="1013">
        <v>0</v>
      </c>
      <c r="AF972" s="1019"/>
      <c r="AG972" s="1019">
        <f t="shared" si="195"/>
        <v>8621368</v>
      </c>
      <c r="AH972" s="1014">
        <v>36</v>
      </c>
      <c r="AI972" s="1014">
        <v>0</v>
      </c>
      <c r="AJ972" s="1014">
        <v>0</v>
      </c>
      <c r="AK972" s="1018">
        <v>0</v>
      </c>
      <c r="AL972" s="1020">
        <v>0</v>
      </c>
      <c r="AM972" s="1013">
        <f t="shared" si="204"/>
        <v>1845087</v>
      </c>
      <c r="AN972" s="1045">
        <f t="shared" si="197"/>
        <v>10466455</v>
      </c>
      <c r="AO972" s="1013">
        <v>746235</v>
      </c>
      <c r="AP972" s="1013">
        <v>44100</v>
      </c>
      <c r="AQ972" s="1013">
        <v>0</v>
      </c>
      <c r="AR972" s="1013">
        <v>0</v>
      </c>
      <c r="AS972" s="1013">
        <v>0</v>
      </c>
      <c r="AT972" s="1045">
        <f t="shared" si="203"/>
        <v>9676120</v>
      </c>
      <c r="AU972" s="1004"/>
      <c r="AV972" s="870"/>
      <c r="AW972" s="782" t="s">
        <v>5155</v>
      </c>
      <c r="AX972" s="782" t="s">
        <v>5156</v>
      </c>
      <c r="AY972" s="1007" t="s">
        <v>221</v>
      </c>
      <c r="AZ972" s="1007">
        <v>622</v>
      </c>
      <c r="BA972" s="347" t="str">
        <f t="shared" si="196"/>
        <v>Bag</v>
      </c>
      <c r="BB972" s="1008"/>
      <c r="BC972" s="1009"/>
      <c r="BD972" s="1009"/>
    </row>
    <row r="973" spans="1:56" s="1010" customFormat="1" ht="36.75" customHeight="1">
      <c r="A973" s="661">
        <f>SUBTOTAL(3,B$6:B973)</f>
        <v>968</v>
      </c>
      <c r="B973" s="661" t="s">
        <v>2754</v>
      </c>
      <c r="C973" s="662" t="s">
        <v>2755</v>
      </c>
      <c r="D973" s="1011">
        <v>45345</v>
      </c>
      <c r="E973" s="1011" t="s">
        <v>221</v>
      </c>
      <c r="F973" s="787" t="s">
        <v>252</v>
      </c>
      <c r="G973" s="996" t="s">
        <v>1341</v>
      </c>
      <c r="H973" s="1012">
        <v>5538000</v>
      </c>
      <c r="I973" s="1012">
        <v>800000</v>
      </c>
      <c r="J973" s="1012">
        <v>278000</v>
      </c>
      <c r="K973" s="1012">
        <v>0</v>
      </c>
      <c r="L973" s="1013">
        <f t="shared" si="198"/>
        <v>6616000</v>
      </c>
      <c r="M973" s="1014">
        <v>24</v>
      </c>
      <c r="N973" s="1013">
        <f t="shared" si="199"/>
        <v>6107077</v>
      </c>
      <c r="O973" s="1015">
        <v>2</v>
      </c>
      <c r="P973" s="1013">
        <f t="shared" si="200"/>
        <v>508923</v>
      </c>
      <c r="Q973" s="1016">
        <v>0</v>
      </c>
      <c r="R973" s="1013">
        <f t="shared" si="201"/>
        <v>0</v>
      </c>
      <c r="S973" s="1013">
        <f t="shared" si="202"/>
        <v>6616000</v>
      </c>
      <c r="T973" s="1017">
        <v>0</v>
      </c>
      <c r="U973" s="785">
        <v>0</v>
      </c>
      <c r="V973" s="785">
        <v>200000</v>
      </c>
      <c r="W973" s="1017">
        <v>500000</v>
      </c>
      <c r="X973" s="1017">
        <v>0</v>
      </c>
      <c r="Y973" s="1017">
        <v>400000</v>
      </c>
      <c r="Z973" s="1017">
        <v>334183</v>
      </c>
      <c r="AA973" s="1018"/>
      <c r="AB973" s="1013"/>
      <c r="AC973" s="1017">
        <v>0</v>
      </c>
      <c r="AD973" s="1017">
        <v>0</v>
      </c>
      <c r="AE973" s="1013">
        <v>0</v>
      </c>
      <c r="AF973" s="1019"/>
      <c r="AG973" s="1019">
        <f t="shared" si="195"/>
        <v>8050183</v>
      </c>
      <c r="AH973" s="1014">
        <v>32</v>
      </c>
      <c r="AI973" s="1014">
        <v>0</v>
      </c>
      <c r="AJ973" s="1014">
        <v>0</v>
      </c>
      <c r="AK973" s="1018">
        <v>0</v>
      </c>
      <c r="AL973" s="1020">
        <v>0</v>
      </c>
      <c r="AM973" s="1013">
        <f t="shared" si="204"/>
        <v>1526769</v>
      </c>
      <c r="AN973" s="1045">
        <f t="shared" si="197"/>
        <v>9576952</v>
      </c>
      <c r="AO973" s="1013">
        <v>694680</v>
      </c>
      <c r="AP973" s="1013">
        <v>44100</v>
      </c>
      <c r="AQ973" s="1013">
        <v>0</v>
      </c>
      <c r="AR973" s="1013">
        <v>0</v>
      </c>
      <c r="AS973" s="1013">
        <v>0</v>
      </c>
      <c r="AT973" s="1045">
        <f t="shared" si="203"/>
        <v>8838172</v>
      </c>
      <c r="AU973" s="1004"/>
      <c r="AV973" s="870"/>
      <c r="AW973" s="782" t="s">
        <v>5157</v>
      </c>
      <c r="AX973" s="782" t="s">
        <v>5158</v>
      </c>
      <c r="AY973" s="1007" t="s">
        <v>221</v>
      </c>
      <c r="AZ973" s="1007">
        <v>622</v>
      </c>
      <c r="BA973" s="347" t="str">
        <f t="shared" si="196"/>
        <v>Bag</v>
      </c>
      <c r="BB973" s="1008"/>
      <c r="BC973" s="1009"/>
      <c r="BD973" s="1009"/>
    </row>
    <row r="974" spans="1:56" s="1010" customFormat="1" ht="36.75" customHeight="1">
      <c r="A974" s="661">
        <f>SUBTOTAL(3,B$6:B974)</f>
        <v>969</v>
      </c>
      <c r="B974" s="661" t="s">
        <v>2756</v>
      </c>
      <c r="C974" s="662" t="s">
        <v>2757</v>
      </c>
      <c r="D974" s="1011">
        <v>45378</v>
      </c>
      <c r="E974" s="1011" t="s">
        <v>221</v>
      </c>
      <c r="F974" s="787" t="s">
        <v>252</v>
      </c>
      <c r="G974" s="996" t="s">
        <v>1341</v>
      </c>
      <c r="H974" s="1012">
        <v>5538000</v>
      </c>
      <c r="I974" s="1012">
        <v>800000</v>
      </c>
      <c r="J974" s="1012">
        <v>278000</v>
      </c>
      <c r="K974" s="1012">
        <v>0</v>
      </c>
      <c r="L974" s="1013">
        <f t="shared" si="198"/>
        <v>6616000</v>
      </c>
      <c r="M974" s="1014">
        <v>23</v>
      </c>
      <c r="N974" s="1013">
        <f t="shared" si="199"/>
        <v>5852615</v>
      </c>
      <c r="O974" s="1015">
        <v>2</v>
      </c>
      <c r="P974" s="1013">
        <f t="shared" si="200"/>
        <v>508923</v>
      </c>
      <c r="Q974" s="1016">
        <v>0</v>
      </c>
      <c r="R974" s="1013">
        <f t="shared" si="201"/>
        <v>0</v>
      </c>
      <c r="S974" s="1013">
        <f t="shared" si="202"/>
        <v>6361538</v>
      </c>
      <c r="T974" s="1017">
        <v>0</v>
      </c>
      <c r="U974" s="785">
        <v>0</v>
      </c>
      <c r="V974" s="785">
        <v>200000</v>
      </c>
      <c r="W974" s="1017">
        <v>0</v>
      </c>
      <c r="X974" s="1017">
        <v>0</v>
      </c>
      <c r="Y974" s="1017">
        <v>300000</v>
      </c>
      <c r="Z974" s="1017">
        <v>420020</v>
      </c>
      <c r="AA974" s="1018"/>
      <c r="AB974" s="1013"/>
      <c r="AC974" s="1017">
        <v>200000</v>
      </c>
      <c r="AD974" s="1017">
        <v>0</v>
      </c>
      <c r="AE974" s="1013">
        <v>0</v>
      </c>
      <c r="AF974" s="1019"/>
      <c r="AG974" s="1019">
        <f t="shared" si="195"/>
        <v>7481558</v>
      </c>
      <c r="AH974" s="1014">
        <v>32</v>
      </c>
      <c r="AI974" s="1014">
        <v>0</v>
      </c>
      <c r="AJ974" s="1014">
        <v>0</v>
      </c>
      <c r="AK974" s="1018">
        <v>0</v>
      </c>
      <c r="AL974" s="1020">
        <v>0</v>
      </c>
      <c r="AM974" s="1013">
        <f t="shared" si="204"/>
        <v>1526769</v>
      </c>
      <c r="AN974" s="1045">
        <f t="shared" si="197"/>
        <v>9008327</v>
      </c>
      <c r="AO974" s="1013">
        <v>694680</v>
      </c>
      <c r="AP974" s="1013">
        <v>44100</v>
      </c>
      <c r="AQ974" s="1013">
        <v>0</v>
      </c>
      <c r="AR974" s="1013">
        <v>0</v>
      </c>
      <c r="AS974" s="1013">
        <v>0</v>
      </c>
      <c r="AT974" s="1045">
        <f t="shared" si="203"/>
        <v>8269547</v>
      </c>
      <c r="AU974" s="1004"/>
      <c r="AV974" s="870"/>
      <c r="AW974" s="782" t="s">
        <v>5159</v>
      </c>
      <c r="AX974" s="782" t="s">
        <v>5160</v>
      </c>
      <c r="AY974" s="1007" t="s">
        <v>221</v>
      </c>
      <c r="AZ974" s="1007">
        <v>622</v>
      </c>
      <c r="BA974" s="347" t="str">
        <f t="shared" si="196"/>
        <v>Bag</v>
      </c>
      <c r="BB974" s="1008"/>
      <c r="BC974" s="1009"/>
      <c r="BD974" s="1009"/>
    </row>
    <row r="975" spans="1:56" s="1010" customFormat="1" ht="36.75" customHeight="1">
      <c r="A975" s="661">
        <f>SUBTOTAL(3,B$6:B975)</f>
        <v>970</v>
      </c>
      <c r="B975" s="661" t="s">
        <v>2758</v>
      </c>
      <c r="C975" s="662" t="s">
        <v>2759</v>
      </c>
      <c r="D975" s="1011">
        <v>45405</v>
      </c>
      <c r="E975" s="1011" t="s">
        <v>221</v>
      </c>
      <c r="F975" s="787" t="s">
        <v>252</v>
      </c>
      <c r="G975" s="996" t="s">
        <v>1341</v>
      </c>
      <c r="H975" s="1012">
        <v>5274000</v>
      </c>
      <c r="I975" s="1012">
        <v>800000</v>
      </c>
      <c r="J975" s="1012">
        <v>265000</v>
      </c>
      <c r="K975" s="1012">
        <v>0</v>
      </c>
      <c r="L975" s="1013">
        <f t="shared" si="198"/>
        <v>6339000</v>
      </c>
      <c r="M975" s="1014">
        <v>20</v>
      </c>
      <c r="N975" s="1013">
        <f t="shared" si="199"/>
        <v>4876154</v>
      </c>
      <c r="O975" s="1015">
        <v>2</v>
      </c>
      <c r="P975" s="1013">
        <f t="shared" si="200"/>
        <v>487615</v>
      </c>
      <c r="Q975" s="1016">
        <v>0</v>
      </c>
      <c r="R975" s="1013">
        <f t="shared" si="201"/>
        <v>0</v>
      </c>
      <c r="S975" s="1013">
        <f t="shared" si="202"/>
        <v>5363769</v>
      </c>
      <c r="T975" s="1017">
        <v>0</v>
      </c>
      <c r="U975" s="785">
        <v>0</v>
      </c>
      <c r="V975" s="785">
        <v>200000</v>
      </c>
      <c r="W975" s="1017">
        <v>0</v>
      </c>
      <c r="X975" s="1017">
        <v>0</v>
      </c>
      <c r="Y975" s="1017">
        <v>0</v>
      </c>
      <c r="Z975" s="1017">
        <v>235840</v>
      </c>
      <c r="AA975" s="1018"/>
      <c r="AB975" s="1013"/>
      <c r="AC975" s="1017">
        <v>100000</v>
      </c>
      <c r="AD975" s="1017">
        <v>0</v>
      </c>
      <c r="AE975" s="1013">
        <v>0</v>
      </c>
      <c r="AF975" s="1019"/>
      <c r="AG975" s="1019">
        <f t="shared" si="195"/>
        <v>5899609</v>
      </c>
      <c r="AH975" s="1014">
        <v>20</v>
      </c>
      <c r="AI975" s="1014">
        <v>0</v>
      </c>
      <c r="AJ975" s="1014">
        <v>0</v>
      </c>
      <c r="AK975" s="1018">
        <v>0</v>
      </c>
      <c r="AL975" s="1020">
        <v>0</v>
      </c>
      <c r="AM975" s="1013">
        <f t="shared" si="204"/>
        <v>914279</v>
      </c>
      <c r="AN975" s="1045">
        <f t="shared" si="197"/>
        <v>6813888</v>
      </c>
      <c r="AO975" s="1013">
        <v>665595</v>
      </c>
      <c r="AP975" s="1013">
        <v>44100</v>
      </c>
      <c r="AQ975" s="1013">
        <v>0</v>
      </c>
      <c r="AR975" s="1013">
        <v>0</v>
      </c>
      <c r="AS975" s="1013">
        <v>0</v>
      </c>
      <c r="AT975" s="1045">
        <f t="shared" si="203"/>
        <v>6104193</v>
      </c>
      <c r="AU975" s="1004"/>
      <c r="AV975" s="870"/>
      <c r="AW975" s="782" t="s">
        <v>5161</v>
      </c>
      <c r="AX975" s="782" t="s">
        <v>5162</v>
      </c>
      <c r="AY975" s="1007" t="s">
        <v>221</v>
      </c>
      <c r="AZ975" s="1007">
        <v>622</v>
      </c>
      <c r="BA975" s="347" t="str">
        <f t="shared" si="196"/>
        <v>Bag</v>
      </c>
      <c r="BB975" s="1008"/>
      <c r="BC975" s="1009"/>
      <c r="BD975" s="1009"/>
    </row>
    <row r="976" spans="1:56" s="1010" customFormat="1" ht="36.75" customHeight="1">
      <c r="A976" s="661">
        <f>SUBTOTAL(3,B$6:B976)</f>
        <v>971</v>
      </c>
      <c r="B976" s="661" t="s">
        <v>2760</v>
      </c>
      <c r="C976" s="662" t="s">
        <v>2761</v>
      </c>
      <c r="D976" s="1011">
        <v>45453</v>
      </c>
      <c r="E976" s="1011" t="s">
        <v>221</v>
      </c>
      <c r="F976" s="787" t="s">
        <v>252</v>
      </c>
      <c r="G976" s="996" t="s">
        <v>899</v>
      </c>
      <c r="H976" s="1012">
        <v>5274000</v>
      </c>
      <c r="I976" s="1012">
        <v>600000</v>
      </c>
      <c r="J976" s="1012">
        <v>265000</v>
      </c>
      <c r="K976" s="1012">
        <v>0</v>
      </c>
      <c r="L976" s="1013">
        <f t="shared" si="198"/>
        <v>6139000</v>
      </c>
      <c r="M976" s="1014">
        <v>18.100000000000001</v>
      </c>
      <c r="N976" s="1013">
        <f t="shared" si="199"/>
        <v>4273688</v>
      </c>
      <c r="O976" s="1015">
        <v>3</v>
      </c>
      <c r="P976" s="1013">
        <f t="shared" si="200"/>
        <v>708346</v>
      </c>
      <c r="Q976" s="1016">
        <v>0</v>
      </c>
      <c r="R976" s="1013">
        <f t="shared" si="201"/>
        <v>0</v>
      </c>
      <c r="S976" s="1013">
        <f t="shared" si="202"/>
        <v>4982034</v>
      </c>
      <c r="T976" s="1017">
        <v>0</v>
      </c>
      <c r="U976" s="785">
        <v>0</v>
      </c>
      <c r="V976" s="785">
        <v>200000</v>
      </c>
      <c r="W976" s="1017">
        <v>0</v>
      </c>
      <c r="X976" s="1017">
        <v>0</v>
      </c>
      <c r="Y976" s="1017">
        <v>0</v>
      </c>
      <c r="Z976" s="1017">
        <v>334511</v>
      </c>
      <c r="AA976" s="1018"/>
      <c r="AB976" s="1013"/>
      <c r="AC976" s="1017">
        <v>100000</v>
      </c>
      <c r="AD976" s="1017">
        <v>0</v>
      </c>
      <c r="AE976" s="1013">
        <v>0</v>
      </c>
      <c r="AF976" s="1019"/>
      <c r="AG976" s="1019">
        <f t="shared" si="195"/>
        <v>5616545</v>
      </c>
      <c r="AH976" s="1014">
        <v>4</v>
      </c>
      <c r="AI976" s="1014">
        <v>0</v>
      </c>
      <c r="AJ976" s="1014">
        <v>0</v>
      </c>
      <c r="AK976" s="1018">
        <v>0</v>
      </c>
      <c r="AL976" s="1020">
        <v>0</v>
      </c>
      <c r="AM976" s="1013">
        <f t="shared" si="204"/>
        <v>177087</v>
      </c>
      <c r="AN976" s="1045">
        <f t="shared" si="197"/>
        <v>5793632</v>
      </c>
      <c r="AO976" s="1013">
        <v>644595</v>
      </c>
      <c r="AP976" s="1013">
        <v>44100</v>
      </c>
      <c r="AQ976" s="1013">
        <v>0</v>
      </c>
      <c r="AR976" s="1013">
        <v>0</v>
      </c>
      <c r="AS976" s="1013">
        <v>0</v>
      </c>
      <c r="AT976" s="1045">
        <f t="shared" si="203"/>
        <v>5104937</v>
      </c>
      <c r="AU976" s="1004"/>
      <c r="AV976" s="870"/>
      <c r="AW976" s="782" t="s">
        <v>5163</v>
      </c>
      <c r="AX976" s="782" t="s">
        <v>5164</v>
      </c>
      <c r="AY976" s="1007" t="s">
        <v>221</v>
      </c>
      <c r="AZ976" s="1007">
        <v>622</v>
      </c>
      <c r="BA976" s="347" t="str">
        <f t="shared" si="196"/>
        <v>Bag</v>
      </c>
      <c r="BB976" s="1008"/>
      <c r="BC976" s="1009"/>
      <c r="BD976" s="1009"/>
    </row>
    <row r="977" spans="1:56" s="1010" customFormat="1" ht="36.75" customHeight="1">
      <c r="A977" s="661">
        <f>SUBTOTAL(3,B$6:B977)</f>
        <v>972</v>
      </c>
      <c r="B977" s="661" t="s">
        <v>2762</v>
      </c>
      <c r="C977" s="662" t="s">
        <v>2763</v>
      </c>
      <c r="D977" s="1011">
        <v>45714</v>
      </c>
      <c r="E977" s="1011" t="s">
        <v>221</v>
      </c>
      <c r="F977" s="787" t="s">
        <v>252</v>
      </c>
      <c r="G977" s="996" t="s">
        <v>899</v>
      </c>
      <c r="H977" s="1012">
        <v>5023000</v>
      </c>
      <c r="I977" s="1012">
        <v>600000</v>
      </c>
      <c r="J977" s="1012">
        <v>252000</v>
      </c>
      <c r="K977" s="1012">
        <v>0</v>
      </c>
      <c r="L977" s="1013">
        <f t="shared" si="198"/>
        <v>5875000</v>
      </c>
      <c r="M977" s="1014">
        <v>23.8</v>
      </c>
      <c r="N977" s="1013">
        <f t="shared" si="199"/>
        <v>5377885</v>
      </c>
      <c r="O977" s="1015">
        <v>2</v>
      </c>
      <c r="P977" s="1013">
        <f t="shared" si="200"/>
        <v>451923</v>
      </c>
      <c r="Q977" s="1016">
        <v>0</v>
      </c>
      <c r="R977" s="1013">
        <f t="shared" si="201"/>
        <v>0</v>
      </c>
      <c r="S977" s="1013">
        <f t="shared" si="202"/>
        <v>5829808</v>
      </c>
      <c r="T977" s="1017">
        <v>0</v>
      </c>
      <c r="U977" s="785">
        <v>0</v>
      </c>
      <c r="V977" s="785">
        <v>200000</v>
      </c>
      <c r="W977" s="1017">
        <v>500000</v>
      </c>
      <c r="X977" s="1017">
        <v>0</v>
      </c>
      <c r="Y977" s="1017">
        <v>400000</v>
      </c>
      <c r="Z977" s="1017">
        <v>439855</v>
      </c>
      <c r="AA977" s="1018"/>
      <c r="AB977" s="1013"/>
      <c r="AC977" s="1017">
        <v>0</v>
      </c>
      <c r="AD977" s="1017">
        <v>0</v>
      </c>
      <c r="AE977" s="1013">
        <v>0</v>
      </c>
      <c r="AF977" s="1019"/>
      <c r="AG977" s="1019">
        <f t="shared" ref="AG977:AG1040" si="205">ROUND(SUM(S977:AF977)-AA977,0)</f>
        <v>7369663</v>
      </c>
      <c r="AH977" s="1014">
        <v>40</v>
      </c>
      <c r="AI977" s="1014">
        <v>0</v>
      </c>
      <c r="AJ977" s="1014">
        <v>0</v>
      </c>
      <c r="AK977" s="1018">
        <v>0</v>
      </c>
      <c r="AL977" s="1020">
        <v>0</v>
      </c>
      <c r="AM977" s="1013">
        <f t="shared" si="204"/>
        <v>1694712</v>
      </c>
      <c r="AN977" s="1045">
        <f t="shared" si="197"/>
        <v>9064375</v>
      </c>
      <c r="AO977" s="1013">
        <v>616875</v>
      </c>
      <c r="AP977" s="1013">
        <v>44100</v>
      </c>
      <c r="AQ977" s="1013">
        <v>0</v>
      </c>
      <c r="AR977" s="1013">
        <v>0</v>
      </c>
      <c r="AS977" s="1013">
        <v>0</v>
      </c>
      <c r="AT977" s="1045">
        <f t="shared" si="203"/>
        <v>8403400</v>
      </c>
      <c r="AU977" s="1004"/>
      <c r="AV977" s="870"/>
      <c r="AW977" s="782" t="s">
        <v>5165</v>
      </c>
      <c r="AX977" s="782" t="s">
        <v>5166</v>
      </c>
      <c r="AY977" s="1007" t="s">
        <v>221</v>
      </c>
      <c r="AZ977" s="1007">
        <v>622</v>
      </c>
      <c r="BA977" s="347" t="str">
        <f t="shared" si="196"/>
        <v>Bag</v>
      </c>
      <c r="BB977" s="1008"/>
      <c r="BC977" s="1009"/>
      <c r="BD977" s="1009"/>
    </row>
    <row r="978" spans="1:56" s="1010" customFormat="1" ht="36.75" customHeight="1">
      <c r="A978" s="661">
        <f>SUBTOTAL(3,B$6:B978)</f>
        <v>973</v>
      </c>
      <c r="B978" s="661" t="s">
        <v>2764</v>
      </c>
      <c r="C978" s="662" t="s">
        <v>2765</v>
      </c>
      <c r="D978" s="1011">
        <v>45714</v>
      </c>
      <c r="E978" s="1011" t="s">
        <v>221</v>
      </c>
      <c r="F978" s="787" t="s">
        <v>252</v>
      </c>
      <c r="G978" s="996" t="s">
        <v>899</v>
      </c>
      <c r="H978" s="1012">
        <v>5023000</v>
      </c>
      <c r="I978" s="1012">
        <v>600000</v>
      </c>
      <c r="J978" s="1012">
        <v>252000</v>
      </c>
      <c r="K978" s="1012">
        <v>0</v>
      </c>
      <c r="L978" s="1013">
        <f t="shared" si="198"/>
        <v>5875000</v>
      </c>
      <c r="M978" s="1014">
        <v>24</v>
      </c>
      <c r="N978" s="1013">
        <f t="shared" si="199"/>
        <v>5423077</v>
      </c>
      <c r="O978" s="1015">
        <v>2</v>
      </c>
      <c r="P978" s="1013">
        <f t="shared" si="200"/>
        <v>451923</v>
      </c>
      <c r="Q978" s="1016">
        <v>0</v>
      </c>
      <c r="R978" s="1013">
        <f t="shared" si="201"/>
        <v>0</v>
      </c>
      <c r="S978" s="1013">
        <f t="shared" si="202"/>
        <v>5875000</v>
      </c>
      <c r="T978" s="1017">
        <v>0</v>
      </c>
      <c r="U978" s="785">
        <v>0</v>
      </c>
      <c r="V978" s="785">
        <v>200000</v>
      </c>
      <c r="W978" s="1017">
        <v>500000</v>
      </c>
      <c r="X978" s="1017">
        <v>0</v>
      </c>
      <c r="Y978" s="1017">
        <v>400000</v>
      </c>
      <c r="Z978" s="1017">
        <v>443551</v>
      </c>
      <c r="AA978" s="1018"/>
      <c r="AB978" s="1013"/>
      <c r="AC978" s="1017">
        <v>0</v>
      </c>
      <c r="AD978" s="1017">
        <v>0</v>
      </c>
      <c r="AE978" s="1013">
        <v>0</v>
      </c>
      <c r="AF978" s="1019"/>
      <c r="AG978" s="1019">
        <f t="shared" si="205"/>
        <v>7418551</v>
      </c>
      <c r="AH978" s="1014">
        <v>40</v>
      </c>
      <c r="AI978" s="1014">
        <v>0</v>
      </c>
      <c r="AJ978" s="1014">
        <v>0</v>
      </c>
      <c r="AK978" s="1018">
        <v>0</v>
      </c>
      <c r="AL978" s="1020">
        <v>0</v>
      </c>
      <c r="AM978" s="1013">
        <f t="shared" si="204"/>
        <v>1694712</v>
      </c>
      <c r="AN978" s="1045">
        <f t="shared" si="197"/>
        <v>9113263</v>
      </c>
      <c r="AO978" s="1013">
        <v>616875</v>
      </c>
      <c r="AP978" s="1013">
        <v>44100</v>
      </c>
      <c r="AQ978" s="1013">
        <v>0</v>
      </c>
      <c r="AR978" s="1013">
        <v>0</v>
      </c>
      <c r="AS978" s="1013">
        <v>0</v>
      </c>
      <c r="AT978" s="1045">
        <f t="shared" si="203"/>
        <v>8452288</v>
      </c>
      <c r="AU978" s="1004"/>
      <c r="AV978" s="870"/>
      <c r="AW978" s="782" t="s">
        <v>5167</v>
      </c>
      <c r="AX978" s="782" t="s">
        <v>5168</v>
      </c>
      <c r="AY978" s="1007" t="s">
        <v>221</v>
      </c>
      <c r="AZ978" s="1007">
        <v>622</v>
      </c>
      <c r="BA978" s="347" t="str">
        <f t="shared" si="196"/>
        <v>Bag</v>
      </c>
      <c r="BB978" s="1008"/>
      <c r="BC978" s="1009"/>
      <c r="BD978" s="1009"/>
    </row>
    <row r="979" spans="1:56" s="1010" customFormat="1" ht="36.75" customHeight="1">
      <c r="A979" s="661">
        <f>SUBTOTAL(3,B$6:B979)</f>
        <v>974</v>
      </c>
      <c r="B979" s="661" t="s">
        <v>2766</v>
      </c>
      <c r="C979" s="662" t="s">
        <v>2767</v>
      </c>
      <c r="D979" s="1011">
        <v>45722</v>
      </c>
      <c r="E979" s="1011" t="s">
        <v>221</v>
      </c>
      <c r="F979" s="787" t="s">
        <v>252</v>
      </c>
      <c r="G979" s="996" t="s">
        <v>899</v>
      </c>
      <c r="H979" s="1012">
        <v>5023000</v>
      </c>
      <c r="I979" s="1012">
        <v>600000</v>
      </c>
      <c r="J979" s="1012">
        <v>252000</v>
      </c>
      <c r="K979" s="1012">
        <v>0</v>
      </c>
      <c r="L979" s="1013">
        <f t="shared" si="198"/>
        <v>5875000</v>
      </c>
      <c r="M979" s="1014">
        <v>23</v>
      </c>
      <c r="N979" s="1013">
        <f t="shared" si="199"/>
        <v>5197115</v>
      </c>
      <c r="O979" s="1015">
        <v>3</v>
      </c>
      <c r="P979" s="1013">
        <f t="shared" si="200"/>
        <v>677885</v>
      </c>
      <c r="Q979" s="1016">
        <v>0</v>
      </c>
      <c r="R979" s="1013">
        <f t="shared" si="201"/>
        <v>0</v>
      </c>
      <c r="S979" s="1013">
        <f t="shared" si="202"/>
        <v>5875000</v>
      </c>
      <c r="T979" s="1017">
        <v>0</v>
      </c>
      <c r="U979" s="785">
        <v>0</v>
      </c>
      <c r="V979" s="785">
        <v>200000</v>
      </c>
      <c r="W979" s="1017">
        <v>500000</v>
      </c>
      <c r="X979" s="1017">
        <v>0</v>
      </c>
      <c r="Y979" s="1017">
        <v>400000</v>
      </c>
      <c r="Z979" s="1017">
        <v>425070</v>
      </c>
      <c r="AA979" s="1018"/>
      <c r="AB979" s="1013"/>
      <c r="AC979" s="1017">
        <v>0</v>
      </c>
      <c r="AD979" s="1017">
        <v>0</v>
      </c>
      <c r="AE979" s="1013">
        <v>0</v>
      </c>
      <c r="AF979" s="1019"/>
      <c r="AG979" s="1019">
        <f t="shared" si="205"/>
        <v>7400070</v>
      </c>
      <c r="AH979" s="1014">
        <v>32</v>
      </c>
      <c r="AI979" s="1014">
        <v>0</v>
      </c>
      <c r="AJ979" s="1014">
        <v>0</v>
      </c>
      <c r="AK979" s="1018">
        <v>0</v>
      </c>
      <c r="AL979" s="1020">
        <v>0</v>
      </c>
      <c r="AM979" s="1013">
        <f t="shared" si="204"/>
        <v>1355769</v>
      </c>
      <c r="AN979" s="1045">
        <f t="shared" si="197"/>
        <v>8755839</v>
      </c>
      <c r="AO979" s="1013">
        <v>593028</v>
      </c>
      <c r="AP979" s="1013">
        <v>44100</v>
      </c>
      <c r="AQ979" s="1013">
        <v>0</v>
      </c>
      <c r="AR979" s="1013">
        <v>0</v>
      </c>
      <c r="AS979" s="1013">
        <v>236499</v>
      </c>
      <c r="AT979" s="1045">
        <f t="shared" si="203"/>
        <v>7882212</v>
      </c>
      <c r="AU979" s="1004"/>
      <c r="AV979" s="870"/>
      <c r="AW979" s="782" t="s">
        <v>5169</v>
      </c>
      <c r="AX979" s="782" t="s">
        <v>5170</v>
      </c>
      <c r="AY979" s="1007" t="s">
        <v>221</v>
      </c>
      <c r="AZ979" s="1007">
        <v>622</v>
      </c>
      <c r="BA979" s="347" t="str">
        <f t="shared" si="196"/>
        <v>Bag</v>
      </c>
      <c r="BB979" s="1008"/>
      <c r="BC979" s="1009"/>
      <c r="BD979" s="1009"/>
    </row>
    <row r="980" spans="1:56" s="1010" customFormat="1" ht="36.75" customHeight="1">
      <c r="A980" s="661">
        <f>SUBTOTAL(3,B$6:B980)</f>
        <v>975</v>
      </c>
      <c r="B980" s="661" t="s">
        <v>2768</v>
      </c>
      <c r="C980" s="662" t="s">
        <v>2769</v>
      </c>
      <c r="D980" s="1011">
        <v>45726</v>
      </c>
      <c r="E980" s="1011" t="s">
        <v>221</v>
      </c>
      <c r="F980" s="787" t="s">
        <v>252</v>
      </c>
      <c r="G980" s="996" t="s">
        <v>899</v>
      </c>
      <c r="H980" s="1012">
        <v>5023000</v>
      </c>
      <c r="I980" s="1012">
        <v>600000</v>
      </c>
      <c r="J980" s="1012">
        <v>252000</v>
      </c>
      <c r="K980" s="1012">
        <v>0</v>
      </c>
      <c r="L980" s="1013">
        <f t="shared" si="198"/>
        <v>5875000</v>
      </c>
      <c r="M980" s="1014">
        <v>24</v>
      </c>
      <c r="N980" s="1013">
        <f t="shared" si="199"/>
        <v>5423077</v>
      </c>
      <c r="O980" s="1015">
        <v>2</v>
      </c>
      <c r="P980" s="1013">
        <f t="shared" si="200"/>
        <v>451923</v>
      </c>
      <c r="Q980" s="1016">
        <v>0</v>
      </c>
      <c r="R980" s="1013">
        <f t="shared" si="201"/>
        <v>0</v>
      </c>
      <c r="S980" s="1013">
        <f t="shared" si="202"/>
        <v>5875000</v>
      </c>
      <c r="T980" s="1017">
        <v>0</v>
      </c>
      <c r="U980" s="785">
        <v>0</v>
      </c>
      <c r="V980" s="785">
        <v>200000</v>
      </c>
      <c r="W980" s="1017">
        <v>500000</v>
      </c>
      <c r="X980" s="1017">
        <v>0</v>
      </c>
      <c r="Y980" s="1017">
        <v>400000</v>
      </c>
      <c r="Z980" s="1017">
        <v>259376</v>
      </c>
      <c r="AA980" s="1018"/>
      <c r="AB980" s="1013"/>
      <c r="AC980" s="1017">
        <v>0</v>
      </c>
      <c r="AD980" s="1017">
        <v>0</v>
      </c>
      <c r="AE980" s="1013">
        <v>0</v>
      </c>
      <c r="AF980" s="1019"/>
      <c r="AG980" s="1019">
        <f t="shared" si="205"/>
        <v>7234376</v>
      </c>
      <c r="AH980" s="1014">
        <v>36</v>
      </c>
      <c r="AI980" s="1014">
        <v>0</v>
      </c>
      <c r="AJ980" s="1014">
        <v>0</v>
      </c>
      <c r="AK980" s="1018">
        <v>0</v>
      </c>
      <c r="AL980" s="1020">
        <v>0</v>
      </c>
      <c r="AM980" s="1013">
        <f t="shared" si="204"/>
        <v>1525240</v>
      </c>
      <c r="AN980" s="1045">
        <f t="shared" si="197"/>
        <v>8759616</v>
      </c>
      <c r="AO980" s="1013">
        <v>578719</v>
      </c>
      <c r="AP980" s="1013">
        <v>44100</v>
      </c>
      <c r="AQ980" s="1013">
        <v>0</v>
      </c>
      <c r="AR980" s="1013">
        <v>0</v>
      </c>
      <c r="AS980" s="1013">
        <v>345654</v>
      </c>
      <c r="AT980" s="1045">
        <f t="shared" si="203"/>
        <v>7791143</v>
      </c>
      <c r="AU980" s="1004"/>
      <c r="AV980" s="870"/>
      <c r="AW980" s="782" t="s">
        <v>5171</v>
      </c>
      <c r="AX980" s="782" t="s">
        <v>5172</v>
      </c>
      <c r="AY980" s="1007" t="s">
        <v>221</v>
      </c>
      <c r="AZ980" s="1007">
        <v>622</v>
      </c>
      <c r="BA980" s="347" t="str">
        <f t="shared" si="196"/>
        <v>Bag</v>
      </c>
      <c r="BB980" s="1008"/>
      <c r="BC980" s="1009"/>
      <c r="BD980" s="1009"/>
    </row>
    <row r="981" spans="1:56" s="1010" customFormat="1" ht="36.75" customHeight="1">
      <c r="A981" s="661">
        <f>SUBTOTAL(3,B$6:B981)</f>
        <v>976</v>
      </c>
      <c r="B981" s="661" t="s">
        <v>2770</v>
      </c>
      <c r="C981" s="662" t="s">
        <v>2771</v>
      </c>
      <c r="D981" s="1011">
        <v>40595</v>
      </c>
      <c r="E981" s="1011" t="s">
        <v>221</v>
      </c>
      <c r="F981" s="787" t="s">
        <v>252</v>
      </c>
      <c r="G981" s="996" t="s">
        <v>875</v>
      </c>
      <c r="H981" s="1012">
        <v>6248000</v>
      </c>
      <c r="I981" s="1012">
        <v>4100000</v>
      </c>
      <c r="J981" s="1012">
        <v>312000</v>
      </c>
      <c r="K981" s="1012">
        <v>800000</v>
      </c>
      <c r="L981" s="1013">
        <f t="shared" si="198"/>
        <v>11460000</v>
      </c>
      <c r="M981" s="1014">
        <v>23</v>
      </c>
      <c r="N981" s="1013">
        <f t="shared" si="199"/>
        <v>10137692</v>
      </c>
      <c r="O981" s="1015">
        <v>3</v>
      </c>
      <c r="P981" s="1013">
        <f t="shared" si="200"/>
        <v>1322308</v>
      </c>
      <c r="Q981" s="1016">
        <v>0</v>
      </c>
      <c r="R981" s="1013">
        <f t="shared" si="201"/>
        <v>0</v>
      </c>
      <c r="S981" s="1013">
        <f t="shared" si="202"/>
        <v>11460000</v>
      </c>
      <c r="T981" s="1017">
        <v>0</v>
      </c>
      <c r="U981" s="785">
        <v>0</v>
      </c>
      <c r="V981" s="785">
        <v>200000</v>
      </c>
      <c r="W981" s="1017">
        <v>500000</v>
      </c>
      <c r="X981" s="1017">
        <v>0</v>
      </c>
      <c r="Y981" s="1017">
        <v>400000</v>
      </c>
      <c r="Z981" s="1017">
        <v>279257</v>
      </c>
      <c r="AA981" s="1018"/>
      <c r="AB981" s="1013"/>
      <c r="AC981" s="1017">
        <v>100000</v>
      </c>
      <c r="AD981" s="1017">
        <v>0</v>
      </c>
      <c r="AE981" s="1013">
        <v>82644.228260869568</v>
      </c>
      <c r="AF981" s="1019"/>
      <c r="AG981" s="1019">
        <f t="shared" si="205"/>
        <v>13021901</v>
      </c>
      <c r="AH981" s="1014">
        <v>36</v>
      </c>
      <c r="AI981" s="1014">
        <v>0</v>
      </c>
      <c r="AJ981" s="1014">
        <v>0</v>
      </c>
      <c r="AK981" s="1018">
        <v>0</v>
      </c>
      <c r="AL981" s="1020">
        <v>0</v>
      </c>
      <c r="AM981" s="1013">
        <f t="shared" si="204"/>
        <v>2975192</v>
      </c>
      <c r="AN981" s="1045">
        <f t="shared" si="197"/>
        <v>15997093</v>
      </c>
      <c r="AO981" s="1013">
        <v>1203300</v>
      </c>
      <c r="AP981" s="1013">
        <v>44100</v>
      </c>
      <c r="AQ981" s="1013">
        <v>145103</v>
      </c>
      <c r="AR981" s="1013">
        <v>0</v>
      </c>
      <c r="AS981" s="1013">
        <v>0</v>
      </c>
      <c r="AT981" s="1045">
        <f t="shared" si="203"/>
        <v>14604590</v>
      </c>
      <c r="AU981" s="1004"/>
      <c r="AV981" s="870"/>
      <c r="AW981" s="782" t="s">
        <v>5173</v>
      </c>
      <c r="AX981" s="782" t="s">
        <v>5174</v>
      </c>
      <c r="AY981" s="1007" t="s">
        <v>221</v>
      </c>
      <c r="AZ981" s="1007">
        <v>622</v>
      </c>
      <c r="BA981" s="347" t="str">
        <f t="shared" si="196"/>
        <v>Bag</v>
      </c>
      <c r="BB981" s="1008"/>
      <c r="BC981" s="1009"/>
      <c r="BD981" s="1009"/>
    </row>
    <row r="982" spans="1:56" s="1010" customFormat="1" ht="36.75" customHeight="1">
      <c r="A982" s="661">
        <f>SUBTOTAL(3,B$6:B982)</f>
        <v>977</v>
      </c>
      <c r="B982" s="661" t="s">
        <v>2772</v>
      </c>
      <c r="C982" s="662" t="s">
        <v>2773</v>
      </c>
      <c r="D982" s="1011">
        <v>40595</v>
      </c>
      <c r="E982" s="1011" t="s">
        <v>221</v>
      </c>
      <c r="F982" s="787" t="s">
        <v>252</v>
      </c>
      <c r="G982" s="996" t="s">
        <v>875</v>
      </c>
      <c r="H982" s="1012">
        <v>5931000</v>
      </c>
      <c r="I982" s="1012">
        <v>4100000</v>
      </c>
      <c r="J982" s="1012">
        <v>298000</v>
      </c>
      <c r="K982" s="1012">
        <v>6100000</v>
      </c>
      <c r="L982" s="1013">
        <f t="shared" si="198"/>
        <v>16429000</v>
      </c>
      <c r="M982" s="1014">
        <v>23</v>
      </c>
      <c r="N982" s="1013">
        <f t="shared" si="199"/>
        <v>14533346</v>
      </c>
      <c r="O982" s="1015">
        <v>3</v>
      </c>
      <c r="P982" s="1013">
        <f t="shared" si="200"/>
        <v>1895654</v>
      </c>
      <c r="Q982" s="1016">
        <v>0</v>
      </c>
      <c r="R982" s="1013">
        <f t="shared" si="201"/>
        <v>0</v>
      </c>
      <c r="S982" s="1013">
        <f t="shared" si="202"/>
        <v>16429000</v>
      </c>
      <c r="T982" s="1017">
        <v>0</v>
      </c>
      <c r="U982" s="785">
        <v>0</v>
      </c>
      <c r="V982" s="785">
        <v>200000</v>
      </c>
      <c r="W982" s="1017">
        <v>500000</v>
      </c>
      <c r="X982" s="1017">
        <v>0</v>
      </c>
      <c r="Y982" s="1017">
        <v>400000</v>
      </c>
      <c r="Z982" s="1017">
        <v>257299</v>
      </c>
      <c r="AA982" s="1018"/>
      <c r="AB982" s="1013"/>
      <c r="AC982" s="1017">
        <v>0</v>
      </c>
      <c r="AD982" s="1017">
        <v>0</v>
      </c>
      <c r="AE982" s="1013">
        <v>0</v>
      </c>
      <c r="AF982" s="1019"/>
      <c r="AG982" s="1019">
        <f t="shared" si="205"/>
        <v>17786299</v>
      </c>
      <c r="AH982" s="1014">
        <v>20</v>
      </c>
      <c r="AI982" s="1014">
        <v>8</v>
      </c>
      <c r="AJ982" s="1014">
        <v>0</v>
      </c>
      <c r="AK982" s="1018">
        <v>0</v>
      </c>
      <c r="AL982" s="1020">
        <v>0</v>
      </c>
      <c r="AM982" s="1013">
        <f t="shared" si="204"/>
        <v>3633337</v>
      </c>
      <c r="AN982" s="1045">
        <f t="shared" si="197"/>
        <v>21419636</v>
      </c>
      <c r="AO982" s="1013">
        <v>1725045</v>
      </c>
      <c r="AP982" s="1013">
        <v>44100</v>
      </c>
      <c r="AQ982" s="1013">
        <v>148643</v>
      </c>
      <c r="AR982" s="1013">
        <v>0</v>
      </c>
      <c r="AS982" s="1013">
        <v>0</v>
      </c>
      <c r="AT982" s="1045">
        <f t="shared" si="203"/>
        <v>19501848</v>
      </c>
      <c r="AU982" s="1004"/>
      <c r="AV982" s="870"/>
      <c r="AW982" s="782" t="s">
        <v>5175</v>
      </c>
      <c r="AX982" s="782" t="s">
        <v>5176</v>
      </c>
      <c r="AY982" s="1007" t="s">
        <v>221</v>
      </c>
      <c r="AZ982" s="1007">
        <v>622</v>
      </c>
      <c r="BA982" s="347" t="str">
        <f t="shared" si="196"/>
        <v>Bag</v>
      </c>
      <c r="BB982" s="1008"/>
      <c r="BC982" s="1009"/>
      <c r="BD982" s="1009"/>
    </row>
    <row r="983" spans="1:56" s="1010" customFormat="1" ht="36.75" customHeight="1">
      <c r="A983" s="661">
        <f>SUBTOTAL(3,B$6:B983)</f>
        <v>978</v>
      </c>
      <c r="B983" s="661" t="s">
        <v>2774</v>
      </c>
      <c r="C983" s="662" t="s">
        <v>2775</v>
      </c>
      <c r="D983" s="1011">
        <v>41681</v>
      </c>
      <c r="E983" s="1011" t="s">
        <v>221</v>
      </c>
      <c r="F983" s="787" t="s">
        <v>252</v>
      </c>
      <c r="G983" s="996" t="s">
        <v>885</v>
      </c>
      <c r="H983" s="1012">
        <v>5931000</v>
      </c>
      <c r="I983" s="1012">
        <v>2200000</v>
      </c>
      <c r="J983" s="1012">
        <v>298000</v>
      </c>
      <c r="K983" s="1012">
        <v>0</v>
      </c>
      <c r="L983" s="1013">
        <f t="shared" si="198"/>
        <v>8429000</v>
      </c>
      <c r="M983" s="1014">
        <v>24</v>
      </c>
      <c r="N983" s="1013">
        <f t="shared" si="199"/>
        <v>7780615</v>
      </c>
      <c r="O983" s="1015">
        <v>2</v>
      </c>
      <c r="P983" s="1013">
        <f t="shared" si="200"/>
        <v>648385</v>
      </c>
      <c r="Q983" s="1016">
        <v>0</v>
      </c>
      <c r="R983" s="1013">
        <f t="shared" si="201"/>
        <v>0</v>
      </c>
      <c r="S983" s="1013">
        <f t="shared" si="202"/>
        <v>8429000</v>
      </c>
      <c r="T983" s="1017">
        <v>0</v>
      </c>
      <c r="U983" s="785">
        <v>0</v>
      </c>
      <c r="V983" s="785">
        <v>200000</v>
      </c>
      <c r="W983" s="1017">
        <v>500000</v>
      </c>
      <c r="X983" s="1017">
        <v>0</v>
      </c>
      <c r="Y983" s="1017">
        <v>400000</v>
      </c>
      <c r="Z983" s="1017">
        <v>443551</v>
      </c>
      <c r="AA983" s="1018"/>
      <c r="AB983" s="1013"/>
      <c r="AC983" s="1017">
        <v>0</v>
      </c>
      <c r="AD983" s="1017">
        <v>0</v>
      </c>
      <c r="AE983" s="1013">
        <v>0</v>
      </c>
      <c r="AF983" s="1019"/>
      <c r="AG983" s="1019">
        <f t="shared" si="205"/>
        <v>9972551</v>
      </c>
      <c r="AH983" s="1014">
        <v>40</v>
      </c>
      <c r="AI983" s="1014">
        <v>0</v>
      </c>
      <c r="AJ983" s="1014">
        <v>0</v>
      </c>
      <c r="AK983" s="1018">
        <v>0</v>
      </c>
      <c r="AL983" s="1020">
        <v>0</v>
      </c>
      <c r="AM983" s="1013">
        <f t="shared" si="204"/>
        <v>2431442</v>
      </c>
      <c r="AN983" s="1045">
        <f t="shared" si="197"/>
        <v>12403993</v>
      </c>
      <c r="AO983" s="1013">
        <v>885045</v>
      </c>
      <c r="AP983" s="1013">
        <v>44100</v>
      </c>
      <c r="AQ983" s="1013">
        <v>0</v>
      </c>
      <c r="AR983" s="1013">
        <v>0</v>
      </c>
      <c r="AS983" s="1013">
        <v>0</v>
      </c>
      <c r="AT983" s="1045">
        <f t="shared" si="203"/>
        <v>11474848</v>
      </c>
      <c r="AU983" s="1004"/>
      <c r="AV983" s="870"/>
      <c r="AW983" s="782" t="s">
        <v>5177</v>
      </c>
      <c r="AX983" s="782" t="s">
        <v>5178</v>
      </c>
      <c r="AY983" s="1007" t="s">
        <v>221</v>
      </c>
      <c r="AZ983" s="1007">
        <v>622</v>
      </c>
      <c r="BA983" s="347" t="str">
        <f t="shared" si="196"/>
        <v>Bag</v>
      </c>
      <c r="BB983" s="1008"/>
      <c r="BC983" s="1009"/>
      <c r="BD983" s="1009"/>
    </row>
    <row r="984" spans="1:56" s="1010" customFormat="1" ht="36.75" customHeight="1">
      <c r="A984" s="661">
        <f>SUBTOTAL(3,B$6:B984)</f>
        <v>979</v>
      </c>
      <c r="B984" s="661" t="s">
        <v>2776</v>
      </c>
      <c r="C984" s="662" t="s">
        <v>2777</v>
      </c>
      <c r="D984" s="1011">
        <v>42957</v>
      </c>
      <c r="E984" s="1011" t="s">
        <v>221</v>
      </c>
      <c r="F984" s="787" t="s">
        <v>252</v>
      </c>
      <c r="G984" s="996" t="s">
        <v>885</v>
      </c>
      <c r="H984" s="1012">
        <v>5931000</v>
      </c>
      <c r="I984" s="1012">
        <v>2500000</v>
      </c>
      <c r="J984" s="1012">
        <v>298000</v>
      </c>
      <c r="K984" s="1012">
        <v>0</v>
      </c>
      <c r="L984" s="1013">
        <f t="shared" si="198"/>
        <v>8729000</v>
      </c>
      <c r="M984" s="1014">
        <v>23.6</v>
      </c>
      <c r="N984" s="1013">
        <f t="shared" si="199"/>
        <v>7923246</v>
      </c>
      <c r="O984" s="1015">
        <v>2</v>
      </c>
      <c r="P984" s="1013">
        <f t="shared" si="200"/>
        <v>671462</v>
      </c>
      <c r="Q984" s="1016">
        <v>0</v>
      </c>
      <c r="R984" s="1013">
        <f t="shared" si="201"/>
        <v>0</v>
      </c>
      <c r="S984" s="1013">
        <f t="shared" si="202"/>
        <v>8594708</v>
      </c>
      <c r="T984" s="1017">
        <v>0</v>
      </c>
      <c r="U984" s="785">
        <v>0</v>
      </c>
      <c r="V984" s="785">
        <v>200000</v>
      </c>
      <c r="W984" s="1017">
        <v>500000</v>
      </c>
      <c r="X984" s="1017">
        <v>0</v>
      </c>
      <c r="Y984" s="1017">
        <v>300000</v>
      </c>
      <c r="Z984" s="1017">
        <v>238955</v>
      </c>
      <c r="AA984" s="1018"/>
      <c r="AB984" s="1013"/>
      <c r="AC984" s="1017">
        <v>0</v>
      </c>
      <c r="AD984" s="1017">
        <v>0</v>
      </c>
      <c r="AE984" s="1013">
        <v>0</v>
      </c>
      <c r="AF984" s="1019"/>
      <c r="AG984" s="1019">
        <f t="shared" si="205"/>
        <v>9833663</v>
      </c>
      <c r="AH984" s="1014">
        <v>12</v>
      </c>
      <c r="AI984" s="1014">
        <v>0</v>
      </c>
      <c r="AJ984" s="1014">
        <v>0</v>
      </c>
      <c r="AK984" s="1018">
        <v>0</v>
      </c>
      <c r="AL984" s="1020">
        <v>0</v>
      </c>
      <c r="AM984" s="1013">
        <f t="shared" si="204"/>
        <v>755394</v>
      </c>
      <c r="AN984" s="1045">
        <f t="shared" si="197"/>
        <v>10589057</v>
      </c>
      <c r="AO984" s="1013">
        <v>916545</v>
      </c>
      <c r="AP984" s="1013">
        <v>44100</v>
      </c>
      <c r="AQ984" s="1013">
        <v>0</v>
      </c>
      <c r="AR984" s="1013">
        <v>0</v>
      </c>
      <c r="AS984" s="1013">
        <v>0</v>
      </c>
      <c r="AT984" s="1045">
        <f t="shared" si="203"/>
        <v>9628412</v>
      </c>
      <c r="AU984" s="1004"/>
      <c r="AV984" s="870"/>
      <c r="AW984" s="782" t="s">
        <v>5179</v>
      </c>
      <c r="AX984" s="782" t="s">
        <v>5180</v>
      </c>
      <c r="AY984" s="1007" t="s">
        <v>221</v>
      </c>
      <c r="AZ984" s="1007">
        <v>622</v>
      </c>
      <c r="BA984" s="347" t="str">
        <f t="shared" si="196"/>
        <v>Bag</v>
      </c>
      <c r="BB984" s="1008"/>
      <c r="BC984" s="1009"/>
      <c r="BD984" s="1009"/>
    </row>
    <row r="985" spans="1:56" s="1010" customFormat="1" ht="36.75" customHeight="1">
      <c r="A985" s="661">
        <f>SUBTOTAL(3,B$6:B985)</f>
        <v>980</v>
      </c>
      <c r="B985" s="661" t="s">
        <v>2778</v>
      </c>
      <c r="C985" s="662" t="s">
        <v>2779</v>
      </c>
      <c r="D985" s="1011">
        <v>43181</v>
      </c>
      <c r="E985" s="1011" t="s">
        <v>221</v>
      </c>
      <c r="F985" s="787" t="s">
        <v>252</v>
      </c>
      <c r="G985" s="996" t="s">
        <v>885</v>
      </c>
      <c r="H985" s="1012">
        <v>5931000</v>
      </c>
      <c r="I985" s="1012">
        <v>2200000</v>
      </c>
      <c r="J985" s="1012">
        <v>298000</v>
      </c>
      <c r="K985" s="1012">
        <v>0</v>
      </c>
      <c r="L985" s="1013">
        <f t="shared" si="198"/>
        <v>8429000</v>
      </c>
      <c r="M985" s="1014">
        <v>24</v>
      </c>
      <c r="N985" s="1013">
        <f t="shared" si="199"/>
        <v>7780615</v>
      </c>
      <c r="O985" s="1015">
        <v>2</v>
      </c>
      <c r="P985" s="1013">
        <f t="shared" si="200"/>
        <v>648385</v>
      </c>
      <c r="Q985" s="1016">
        <v>0</v>
      </c>
      <c r="R985" s="1013">
        <f t="shared" si="201"/>
        <v>0</v>
      </c>
      <c r="S985" s="1013">
        <f t="shared" si="202"/>
        <v>8429000</v>
      </c>
      <c r="T985" s="1017">
        <v>0</v>
      </c>
      <c r="U985" s="785">
        <v>0</v>
      </c>
      <c r="V985" s="785">
        <v>200000</v>
      </c>
      <c r="W985" s="1017">
        <v>500000</v>
      </c>
      <c r="X985" s="1017">
        <v>0</v>
      </c>
      <c r="Y985" s="1017">
        <v>400000</v>
      </c>
      <c r="Z985" s="1017">
        <v>284127</v>
      </c>
      <c r="AA985" s="1018"/>
      <c r="AB985" s="1013"/>
      <c r="AC985" s="1017">
        <v>0</v>
      </c>
      <c r="AD985" s="1017">
        <v>0</v>
      </c>
      <c r="AE985" s="1013">
        <v>0</v>
      </c>
      <c r="AF985" s="1019"/>
      <c r="AG985" s="1019">
        <f t="shared" si="205"/>
        <v>9813127</v>
      </c>
      <c r="AH985" s="1014">
        <v>12</v>
      </c>
      <c r="AI985" s="1014">
        <v>0</v>
      </c>
      <c r="AJ985" s="1014">
        <v>0</v>
      </c>
      <c r="AK985" s="1018">
        <v>0</v>
      </c>
      <c r="AL985" s="1020">
        <v>0</v>
      </c>
      <c r="AM985" s="1013">
        <f t="shared" si="204"/>
        <v>729433</v>
      </c>
      <c r="AN985" s="1045">
        <f t="shared" si="197"/>
        <v>10542560</v>
      </c>
      <c r="AO985" s="1013">
        <v>885045</v>
      </c>
      <c r="AP985" s="1013">
        <v>44100</v>
      </c>
      <c r="AQ985" s="1013">
        <v>0</v>
      </c>
      <c r="AR985" s="1013">
        <v>0</v>
      </c>
      <c r="AS985" s="1013">
        <v>0</v>
      </c>
      <c r="AT985" s="1045">
        <f t="shared" si="203"/>
        <v>9613415</v>
      </c>
      <c r="AU985" s="1004"/>
      <c r="AV985" s="870"/>
      <c r="AW985" s="782" t="s">
        <v>5181</v>
      </c>
      <c r="AX985" s="782" t="s">
        <v>5182</v>
      </c>
      <c r="AY985" s="1007" t="s">
        <v>221</v>
      </c>
      <c r="AZ985" s="1007">
        <v>622</v>
      </c>
      <c r="BA985" s="347" t="str">
        <f t="shared" si="196"/>
        <v>Bag</v>
      </c>
      <c r="BB985" s="1008"/>
      <c r="BC985" s="1009"/>
      <c r="BD985" s="1009"/>
    </row>
    <row r="986" spans="1:56" s="1010" customFormat="1" ht="36.75" customHeight="1">
      <c r="A986" s="661">
        <f>SUBTOTAL(3,B$6:B986)</f>
        <v>981</v>
      </c>
      <c r="B986" s="661" t="s">
        <v>2780</v>
      </c>
      <c r="C986" s="662" t="s">
        <v>2781</v>
      </c>
      <c r="D986" s="1011">
        <v>43322</v>
      </c>
      <c r="E986" s="1011" t="s">
        <v>221</v>
      </c>
      <c r="F986" s="787" t="s">
        <v>252</v>
      </c>
      <c r="G986" s="996" t="s">
        <v>885</v>
      </c>
      <c r="H986" s="1012">
        <v>5931000</v>
      </c>
      <c r="I986" s="1012">
        <v>2500000</v>
      </c>
      <c r="J986" s="1012">
        <v>298000</v>
      </c>
      <c r="K986" s="1012">
        <v>0</v>
      </c>
      <c r="L986" s="1013">
        <f t="shared" si="198"/>
        <v>8729000</v>
      </c>
      <c r="M986" s="1014">
        <v>21.7</v>
      </c>
      <c r="N986" s="1013">
        <f t="shared" si="199"/>
        <v>7285358</v>
      </c>
      <c r="O986" s="1015">
        <v>4</v>
      </c>
      <c r="P986" s="1013">
        <f t="shared" si="200"/>
        <v>1342923</v>
      </c>
      <c r="Q986" s="1016">
        <v>0</v>
      </c>
      <c r="R986" s="1013">
        <f t="shared" si="201"/>
        <v>0</v>
      </c>
      <c r="S986" s="1013">
        <f t="shared" si="202"/>
        <v>8628281</v>
      </c>
      <c r="T986" s="1017">
        <v>0</v>
      </c>
      <c r="U986" s="785">
        <v>0</v>
      </c>
      <c r="V986" s="785">
        <v>200000</v>
      </c>
      <c r="W986" s="1017">
        <v>500000</v>
      </c>
      <c r="X986" s="1017">
        <v>0</v>
      </c>
      <c r="Y986" s="1017">
        <v>400000</v>
      </c>
      <c r="Z986" s="1017">
        <v>401609</v>
      </c>
      <c r="AA986" s="1018"/>
      <c r="AB986" s="1013"/>
      <c r="AC986" s="1017">
        <v>100000</v>
      </c>
      <c r="AD986" s="1017">
        <v>0</v>
      </c>
      <c r="AE986" s="1013">
        <v>0</v>
      </c>
      <c r="AF986" s="1019"/>
      <c r="AG986" s="1019">
        <f t="shared" si="205"/>
        <v>10229890</v>
      </c>
      <c r="AH986" s="1014">
        <v>16</v>
      </c>
      <c r="AI986" s="1014">
        <v>8</v>
      </c>
      <c r="AJ986" s="1014">
        <v>0</v>
      </c>
      <c r="AK986" s="1018">
        <v>0</v>
      </c>
      <c r="AL986" s="1020">
        <v>0</v>
      </c>
      <c r="AM986" s="1013">
        <f t="shared" si="204"/>
        <v>1678654</v>
      </c>
      <c r="AN986" s="1045">
        <f t="shared" si="197"/>
        <v>11908544</v>
      </c>
      <c r="AO986" s="1013">
        <v>916545</v>
      </c>
      <c r="AP986" s="1013">
        <v>44100</v>
      </c>
      <c r="AQ986" s="1013">
        <v>0</v>
      </c>
      <c r="AR986" s="1013">
        <v>0</v>
      </c>
      <c r="AS986" s="1013">
        <v>0</v>
      </c>
      <c r="AT986" s="1045">
        <f t="shared" si="203"/>
        <v>10947899</v>
      </c>
      <c r="AU986" s="1004"/>
      <c r="AV986" s="870"/>
      <c r="AW986" s="782" t="s">
        <v>5183</v>
      </c>
      <c r="AX986" s="782" t="s">
        <v>5184</v>
      </c>
      <c r="AY986" s="1007" t="s">
        <v>221</v>
      </c>
      <c r="AZ986" s="1007">
        <v>622</v>
      </c>
      <c r="BA986" s="347" t="str">
        <f t="shared" si="196"/>
        <v>Bag</v>
      </c>
      <c r="BB986" s="1008"/>
      <c r="BC986" s="1009"/>
      <c r="BD986" s="1009"/>
    </row>
    <row r="987" spans="1:56" s="1010" customFormat="1" ht="36.75" customHeight="1">
      <c r="A987" s="661">
        <f>SUBTOTAL(3,B$6:B987)</f>
        <v>982</v>
      </c>
      <c r="B987" s="661" t="s">
        <v>2782</v>
      </c>
      <c r="C987" s="662" t="s">
        <v>2783</v>
      </c>
      <c r="D987" s="1011">
        <v>43418</v>
      </c>
      <c r="E987" s="1011" t="s">
        <v>221</v>
      </c>
      <c r="F987" s="787" t="s">
        <v>252</v>
      </c>
      <c r="G987" s="996" t="s">
        <v>885</v>
      </c>
      <c r="H987" s="1012">
        <v>5931000</v>
      </c>
      <c r="I987" s="1012">
        <v>1500000</v>
      </c>
      <c r="J987" s="1012">
        <v>298000</v>
      </c>
      <c r="K987" s="1012">
        <v>300000</v>
      </c>
      <c r="L987" s="1013">
        <f t="shared" si="198"/>
        <v>8029000</v>
      </c>
      <c r="M987" s="1014">
        <v>24</v>
      </c>
      <c r="N987" s="1013">
        <f t="shared" si="199"/>
        <v>7411385</v>
      </c>
      <c r="O987" s="1015">
        <v>2</v>
      </c>
      <c r="P987" s="1013">
        <f t="shared" si="200"/>
        <v>617615</v>
      </c>
      <c r="Q987" s="1016">
        <v>0</v>
      </c>
      <c r="R987" s="1013">
        <f t="shared" si="201"/>
        <v>0</v>
      </c>
      <c r="S987" s="1013">
        <f t="shared" si="202"/>
        <v>8029000</v>
      </c>
      <c r="T987" s="1017">
        <v>0</v>
      </c>
      <c r="U987" s="785">
        <v>0</v>
      </c>
      <c r="V987" s="785">
        <v>200000</v>
      </c>
      <c r="W987" s="1017">
        <v>500000</v>
      </c>
      <c r="X987" s="1017">
        <v>0</v>
      </c>
      <c r="Y987" s="1017">
        <v>400000</v>
      </c>
      <c r="Z987" s="1017">
        <v>443551</v>
      </c>
      <c r="AA987" s="1018"/>
      <c r="AB987" s="1013"/>
      <c r="AC987" s="1017">
        <v>0</v>
      </c>
      <c r="AD987" s="1017">
        <v>0</v>
      </c>
      <c r="AE987" s="1013">
        <v>0</v>
      </c>
      <c r="AF987" s="1019"/>
      <c r="AG987" s="1019">
        <f t="shared" si="205"/>
        <v>9572551</v>
      </c>
      <c r="AH987" s="1014">
        <v>40</v>
      </c>
      <c r="AI987" s="1014">
        <v>0</v>
      </c>
      <c r="AJ987" s="1014">
        <v>0</v>
      </c>
      <c r="AK987" s="1018">
        <v>0</v>
      </c>
      <c r="AL987" s="1020">
        <v>0</v>
      </c>
      <c r="AM987" s="1013">
        <f t="shared" si="204"/>
        <v>2316058</v>
      </c>
      <c r="AN987" s="1045">
        <f t="shared" si="197"/>
        <v>11888609</v>
      </c>
      <c r="AO987" s="1013">
        <v>843045</v>
      </c>
      <c r="AP987" s="1013">
        <v>44100</v>
      </c>
      <c r="AQ987" s="1013">
        <v>0</v>
      </c>
      <c r="AR987" s="1013">
        <v>0</v>
      </c>
      <c r="AS987" s="1013">
        <v>0</v>
      </c>
      <c r="AT987" s="1045">
        <f t="shared" si="203"/>
        <v>11001464</v>
      </c>
      <c r="AU987" s="1004"/>
      <c r="AV987" s="870"/>
      <c r="AW987" s="782" t="s">
        <v>5185</v>
      </c>
      <c r="AX987" s="782" t="s">
        <v>5186</v>
      </c>
      <c r="AY987" s="1007" t="s">
        <v>221</v>
      </c>
      <c r="AZ987" s="1007">
        <v>622</v>
      </c>
      <c r="BA987" s="347" t="str">
        <f t="shared" si="196"/>
        <v>Bag</v>
      </c>
      <c r="BB987" s="1008"/>
      <c r="BC987" s="1009"/>
      <c r="BD987" s="1009"/>
    </row>
    <row r="988" spans="1:56" s="1010" customFormat="1" ht="36.75" customHeight="1">
      <c r="A988" s="661">
        <f>SUBTOTAL(3,B$6:B988)</f>
        <v>983</v>
      </c>
      <c r="B988" s="661" t="s">
        <v>2784</v>
      </c>
      <c r="C988" s="662" t="s">
        <v>2785</v>
      </c>
      <c r="D988" s="1011">
        <v>43425</v>
      </c>
      <c r="E988" s="1011" t="s">
        <v>221</v>
      </c>
      <c r="F988" s="787" t="s">
        <v>252</v>
      </c>
      <c r="G988" s="996" t="s">
        <v>885</v>
      </c>
      <c r="H988" s="1012">
        <v>5931000</v>
      </c>
      <c r="I988" s="1012">
        <v>2500000</v>
      </c>
      <c r="J988" s="1012">
        <v>298000</v>
      </c>
      <c r="K988" s="1012">
        <v>0</v>
      </c>
      <c r="L988" s="1013">
        <f t="shared" si="198"/>
        <v>8729000</v>
      </c>
      <c r="M988" s="1014">
        <v>23.9</v>
      </c>
      <c r="N988" s="1013">
        <f t="shared" si="199"/>
        <v>8023965</v>
      </c>
      <c r="O988" s="1015">
        <v>2</v>
      </c>
      <c r="P988" s="1013">
        <f t="shared" si="200"/>
        <v>671462</v>
      </c>
      <c r="Q988" s="1016">
        <v>0</v>
      </c>
      <c r="R988" s="1013">
        <f t="shared" si="201"/>
        <v>0</v>
      </c>
      <c r="S988" s="1013">
        <f t="shared" si="202"/>
        <v>8695427</v>
      </c>
      <c r="T988" s="1017">
        <v>0</v>
      </c>
      <c r="U988" s="785">
        <v>0</v>
      </c>
      <c r="V988" s="785">
        <v>200000</v>
      </c>
      <c r="W988" s="1017">
        <v>500000</v>
      </c>
      <c r="X988" s="1017">
        <v>0</v>
      </c>
      <c r="Y988" s="1017">
        <v>400000</v>
      </c>
      <c r="Z988" s="1017">
        <v>280577</v>
      </c>
      <c r="AA988" s="1018"/>
      <c r="AB988" s="1013"/>
      <c r="AC988" s="1017">
        <v>0</v>
      </c>
      <c r="AD988" s="1017">
        <v>0</v>
      </c>
      <c r="AE988" s="1013">
        <v>0</v>
      </c>
      <c r="AF988" s="1019"/>
      <c r="AG988" s="1019">
        <f t="shared" si="205"/>
        <v>10076004</v>
      </c>
      <c r="AH988" s="1014">
        <v>16</v>
      </c>
      <c r="AI988" s="1014">
        <v>0</v>
      </c>
      <c r="AJ988" s="1014">
        <v>0</v>
      </c>
      <c r="AK988" s="1018">
        <v>0</v>
      </c>
      <c r="AL988" s="1020">
        <v>0</v>
      </c>
      <c r="AM988" s="1013">
        <f t="shared" si="204"/>
        <v>1007192</v>
      </c>
      <c r="AN988" s="1045">
        <f t="shared" si="197"/>
        <v>11083196</v>
      </c>
      <c r="AO988" s="1013">
        <v>916545</v>
      </c>
      <c r="AP988" s="1013">
        <v>44100</v>
      </c>
      <c r="AQ988" s="1013">
        <v>0</v>
      </c>
      <c r="AR988" s="1013">
        <v>0</v>
      </c>
      <c r="AS988" s="1013">
        <v>0</v>
      </c>
      <c r="AT988" s="1045">
        <f t="shared" si="203"/>
        <v>10122551</v>
      </c>
      <c r="AU988" s="1004"/>
      <c r="AV988" s="870"/>
      <c r="AW988" s="782" t="s">
        <v>5187</v>
      </c>
      <c r="AX988" s="782" t="s">
        <v>5188</v>
      </c>
      <c r="AY988" s="1007" t="s">
        <v>221</v>
      </c>
      <c r="AZ988" s="1007">
        <v>622</v>
      </c>
      <c r="BA988" s="347" t="str">
        <f t="shared" si="196"/>
        <v>Bag</v>
      </c>
      <c r="BB988" s="1008"/>
      <c r="BC988" s="1009"/>
      <c r="BD988" s="1009"/>
    </row>
    <row r="989" spans="1:56" s="1010" customFormat="1" ht="36.75" customHeight="1">
      <c r="A989" s="661">
        <f>SUBTOTAL(3,B$6:B989)</f>
        <v>984</v>
      </c>
      <c r="B989" s="661" t="s">
        <v>2786</v>
      </c>
      <c r="C989" s="662" t="s">
        <v>2787</v>
      </c>
      <c r="D989" s="1011">
        <v>43744</v>
      </c>
      <c r="E989" s="1011" t="s">
        <v>221</v>
      </c>
      <c r="F989" s="787" t="s">
        <v>400</v>
      </c>
      <c r="G989" s="996" t="s">
        <v>1081</v>
      </c>
      <c r="H989" s="1012">
        <v>5931000</v>
      </c>
      <c r="I989" s="1012">
        <v>700000</v>
      </c>
      <c r="J989" s="1012">
        <v>0</v>
      </c>
      <c r="K989" s="1012">
        <v>0</v>
      </c>
      <c r="L989" s="1013">
        <f t="shared" si="198"/>
        <v>6631000</v>
      </c>
      <c r="M989" s="1014">
        <v>23.9</v>
      </c>
      <c r="N989" s="1013">
        <f t="shared" si="199"/>
        <v>6095419</v>
      </c>
      <c r="O989" s="1015">
        <v>2</v>
      </c>
      <c r="P989" s="1013">
        <f t="shared" si="200"/>
        <v>510077</v>
      </c>
      <c r="Q989" s="1016">
        <v>0</v>
      </c>
      <c r="R989" s="1013">
        <f t="shared" si="201"/>
        <v>0</v>
      </c>
      <c r="S989" s="1013">
        <f t="shared" si="202"/>
        <v>6605496</v>
      </c>
      <c r="T989" s="1017">
        <v>0</v>
      </c>
      <c r="U989" s="785">
        <v>0</v>
      </c>
      <c r="V989" s="785">
        <v>200000</v>
      </c>
      <c r="W989" s="1017">
        <v>500000</v>
      </c>
      <c r="X989" s="1017">
        <v>0</v>
      </c>
      <c r="Y989" s="1017">
        <v>400000</v>
      </c>
      <c r="Z989" s="1017">
        <v>441703</v>
      </c>
      <c r="AA989" s="1018"/>
      <c r="AB989" s="1013"/>
      <c r="AC989" s="1017">
        <v>0</v>
      </c>
      <c r="AD989" s="1017">
        <v>0</v>
      </c>
      <c r="AE989" s="1013">
        <v>47819.709728033471</v>
      </c>
      <c r="AF989" s="1019"/>
      <c r="AG989" s="1019">
        <f t="shared" si="205"/>
        <v>8195019</v>
      </c>
      <c r="AH989" s="1014">
        <v>64</v>
      </c>
      <c r="AI989" s="1014">
        <v>0</v>
      </c>
      <c r="AJ989" s="1014">
        <v>0</v>
      </c>
      <c r="AK989" s="1018">
        <v>0</v>
      </c>
      <c r="AL989" s="1020">
        <v>0</v>
      </c>
      <c r="AM989" s="1013">
        <f t="shared" si="204"/>
        <v>3060461</v>
      </c>
      <c r="AN989" s="1045">
        <f t="shared" si="197"/>
        <v>11255480</v>
      </c>
      <c r="AO989" s="1013">
        <v>696255</v>
      </c>
      <c r="AP989" s="1013">
        <v>44100</v>
      </c>
      <c r="AQ989" s="1013">
        <v>0</v>
      </c>
      <c r="AR989" s="1013">
        <v>0</v>
      </c>
      <c r="AS989" s="1013">
        <v>0</v>
      </c>
      <c r="AT989" s="1045">
        <f t="shared" si="203"/>
        <v>10515125</v>
      </c>
      <c r="AU989" s="1004"/>
      <c r="AV989" s="870"/>
      <c r="AW989" s="782" t="s">
        <v>5189</v>
      </c>
      <c r="AX989" s="782" t="s">
        <v>5190</v>
      </c>
      <c r="AY989" s="1007" t="s">
        <v>221</v>
      </c>
      <c r="AZ989" s="1007">
        <v>622</v>
      </c>
      <c r="BA989" s="347" t="str">
        <f t="shared" si="196"/>
        <v>Bag</v>
      </c>
      <c r="BB989" s="1008"/>
      <c r="BC989" s="1009"/>
      <c r="BD989" s="1009"/>
    </row>
    <row r="990" spans="1:56" s="1010" customFormat="1" ht="36.75" customHeight="1">
      <c r="A990" s="661">
        <f>SUBTOTAL(3,B$6:B990)</f>
        <v>985</v>
      </c>
      <c r="B990" s="661" t="s">
        <v>2788</v>
      </c>
      <c r="C990" s="662" t="s">
        <v>2789</v>
      </c>
      <c r="D990" s="1011">
        <v>45736</v>
      </c>
      <c r="E990" s="1011" t="s">
        <v>221</v>
      </c>
      <c r="F990" s="787" t="s">
        <v>400</v>
      </c>
      <c r="G990" s="996" t="s">
        <v>1081</v>
      </c>
      <c r="H990" s="1012">
        <v>4694000</v>
      </c>
      <c r="I990" s="1012">
        <v>0</v>
      </c>
      <c r="J990" s="1012">
        <v>0</v>
      </c>
      <c r="K990" s="1012">
        <v>0</v>
      </c>
      <c r="L990" s="1013">
        <f t="shared" si="198"/>
        <v>4694000</v>
      </c>
      <c r="M990" s="1014">
        <v>22</v>
      </c>
      <c r="N990" s="1013">
        <f t="shared" si="199"/>
        <v>3971846</v>
      </c>
      <c r="O990" s="1015">
        <v>3</v>
      </c>
      <c r="P990" s="1013">
        <f t="shared" si="200"/>
        <v>541615</v>
      </c>
      <c r="Q990" s="1016">
        <v>0</v>
      </c>
      <c r="R990" s="1013">
        <f t="shared" si="201"/>
        <v>0</v>
      </c>
      <c r="S990" s="1013">
        <f t="shared" si="202"/>
        <v>4513461</v>
      </c>
      <c r="T990" s="1017">
        <v>0</v>
      </c>
      <c r="U990" s="785">
        <v>0</v>
      </c>
      <c r="V990" s="785">
        <v>200000</v>
      </c>
      <c r="W990" s="1017">
        <v>0</v>
      </c>
      <c r="X990" s="1017">
        <v>0</v>
      </c>
      <c r="Y990" s="1017">
        <v>400000</v>
      </c>
      <c r="Z990" s="1017">
        <v>377711</v>
      </c>
      <c r="AA990" s="1018"/>
      <c r="AB990" s="1013"/>
      <c r="AC990" s="1017">
        <v>0</v>
      </c>
      <c r="AD990" s="1017">
        <v>326596</v>
      </c>
      <c r="AE990" s="1013">
        <v>33850.960227272728</v>
      </c>
      <c r="AF990" s="1019"/>
      <c r="AG990" s="1019">
        <f t="shared" si="205"/>
        <v>5851619</v>
      </c>
      <c r="AH990" s="1014">
        <v>56</v>
      </c>
      <c r="AI990" s="1014">
        <v>0</v>
      </c>
      <c r="AJ990" s="1014">
        <v>0</v>
      </c>
      <c r="AK990" s="1018">
        <v>0</v>
      </c>
      <c r="AL990" s="1020">
        <v>0</v>
      </c>
      <c r="AM990" s="1013">
        <f t="shared" si="204"/>
        <v>1895654</v>
      </c>
      <c r="AN990" s="1045">
        <f t="shared" si="197"/>
        <v>7747273</v>
      </c>
      <c r="AO990" s="1013">
        <v>0</v>
      </c>
      <c r="AP990" s="1013">
        <v>0</v>
      </c>
      <c r="AQ990" s="1013">
        <v>0</v>
      </c>
      <c r="AR990" s="1013">
        <v>0</v>
      </c>
      <c r="AS990" s="1013">
        <v>0</v>
      </c>
      <c r="AT990" s="1045">
        <f t="shared" si="203"/>
        <v>7747273</v>
      </c>
      <c r="AU990" s="1004"/>
      <c r="AV990" s="870"/>
      <c r="AW990" s="782" t="s">
        <v>5191</v>
      </c>
      <c r="AX990" s="782" t="s">
        <v>5192</v>
      </c>
      <c r="AY990" s="1007" t="s">
        <v>221</v>
      </c>
      <c r="AZ990" s="1007">
        <v>622</v>
      </c>
      <c r="BA990" s="347" t="str">
        <f t="shared" ref="BA990:BA1009" si="206">+IF(AY990="SK1 Box","Box",IF(AY990="Seaman","Seaman","Bag"))</f>
        <v>Bag</v>
      </c>
      <c r="BB990" s="1008"/>
      <c r="BC990" s="1009"/>
      <c r="BD990" s="1009"/>
    </row>
    <row r="991" spans="1:56" s="1010" customFormat="1" ht="36.75" customHeight="1">
      <c r="A991" s="661">
        <f>SUBTOTAL(3,B$6:B991)</f>
        <v>986</v>
      </c>
      <c r="B991" s="661" t="s">
        <v>5783</v>
      </c>
      <c r="C991" s="662" t="s">
        <v>5784</v>
      </c>
      <c r="D991" s="1011">
        <v>45765</v>
      </c>
      <c r="E991" s="1011" t="s">
        <v>221</v>
      </c>
      <c r="F991" s="787" t="s">
        <v>400</v>
      </c>
      <c r="G991" s="996" t="s">
        <v>554</v>
      </c>
      <c r="H991" s="1012">
        <v>4694000</v>
      </c>
      <c r="I991" s="1012">
        <v>0</v>
      </c>
      <c r="J991" s="1012">
        <v>0</v>
      </c>
      <c r="K991" s="1012">
        <v>0</v>
      </c>
      <c r="L991" s="1013">
        <f t="shared" si="198"/>
        <v>4694000</v>
      </c>
      <c r="M991" s="1014">
        <v>9</v>
      </c>
      <c r="N991" s="1013">
        <f t="shared" si="199"/>
        <v>1624846</v>
      </c>
      <c r="O991" s="1015">
        <v>1</v>
      </c>
      <c r="P991" s="1013">
        <f t="shared" si="200"/>
        <v>180538</v>
      </c>
      <c r="Q991" s="1016">
        <v>0</v>
      </c>
      <c r="R991" s="1013">
        <f t="shared" si="201"/>
        <v>0</v>
      </c>
      <c r="S991" s="1013">
        <f t="shared" si="202"/>
        <v>1805384</v>
      </c>
      <c r="T991" s="1017">
        <v>0</v>
      </c>
      <c r="U991" s="785">
        <v>0</v>
      </c>
      <c r="V991" s="785">
        <v>77000</v>
      </c>
      <c r="W991" s="1017">
        <v>192000</v>
      </c>
      <c r="X991" s="1017">
        <v>0</v>
      </c>
      <c r="Y991" s="1017">
        <v>58000</v>
      </c>
      <c r="Z991" s="1017">
        <v>0</v>
      </c>
      <c r="AA991" s="1018"/>
      <c r="AB991" s="1013"/>
      <c r="AC991" s="1017">
        <v>0</v>
      </c>
      <c r="AD991" s="1017">
        <v>0</v>
      </c>
      <c r="AE991" s="1013">
        <v>0</v>
      </c>
      <c r="AF991" s="1019"/>
      <c r="AG991" s="1019">
        <f t="shared" si="205"/>
        <v>2132384</v>
      </c>
      <c r="AH991" s="1014">
        <v>20</v>
      </c>
      <c r="AI991" s="1014">
        <v>0</v>
      </c>
      <c r="AJ991" s="1014">
        <v>0</v>
      </c>
      <c r="AK991" s="1018">
        <v>0</v>
      </c>
      <c r="AL991" s="1020">
        <v>0</v>
      </c>
      <c r="AM991" s="1013">
        <f t="shared" si="204"/>
        <v>677019</v>
      </c>
      <c r="AN991" s="1045">
        <f t="shared" ref="AN991:AN1054" si="207">ROUND(AG991+AM991,0)</f>
        <v>2809403</v>
      </c>
      <c r="AO991" s="1013">
        <v>0</v>
      </c>
      <c r="AP991" s="1013">
        <v>0</v>
      </c>
      <c r="AQ991" s="1013">
        <v>0</v>
      </c>
      <c r="AR991" s="1013">
        <v>0</v>
      </c>
      <c r="AS991" s="1013">
        <v>0</v>
      </c>
      <c r="AT991" s="1045">
        <f t="shared" si="203"/>
        <v>2809403</v>
      </c>
      <c r="AU991" s="1004"/>
      <c r="AV991" s="870"/>
      <c r="AW991" s="782" t="s">
        <v>5882</v>
      </c>
      <c r="AX991" s="782" t="s">
        <v>5883</v>
      </c>
      <c r="AY991" s="1007" t="s">
        <v>221</v>
      </c>
      <c r="AZ991" s="1007">
        <v>622</v>
      </c>
      <c r="BA991" s="347" t="str">
        <f t="shared" si="206"/>
        <v>Bag</v>
      </c>
      <c r="BB991" s="1008"/>
      <c r="BC991" s="1009"/>
      <c r="BD991" s="1009"/>
    </row>
    <row r="992" spans="1:56" s="1010" customFormat="1" ht="36.75" customHeight="1">
      <c r="A992" s="661">
        <f>SUBTOTAL(3,B$6:B992)</f>
        <v>987</v>
      </c>
      <c r="B992" s="661" t="s">
        <v>5785</v>
      </c>
      <c r="C992" s="662" t="s">
        <v>5786</v>
      </c>
      <c r="D992" s="1011">
        <v>45765</v>
      </c>
      <c r="E992" s="1011" t="s">
        <v>221</v>
      </c>
      <c r="F992" s="787" t="s">
        <v>400</v>
      </c>
      <c r="G992" s="996" t="s">
        <v>554</v>
      </c>
      <c r="H992" s="1012">
        <v>4694000</v>
      </c>
      <c r="I992" s="1012">
        <v>0</v>
      </c>
      <c r="J992" s="1012">
        <v>0</v>
      </c>
      <c r="K992" s="1012">
        <v>0</v>
      </c>
      <c r="L992" s="1013">
        <f t="shared" si="198"/>
        <v>4694000</v>
      </c>
      <c r="M992" s="1014">
        <v>10</v>
      </c>
      <c r="N992" s="1013">
        <f t="shared" si="199"/>
        <v>1805385</v>
      </c>
      <c r="O992" s="1015">
        <v>1</v>
      </c>
      <c r="P992" s="1013">
        <f t="shared" si="200"/>
        <v>180538</v>
      </c>
      <c r="Q992" s="1016">
        <v>0</v>
      </c>
      <c r="R992" s="1013">
        <f t="shared" si="201"/>
        <v>0</v>
      </c>
      <c r="S992" s="1013">
        <f t="shared" si="202"/>
        <v>1985923</v>
      </c>
      <c r="T992" s="1017">
        <v>0</v>
      </c>
      <c r="U992" s="785">
        <v>0</v>
      </c>
      <c r="V992" s="785">
        <v>85000</v>
      </c>
      <c r="W992" s="1017">
        <v>212000</v>
      </c>
      <c r="X992" s="1017">
        <v>0</v>
      </c>
      <c r="Y992" s="1017">
        <v>63000</v>
      </c>
      <c r="Z992" s="1017">
        <v>0</v>
      </c>
      <c r="AA992" s="1018"/>
      <c r="AB992" s="1013"/>
      <c r="AC992" s="1017">
        <v>0</v>
      </c>
      <c r="AD992" s="1017">
        <v>0</v>
      </c>
      <c r="AE992" s="1013">
        <v>0</v>
      </c>
      <c r="AF992" s="1019"/>
      <c r="AG992" s="1019">
        <f t="shared" si="205"/>
        <v>2345923</v>
      </c>
      <c r="AH992" s="1014">
        <v>24</v>
      </c>
      <c r="AI992" s="1014">
        <v>0</v>
      </c>
      <c r="AJ992" s="1014">
        <v>0</v>
      </c>
      <c r="AK992" s="1018">
        <v>0</v>
      </c>
      <c r="AL992" s="1020">
        <v>0</v>
      </c>
      <c r="AM992" s="1013">
        <f t="shared" si="204"/>
        <v>812423</v>
      </c>
      <c r="AN992" s="1045">
        <f t="shared" si="207"/>
        <v>3158346</v>
      </c>
      <c r="AO992" s="1013">
        <v>0</v>
      </c>
      <c r="AP992" s="1013">
        <v>0</v>
      </c>
      <c r="AQ992" s="1013">
        <v>0</v>
      </c>
      <c r="AR992" s="1013">
        <v>0</v>
      </c>
      <c r="AS992" s="1013">
        <v>0</v>
      </c>
      <c r="AT992" s="1045">
        <f t="shared" si="203"/>
        <v>3158346</v>
      </c>
      <c r="AU992" s="1004"/>
      <c r="AV992" s="870"/>
      <c r="AW992" s="782"/>
      <c r="AX992" s="782" t="s">
        <v>3644</v>
      </c>
      <c r="AY992" s="1007" t="s">
        <v>221</v>
      </c>
      <c r="AZ992" s="1007">
        <v>622</v>
      </c>
      <c r="BA992" s="347" t="str">
        <f t="shared" si="206"/>
        <v>Bag</v>
      </c>
      <c r="BB992" s="1008"/>
      <c r="BC992" s="1009"/>
      <c r="BD992" s="1009"/>
    </row>
    <row r="993" spans="1:56" s="1010" customFormat="1" ht="36.75" customHeight="1">
      <c r="A993" s="661">
        <f>SUBTOTAL(3,B$6:B993)</f>
        <v>988</v>
      </c>
      <c r="B993" s="661" t="s">
        <v>2790</v>
      </c>
      <c r="C993" s="662" t="s">
        <v>1066</v>
      </c>
      <c r="D993" s="1011">
        <v>40952</v>
      </c>
      <c r="E993" s="1011" t="s">
        <v>221</v>
      </c>
      <c r="F993" s="787" t="s">
        <v>400</v>
      </c>
      <c r="G993" s="996" t="s">
        <v>1081</v>
      </c>
      <c r="H993" s="1012">
        <v>5931000</v>
      </c>
      <c r="I993" s="1012">
        <v>700000</v>
      </c>
      <c r="J993" s="1012">
        <v>0</v>
      </c>
      <c r="K993" s="1012">
        <v>0</v>
      </c>
      <c r="L993" s="1013">
        <f t="shared" si="198"/>
        <v>6631000</v>
      </c>
      <c r="M993" s="1014">
        <v>24</v>
      </c>
      <c r="N993" s="1013">
        <f t="shared" si="199"/>
        <v>6120923</v>
      </c>
      <c r="O993" s="1015">
        <v>2</v>
      </c>
      <c r="P993" s="1013">
        <f t="shared" si="200"/>
        <v>510077</v>
      </c>
      <c r="Q993" s="1016">
        <v>0</v>
      </c>
      <c r="R993" s="1013">
        <f t="shared" si="201"/>
        <v>0</v>
      </c>
      <c r="S993" s="1013">
        <f t="shared" si="202"/>
        <v>6631000</v>
      </c>
      <c r="T993" s="1017">
        <v>0</v>
      </c>
      <c r="U993" s="785">
        <v>0</v>
      </c>
      <c r="V993" s="785">
        <v>200000</v>
      </c>
      <c r="W993" s="1017">
        <v>500000</v>
      </c>
      <c r="X993" s="1017">
        <v>0</v>
      </c>
      <c r="Y993" s="1017">
        <v>400000</v>
      </c>
      <c r="Z993" s="1017">
        <v>443551</v>
      </c>
      <c r="AA993" s="1018"/>
      <c r="AB993" s="1013"/>
      <c r="AC993" s="1017">
        <v>0</v>
      </c>
      <c r="AD993" s="1017">
        <v>0</v>
      </c>
      <c r="AE993" s="1013">
        <v>47819.7109375</v>
      </c>
      <c r="AF993" s="1019"/>
      <c r="AG993" s="1019">
        <f t="shared" si="205"/>
        <v>8222371</v>
      </c>
      <c r="AH993" s="1014">
        <v>64</v>
      </c>
      <c r="AI993" s="1014">
        <v>0</v>
      </c>
      <c r="AJ993" s="1014">
        <v>0</v>
      </c>
      <c r="AK993" s="1018">
        <v>0</v>
      </c>
      <c r="AL993" s="1020">
        <v>0</v>
      </c>
      <c r="AM993" s="1013">
        <f t="shared" si="204"/>
        <v>3060462</v>
      </c>
      <c r="AN993" s="1045">
        <f t="shared" si="207"/>
        <v>11282833</v>
      </c>
      <c r="AO993" s="1013">
        <v>696255</v>
      </c>
      <c r="AP993" s="1013">
        <v>44100</v>
      </c>
      <c r="AQ993" s="1013">
        <v>0</v>
      </c>
      <c r="AR993" s="1013">
        <v>0</v>
      </c>
      <c r="AS993" s="1013">
        <v>0</v>
      </c>
      <c r="AT993" s="1045">
        <f t="shared" si="203"/>
        <v>10542478</v>
      </c>
      <c r="AU993" s="1004"/>
      <c r="AV993" s="870"/>
      <c r="AW993" s="782" t="s">
        <v>3592</v>
      </c>
      <c r="AX993" s="782" t="s">
        <v>5193</v>
      </c>
      <c r="AY993" s="1007" t="s">
        <v>221</v>
      </c>
      <c r="AZ993" s="1007">
        <v>622</v>
      </c>
      <c r="BA993" s="347" t="str">
        <f t="shared" si="206"/>
        <v>Bag</v>
      </c>
      <c r="BB993" s="1008"/>
      <c r="BC993" s="1009"/>
      <c r="BD993" s="1009"/>
    </row>
    <row r="994" spans="1:56" s="1010" customFormat="1" ht="36.75" customHeight="1">
      <c r="A994" s="661">
        <f>SUBTOTAL(3,B$6:B994)</f>
        <v>989</v>
      </c>
      <c r="B994" s="661" t="s">
        <v>2791</v>
      </c>
      <c r="C994" s="662" t="s">
        <v>2792</v>
      </c>
      <c r="D994" s="1011">
        <v>42783</v>
      </c>
      <c r="E994" s="1011" t="s">
        <v>221</v>
      </c>
      <c r="F994" s="787" t="s">
        <v>535</v>
      </c>
      <c r="G994" s="996" t="s">
        <v>885</v>
      </c>
      <c r="H994" s="1012">
        <v>5931000</v>
      </c>
      <c r="I994" s="1012">
        <v>2500000</v>
      </c>
      <c r="J994" s="1012">
        <v>0</v>
      </c>
      <c r="K994" s="1012">
        <v>0</v>
      </c>
      <c r="L994" s="1013">
        <f t="shared" si="198"/>
        <v>8431000</v>
      </c>
      <c r="M994" s="1014">
        <v>24</v>
      </c>
      <c r="N994" s="1013">
        <f t="shared" si="199"/>
        <v>7782462</v>
      </c>
      <c r="O994" s="1015">
        <v>2</v>
      </c>
      <c r="P994" s="1013">
        <f t="shared" si="200"/>
        <v>648538</v>
      </c>
      <c r="Q994" s="1016">
        <v>65</v>
      </c>
      <c r="R994" s="1013">
        <f t="shared" si="201"/>
        <v>790406</v>
      </c>
      <c r="S994" s="1013">
        <f t="shared" si="202"/>
        <v>9221406</v>
      </c>
      <c r="T994" s="1017">
        <v>0</v>
      </c>
      <c r="U994" s="785">
        <v>300000</v>
      </c>
      <c r="V994" s="785">
        <v>200000</v>
      </c>
      <c r="W994" s="1017">
        <v>500000</v>
      </c>
      <c r="X994" s="1017">
        <v>0</v>
      </c>
      <c r="Y994" s="1017">
        <v>400000</v>
      </c>
      <c r="Z994" s="1017">
        <v>448868</v>
      </c>
      <c r="AA994" s="1018"/>
      <c r="AB994" s="1013"/>
      <c r="AC994" s="1017">
        <v>0</v>
      </c>
      <c r="AD994" s="1017">
        <v>0</v>
      </c>
      <c r="AE994" s="1013">
        <v>0</v>
      </c>
      <c r="AF994" s="1019"/>
      <c r="AG994" s="1019">
        <f t="shared" si="205"/>
        <v>11070274</v>
      </c>
      <c r="AH994" s="1014">
        <v>28</v>
      </c>
      <c r="AI994" s="1014">
        <v>0</v>
      </c>
      <c r="AJ994" s="1014">
        <v>6</v>
      </c>
      <c r="AK994" s="1018">
        <v>0</v>
      </c>
      <c r="AL994" s="1020">
        <v>0</v>
      </c>
      <c r="AM994" s="1013">
        <f t="shared" si="204"/>
        <v>2213138</v>
      </c>
      <c r="AN994" s="1045">
        <f t="shared" si="207"/>
        <v>13283412</v>
      </c>
      <c r="AO994" s="1013">
        <v>885255</v>
      </c>
      <c r="AP994" s="1013">
        <v>44100</v>
      </c>
      <c r="AQ994" s="1013">
        <v>0</v>
      </c>
      <c r="AR994" s="1013">
        <v>0</v>
      </c>
      <c r="AS994" s="1013">
        <v>0</v>
      </c>
      <c r="AT994" s="1045">
        <f t="shared" si="203"/>
        <v>12354057</v>
      </c>
      <c r="AU994" s="1004"/>
      <c r="AV994" s="870"/>
      <c r="AW994" s="782" t="s">
        <v>5194</v>
      </c>
      <c r="AX994" s="782" t="s">
        <v>5195</v>
      </c>
      <c r="AY994" s="1007" t="s">
        <v>221</v>
      </c>
      <c r="AZ994" s="1007">
        <v>622</v>
      </c>
      <c r="BA994" s="347" t="str">
        <f t="shared" si="206"/>
        <v>Bag</v>
      </c>
      <c r="BB994" s="1008"/>
      <c r="BC994" s="1009"/>
      <c r="BD994" s="1009"/>
    </row>
    <row r="995" spans="1:56" s="1010" customFormat="1" ht="36.75" customHeight="1">
      <c r="A995" s="661">
        <f>SUBTOTAL(3,B$6:B995)</f>
        <v>990</v>
      </c>
      <c r="B995" s="661" t="s">
        <v>2793</v>
      </c>
      <c r="C995" s="662" t="s">
        <v>1909</v>
      </c>
      <c r="D995" s="1011">
        <v>43972</v>
      </c>
      <c r="E995" s="1011" t="s">
        <v>221</v>
      </c>
      <c r="F995" s="787" t="s">
        <v>535</v>
      </c>
      <c r="G995" s="996" t="s">
        <v>885</v>
      </c>
      <c r="H995" s="1012">
        <v>5931000</v>
      </c>
      <c r="I995" s="1012">
        <v>2200000</v>
      </c>
      <c r="J995" s="1012">
        <v>0</v>
      </c>
      <c r="K995" s="1012">
        <v>0</v>
      </c>
      <c r="L995" s="1013">
        <f t="shared" si="198"/>
        <v>8131000</v>
      </c>
      <c r="M995" s="1014">
        <v>24</v>
      </c>
      <c r="N995" s="1013">
        <f t="shared" si="199"/>
        <v>7505538</v>
      </c>
      <c r="O995" s="1015">
        <v>2</v>
      </c>
      <c r="P995" s="1013">
        <f t="shared" si="200"/>
        <v>625462</v>
      </c>
      <c r="Q995" s="1016">
        <v>58.5</v>
      </c>
      <c r="R995" s="1013">
        <f t="shared" si="201"/>
        <v>686053</v>
      </c>
      <c r="S995" s="1013">
        <f t="shared" si="202"/>
        <v>8817053</v>
      </c>
      <c r="T995" s="1017">
        <v>0</v>
      </c>
      <c r="U995" s="785">
        <v>270000</v>
      </c>
      <c r="V995" s="785">
        <v>200000</v>
      </c>
      <c r="W995" s="1017">
        <v>500000</v>
      </c>
      <c r="X995" s="1017">
        <v>0</v>
      </c>
      <c r="Y995" s="1017">
        <v>400000</v>
      </c>
      <c r="Z995" s="1017">
        <v>485882</v>
      </c>
      <c r="AA995" s="1018"/>
      <c r="AB995" s="1013"/>
      <c r="AC995" s="1017">
        <v>0</v>
      </c>
      <c r="AD995" s="1017">
        <v>0</v>
      </c>
      <c r="AE995" s="1013">
        <v>0</v>
      </c>
      <c r="AF995" s="1019"/>
      <c r="AG995" s="1019">
        <f t="shared" si="205"/>
        <v>10672935</v>
      </c>
      <c r="AH995" s="1014">
        <v>36</v>
      </c>
      <c r="AI995" s="1014">
        <v>0</v>
      </c>
      <c r="AJ995" s="1014">
        <v>0</v>
      </c>
      <c r="AK995" s="1018">
        <v>0</v>
      </c>
      <c r="AL995" s="1020">
        <v>0</v>
      </c>
      <c r="AM995" s="1013">
        <f t="shared" si="204"/>
        <v>2110933</v>
      </c>
      <c r="AN995" s="1045">
        <f t="shared" si="207"/>
        <v>12783868</v>
      </c>
      <c r="AO995" s="1013">
        <v>853755</v>
      </c>
      <c r="AP995" s="1013">
        <v>44100</v>
      </c>
      <c r="AQ995" s="1013">
        <v>0</v>
      </c>
      <c r="AR995" s="1013">
        <v>0</v>
      </c>
      <c r="AS995" s="1013">
        <v>0</v>
      </c>
      <c r="AT995" s="1045">
        <f t="shared" si="203"/>
        <v>11886013</v>
      </c>
      <c r="AU995" s="1004"/>
      <c r="AV995" s="870"/>
      <c r="AW995" s="782" t="s">
        <v>4388</v>
      </c>
      <c r="AX995" s="782" t="s">
        <v>5196</v>
      </c>
      <c r="AY995" s="1007" t="s">
        <v>221</v>
      </c>
      <c r="AZ995" s="1007">
        <v>622</v>
      </c>
      <c r="BA995" s="347" t="str">
        <f t="shared" si="206"/>
        <v>Bag</v>
      </c>
      <c r="BB995" s="1008"/>
      <c r="BC995" s="1009"/>
      <c r="BD995" s="1009"/>
    </row>
    <row r="996" spans="1:56" s="1010" customFormat="1" ht="36.75" customHeight="1">
      <c r="A996" s="661">
        <f>SUBTOTAL(3,B$6:B996)</f>
        <v>991</v>
      </c>
      <c r="B996" s="661" t="s">
        <v>2794</v>
      </c>
      <c r="C996" s="662" t="s">
        <v>2795</v>
      </c>
      <c r="D996" s="1011">
        <v>44263</v>
      </c>
      <c r="E996" s="1011" t="s">
        <v>221</v>
      </c>
      <c r="F996" s="787" t="s">
        <v>535</v>
      </c>
      <c r="G996" s="996" t="s">
        <v>1341</v>
      </c>
      <c r="H996" s="1012">
        <v>5931000</v>
      </c>
      <c r="I996" s="1012">
        <v>1400000</v>
      </c>
      <c r="J996" s="1012">
        <v>0</v>
      </c>
      <c r="K996" s="1012">
        <v>0</v>
      </c>
      <c r="L996" s="1013">
        <f t="shared" si="198"/>
        <v>7331000</v>
      </c>
      <c r="M996" s="1014">
        <v>22.7</v>
      </c>
      <c r="N996" s="1013">
        <f t="shared" si="199"/>
        <v>6400527</v>
      </c>
      <c r="O996" s="1015">
        <v>2</v>
      </c>
      <c r="P996" s="1013">
        <f t="shared" si="200"/>
        <v>563923</v>
      </c>
      <c r="Q996" s="1016">
        <v>58.5</v>
      </c>
      <c r="R996" s="1013">
        <f t="shared" si="201"/>
        <v>618553</v>
      </c>
      <c r="S996" s="1013">
        <f t="shared" si="202"/>
        <v>7583003</v>
      </c>
      <c r="T996" s="1017">
        <v>0</v>
      </c>
      <c r="U996" s="785">
        <v>270000</v>
      </c>
      <c r="V996" s="785">
        <v>200000</v>
      </c>
      <c r="W996" s="1017">
        <v>0</v>
      </c>
      <c r="X996" s="1017">
        <v>0</v>
      </c>
      <c r="Y996" s="1017">
        <v>0</v>
      </c>
      <c r="Z996" s="1017">
        <v>439709</v>
      </c>
      <c r="AA996" s="1018"/>
      <c r="AB996" s="1013"/>
      <c r="AC996" s="1017">
        <v>0</v>
      </c>
      <c r="AD996" s="1017">
        <v>0</v>
      </c>
      <c r="AE996" s="1013">
        <v>0</v>
      </c>
      <c r="AF996" s="1019"/>
      <c r="AG996" s="1019">
        <f t="shared" si="205"/>
        <v>8492712</v>
      </c>
      <c r="AH996" s="1014">
        <v>29</v>
      </c>
      <c r="AI996" s="1014">
        <v>0</v>
      </c>
      <c r="AJ996" s="1014">
        <v>0</v>
      </c>
      <c r="AK996" s="1018">
        <v>0</v>
      </c>
      <c r="AL996" s="1020">
        <v>0</v>
      </c>
      <c r="AM996" s="1013">
        <f t="shared" si="204"/>
        <v>1533166</v>
      </c>
      <c r="AN996" s="1045">
        <f t="shared" si="207"/>
        <v>10025878</v>
      </c>
      <c r="AO996" s="1013">
        <v>769755</v>
      </c>
      <c r="AP996" s="1013">
        <v>44100</v>
      </c>
      <c r="AQ996" s="1013">
        <v>0</v>
      </c>
      <c r="AR996" s="1013">
        <v>0</v>
      </c>
      <c r="AS996" s="1013">
        <v>0</v>
      </c>
      <c r="AT996" s="1045">
        <f t="shared" si="203"/>
        <v>9212023</v>
      </c>
      <c r="AU996" s="1004"/>
      <c r="AV996" s="870"/>
      <c r="AW996" s="782" t="s">
        <v>5197</v>
      </c>
      <c r="AX996" s="782" t="s">
        <v>5198</v>
      </c>
      <c r="AY996" s="1007" t="s">
        <v>221</v>
      </c>
      <c r="AZ996" s="1007">
        <v>622</v>
      </c>
      <c r="BA996" s="347" t="str">
        <f t="shared" si="206"/>
        <v>Bag</v>
      </c>
      <c r="BB996" s="1008"/>
      <c r="BC996" s="1009"/>
      <c r="BD996" s="1009"/>
    </row>
    <row r="997" spans="1:56" s="1010" customFormat="1" ht="36.75" customHeight="1">
      <c r="A997" s="661">
        <f>SUBTOTAL(3,B$6:B997)</f>
        <v>992</v>
      </c>
      <c r="B997" s="661" t="s">
        <v>2796</v>
      </c>
      <c r="C997" s="662" t="s">
        <v>2797</v>
      </c>
      <c r="D997" s="1011">
        <v>44265</v>
      </c>
      <c r="E997" s="1011" t="s">
        <v>221</v>
      </c>
      <c r="F997" s="787" t="s">
        <v>535</v>
      </c>
      <c r="G997" s="996" t="s">
        <v>1341</v>
      </c>
      <c r="H997" s="1012">
        <v>5931000</v>
      </c>
      <c r="I997" s="1012">
        <v>1400000</v>
      </c>
      <c r="J997" s="1012">
        <v>0</v>
      </c>
      <c r="K997" s="1012">
        <v>0</v>
      </c>
      <c r="L997" s="1013">
        <f t="shared" si="198"/>
        <v>7331000</v>
      </c>
      <c r="M997" s="1014">
        <v>22.5</v>
      </c>
      <c r="N997" s="1013">
        <f t="shared" si="199"/>
        <v>6344135</v>
      </c>
      <c r="O997" s="1015">
        <v>3</v>
      </c>
      <c r="P997" s="1013">
        <f t="shared" si="200"/>
        <v>845885</v>
      </c>
      <c r="Q997" s="1016">
        <v>0</v>
      </c>
      <c r="R997" s="1013">
        <f t="shared" si="201"/>
        <v>0</v>
      </c>
      <c r="S997" s="1013">
        <f t="shared" si="202"/>
        <v>7190020</v>
      </c>
      <c r="T997" s="1017">
        <v>0</v>
      </c>
      <c r="U997" s="785">
        <v>0</v>
      </c>
      <c r="V997" s="785">
        <v>200000</v>
      </c>
      <c r="W997" s="1017">
        <v>500000</v>
      </c>
      <c r="X997" s="1017">
        <v>0</v>
      </c>
      <c r="Y997" s="1017">
        <v>400000</v>
      </c>
      <c r="Z997" s="1017">
        <v>397093</v>
      </c>
      <c r="AA997" s="1018"/>
      <c r="AB997" s="1013"/>
      <c r="AC997" s="1017">
        <v>0</v>
      </c>
      <c r="AD997" s="1017">
        <v>0</v>
      </c>
      <c r="AE997" s="1013">
        <v>0</v>
      </c>
      <c r="AF997" s="1019"/>
      <c r="AG997" s="1019">
        <f t="shared" si="205"/>
        <v>8687113</v>
      </c>
      <c r="AH997" s="1014">
        <v>60</v>
      </c>
      <c r="AI997" s="1014">
        <v>0</v>
      </c>
      <c r="AJ997" s="1014">
        <v>0</v>
      </c>
      <c r="AK997" s="1018">
        <v>0</v>
      </c>
      <c r="AL997" s="1020">
        <v>0</v>
      </c>
      <c r="AM997" s="1013">
        <f t="shared" si="204"/>
        <v>3172068</v>
      </c>
      <c r="AN997" s="1045">
        <f t="shared" si="207"/>
        <v>11859181</v>
      </c>
      <c r="AO997" s="1013">
        <v>769755</v>
      </c>
      <c r="AP997" s="1013">
        <v>44100</v>
      </c>
      <c r="AQ997" s="1013">
        <v>0</v>
      </c>
      <c r="AR997" s="1013">
        <v>0</v>
      </c>
      <c r="AS997" s="1013">
        <v>0</v>
      </c>
      <c r="AT997" s="1045">
        <f t="shared" si="203"/>
        <v>11045326</v>
      </c>
      <c r="AU997" s="1004"/>
      <c r="AV997" s="870"/>
      <c r="AW997" s="782" t="s">
        <v>5199</v>
      </c>
      <c r="AX997" s="782" t="s">
        <v>5200</v>
      </c>
      <c r="AY997" s="1007" t="s">
        <v>221</v>
      </c>
      <c r="AZ997" s="1007">
        <v>622</v>
      </c>
      <c r="BA997" s="347" t="str">
        <f t="shared" si="206"/>
        <v>Bag</v>
      </c>
      <c r="BB997" s="1008"/>
      <c r="BC997" s="1009"/>
      <c r="BD997" s="1009"/>
    </row>
    <row r="998" spans="1:56" s="1010" customFormat="1" ht="36.75" customHeight="1">
      <c r="A998" s="661">
        <f>SUBTOTAL(3,B$6:B998)</f>
        <v>993</v>
      </c>
      <c r="B998" s="661" t="s">
        <v>2798</v>
      </c>
      <c r="C998" s="662" t="s">
        <v>2799</v>
      </c>
      <c r="D998" s="1011">
        <v>44299</v>
      </c>
      <c r="E998" s="1011" t="s">
        <v>221</v>
      </c>
      <c r="F998" s="787" t="s">
        <v>535</v>
      </c>
      <c r="G998" s="996" t="s">
        <v>1341</v>
      </c>
      <c r="H998" s="1012">
        <v>5931000</v>
      </c>
      <c r="I998" s="1012">
        <v>1400000</v>
      </c>
      <c r="J998" s="1012">
        <v>0</v>
      </c>
      <c r="K998" s="1012">
        <v>0</v>
      </c>
      <c r="L998" s="1013">
        <f t="shared" si="198"/>
        <v>7331000</v>
      </c>
      <c r="M998" s="1014">
        <v>24</v>
      </c>
      <c r="N998" s="1013">
        <f t="shared" si="199"/>
        <v>6767077</v>
      </c>
      <c r="O998" s="1015">
        <v>2</v>
      </c>
      <c r="P998" s="1013">
        <f t="shared" si="200"/>
        <v>563923</v>
      </c>
      <c r="Q998" s="1016">
        <v>65</v>
      </c>
      <c r="R998" s="1013">
        <f t="shared" si="201"/>
        <v>687281</v>
      </c>
      <c r="S998" s="1013">
        <f t="shared" si="202"/>
        <v>8018281</v>
      </c>
      <c r="T998" s="1017">
        <v>0</v>
      </c>
      <c r="U998" s="785">
        <v>300000</v>
      </c>
      <c r="V998" s="785">
        <v>200000</v>
      </c>
      <c r="W998" s="1017">
        <v>500000</v>
      </c>
      <c r="X998" s="1017">
        <v>0</v>
      </c>
      <c r="Y998" s="1017">
        <v>400000</v>
      </c>
      <c r="Z998" s="1017">
        <v>499109</v>
      </c>
      <c r="AA998" s="1018"/>
      <c r="AB998" s="1013"/>
      <c r="AC998" s="1017">
        <v>0</v>
      </c>
      <c r="AD998" s="1017">
        <v>0</v>
      </c>
      <c r="AE998" s="1013">
        <v>0</v>
      </c>
      <c r="AF998" s="1019"/>
      <c r="AG998" s="1019">
        <f t="shared" si="205"/>
        <v>9917390</v>
      </c>
      <c r="AH998" s="1014">
        <v>28</v>
      </c>
      <c r="AI998" s="1014">
        <v>0</v>
      </c>
      <c r="AJ998" s="1014">
        <v>6</v>
      </c>
      <c r="AK998" s="1018">
        <v>0</v>
      </c>
      <c r="AL998" s="1020">
        <v>0</v>
      </c>
      <c r="AM998" s="1013">
        <f t="shared" si="204"/>
        <v>1924388</v>
      </c>
      <c r="AN998" s="1045">
        <f t="shared" si="207"/>
        <v>11841778</v>
      </c>
      <c r="AO998" s="1013">
        <v>769755</v>
      </c>
      <c r="AP998" s="1013">
        <v>44100</v>
      </c>
      <c r="AQ998" s="1013">
        <v>0</v>
      </c>
      <c r="AR998" s="1013">
        <v>0</v>
      </c>
      <c r="AS998" s="1013">
        <v>0</v>
      </c>
      <c r="AT998" s="1045">
        <f t="shared" si="203"/>
        <v>11027923</v>
      </c>
      <c r="AU998" s="1004"/>
      <c r="AV998" s="870"/>
      <c r="AW998" s="782" t="s">
        <v>5201</v>
      </c>
      <c r="AX998" s="782" t="s">
        <v>5202</v>
      </c>
      <c r="AY998" s="1007" t="s">
        <v>221</v>
      </c>
      <c r="AZ998" s="1007">
        <v>622</v>
      </c>
      <c r="BA998" s="347" t="str">
        <f t="shared" si="206"/>
        <v>Bag</v>
      </c>
      <c r="BB998" s="1008"/>
      <c r="BC998" s="1009"/>
      <c r="BD998" s="1009"/>
    </row>
    <row r="999" spans="1:56" s="1010" customFormat="1" ht="36.75" customHeight="1">
      <c r="A999" s="661">
        <f>SUBTOTAL(3,B$6:B999)</f>
        <v>994</v>
      </c>
      <c r="B999" s="661" t="s">
        <v>2800</v>
      </c>
      <c r="C999" s="662" t="s">
        <v>2801</v>
      </c>
      <c r="D999" s="1011">
        <v>44338</v>
      </c>
      <c r="E999" s="1011" t="s">
        <v>221</v>
      </c>
      <c r="F999" s="787" t="s">
        <v>535</v>
      </c>
      <c r="G999" s="996" t="s">
        <v>1341</v>
      </c>
      <c r="H999" s="1012">
        <v>5931000</v>
      </c>
      <c r="I999" s="1012">
        <v>1400000</v>
      </c>
      <c r="J999" s="1012">
        <v>0</v>
      </c>
      <c r="K999" s="1012">
        <v>0</v>
      </c>
      <c r="L999" s="1013">
        <f t="shared" si="198"/>
        <v>7331000</v>
      </c>
      <c r="M999" s="1014">
        <v>24</v>
      </c>
      <c r="N999" s="1013">
        <f t="shared" si="199"/>
        <v>6767077</v>
      </c>
      <c r="O999" s="1015">
        <v>2</v>
      </c>
      <c r="P999" s="1013">
        <f t="shared" si="200"/>
        <v>563923</v>
      </c>
      <c r="Q999" s="1016">
        <v>26</v>
      </c>
      <c r="R999" s="1013">
        <f t="shared" si="201"/>
        <v>274913</v>
      </c>
      <c r="S999" s="1013">
        <f t="shared" si="202"/>
        <v>7605913</v>
      </c>
      <c r="T999" s="1017">
        <v>0</v>
      </c>
      <c r="U999" s="785">
        <v>120000</v>
      </c>
      <c r="V999" s="785">
        <v>200000</v>
      </c>
      <c r="W999" s="1017">
        <v>500000</v>
      </c>
      <c r="X999" s="1017">
        <v>0</v>
      </c>
      <c r="Y999" s="1017">
        <v>400000</v>
      </c>
      <c r="Z999" s="1017">
        <v>619012</v>
      </c>
      <c r="AA999" s="1018"/>
      <c r="AB999" s="1013"/>
      <c r="AC999" s="1017">
        <v>0</v>
      </c>
      <c r="AD999" s="1017">
        <v>0</v>
      </c>
      <c r="AE999" s="1013">
        <v>0</v>
      </c>
      <c r="AF999" s="1019"/>
      <c r="AG999" s="1019">
        <f t="shared" si="205"/>
        <v>9444925</v>
      </c>
      <c r="AH999" s="1014">
        <v>52</v>
      </c>
      <c r="AI999" s="1014">
        <v>0</v>
      </c>
      <c r="AJ999" s="1014">
        <v>6</v>
      </c>
      <c r="AK999" s="1018">
        <v>0</v>
      </c>
      <c r="AL999" s="1020">
        <v>0</v>
      </c>
      <c r="AM999" s="1013">
        <f t="shared" si="204"/>
        <v>3193214</v>
      </c>
      <c r="AN999" s="1045">
        <f t="shared" si="207"/>
        <v>12638139</v>
      </c>
      <c r="AO999" s="1013">
        <v>769755</v>
      </c>
      <c r="AP999" s="1013">
        <v>44100</v>
      </c>
      <c r="AQ999" s="1013">
        <v>0</v>
      </c>
      <c r="AR999" s="1013">
        <v>0</v>
      </c>
      <c r="AS999" s="1013">
        <v>0</v>
      </c>
      <c r="AT999" s="1045">
        <f t="shared" si="203"/>
        <v>11824284</v>
      </c>
      <c r="AU999" s="1004"/>
      <c r="AV999" s="870"/>
      <c r="AW999" s="782" t="s">
        <v>5203</v>
      </c>
      <c r="AX999" s="782" t="s">
        <v>5204</v>
      </c>
      <c r="AY999" s="1007" t="s">
        <v>221</v>
      </c>
      <c r="AZ999" s="1007">
        <v>622</v>
      </c>
      <c r="BA999" s="347" t="str">
        <f t="shared" si="206"/>
        <v>Bag</v>
      </c>
      <c r="BB999" s="1008"/>
      <c r="BC999" s="1009"/>
      <c r="BD999" s="1009"/>
    </row>
    <row r="1000" spans="1:56" s="1010" customFormat="1" ht="36.75" customHeight="1">
      <c r="A1000" s="661">
        <f>SUBTOTAL(3,B$6:B1000)</f>
        <v>995</v>
      </c>
      <c r="B1000" s="661" t="s">
        <v>2802</v>
      </c>
      <c r="C1000" s="662" t="s">
        <v>2803</v>
      </c>
      <c r="D1000" s="1011">
        <v>44705</v>
      </c>
      <c r="E1000" s="1011" t="s">
        <v>221</v>
      </c>
      <c r="F1000" s="787" t="s">
        <v>535</v>
      </c>
      <c r="G1000" s="996" t="s">
        <v>1341</v>
      </c>
      <c r="H1000" s="1012">
        <v>5815000</v>
      </c>
      <c r="I1000" s="1012">
        <v>800000</v>
      </c>
      <c r="J1000" s="1012">
        <v>0</v>
      </c>
      <c r="K1000" s="1012">
        <v>200000</v>
      </c>
      <c r="L1000" s="1013">
        <f t="shared" si="198"/>
        <v>6815000</v>
      </c>
      <c r="M1000" s="1014">
        <v>23</v>
      </c>
      <c r="N1000" s="1013">
        <f t="shared" si="199"/>
        <v>6028654</v>
      </c>
      <c r="O1000" s="1015">
        <v>3</v>
      </c>
      <c r="P1000" s="1013">
        <f t="shared" si="200"/>
        <v>786346</v>
      </c>
      <c r="Q1000" s="1016">
        <v>0</v>
      </c>
      <c r="R1000" s="1013">
        <f t="shared" si="201"/>
        <v>0</v>
      </c>
      <c r="S1000" s="1013">
        <f t="shared" si="202"/>
        <v>6815000</v>
      </c>
      <c r="T1000" s="1017">
        <v>0</v>
      </c>
      <c r="U1000" s="785">
        <v>0</v>
      </c>
      <c r="V1000" s="785">
        <v>200000</v>
      </c>
      <c r="W1000" s="1017">
        <v>500000</v>
      </c>
      <c r="X1000" s="1017">
        <v>0</v>
      </c>
      <c r="Y1000" s="1017">
        <v>400000</v>
      </c>
      <c r="Z1000" s="1017">
        <v>1064700</v>
      </c>
      <c r="AA1000" s="1018"/>
      <c r="AB1000" s="1013"/>
      <c r="AC1000" s="1017">
        <v>0</v>
      </c>
      <c r="AD1000" s="1017">
        <v>0</v>
      </c>
      <c r="AE1000" s="1013">
        <v>0</v>
      </c>
      <c r="AF1000" s="1019"/>
      <c r="AG1000" s="1019">
        <f t="shared" si="205"/>
        <v>8979700</v>
      </c>
      <c r="AH1000" s="1014">
        <v>64</v>
      </c>
      <c r="AI1000" s="1014">
        <v>0</v>
      </c>
      <c r="AJ1000" s="1014">
        <v>0</v>
      </c>
      <c r="AK1000" s="1018">
        <v>0</v>
      </c>
      <c r="AL1000" s="1020">
        <v>0</v>
      </c>
      <c r="AM1000" s="1013">
        <f t="shared" si="204"/>
        <v>3145385</v>
      </c>
      <c r="AN1000" s="1045">
        <f t="shared" si="207"/>
        <v>12125085</v>
      </c>
      <c r="AO1000" s="1013">
        <v>715575</v>
      </c>
      <c r="AP1000" s="1013">
        <v>44100</v>
      </c>
      <c r="AQ1000" s="1013">
        <v>0</v>
      </c>
      <c r="AR1000" s="1013">
        <v>0</v>
      </c>
      <c r="AS1000" s="1013">
        <v>0</v>
      </c>
      <c r="AT1000" s="1045">
        <f t="shared" si="203"/>
        <v>11365410</v>
      </c>
      <c r="AU1000" s="1004"/>
      <c r="AV1000" s="870"/>
      <c r="AW1000" s="782" t="s">
        <v>5205</v>
      </c>
      <c r="AX1000" s="782" t="s">
        <v>5206</v>
      </c>
      <c r="AY1000" s="1007" t="s">
        <v>221</v>
      </c>
      <c r="AZ1000" s="1007">
        <v>622</v>
      </c>
      <c r="BA1000" s="347" t="str">
        <f t="shared" si="206"/>
        <v>Bag</v>
      </c>
      <c r="BB1000" s="1008"/>
      <c r="BC1000" s="1009"/>
      <c r="BD1000" s="1009"/>
    </row>
    <row r="1001" spans="1:56" s="1010" customFormat="1" ht="36.75" customHeight="1">
      <c r="A1001" s="661">
        <f>SUBTOTAL(3,B$6:B1001)</f>
        <v>996</v>
      </c>
      <c r="B1001" s="661" t="s">
        <v>2804</v>
      </c>
      <c r="C1001" s="662" t="s">
        <v>2805</v>
      </c>
      <c r="D1001" s="1011">
        <v>45357</v>
      </c>
      <c r="E1001" s="1011" t="s">
        <v>221</v>
      </c>
      <c r="F1001" s="787" t="s">
        <v>535</v>
      </c>
      <c r="G1001" s="996" t="s">
        <v>1341</v>
      </c>
      <c r="H1001" s="1012">
        <v>5538000</v>
      </c>
      <c r="I1001" s="1012">
        <v>800000</v>
      </c>
      <c r="J1001" s="1012">
        <v>0</v>
      </c>
      <c r="K1001" s="1012">
        <v>0</v>
      </c>
      <c r="L1001" s="1013">
        <f t="shared" ref="L1001:L1063" si="208">SUM(H1001:K1001)</f>
        <v>6338000</v>
      </c>
      <c r="M1001" s="1014">
        <v>24</v>
      </c>
      <c r="N1001" s="1013">
        <f t="shared" si="199"/>
        <v>5850462</v>
      </c>
      <c r="O1001" s="1015">
        <v>2</v>
      </c>
      <c r="P1001" s="1013">
        <f t="shared" si="200"/>
        <v>487538</v>
      </c>
      <c r="Q1001" s="1016">
        <v>39</v>
      </c>
      <c r="R1001" s="1013">
        <f t="shared" si="201"/>
        <v>356513</v>
      </c>
      <c r="S1001" s="1013">
        <f t="shared" si="202"/>
        <v>6694513</v>
      </c>
      <c r="T1001" s="1017">
        <v>0</v>
      </c>
      <c r="U1001" s="785">
        <v>180000</v>
      </c>
      <c r="V1001" s="785">
        <v>200000</v>
      </c>
      <c r="W1001" s="1017">
        <v>500000</v>
      </c>
      <c r="X1001" s="1017">
        <v>0</v>
      </c>
      <c r="Y1001" s="1017">
        <v>400000</v>
      </c>
      <c r="Z1001" s="1017">
        <v>426063</v>
      </c>
      <c r="AA1001" s="1018"/>
      <c r="AB1001" s="1013"/>
      <c r="AC1001" s="1017">
        <v>0</v>
      </c>
      <c r="AD1001" s="1017">
        <v>0</v>
      </c>
      <c r="AE1001" s="1013">
        <v>0</v>
      </c>
      <c r="AF1001" s="1019"/>
      <c r="AG1001" s="1019">
        <f t="shared" si="205"/>
        <v>8400576</v>
      </c>
      <c r="AH1001" s="1014">
        <v>40</v>
      </c>
      <c r="AI1001" s="1014">
        <v>0</v>
      </c>
      <c r="AJ1001" s="1014">
        <v>0</v>
      </c>
      <c r="AK1001" s="1018">
        <v>0</v>
      </c>
      <c r="AL1001" s="1020">
        <v>0</v>
      </c>
      <c r="AM1001" s="1013">
        <f t="shared" si="204"/>
        <v>1828269</v>
      </c>
      <c r="AN1001" s="1045">
        <f t="shared" si="207"/>
        <v>10228845</v>
      </c>
      <c r="AO1001" s="1013">
        <v>665490</v>
      </c>
      <c r="AP1001" s="1013">
        <v>44100</v>
      </c>
      <c r="AQ1001" s="1013">
        <v>0</v>
      </c>
      <c r="AR1001" s="1013">
        <v>0</v>
      </c>
      <c r="AS1001" s="1013">
        <v>0</v>
      </c>
      <c r="AT1001" s="1045">
        <f t="shared" si="203"/>
        <v>9519255</v>
      </c>
      <c r="AU1001" s="1004"/>
      <c r="AV1001" s="870"/>
      <c r="AW1001" s="782" t="s">
        <v>5207</v>
      </c>
      <c r="AX1001" s="782" t="s">
        <v>5208</v>
      </c>
      <c r="AY1001" s="1007" t="s">
        <v>221</v>
      </c>
      <c r="AZ1001" s="1007">
        <v>622</v>
      </c>
      <c r="BA1001" s="347" t="str">
        <f t="shared" si="206"/>
        <v>Bag</v>
      </c>
      <c r="BB1001" s="1008"/>
      <c r="BC1001" s="1009"/>
      <c r="BD1001" s="1009"/>
    </row>
    <row r="1002" spans="1:56" s="1010" customFormat="1" ht="36.75" customHeight="1">
      <c r="A1002" s="661">
        <f>SUBTOTAL(3,B$6:B1002)</f>
        <v>997</v>
      </c>
      <c r="B1002" s="661" t="s">
        <v>2806</v>
      </c>
      <c r="C1002" s="662" t="s">
        <v>2807</v>
      </c>
      <c r="D1002" s="1011">
        <v>45364</v>
      </c>
      <c r="E1002" s="1011" t="s">
        <v>221</v>
      </c>
      <c r="F1002" s="787" t="s">
        <v>535</v>
      </c>
      <c r="G1002" s="996" t="s">
        <v>899</v>
      </c>
      <c r="H1002" s="1012">
        <v>5538000</v>
      </c>
      <c r="I1002" s="1012">
        <v>600000</v>
      </c>
      <c r="J1002" s="1012">
        <v>0</v>
      </c>
      <c r="K1002" s="1012">
        <v>0</v>
      </c>
      <c r="L1002" s="1013">
        <f t="shared" si="208"/>
        <v>6138000</v>
      </c>
      <c r="M1002" s="1014">
        <v>23.8</v>
      </c>
      <c r="N1002" s="1013">
        <f t="shared" ref="N1002:N1063" si="209">ROUND((H1002+I1002+J1002+K1002)/IF($M$2&gt;26,26,$M$2)*M1002,0)</f>
        <v>5618631</v>
      </c>
      <c r="O1002" s="1015">
        <v>2</v>
      </c>
      <c r="P1002" s="1013">
        <f t="shared" ref="P1002:P1063" si="210">ROUND((H1002+I1002+J1002+K1002)/IF($M$2&gt;26,26,$M$2)*O1002,0)</f>
        <v>472154</v>
      </c>
      <c r="Q1002" s="1016">
        <v>65</v>
      </c>
      <c r="R1002" s="1013">
        <f t="shared" ref="R1002:R1063" si="211">IF(M1002&gt;0,ROUND(N1002/IF(M1002&gt;26,26,M1002)/8*Q1002*30%,0),0)</f>
        <v>575438</v>
      </c>
      <c r="S1002" s="1013">
        <f t="shared" ref="S1002:S1063" si="212">N1002+P1002+R1002</f>
        <v>6666223</v>
      </c>
      <c r="T1002" s="1017">
        <v>0</v>
      </c>
      <c r="U1002" s="785">
        <v>300000</v>
      </c>
      <c r="V1002" s="785">
        <v>200000</v>
      </c>
      <c r="W1002" s="1017">
        <v>500000</v>
      </c>
      <c r="X1002" s="1017">
        <v>0</v>
      </c>
      <c r="Y1002" s="1017">
        <v>400000</v>
      </c>
      <c r="Z1002" s="1017">
        <v>439692</v>
      </c>
      <c r="AA1002" s="1018"/>
      <c r="AB1002" s="1013"/>
      <c r="AC1002" s="1017">
        <v>0</v>
      </c>
      <c r="AD1002" s="1017">
        <v>0</v>
      </c>
      <c r="AE1002" s="1013">
        <v>0</v>
      </c>
      <c r="AF1002" s="1019"/>
      <c r="AG1002" s="1019">
        <f t="shared" si="205"/>
        <v>8505915</v>
      </c>
      <c r="AH1002" s="1014">
        <v>28</v>
      </c>
      <c r="AI1002" s="1014">
        <v>0</v>
      </c>
      <c r="AJ1002" s="1014">
        <v>6</v>
      </c>
      <c r="AK1002" s="1018">
        <v>0</v>
      </c>
      <c r="AL1002" s="1020">
        <v>0</v>
      </c>
      <c r="AM1002" s="1013">
        <f t="shared" si="204"/>
        <v>1611225</v>
      </c>
      <c r="AN1002" s="1045">
        <f t="shared" si="207"/>
        <v>10117140</v>
      </c>
      <c r="AO1002" s="1013">
        <v>644490</v>
      </c>
      <c r="AP1002" s="1013">
        <v>44100</v>
      </c>
      <c r="AQ1002" s="1013">
        <v>0</v>
      </c>
      <c r="AR1002" s="1013">
        <v>0</v>
      </c>
      <c r="AS1002" s="1013">
        <v>0</v>
      </c>
      <c r="AT1002" s="1045">
        <f t="shared" si="203"/>
        <v>9428550</v>
      </c>
      <c r="AU1002" s="1004"/>
      <c r="AV1002" s="870"/>
      <c r="AW1002" s="782" t="s">
        <v>5209</v>
      </c>
      <c r="AX1002" s="782" t="s">
        <v>5210</v>
      </c>
      <c r="AY1002" s="1007" t="s">
        <v>221</v>
      </c>
      <c r="AZ1002" s="1007">
        <v>622</v>
      </c>
      <c r="BA1002" s="347" t="str">
        <f t="shared" si="206"/>
        <v>Bag</v>
      </c>
      <c r="BB1002" s="1008"/>
      <c r="BC1002" s="1009"/>
      <c r="BD1002" s="1009"/>
    </row>
    <row r="1003" spans="1:56" s="1010" customFormat="1" ht="36.75" customHeight="1">
      <c r="A1003" s="661">
        <f>SUBTOTAL(3,B$6:B1003)</f>
        <v>998</v>
      </c>
      <c r="B1003" s="661" t="s">
        <v>1985</v>
      </c>
      <c r="C1003" s="662" t="s">
        <v>1986</v>
      </c>
      <c r="D1003" s="1011">
        <v>45745</v>
      </c>
      <c r="E1003" s="1011" t="s">
        <v>221</v>
      </c>
      <c r="F1003" s="787" t="s">
        <v>535</v>
      </c>
      <c r="G1003" s="996" t="s">
        <v>899</v>
      </c>
      <c r="H1003" s="1012">
        <v>4694000</v>
      </c>
      <c r="I1003" s="1012">
        <v>0</v>
      </c>
      <c r="J1003" s="1012">
        <v>0</v>
      </c>
      <c r="K1003" s="1012">
        <v>0</v>
      </c>
      <c r="L1003" s="1013">
        <f t="shared" si="208"/>
        <v>4694000</v>
      </c>
      <c r="M1003" s="1014">
        <v>23.1</v>
      </c>
      <c r="N1003" s="1013">
        <f t="shared" si="209"/>
        <v>4170438</v>
      </c>
      <c r="O1003" s="1015">
        <v>2</v>
      </c>
      <c r="P1003" s="1013">
        <f t="shared" si="210"/>
        <v>361077</v>
      </c>
      <c r="Q1003" s="1016">
        <v>0</v>
      </c>
      <c r="R1003" s="1013">
        <f t="shared" si="211"/>
        <v>0</v>
      </c>
      <c r="S1003" s="1013">
        <f t="shared" si="212"/>
        <v>4531515</v>
      </c>
      <c r="T1003" s="1017">
        <v>0</v>
      </c>
      <c r="U1003" s="785">
        <v>0</v>
      </c>
      <c r="V1003" s="785">
        <v>200000</v>
      </c>
      <c r="W1003" s="1017">
        <v>0</v>
      </c>
      <c r="X1003" s="1017">
        <v>0</v>
      </c>
      <c r="Y1003" s="1017">
        <v>400000</v>
      </c>
      <c r="Z1003" s="1017">
        <v>410718</v>
      </c>
      <c r="AA1003" s="1018"/>
      <c r="AB1003" s="1013"/>
      <c r="AC1003" s="1017">
        <v>0</v>
      </c>
      <c r="AD1003" s="1017">
        <v>78160</v>
      </c>
      <c r="AE1003" s="1013">
        <v>0</v>
      </c>
      <c r="AF1003" s="1019"/>
      <c r="AG1003" s="1019">
        <f t="shared" si="205"/>
        <v>5620393</v>
      </c>
      <c r="AH1003" s="1014">
        <v>49</v>
      </c>
      <c r="AI1003" s="1014">
        <v>0</v>
      </c>
      <c r="AJ1003" s="1014">
        <v>0</v>
      </c>
      <c r="AK1003" s="1018">
        <v>0</v>
      </c>
      <c r="AL1003" s="1020">
        <v>0</v>
      </c>
      <c r="AM1003" s="1013">
        <f t="shared" si="204"/>
        <v>1658697</v>
      </c>
      <c r="AN1003" s="1045">
        <f t="shared" si="207"/>
        <v>7279090</v>
      </c>
      <c r="AO1003" s="1013">
        <v>0</v>
      </c>
      <c r="AP1003" s="1013">
        <v>0</v>
      </c>
      <c r="AQ1003" s="1013">
        <v>0</v>
      </c>
      <c r="AR1003" s="1013">
        <v>0</v>
      </c>
      <c r="AS1003" s="1013">
        <v>0</v>
      </c>
      <c r="AT1003" s="1045">
        <f t="shared" si="203"/>
        <v>7279090</v>
      </c>
      <c r="AU1003" s="1004"/>
      <c r="AV1003" s="870"/>
      <c r="AW1003" s="782" t="s">
        <v>4464</v>
      </c>
      <c r="AX1003" s="782" t="s">
        <v>4465</v>
      </c>
      <c r="AY1003" s="1007" t="s">
        <v>221</v>
      </c>
      <c r="AZ1003" s="1007">
        <v>622</v>
      </c>
      <c r="BA1003" s="347" t="str">
        <f t="shared" si="206"/>
        <v>Bag</v>
      </c>
      <c r="BB1003" s="1008"/>
      <c r="BC1003" s="1009"/>
      <c r="BD1003" s="1009"/>
    </row>
    <row r="1004" spans="1:56" s="1010" customFormat="1" ht="36.75" customHeight="1">
      <c r="A1004" s="661">
        <f>SUBTOTAL(3,B$6:B1004)</f>
        <v>999</v>
      </c>
      <c r="B1004" s="661" t="s">
        <v>5787</v>
      </c>
      <c r="C1004" s="662" t="s">
        <v>5788</v>
      </c>
      <c r="D1004" s="1011">
        <v>45765</v>
      </c>
      <c r="E1004" s="1011" t="s">
        <v>221</v>
      </c>
      <c r="F1004" s="787" t="s">
        <v>535</v>
      </c>
      <c r="G1004" s="996" t="s">
        <v>554</v>
      </c>
      <c r="H1004" s="1012">
        <v>4694000</v>
      </c>
      <c r="I1004" s="1012">
        <v>0</v>
      </c>
      <c r="J1004" s="1012">
        <v>0</v>
      </c>
      <c r="K1004" s="1012">
        <v>0</v>
      </c>
      <c r="L1004" s="1013">
        <f t="shared" si="208"/>
        <v>4694000</v>
      </c>
      <c r="M1004" s="1014">
        <v>10</v>
      </c>
      <c r="N1004" s="1013">
        <f t="shared" si="209"/>
        <v>1805385</v>
      </c>
      <c r="O1004" s="1015">
        <v>1</v>
      </c>
      <c r="P1004" s="1013">
        <f t="shared" si="210"/>
        <v>180538</v>
      </c>
      <c r="Q1004" s="1016">
        <v>0</v>
      </c>
      <c r="R1004" s="1013">
        <f t="shared" si="211"/>
        <v>0</v>
      </c>
      <c r="S1004" s="1013">
        <f t="shared" si="212"/>
        <v>1985923</v>
      </c>
      <c r="T1004" s="1017">
        <v>0</v>
      </c>
      <c r="U1004" s="785">
        <v>0</v>
      </c>
      <c r="V1004" s="785">
        <v>85000</v>
      </c>
      <c r="W1004" s="1017">
        <v>212000</v>
      </c>
      <c r="X1004" s="1017">
        <v>0</v>
      </c>
      <c r="Y1004" s="1017">
        <v>63000</v>
      </c>
      <c r="Z1004" s="1017">
        <v>0</v>
      </c>
      <c r="AA1004" s="1018"/>
      <c r="AB1004" s="1013"/>
      <c r="AC1004" s="1017">
        <v>0</v>
      </c>
      <c r="AD1004" s="1017">
        <v>0</v>
      </c>
      <c r="AE1004" s="1013">
        <v>0</v>
      </c>
      <c r="AF1004" s="1019"/>
      <c r="AG1004" s="1019">
        <f t="shared" si="205"/>
        <v>2345923</v>
      </c>
      <c r="AH1004" s="1014">
        <v>24</v>
      </c>
      <c r="AI1004" s="1014">
        <v>0</v>
      </c>
      <c r="AJ1004" s="1014">
        <v>0</v>
      </c>
      <c r="AK1004" s="1018">
        <v>0</v>
      </c>
      <c r="AL1004" s="1020">
        <v>0</v>
      </c>
      <c r="AM1004" s="1013">
        <f t="shared" si="204"/>
        <v>812423</v>
      </c>
      <c r="AN1004" s="1045">
        <f t="shared" si="207"/>
        <v>3158346</v>
      </c>
      <c r="AO1004" s="1013">
        <v>0</v>
      </c>
      <c r="AP1004" s="1013">
        <v>0</v>
      </c>
      <c r="AQ1004" s="1013">
        <v>0</v>
      </c>
      <c r="AR1004" s="1013">
        <v>0</v>
      </c>
      <c r="AS1004" s="1013">
        <v>0</v>
      </c>
      <c r="AT1004" s="1045">
        <f t="shared" si="203"/>
        <v>3158346</v>
      </c>
      <c r="AU1004" s="1004"/>
      <c r="AV1004" s="870"/>
      <c r="AW1004" s="782" t="s">
        <v>5884</v>
      </c>
      <c r="AX1004" s="782" t="s">
        <v>5885</v>
      </c>
      <c r="AY1004" s="1007" t="s">
        <v>221</v>
      </c>
      <c r="AZ1004" s="1007">
        <v>622</v>
      </c>
      <c r="BA1004" s="347" t="str">
        <f t="shared" si="206"/>
        <v>Bag</v>
      </c>
      <c r="BB1004" s="1008"/>
      <c r="BC1004" s="1009"/>
      <c r="BD1004" s="1009"/>
    </row>
    <row r="1005" spans="1:56" s="1010" customFormat="1" ht="36.75" customHeight="1">
      <c r="A1005" s="661">
        <f>SUBTOTAL(3,B$6:B1005)</f>
        <v>1000</v>
      </c>
      <c r="B1005" s="661" t="s">
        <v>5789</v>
      </c>
      <c r="C1005" s="662" t="s">
        <v>5790</v>
      </c>
      <c r="D1005" s="1011">
        <v>45769</v>
      </c>
      <c r="E1005" s="1011" t="s">
        <v>221</v>
      </c>
      <c r="F1005" s="787" t="s">
        <v>535</v>
      </c>
      <c r="G1005" s="996" t="s">
        <v>554</v>
      </c>
      <c r="H1005" s="1012">
        <v>4694000</v>
      </c>
      <c r="I1005" s="1012">
        <v>0</v>
      </c>
      <c r="J1005" s="1012">
        <v>0</v>
      </c>
      <c r="K1005" s="1012">
        <v>0</v>
      </c>
      <c r="L1005" s="1013">
        <f t="shared" si="208"/>
        <v>4694000</v>
      </c>
      <c r="M1005" s="1014">
        <v>5</v>
      </c>
      <c r="N1005" s="1013">
        <f t="shared" si="209"/>
        <v>902692</v>
      </c>
      <c r="O1005" s="1015">
        <v>1</v>
      </c>
      <c r="P1005" s="1013">
        <f t="shared" si="210"/>
        <v>180538</v>
      </c>
      <c r="Q1005" s="1016">
        <v>0</v>
      </c>
      <c r="R1005" s="1013">
        <f t="shared" si="211"/>
        <v>0</v>
      </c>
      <c r="S1005" s="1013">
        <f t="shared" si="212"/>
        <v>1083230</v>
      </c>
      <c r="T1005" s="1017">
        <v>0</v>
      </c>
      <c r="U1005" s="785">
        <v>0</v>
      </c>
      <c r="V1005" s="785">
        <v>46000</v>
      </c>
      <c r="W1005" s="1017">
        <v>115000</v>
      </c>
      <c r="X1005" s="1017">
        <v>0</v>
      </c>
      <c r="Y1005" s="1017">
        <v>35000</v>
      </c>
      <c r="Z1005" s="1017">
        <v>0</v>
      </c>
      <c r="AA1005" s="1018"/>
      <c r="AB1005" s="1013"/>
      <c r="AC1005" s="1017">
        <v>0</v>
      </c>
      <c r="AD1005" s="1017">
        <v>0</v>
      </c>
      <c r="AE1005" s="1013">
        <v>0</v>
      </c>
      <c r="AF1005" s="1019"/>
      <c r="AG1005" s="1019">
        <f t="shared" si="205"/>
        <v>1279230</v>
      </c>
      <c r="AH1005" s="1014">
        <v>12</v>
      </c>
      <c r="AI1005" s="1014">
        <v>0</v>
      </c>
      <c r="AJ1005" s="1014">
        <v>0</v>
      </c>
      <c r="AK1005" s="1018">
        <v>0</v>
      </c>
      <c r="AL1005" s="1020">
        <v>0</v>
      </c>
      <c r="AM1005" s="1013">
        <f t="shared" si="204"/>
        <v>406211</v>
      </c>
      <c r="AN1005" s="1045">
        <f t="shared" si="207"/>
        <v>1685441</v>
      </c>
      <c r="AO1005" s="1013">
        <v>0</v>
      </c>
      <c r="AP1005" s="1013">
        <v>0</v>
      </c>
      <c r="AQ1005" s="1013">
        <v>0</v>
      </c>
      <c r="AR1005" s="1013">
        <v>0</v>
      </c>
      <c r="AS1005" s="1013">
        <v>0</v>
      </c>
      <c r="AT1005" s="1045">
        <f t="shared" ref="AT1005:AT1068" si="213">+ROUND(SUM(AN1005:AN1005)-SUM(AO1005:AS1005),0)</f>
        <v>1685441</v>
      </c>
      <c r="AU1005" s="1004"/>
      <c r="AV1005" s="870"/>
      <c r="AW1005" s="782"/>
      <c r="AX1005" s="782" t="s">
        <v>3644</v>
      </c>
      <c r="AY1005" s="1007" t="s">
        <v>221</v>
      </c>
      <c r="AZ1005" s="1007">
        <v>622</v>
      </c>
      <c r="BA1005" s="347" t="str">
        <f t="shared" si="206"/>
        <v>Bag</v>
      </c>
      <c r="BB1005" s="1008"/>
      <c r="BC1005" s="1009"/>
      <c r="BD1005" s="1009"/>
    </row>
    <row r="1006" spans="1:56" s="1010" customFormat="1" ht="36.75" customHeight="1">
      <c r="A1006" s="661">
        <f>SUBTOTAL(3,B$6:B1006)</f>
        <v>1001</v>
      </c>
      <c r="B1006" s="661" t="s">
        <v>2808</v>
      </c>
      <c r="C1006" s="662" t="s">
        <v>2809</v>
      </c>
      <c r="D1006" s="1011">
        <v>40945</v>
      </c>
      <c r="E1006" s="1011" t="s">
        <v>221</v>
      </c>
      <c r="F1006" s="787" t="s">
        <v>535</v>
      </c>
      <c r="G1006" s="996" t="s">
        <v>875</v>
      </c>
      <c r="H1006" s="1012">
        <v>5931000</v>
      </c>
      <c r="I1006" s="1012">
        <v>4100000</v>
      </c>
      <c r="J1006" s="1012">
        <v>0</v>
      </c>
      <c r="K1006" s="1012">
        <v>200000</v>
      </c>
      <c r="L1006" s="1013">
        <f t="shared" si="208"/>
        <v>10231000</v>
      </c>
      <c r="M1006" s="1014">
        <v>24</v>
      </c>
      <c r="N1006" s="1013">
        <f t="shared" si="209"/>
        <v>9444000</v>
      </c>
      <c r="O1006" s="1015">
        <v>2</v>
      </c>
      <c r="P1006" s="1013">
        <f t="shared" si="210"/>
        <v>787000</v>
      </c>
      <c r="Q1006" s="1016">
        <v>0</v>
      </c>
      <c r="R1006" s="1013">
        <f t="shared" si="211"/>
        <v>0</v>
      </c>
      <c r="S1006" s="1013">
        <f t="shared" si="212"/>
        <v>10231000</v>
      </c>
      <c r="T1006" s="1017">
        <v>0</v>
      </c>
      <c r="U1006" s="785">
        <v>0</v>
      </c>
      <c r="V1006" s="785">
        <v>200000</v>
      </c>
      <c r="W1006" s="1017">
        <v>500000</v>
      </c>
      <c r="X1006" s="1017">
        <v>0</v>
      </c>
      <c r="Y1006" s="1017">
        <v>400000</v>
      </c>
      <c r="Z1006" s="1017">
        <v>973773</v>
      </c>
      <c r="AA1006" s="1018"/>
      <c r="AB1006" s="1013"/>
      <c r="AC1006" s="1017">
        <v>100000</v>
      </c>
      <c r="AD1006" s="1017">
        <v>0</v>
      </c>
      <c r="AE1006" s="1013">
        <v>0</v>
      </c>
      <c r="AF1006" s="1019"/>
      <c r="AG1006" s="1019">
        <f t="shared" si="205"/>
        <v>12404773</v>
      </c>
      <c r="AH1006" s="1014">
        <v>64</v>
      </c>
      <c r="AI1006" s="1014">
        <v>0</v>
      </c>
      <c r="AJ1006" s="1014">
        <v>0</v>
      </c>
      <c r="AK1006" s="1018">
        <v>0</v>
      </c>
      <c r="AL1006" s="1020">
        <v>0</v>
      </c>
      <c r="AM1006" s="1013">
        <f t="shared" si="204"/>
        <v>4722000</v>
      </c>
      <c r="AN1006" s="1045">
        <f t="shared" si="207"/>
        <v>17126773</v>
      </c>
      <c r="AO1006" s="1013">
        <v>1074255</v>
      </c>
      <c r="AP1006" s="1013">
        <v>44100</v>
      </c>
      <c r="AQ1006" s="1013">
        <v>0</v>
      </c>
      <c r="AR1006" s="1013">
        <v>0</v>
      </c>
      <c r="AS1006" s="1013">
        <v>0</v>
      </c>
      <c r="AT1006" s="1045">
        <f t="shared" si="213"/>
        <v>16008418</v>
      </c>
      <c r="AU1006" s="1004"/>
      <c r="AV1006" s="870"/>
      <c r="AW1006" s="782" t="s">
        <v>5211</v>
      </c>
      <c r="AX1006" s="782" t="s">
        <v>5212</v>
      </c>
      <c r="AY1006" s="1007" t="s">
        <v>221</v>
      </c>
      <c r="AZ1006" s="1007">
        <v>622</v>
      </c>
      <c r="BA1006" s="347" t="str">
        <f t="shared" si="206"/>
        <v>Bag</v>
      </c>
      <c r="BB1006" s="1008"/>
      <c r="BC1006" s="1009"/>
      <c r="BD1006" s="1009"/>
    </row>
    <row r="1007" spans="1:56" s="1010" customFormat="1" ht="36.75" customHeight="1">
      <c r="A1007" s="661">
        <f>SUBTOTAL(3,B$6:B1007)</f>
        <v>1002</v>
      </c>
      <c r="B1007" s="661" t="s">
        <v>2810</v>
      </c>
      <c r="C1007" s="662" t="s">
        <v>2811</v>
      </c>
      <c r="D1007" s="1011">
        <v>43160</v>
      </c>
      <c r="E1007" s="1011" t="s">
        <v>221</v>
      </c>
      <c r="F1007" s="787" t="s">
        <v>535</v>
      </c>
      <c r="G1007" s="996" t="s">
        <v>885</v>
      </c>
      <c r="H1007" s="1012">
        <v>5931000</v>
      </c>
      <c r="I1007" s="1012">
        <v>2500000</v>
      </c>
      <c r="J1007" s="1012">
        <v>0</v>
      </c>
      <c r="K1007" s="1012">
        <v>0</v>
      </c>
      <c r="L1007" s="1013">
        <f t="shared" si="208"/>
        <v>8431000</v>
      </c>
      <c r="M1007" s="1014">
        <v>23</v>
      </c>
      <c r="N1007" s="1013">
        <f t="shared" si="209"/>
        <v>7458192</v>
      </c>
      <c r="O1007" s="1015">
        <v>3</v>
      </c>
      <c r="P1007" s="1013">
        <f t="shared" si="210"/>
        <v>972808</v>
      </c>
      <c r="Q1007" s="1016">
        <v>0</v>
      </c>
      <c r="R1007" s="1013">
        <f t="shared" si="211"/>
        <v>0</v>
      </c>
      <c r="S1007" s="1013">
        <f t="shared" si="212"/>
        <v>8431000</v>
      </c>
      <c r="T1007" s="1017">
        <v>0</v>
      </c>
      <c r="U1007" s="785">
        <v>0</v>
      </c>
      <c r="V1007" s="785">
        <v>200000</v>
      </c>
      <c r="W1007" s="1017">
        <v>500000</v>
      </c>
      <c r="X1007" s="1017">
        <v>0</v>
      </c>
      <c r="Y1007" s="1017">
        <v>400000</v>
      </c>
      <c r="Z1007" s="1017">
        <v>392740</v>
      </c>
      <c r="AA1007" s="1018"/>
      <c r="AB1007" s="1013"/>
      <c r="AC1007" s="1017">
        <v>0</v>
      </c>
      <c r="AD1007" s="1017">
        <v>0</v>
      </c>
      <c r="AE1007" s="1013">
        <v>0</v>
      </c>
      <c r="AF1007" s="1019"/>
      <c r="AG1007" s="1019">
        <f t="shared" si="205"/>
        <v>9923740</v>
      </c>
      <c r="AH1007" s="1014">
        <v>64</v>
      </c>
      <c r="AI1007" s="1014">
        <v>0</v>
      </c>
      <c r="AJ1007" s="1014">
        <v>0</v>
      </c>
      <c r="AK1007" s="1018">
        <v>0</v>
      </c>
      <c r="AL1007" s="1020">
        <v>0</v>
      </c>
      <c r="AM1007" s="1013">
        <f t="shared" si="204"/>
        <v>3891231</v>
      </c>
      <c r="AN1007" s="1045">
        <f t="shared" si="207"/>
        <v>13814971</v>
      </c>
      <c r="AO1007" s="1013">
        <v>885255</v>
      </c>
      <c r="AP1007" s="1013">
        <v>44100</v>
      </c>
      <c r="AQ1007" s="1013">
        <v>36632</v>
      </c>
      <c r="AR1007" s="1013">
        <v>0</v>
      </c>
      <c r="AS1007" s="1013">
        <v>0</v>
      </c>
      <c r="AT1007" s="1045">
        <f t="shared" si="213"/>
        <v>12848984</v>
      </c>
      <c r="AU1007" s="1004"/>
      <c r="AV1007" s="870"/>
      <c r="AW1007" s="782" t="s">
        <v>5213</v>
      </c>
      <c r="AX1007" s="782" t="s">
        <v>5214</v>
      </c>
      <c r="AY1007" s="1007" t="s">
        <v>221</v>
      </c>
      <c r="AZ1007" s="1007">
        <v>622</v>
      </c>
      <c r="BA1007" s="347" t="str">
        <f t="shared" si="206"/>
        <v>Bag</v>
      </c>
      <c r="BB1007" s="1008"/>
      <c r="BC1007" s="1009"/>
      <c r="BD1007" s="1009"/>
    </row>
    <row r="1008" spans="1:56" s="1010" customFormat="1" ht="36.75" customHeight="1">
      <c r="A1008" s="661">
        <f>SUBTOTAL(3,B$6:B1008)</f>
        <v>1003</v>
      </c>
      <c r="B1008" s="661" t="s">
        <v>2812</v>
      </c>
      <c r="C1008" s="662" t="s">
        <v>2813</v>
      </c>
      <c r="D1008" s="1011">
        <v>43315</v>
      </c>
      <c r="E1008" s="1011" t="s">
        <v>221</v>
      </c>
      <c r="F1008" s="787" t="s">
        <v>535</v>
      </c>
      <c r="G1008" s="996" t="s">
        <v>885</v>
      </c>
      <c r="H1008" s="1012">
        <v>5931000</v>
      </c>
      <c r="I1008" s="1012">
        <v>2500000</v>
      </c>
      <c r="J1008" s="1012">
        <v>0</v>
      </c>
      <c r="K1008" s="1012">
        <v>0</v>
      </c>
      <c r="L1008" s="1013">
        <f t="shared" si="208"/>
        <v>8431000</v>
      </c>
      <c r="M1008" s="1014">
        <v>23.9</v>
      </c>
      <c r="N1008" s="1013">
        <f t="shared" si="209"/>
        <v>7750035</v>
      </c>
      <c r="O1008" s="1015">
        <v>2</v>
      </c>
      <c r="P1008" s="1013">
        <f t="shared" si="210"/>
        <v>648538</v>
      </c>
      <c r="Q1008" s="1016">
        <v>0</v>
      </c>
      <c r="R1008" s="1013">
        <f t="shared" si="211"/>
        <v>0</v>
      </c>
      <c r="S1008" s="1013">
        <f t="shared" si="212"/>
        <v>8398573</v>
      </c>
      <c r="T1008" s="1017">
        <v>0</v>
      </c>
      <c r="U1008" s="785">
        <v>0</v>
      </c>
      <c r="V1008" s="785">
        <v>200000</v>
      </c>
      <c r="W1008" s="1017">
        <v>500000</v>
      </c>
      <c r="X1008" s="1017">
        <v>0</v>
      </c>
      <c r="Y1008" s="1017">
        <v>400000</v>
      </c>
      <c r="Z1008" s="1017">
        <v>394667</v>
      </c>
      <c r="AA1008" s="1018"/>
      <c r="AB1008" s="1013"/>
      <c r="AC1008" s="1017">
        <v>0</v>
      </c>
      <c r="AD1008" s="1017">
        <v>0</v>
      </c>
      <c r="AE1008" s="1013">
        <v>0</v>
      </c>
      <c r="AF1008" s="1019"/>
      <c r="AG1008" s="1019">
        <f t="shared" si="205"/>
        <v>9893240</v>
      </c>
      <c r="AH1008" s="1014">
        <v>64</v>
      </c>
      <c r="AI1008" s="1014">
        <v>0</v>
      </c>
      <c r="AJ1008" s="1014">
        <v>0</v>
      </c>
      <c r="AK1008" s="1018">
        <v>0</v>
      </c>
      <c r="AL1008" s="1020">
        <v>0</v>
      </c>
      <c r="AM1008" s="1013">
        <f t="shared" si="204"/>
        <v>3891231</v>
      </c>
      <c r="AN1008" s="1045">
        <f t="shared" si="207"/>
        <v>13784471</v>
      </c>
      <c r="AO1008" s="1013">
        <v>885255</v>
      </c>
      <c r="AP1008" s="1013">
        <v>44100</v>
      </c>
      <c r="AQ1008" s="1013">
        <v>35107</v>
      </c>
      <c r="AR1008" s="1013">
        <v>0</v>
      </c>
      <c r="AS1008" s="1013">
        <v>0</v>
      </c>
      <c r="AT1008" s="1045">
        <f t="shared" si="213"/>
        <v>12820009</v>
      </c>
      <c r="AU1008" s="1004"/>
      <c r="AV1008" s="870"/>
      <c r="AW1008" s="782" t="s">
        <v>5215</v>
      </c>
      <c r="AX1008" s="782" t="s">
        <v>5216</v>
      </c>
      <c r="AY1008" s="1007" t="s">
        <v>221</v>
      </c>
      <c r="AZ1008" s="1007">
        <v>622</v>
      </c>
      <c r="BA1008" s="347" t="str">
        <f t="shared" si="206"/>
        <v>Bag</v>
      </c>
      <c r="BB1008" s="1008"/>
      <c r="BC1008" s="1009"/>
      <c r="BD1008" s="1009"/>
    </row>
    <row r="1009" spans="1:56" s="1010" customFormat="1" ht="36.75" customHeight="1">
      <c r="A1009" s="661">
        <f>SUBTOTAL(3,B$6:B1009)</f>
        <v>1004</v>
      </c>
      <c r="B1009" s="661" t="s">
        <v>2814</v>
      </c>
      <c r="C1009" s="662" t="s">
        <v>2815</v>
      </c>
      <c r="D1009" s="1011">
        <v>43511</v>
      </c>
      <c r="E1009" s="1011" t="s">
        <v>221</v>
      </c>
      <c r="F1009" s="787" t="s">
        <v>535</v>
      </c>
      <c r="G1009" s="996" t="s">
        <v>885</v>
      </c>
      <c r="H1009" s="1012">
        <v>5931000</v>
      </c>
      <c r="I1009" s="1012">
        <v>2500000</v>
      </c>
      <c r="J1009" s="1012">
        <v>0</v>
      </c>
      <c r="K1009" s="1012">
        <v>0</v>
      </c>
      <c r="L1009" s="1013">
        <f t="shared" si="208"/>
        <v>8431000</v>
      </c>
      <c r="M1009" s="1014">
        <v>21.8</v>
      </c>
      <c r="N1009" s="1013">
        <f t="shared" si="209"/>
        <v>7069069</v>
      </c>
      <c r="O1009" s="1015">
        <v>4</v>
      </c>
      <c r="P1009" s="1013">
        <f t="shared" si="210"/>
        <v>1297077</v>
      </c>
      <c r="Q1009" s="1016">
        <v>0</v>
      </c>
      <c r="R1009" s="1013">
        <f t="shared" si="211"/>
        <v>0</v>
      </c>
      <c r="S1009" s="1013">
        <f t="shared" si="212"/>
        <v>8366146</v>
      </c>
      <c r="T1009" s="1017">
        <v>0</v>
      </c>
      <c r="U1009" s="785">
        <v>0</v>
      </c>
      <c r="V1009" s="785">
        <v>200000</v>
      </c>
      <c r="W1009" s="1017">
        <v>500000</v>
      </c>
      <c r="X1009" s="1017">
        <v>0</v>
      </c>
      <c r="Y1009" s="1017">
        <v>400000</v>
      </c>
      <c r="Z1009" s="1017">
        <v>421536</v>
      </c>
      <c r="AA1009" s="1018"/>
      <c r="AB1009" s="1013"/>
      <c r="AC1009" s="1017">
        <v>0</v>
      </c>
      <c r="AD1009" s="1017">
        <v>0</v>
      </c>
      <c r="AE1009" s="1013">
        <v>0</v>
      </c>
      <c r="AF1009" s="1019"/>
      <c r="AG1009" s="1019">
        <f t="shared" si="205"/>
        <v>9887682</v>
      </c>
      <c r="AH1009" s="1014">
        <v>56</v>
      </c>
      <c r="AI1009" s="1014">
        <v>0</v>
      </c>
      <c r="AJ1009" s="1014">
        <v>0</v>
      </c>
      <c r="AK1009" s="1018">
        <v>0</v>
      </c>
      <c r="AL1009" s="1020">
        <v>0</v>
      </c>
      <c r="AM1009" s="1013">
        <f t="shared" si="204"/>
        <v>3404827</v>
      </c>
      <c r="AN1009" s="1045">
        <f t="shared" si="207"/>
        <v>13292509</v>
      </c>
      <c r="AO1009" s="1013">
        <v>885255</v>
      </c>
      <c r="AP1009" s="1013">
        <v>44100</v>
      </c>
      <c r="AQ1009" s="1013">
        <v>13616</v>
      </c>
      <c r="AR1009" s="1013">
        <v>0</v>
      </c>
      <c r="AS1009" s="1013">
        <v>0</v>
      </c>
      <c r="AT1009" s="1045">
        <f t="shared" si="213"/>
        <v>12349538</v>
      </c>
      <c r="AU1009" s="1004"/>
      <c r="AV1009" s="870"/>
      <c r="AW1009" s="782" t="s">
        <v>5217</v>
      </c>
      <c r="AX1009" s="782" t="s">
        <v>5218</v>
      </c>
      <c r="AY1009" s="1007" t="s">
        <v>221</v>
      </c>
      <c r="AZ1009" s="1007">
        <v>622</v>
      </c>
      <c r="BA1009" s="347" t="str">
        <f t="shared" si="206"/>
        <v>Bag</v>
      </c>
      <c r="BB1009" s="1008"/>
      <c r="BC1009" s="1009"/>
      <c r="BD1009" s="1009"/>
    </row>
    <row r="1010" spans="1:56" s="1010" customFormat="1" ht="36.75" customHeight="1">
      <c r="A1010" s="661">
        <f>SUBTOTAL(3,B$6:B1010)</f>
        <v>1005</v>
      </c>
      <c r="B1010" s="661" t="s">
        <v>55</v>
      </c>
      <c r="C1010" s="662" t="s">
        <v>56</v>
      </c>
      <c r="D1010" s="1011">
        <v>39570</v>
      </c>
      <c r="E1010" s="1011" t="s">
        <v>221</v>
      </c>
      <c r="F1010" s="787" t="s">
        <v>253</v>
      </c>
      <c r="G1010" s="996" t="s">
        <v>1311</v>
      </c>
      <c r="H1010" s="1012">
        <v>14240000</v>
      </c>
      <c r="I1010" s="1012">
        <v>15000000</v>
      </c>
      <c r="J1010" s="1012">
        <v>0</v>
      </c>
      <c r="K1010" s="1012">
        <v>0</v>
      </c>
      <c r="L1010" s="1013">
        <f t="shared" si="208"/>
        <v>29240000</v>
      </c>
      <c r="M1010" s="1014">
        <v>24</v>
      </c>
      <c r="N1010" s="1013">
        <f t="shared" si="209"/>
        <v>26990769</v>
      </c>
      <c r="O1010" s="1015">
        <v>2</v>
      </c>
      <c r="P1010" s="1013">
        <f t="shared" si="210"/>
        <v>2249231</v>
      </c>
      <c r="Q1010" s="1016">
        <v>0</v>
      </c>
      <c r="R1010" s="1013">
        <f t="shared" si="211"/>
        <v>0</v>
      </c>
      <c r="S1010" s="1013">
        <f t="shared" si="212"/>
        <v>29240000</v>
      </c>
      <c r="T1010" s="1017">
        <v>700000</v>
      </c>
      <c r="U1010" s="785">
        <v>0</v>
      </c>
      <c r="V1010" s="785">
        <v>0</v>
      </c>
      <c r="W1010" s="1017">
        <v>0</v>
      </c>
      <c r="X1010" s="1017">
        <v>0</v>
      </c>
      <c r="Y1010" s="1017">
        <v>0</v>
      </c>
      <c r="Z1010" s="1017">
        <v>0</v>
      </c>
      <c r="AA1010" s="1018"/>
      <c r="AB1010" s="1013"/>
      <c r="AC1010" s="1017">
        <v>0</v>
      </c>
      <c r="AD1010" s="1017">
        <v>0</v>
      </c>
      <c r="AE1010" s="1013">
        <v>0</v>
      </c>
      <c r="AF1010" s="1019"/>
      <c r="AG1010" s="1019">
        <f t="shared" si="205"/>
        <v>29940000</v>
      </c>
      <c r="AH1010" s="1014">
        <v>0</v>
      </c>
      <c r="AI1010" s="1014">
        <v>0</v>
      </c>
      <c r="AJ1010" s="1014">
        <v>0</v>
      </c>
      <c r="AK1010" s="1018">
        <v>0</v>
      </c>
      <c r="AL1010" s="1020">
        <v>0</v>
      </c>
      <c r="AM1010" s="1013">
        <f t="shared" si="204"/>
        <v>0</v>
      </c>
      <c r="AN1010" s="1045">
        <f t="shared" si="207"/>
        <v>29940000</v>
      </c>
      <c r="AO1010" s="1013">
        <v>3070200</v>
      </c>
      <c r="AP1010" s="1013">
        <v>44100</v>
      </c>
      <c r="AQ1010" s="1013">
        <v>103490</v>
      </c>
      <c r="AR1010" s="1013">
        <v>0</v>
      </c>
      <c r="AS1010" s="1013">
        <v>0</v>
      </c>
      <c r="AT1010" s="1045">
        <f t="shared" si="213"/>
        <v>26722210</v>
      </c>
      <c r="AU1010" s="1004"/>
      <c r="AV1010" s="870"/>
      <c r="AW1010" s="782" t="s">
        <v>5219</v>
      </c>
      <c r="AX1010" s="782" t="s">
        <v>5220</v>
      </c>
      <c r="AY1010" s="1007" t="s">
        <v>221</v>
      </c>
      <c r="AZ1010" s="1007">
        <v>627</v>
      </c>
      <c r="BA1010" s="347" t="s">
        <v>78</v>
      </c>
      <c r="BB1010" s="1008"/>
      <c r="BC1010" s="1009"/>
      <c r="BD1010" s="1009"/>
    </row>
    <row r="1011" spans="1:56" s="1010" customFormat="1" ht="36.75" customHeight="1">
      <c r="A1011" s="661">
        <f>SUBTOTAL(3,B$6:B1011)</f>
        <v>1006</v>
      </c>
      <c r="B1011" s="661" t="s">
        <v>2816</v>
      </c>
      <c r="C1011" s="662" t="s">
        <v>2817</v>
      </c>
      <c r="D1011" s="1011">
        <v>41298</v>
      </c>
      <c r="E1011" s="1011" t="s">
        <v>221</v>
      </c>
      <c r="F1011" s="787" t="s">
        <v>253</v>
      </c>
      <c r="G1011" s="996" t="s">
        <v>1310</v>
      </c>
      <c r="H1011" s="1012">
        <v>10021000</v>
      </c>
      <c r="I1011" s="1012">
        <v>7300000</v>
      </c>
      <c r="J1011" s="1012">
        <v>0</v>
      </c>
      <c r="K1011" s="1012">
        <v>0</v>
      </c>
      <c r="L1011" s="1013">
        <f t="shared" si="208"/>
        <v>17321000</v>
      </c>
      <c r="M1011" s="1014">
        <v>22.7</v>
      </c>
      <c r="N1011" s="1013">
        <f t="shared" si="209"/>
        <v>15122565</v>
      </c>
      <c r="O1011" s="1015">
        <v>3</v>
      </c>
      <c r="P1011" s="1013">
        <f t="shared" si="210"/>
        <v>1998577</v>
      </c>
      <c r="Q1011" s="1016">
        <v>0</v>
      </c>
      <c r="R1011" s="1013">
        <f t="shared" si="211"/>
        <v>0</v>
      </c>
      <c r="S1011" s="1013">
        <f t="shared" si="212"/>
        <v>17121142</v>
      </c>
      <c r="T1011" s="1017">
        <v>0</v>
      </c>
      <c r="U1011" s="785">
        <v>0</v>
      </c>
      <c r="V1011" s="785">
        <v>200000</v>
      </c>
      <c r="W1011" s="1017">
        <v>500000</v>
      </c>
      <c r="X1011" s="1017">
        <v>0</v>
      </c>
      <c r="Y1011" s="1017">
        <v>400000</v>
      </c>
      <c r="Z1011" s="1017">
        <v>0</v>
      </c>
      <c r="AA1011" s="1018"/>
      <c r="AB1011" s="1013"/>
      <c r="AC1011" s="1017">
        <v>0</v>
      </c>
      <c r="AD1011" s="1017">
        <v>0</v>
      </c>
      <c r="AE1011" s="1013">
        <v>0</v>
      </c>
      <c r="AF1011" s="1019"/>
      <c r="AG1011" s="1019">
        <f t="shared" si="205"/>
        <v>18221142</v>
      </c>
      <c r="AH1011" s="1014">
        <v>55.5</v>
      </c>
      <c r="AI1011" s="1014">
        <v>0</v>
      </c>
      <c r="AJ1011" s="1014">
        <v>0</v>
      </c>
      <c r="AK1011" s="1018">
        <v>0</v>
      </c>
      <c r="AL1011" s="1020">
        <v>0</v>
      </c>
      <c r="AM1011" s="1013">
        <f t="shared" si="204"/>
        <v>6932564</v>
      </c>
      <c r="AN1011" s="1045">
        <f t="shared" si="207"/>
        <v>25153706</v>
      </c>
      <c r="AO1011" s="1013">
        <v>1818705</v>
      </c>
      <c r="AP1011" s="1013">
        <v>44100</v>
      </c>
      <c r="AQ1011" s="1013">
        <v>66207</v>
      </c>
      <c r="AR1011" s="1013">
        <v>0</v>
      </c>
      <c r="AS1011" s="1013">
        <v>0</v>
      </c>
      <c r="AT1011" s="1045">
        <f t="shared" si="213"/>
        <v>23224694</v>
      </c>
      <c r="AU1011" s="1004"/>
      <c r="AV1011" s="870"/>
      <c r="AW1011" s="782" t="s">
        <v>5221</v>
      </c>
      <c r="AX1011" s="782" t="s">
        <v>5222</v>
      </c>
      <c r="AY1011" s="1007" t="s">
        <v>221</v>
      </c>
      <c r="AZ1011" s="1007">
        <v>627</v>
      </c>
      <c r="BA1011" s="347" t="str">
        <f t="shared" ref="BA1011:BA1074" si="214">+IF(AY1011="SK1 Box","Box",IF(AY1011="Seaman","Seaman","Bag"))</f>
        <v>Bag</v>
      </c>
      <c r="BB1011" s="1008"/>
      <c r="BC1011" s="1009"/>
      <c r="BD1011" s="1009"/>
    </row>
    <row r="1012" spans="1:56" s="1010" customFormat="1" ht="36.75" customHeight="1">
      <c r="A1012" s="661">
        <f>SUBTOTAL(3,B$6:B1012)</f>
        <v>1007</v>
      </c>
      <c r="B1012" s="661" t="s">
        <v>2818</v>
      </c>
      <c r="C1012" s="662" t="s">
        <v>2819</v>
      </c>
      <c r="D1012" s="1011">
        <v>41334</v>
      </c>
      <c r="E1012" s="1011" t="s">
        <v>221</v>
      </c>
      <c r="F1012" s="787" t="s">
        <v>253</v>
      </c>
      <c r="G1012" s="996" t="s">
        <v>1314</v>
      </c>
      <c r="H1012" s="1012">
        <v>6919000</v>
      </c>
      <c r="I1012" s="1012">
        <v>2500000</v>
      </c>
      <c r="J1012" s="1012">
        <v>0</v>
      </c>
      <c r="K1012" s="1012">
        <v>1000000</v>
      </c>
      <c r="L1012" s="1013">
        <f t="shared" si="208"/>
        <v>10419000</v>
      </c>
      <c r="M1012" s="1014">
        <v>24</v>
      </c>
      <c r="N1012" s="1013">
        <f t="shared" si="209"/>
        <v>9617538</v>
      </c>
      <c r="O1012" s="1015">
        <v>2</v>
      </c>
      <c r="P1012" s="1013">
        <f t="shared" si="210"/>
        <v>801462</v>
      </c>
      <c r="Q1012" s="1016">
        <v>0</v>
      </c>
      <c r="R1012" s="1013">
        <f t="shared" si="211"/>
        <v>0</v>
      </c>
      <c r="S1012" s="1013">
        <f t="shared" si="212"/>
        <v>10419000</v>
      </c>
      <c r="T1012" s="1017">
        <v>0</v>
      </c>
      <c r="U1012" s="785">
        <v>0</v>
      </c>
      <c r="V1012" s="785">
        <v>200000</v>
      </c>
      <c r="W1012" s="1017">
        <v>500000</v>
      </c>
      <c r="X1012" s="1017">
        <v>0</v>
      </c>
      <c r="Y1012" s="1017">
        <v>400000</v>
      </c>
      <c r="Z1012" s="1017">
        <v>443551</v>
      </c>
      <c r="AA1012" s="1018"/>
      <c r="AB1012" s="1013"/>
      <c r="AC1012" s="1017">
        <v>0</v>
      </c>
      <c r="AD1012" s="1017">
        <v>0</v>
      </c>
      <c r="AE1012" s="1013">
        <v>75137.015625</v>
      </c>
      <c r="AF1012" s="1019"/>
      <c r="AG1012" s="1019">
        <f t="shared" si="205"/>
        <v>12037688</v>
      </c>
      <c r="AH1012" s="1014">
        <v>64</v>
      </c>
      <c r="AI1012" s="1014">
        <v>0</v>
      </c>
      <c r="AJ1012" s="1014">
        <v>0</v>
      </c>
      <c r="AK1012" s="1018">
        <v>0</v>
      </c>
      <c r="AL1012" s="1020">
        <v>0</v>
      </c>
      <c r="AM1012" s="1013">
        <f t="shared" si="204"/>
        <v>4808769</v>
      </c>
      <c r="AN1012" s="1045">
        <f t="shared" si="207"/>
        <v>16846457</v>
      </c>
      <c r="AO1012" s="1013">
        <v>1093995</v>
      </c>
      <c r="AP1012" s="1013">
        <v>44100</v>
      </c>
      <c r="AQ1012" s="1013">
        <v>0</v>
      </c>
      <c r="AR1012" s="1013">
        <v>0</v>
      </c>
      <c r="AS1012" s="1013">
        <v>0</v>
      </c>
      <c r="AT1012" s="1045">
        <f t="shared" si="213"/>
        <v>15708362</v>
      </c>
      <c r="AU1012" s="1004"/>
      <c r="AV1012" s="870"/>
      <c r="AW1012" s="782" t="s">
        <v>5223</v>
      </c>
      <c r="AX1012" s="782" t="s">
        <v>5224</v>
      </c>
      <c r="AY1012" s="1007" t="s">
        <v>221</v>
      </c>
      <c r="AZ1012" s="1007">
        <v>627</v>
      </c>
      <c r="BA1012" s="347" t="str">
        <f t="shared" si="214"/>
        <v>Bag</v>
      </c>
      <c r="BB1012" s="1008"/>
      <c r="BC1012" s="1009"/>
      <c r="BD1012" s="1009"/>
    </row>
    <row r="1013" spans="1:56" s="1010" customFormat="1" ht="36.75" customHeight="1">
      <c r="A1013" s="661">
        <f>SUBTOTAL(3,B$6:B1013)</f>
        <v>1008</v>
      </c>
      <c r="B1013" s="661" t="s">
        <v>2820</v>
      </c>
      <c r="C1013" s="662" t="s">
        <v>2821</v>
      </c>
      <c r="D1013" s="1011">
        <v>44652</v>
      </c>
      <c r="E1013" s="1011" t="s">
        <v>221</v>
      </c>
      <c r="F1013" s="787" t="s">
        <v>659</v>
      </c>
      <c r="G1013" s="996" t="s">
        <v>1322</v>
      </c>
      <c r="H1013" s="1012">
        <v>5931000</v>
      </c>
      <c r="I1013" s="1012">
        <v>900000</v>
      </c>
      <c r="J1013" s="1012">
        <v>0</v>
      </c>
      <c r="K1013" s="1012">
        <v>0</v>
      </c>
      <c r="L1013" s="1013">
        <f t="shared" si="208"/>
        <v>6831000</v>
      </c>
      <c r="M1013" s="1014">
        <v>24</v>
      </c>
      <c r="N1013" s="1013">
        <f t="shared" si="209"/>
        <v>6305538</v>
      </c>
      <c r="O1013" s="1015">
        <v>2</v>
      </c>
      <c r="P1013" s="1013">
        <f t="shared" si="210"/>
        <v>525462</v>
      </c>
      <c r="Q1013" s="1016">
        <v>0</v>
      </c>
      <c r="R1013" s="1013">
        <f t="shared" si="211"/>
        <v>0</v>
      </c>
      <c r="S1013" s="1013">
        <f t="shared" si="212"/>
        <v>6831000</v>
      </c>
      <c r="T1013" s="1017">
        <v>0</v>
      </c>
      <c r="U1013" s="785">
        <v>0</v>
      </c>
      <c r="V1013" s="785">
        <v>200000</v>
      </c>
      <c r="W1013" s="1017">
        <v>500000</v>
      </c>
      <c r="X1013" s="1017">
        <v>0</v>
      </c>
      <c r="Y1013" s="1017">
        <v>400000</v>
      </c>
      <c r="Z1013" s="1017">
        <v>280000</v>
      </c>
      <c r="AA1013" s="1018"/>
      <c r="AB1013" s="1013"/>
      <c r="AC1013" s="1017">
        <v>0</v>
      </c>
      <c r="AD1013" s="1017">
        <v>0</v>
      </c>
      <c r="AE1013" s="1013">
        <v>49262.015625</v>
      </c>
      <c r="AF1013" s="1019"/>
      <c r="AG1013" s="1019">
        <f t="shared" si="205"/>
        <v>8260262</v>
      </c>
      <c r="AH1013" s="1014">
        <v>0</v>
      </c>
      <c r="AI1013" s="1014">
        <v>0</v>
      </c>
      <c r="AJ1013" s="1014">
        <v>0</v>
      </c>
      <c r="AK1013" s="1018">
        <v>0</v>
      </c>
      <c r="AL1013" s="1020">
        <v>0</v>
      </c>
      <c r="AM1013" s="1013">
        <f t="shared" si="204"/>
        <v>0</v>
      </c>
      <c r="AN1013" s="1045">
        <f t="shared" si="207"/>
        <v>8260262</v>
      </c>
      <c r="AO1013" s="1013">
        <v>717255</v>
      </c>
      <c r="AP1013" s="1013">
        <v>44100</v>
      </c>
      <c r="AQ1013" s="1013">
        <v>0</v>
      </c>
      <c r="AR1013" s="1013">
        <v>0</v>
      </c>
      <c r="AS1013" s="1013">
        <v>0</v>
      </c>
      <c r="AT1013" s="1045">
        <f t="shared" si="213"/>
        <v>7498907</v>
      </c>
      <c r="AU1013" s="1004"/>
      <c r="AV1013" s="870"/>
      <c r="AW1013" s="782" t="s">
        <v>5225</v>
      </c>
      <c r="AX1013" s="782" t="s">
        <v>5226</v>
      </c>
      <c r="AY1013" s="1007" t="s">
        <v>221</v>
      </c>
      <c r="AZ1013" s="1007">
        <v>622</v>
      </c>
      <c r="BA1013" s="347" t="str">
        <f t="shared" si="214"/>
        <v>Bag</v>
      </c>
      <c r="BB1013" s="1008"/>
      <c r="BC1013" s="1009"/>
      <c r="BD1013" s="1009"/>
    </row>
    <row r="1014" spans="1:56" s="1010" customFormat="1" ht="36.75" customHeight="1">
      <c r="A1014" s="661">
        <f>SUBTOTAL(3,B$6:B1014)</f>
        <v>1009</v>
      </c>
      <c r="B1014" s="661" t="s">
        <v>2822</v>
      </c>
      <c r="C1014" s="662" t="s">
        <v>2823</v>
      </c>
      <c r="D1014" s="1011">
        <v>44970</v>
      </c>
      <c r="E1014" s="1011" t="s">
        <v>221</v>
      </c>
      <c r="F1014" s="787" t="s">
        <v>659</v>
      </c>
      <c r="G1014" s="996" t="s">
        <v>1322</v>
      </c>
      <c r="H1014" s="1012">
        <v>5815000</v>
      </c>
      <c r="I1014" s="1012">
        <v>900000</v>
      </c>
      <c r="J1014" s="1012">
        <v>292000</v>
      </c>
      <c r="K1014" s="1012">
        <v>0</v>
      </c>
      <c r="L1014" s="1013">
        <f t="shared" si="208"/>
        <v>7007000</v>
      </c>
      <c r="M1014" s="1014">
        <v>23.8</v>
      </c>
      <c r="N1014" s="1013">
        <f t="shared" si="209"/>
        <v>6414100</v>
      </c>
      <c r="O1014" s="1015">
        <v>2</v>
      </c>
      <c r="P1014" s="1013">
        <f t="shared" si="210"/>
        <v>539000</v>
      </c>
      <c r="Q1014" s="1016">
        <v>0</v>
      </c>
      <c r="R1014" s="1013">
        <f t="shared" si="211"/>
        <v>0</v>
      </c>
      <c r="S1014" s="1013">
        <f t="shared" si="212"/>
        <v>6953100</v>
      </c>
      <c r="T1014" s="1017">
        <v>0</v>
      </c>
      <c r="U1014" s="785">
        <v>0</v>
      </c>
      <c r="V1014" s="785">
        <v>200000</v>
      </c>
      <c r="W1014" s="1017">
        <v>500000</v>
      </c>
      <c r="X1014" s="1017">
        <v>0</v>
      </c>
      <c r="Y1014" s="1017">
        <v>400000</v>
      </c>
      <c r="Z1014" s="1017">
        <v>396700</v>
      </c>
      <c r="AA1014" s="1018"/>
      <c r="AB1014" s="1013"/>
      <c r="AC1014" s="1017">
        <v>0</v>
      </c>
      <c r="AD1014" s="1017">
        <v>0</v>
      </c>
      <c r="AE1014" s="1013">
        <v>50531.25</v>
      </c>
      <c r="AF1014" s="1019"/>
      <c r="AG1014" s="1019">
        <f t="shared" si="205"/>
        <v>8500331</v>
      </c>
      <c r="AH1014" s="1014">
        <v>52</v>
      </c>
      <c r="AI1014" s="1014">
        <v>0</v>
      </c>
      <c r="AJ1014" s="1014">
        <v>0</v>
      </c>
      <c r="AK1014" s="1018">
        <v>0</v>
      </c>
      <c r="AL1014" s="1020">
        <v>0</v>
      </c>
      <c r="AM1014" s="1013">
        <f t="shared" si="204"/>
        <v>2627625</v>
      </c>
      <c r="AN1014" s="1045">
        <f t="shared" si="207"/>
        <v>11127956</v>
      </c>
      <c r="AO1014" s="1013">
        <v>735735</v>
      </c>
      <c r="AP1014" s="1013">
        <v>44100</v>
      </c>
      <c r="AQ1014" s="1013">
        <v>0</v>
      </c>
      <c r="AR1014" s="1013">
        <v>0</v>
      </c>
      <c r="AS1014" s="1013">
        <v>0</v>
      </c>
      <c r="AT1014" s="1045">
        <f t="shared" si="213"/>
        <v>10348121</v>
      </c>
      <c r="AU1014" s="1004"/>
      <c r="AV1014" s="870"/>
      <c r="AW1014" s="782" t="s">
        <v>5227</v>
      </c>
      <c r="AX1014" s="782" t="s">
        <v>5228</v>
      </c>
      <c r="AY1014" s="1007" t="s">
        <v>221</v>
      </c>
      <c r="AZ1014" s="1007">
        <v>622</v>
      </c>
      <c r="BA1014" s="347" t="str">
        <f t="shared" si="214"/>
        <v>Bag</v>
      </c>
      <c r="BB1014" s="1008"/>
      <c r="BC1014" s="1009"/>
      <c r="BD1014" s="1009"/>
    </row>
    <row r="1015" spans="1:56" s="1010" customFormat="1" ht="36.75" customHeight="1">
      <c r="A1015" s="661">
        <f>SUBTOTAL(3,B$6:B1015)</f>
        <v>1010</v>
      </c>
      <c r="B1015" s="661" t="s">
        <v>2824</v>
      </c>
      <c r="C1015" s="662" t="s">
        <v>2825</v>
      </c>
      <c r="D1015" s="1011">
        <v>45419</v>
      </c>
      <c r="E1015" s="1011" t="s">
        <v>221</v>
      </c>
      <c r="F1015" s="787" t="s">
        <v>659</v>
      </c>
      <c r="G1015" s="996" t="s">
        <v>1322</v>
      </c>
      <c r="H1015" s="1012">
        <v>5274000</v>
      </c>
      <c r="I1015" s="1012">
        <v>500000</v>
      </c>
      <c r="J1015" s="1012">
        <v>0</v>
      </c>
      <c r="K1015" s="1012">
        <v>0</v>
      </c>
      <c r="L1015" s="1013">
        <f t="shared" si="208"/>
        <v>5774000</v>
      </c>
      <c r="M1015" s="1014">
        <v>16</v>
      </c>
      <c r="N1015" s="1013">
        <f t="shared" si="209"/>
        <v>3553231</v>
      </c>
      <c r="O1015" s="1015">
        <v>3</v>
      </c>
      <c r="P1015" s="1013">
        <f t="shared" si="210"/>
        <v>666231</v>
      </c>
      <c r="Q1015" s="1016">
        <v>0</v>
      </c>
      <c r="R1015" s="1013">
        <f t="shared" si="211"/>
        <v>0</v>
      </c>
      <c r="S1015" s="1013">
        <f t="shared" si="212"/>
        <v>4219462</v>
      </c>
      <c r="T1015" s="1017">
        <v>0</v>
      </c>
      <c r="U1015" s="785">
        <v>0</v>
      </c>
      <c r="V1015" s="785">
        <v>200000</v>
      </c>
      <c r="W1015" s="1017">
        <v>0</v>
      </c>
      <c r="X1015" s="1017">
        <v>0</v>
      </c>
      <c r="Y1015" s="1017">
        <v>0</v>
      </c>
      <c r="Z1015" s="1017">
        <v>100000</v>
      </c>
      <c r="AA1015" s="1018"/>
      <c r="AB1015" s="1013"/>
      <c r="AC1015" s="1017">
        <v>0</v>
      </c>
      <c r="AD1015" s="1017">
        <v>0</v>
      </c>
      <c r="AE1015" s="1013">
        <v>41639.42578125</v>
      </c>
      <c r="AF1015" s="1019"/>
      <c r="AG1015" s="1019">
        <f t="shared" si="205"/>
        <v>4561101</v>
      </c>
      <c r="AH1015" s="1014">
        <v>23</v>
      </c>
      <c r="AI1015" s="1014">
        <v>0</v>
      </c>
      <c r="AJ1015" s="1014">
        <v>0</v>
      </c>
      <c r="AK1015" s="1018">
        <v>0</v>
      </c>
      <c r="AL1015" s="1020">
        <v>0</v>
      </c>
      <c r="AM1015" s="1013">
        <f t="shared" si="204"/>
        <v>957707</v>
      </c>
      <c r="AN1015" s="1045">
        <f t="shared" si="207"/>
        <v>5518808</v>
      </c>
      <c r="AO1015" s="1013">
        <v>606270</v>
      </c>
      <c r="AP1015" s="1013">
        <v>44100</v>
      </c>
      <c r="AQ1015" s="1013">
        <v>0</v>
      </c>
      <c r="AR1015" s="1013">
        <v>0</v>
      </c>
      <c r="AS1015" s="1013">
        <v>0</v>
      </c>
      <c r="AT1015" s="1045">
        <f t="shared" si="213"/>
        <v>4868438</v>
      </c>
      <c r="AU1015" s="1004"/>
      <c r="AV1015" s="870"/>
      <c r="AW1015" s="782" t="s">
        <v>5229</v>
      </c>
      <c r="AX1015" s="782" t="s">
        <v>5230</v>
      </c>
      <c r="AY1015" s="1007" t="s">
        <v>221</v>
      </c>
      <c r="AZ1015" s="1007">
        <v>622</v>
      </c>
      <c r="BA1015" s="347" t="str">
        <f t="shared" si="214"/>
        <v>Bag</v>
      </c>
      <c r="BB1015" s="1008"/>
      <c r="BC1015" s="1009"/>
      <c r="BD1015" s="1009"/>
    </row>
    <row r="1016" spans="1:56" s="1010" customFormat="1" ht="36.75" customHeight="1">
      <c r="A1016" s="661">
        <f>SUBTOTAL(3,B$6:B1016)</f>
        <v>1011</v>
      </c>
      <c r="B1016" s="661" t="s">
        <v>5791</v>
      </c>
      <c r="C1016" s="662" t="s">
        <v>5792</v>
      </c>
      <c r="D1016" s="1011">
        <v>45772</v>
      </c>
      <c r="E1016" s="1011" t="s">
        <v>221</v>
      </c>
      <c r="F1016" s="787" t="s">
        <v>659</v>
      </c>
      <c r="G1016" s="996" t="s">
        <v>554</v>
      </c>
      <c r="H1016" s="1012">
        <v>4694000</v>
      </c>
      <c r="I1016" s="1012">
        <v>0</v>
      </c>
      <c r="J1016" s="1012">
        <v>0</v>
      </c>
      <c r="K1016" s="1012">
        <v>0</v>
      </c>
      <c r="L1016" s="1013">
        <f t="shared" si="208"/>
        <v>4694000</v>
      </c>
      <c r="M1016" s="1014">
        <v>4</v>
      </c>
      <c r="N1016" s="1013">
        <f t="shared" si="209"/>
        <v>722154</v>
      </c>
      <c r="O1016" s="1015">
        <v>1</v>
      </c>
      <c r="P1016" s="1013">
        <f t="shared" si="210"/>
        <v>180538</v>
      </c>
      <c r="Q1016" s="1016">
        <v>0</v>
      </c>
      <c r="R1016" s="1013">
        <f t="shared" si="211"/>
        <v>0</v>
      </c>
      <c r="S1016" s="1013">
        <f t="shared" si="212"/>
        <v>902692</v>
      </c>
      <c r="T1016" s="1017">
        <v>0</v>
      </c>
      <c r="U1016" s="785">
        <v>0</v>
      </c>
      <c r="V1016" s="785">
        <v>38000</v>
      </c>
      <c r="W1016" s="1017">
        <v>96000</v>
      </c>
      <c r="X1016" s="1017">
        <v>0</v>
      </c>
      <c r="Y1016" s="1017">
        <v>29000</v>
      </c>
      <c r="Z1016" s="1017">
        <v>0</v>
      </c>
      <c r="AA1016" s="1018"/>
      <c r="AB1016" s="1013"/>
      <c r="AC1016" s="1017">
        <v>0</v>
      </c>
      <c r="AD1016" s="1017">
        <v>0</v>
      </c>
      <c r="AE1016" s="1013">
        <v>0</v>
      </c>
      <c r="AF1016" s="1019"/>
      <c r="AG1016" s="1019">
        <f t="shared" si="205"/>
        <v>1065692</v>
      </c>
      <c r="AH1016" s="1014">
        <v>0</v>
      </c>
      <c r="AI1016" s="1014">
        <v>0</v>
      </c>
      <c r="AJ1016" s="1014">
        <v>0</v>
      </c>
      <c r="AK1016" s="1018">
        <v>0</v>
      </c>
      <c r="AL1016" s="1020">
        <v>0</v>
      </c>
      <c r="AM1016" s="1013">
        <f t="shared" si="204"/>
        <v>0</v>
      </c>
      <c r="AN1016" s="1045">
        <f t="shared" si="207"/>
        <v>1065692</v>
      </c>
      <c r="AO1016" s="1013">
        <v>0</v>
      </c>
      <c r="AP1016" s="1013">
        <v>0</v>
      </c>
      <c r="AQ1016" s="1013">
        <v>0</v>
      </c>
      <c r="AR1016" s="1013">
        <v>0</v>
      </c>
      <c r="AS1016" s="1013">
        <v>0</v>
      </c>
      <c r="AT1016" s="1045">
        <f t="shared" si="213"/>
        <v>1065692</v>
      </c>
      <c r="AU1016" s="1004"/>
      <c r="AV1016" s="870"/>
      <c r="AW1016" s="782"/>
      <c r="AX1016" s="782" t="s">
        <v>3644</v>
      </c>
      <c r="AY1016" s="1007" t="s">
        <v>221</v>
      </c>
      <c r="AZ1016" s="1007">
        <v>622</v>
      </c>
      <c r="BA1016" s="347" t="str">
        <f t="shared" si="214"/>
        <v>Bag</v>
      </c>
      <c r="BB1016" s="1008"/>
      <c r="BC1016" s="1009"/>
      <c r="BD1016" s="1009"/>
    </row>
    <row r="1017" spans="1:56" s="1010" customFormat="1" ht="36.75" customHeight="1">
      <c r="A1017" s="661">
        <f>SUBTOTAL(3,B$6:B1017)</f>
        <v>1012</v>
      </c>
      <c r="B1017" s="661" t="s">
        <v>2826</v>
      </c>
      <c r="C1017" s="662" t="s">
        <v>2827</v>
      </c>
      <c r="D1017" s="1011">
        <v>43528</v>
      </c>
      <c r="E1017" s="1011" t="s">
        <v>221</v>
      </c>
      <c r="F1017" s="787" t="s">
        <v>659</v>
      </c>
      <c r="G1017" s="996" t="s">
        <v>1322</v>
      </c>
      <c r="H1017" s="1012">
        <v>5931000</v>
      </c>
      <c r="I1017" s="1012">
        <v>700000</v>
      </c>
      <c r="J1017" s="1012">
        <v>0</v>
      </c>
      <c r="K1017" s="1012">
        <v>0</v>
      </c>
      <c r="L1017" s="1013">
        <f t="shared" si="208"/>
        <v>6631000</v>
      </c>
      <c r="M1017" s="1014">
        <v>24</v>
      </c>
      <c r="N1017" s="1013">
        <f t="shared" si="209"/>
        <v>6120923</v>
      </c>
      <c r="O1017" s="1015">
        <v>2</v>
      </c>
      <c r="P1017" s="1013">
        <f t="shared" si="210"/>
        <v>510077</v>
      </c>
      <c r="Q1017" s="1016">
        <v>0</v>
      </c>
      <c r="R1017" s="1013">
        <f t="shared" si="211"/>
        <v>0</v>
      </c>
      <c r="S1017" s="1013">
        <f t="shared" si="212"/>
        <v>6631000</v>
      </c>
      <c r="T1017" s="1017">
        <v>0</v>
      </c>
      <c r="U1017" s="785">
        <v>0</v>
      </c>
      <c r="V1017" s="785">
        <v>200000</v>
      </c>
      <c r="W1017" s="1017">
        <v>500000</v>
      </c>
      <c r="X1017" s="1017">
        <v>0</v>
      </c>
      <c r="Y1017" s="1017">
        <v>400000</v>
      </c>
      <c r="Z1017" s="1017">
        <v>400000</v>
      </c>
      <c r="AA1017" s="1018"/>
      <c r="AB1017" s="1013"/>
      <c r="AC1017" s="1017">
        <v>100000</v>
      </c>
      <c r="AD1017" s="1017">
        <v>0</v>
      </c>
      <c r="AE1017" s="1013">
        <v>47819.7109375</v>
      </c>
      <c r="AF1017" s="1019"/>
      <c r="AG1017" s="1019">
        <f t="shared" si="205"/>
        <v>8278820</v>
      </c>
      <c r="AH1017" s="1014">
        <v>64</v>
      </c>
      <c r="AI1017" s="1014">
        <v>0</v>
      </c>
      <c r="AJ1017" s="1014">
        <v>0</v>
      </c>
      <c r="AK1017" s="1018">
        <v>0</v>
      </c>
      <c r="AL1017" s="1020">
        <v>0</v>
      </c>
      <c r="AM1017" s="1013">
        <f t="shared" si="204"/>
        <v>3060462</v>
      </c>
      <c r="AN1017" s="1045">
        <f t="shared" si="207"/>
        <v>11339282</v>
      </c>
      <c r="AO1017" s="1013">
        <v>696255</v>
      </c>
      <c r="AP1017" s="1013">
        <v>44100</v>
      </c>
      <c r="AQ1017" s="1013">
        <v>0</v>
      </c>
      <c r="AR1017" s="1013">
        <v>0</v>
      </c>
      <c r="AS1017" s="1013">
        <v>0</v>
      </c>
      <c r="AT1017" s="1045">
        <f t="shared" si="213"/>
        <v>10598927</v>
      </c>
      <c r="AU1017" s="1004"/>
      <c r="AV1017" s="870"/>
      <c r="AW1017" s="782" t="s">
        <v>5231</v>
      </c>
      <c r="AX1017" s="782" t="s">
        <v>5232</v>
      </c>
      <c r="AY1017" s="1007" t="s">
        <v>221</v>
      </c>
      <c r="AZ1017" s="1007">
        <v>622</v>
      </c>
      <c r="BA1017" s="347" t="str">
        <f t="shared" si="214"/>
        <v>Bag</v>
      </c>
      <c r="BB1017" s="1008"/>
      <c r="BC1017" s="1009"/>
      <c r="BD1017" s="1009"/>
    </row>
    <row r="1018" spans="1:56" s="1010" customFormat="1" ht="36.75" customHeight="1">
      <c r="A1018" s="661">
        <f>SUBTOTAL(3,B$6:B1018)</f>
        <v>1013</v>
      </c>
      <c r="B1018" s="661" t="s">
        <v>2828</v>
      </c>
      <c r="C1018" s="662" t="s">
        <v>2829</v>
      </c>
      <c r="D1018" s="1011">
        <v>39584</v>
      </c>
      <c r="E1018" s="1011" t="s">
        <v>221</v>
      </c>
      <c r="F1018" s="787" t="s">
        <v>536</v>
      </c>
      <c r="G1018" s="996" t="s">
        <v>1589</v>
      </c>
      <c r="H1018" s="1012">
        <v>5931000</v>
      </c>
      <c r="I1018" s="1012">
        <v>900000</v>
      </c>
      <c r="J1018" s="1012">
        <v>0</v>
      </c>
      <c r="K1018" s="1012">
        <v>200000</v>
      </c>
      <c r="L1018" s="1013">
        <f t="shared" si="208"/>
        <v>7031000</v>
      </c>
      <c r="M1018" s="1014">
        <v>24</v>
      </c>
      <c r="N1018" s="1013">
        <f t="shared" si="209"/>
        <v>6490154</v>
      </c>
      <c r="O1018" s="1015">
        <v>2</v>
      </c>
      <c r="P1018" s="1013">
        <f t="shared" si="210"/>
        <v>540846</v>
      </c>
      <c r="Q1018" s="1016">
        <v>0</v>
      </c>
      <c r="R1018" s="1013">
        <f t="shared" si="211"/>
        <v>0</v>
      </c>
      <c r="S1018" s="1013">
        <f t="shared" si="212"/>
        <v>7031000</v>
      </c>
      <c r="T1018" s="1017">
        <v>0</v>
      </c>
      <c r="U1018" s="785">
        <v>0</v>
      </c>
      <c r="V1018" s="785">
        <v>200000</v>
      </c>
      <c r="W1018" s="1017">
        <v>500000</v>
      </c>
      <c r="X1018" s="1017">
        <v>0</v>
      </c>
      <c r="Y1018" s="1017">
        <v>400000</v>
      </c>
      <c r="Z1018" s="1017">
        <v>458336</v>
      </c>
      <c r="AA1018" s="1018"/>
      <c r="AB1018" s="1013"/>
      <c r="AC1018" s="1017">
        <v>0</v>
      </c>
      <c r="AD1018" s="1017">
        <v>0</v>
      </c>
      <c r="AE1018" s="1013">
        <v>50704.328125</v>
      </c>
      <c r="AF1018" s="1019"/>
      <c r="AG1018" s="1019">
        <f t="shared" si="205"/>
        <v>8640040</v>
      </c>
      <c r="AH1018" s="1014">
        <v>60</v>
      </c>
      <c r="AI1018" s="1014">
        <v>0</v>
      </c>
      <c r="AJ1018" s="1014">
        <v>0</v>
      </c>
      <c r="AK1018" s="1018">
        <v>0</v>
      </c>
      <c r="AL1018" s="1020">
        <v>0</v>
      </c>
      <c r="AM1018" s="1013">
        <f t="shared" si="204"/>
        <v>3042260</v>
      </c>
      <c r="AN1018" s="1045">
        <f t="shared" si="207"/>
        <v>11682300</v>
      </c>
      <c r="AO1018" s="1013">
        <v>738255</v>
      </c>
      <c r="AP1018" s="1013">
        <v>44100</v>
      </c>
      <c r="AQ1018" s="1013">
        <v>0</v>
      </c>
      <c r="AR1018" s="1013">
        <v>0</v>
      </c>
      <c r="AS1018" s="1013">
        <v>0</v>
      </c>
      <c r="AT1018" s="1045">
        <f t="shared" si="213"/>
        <v>10899945</v>
      </c>
      <c r="AU1018" s="1004"/>
      <c r="AV1018" s="870"/>
      <c r="AW1018" s="782" t="s">
        <v>5233</v>
      </c>
      <c r="AX1018" s="782" t="s">
        <v>5234</v>
      </c>
      <c r="AY1018" s="1007" t="s">
        <v>221</v>
      </c>
      <c r="AZ1018" s="1007">
        <v>622</v>
      </c>
      <c r="BA1018" s="347" t="str">
        <f t="shared" si="214"/>
        <v>Bag</v>
      </c>
      <c r="BB1018" s="1008"/>
      <c r="BC1018" s="1009"/>
      <c r="BD1018" s="1009"/>
    </row>
    <row r="1019" spans="1:56" s="1010" customFormat="1" ht="36.75" customHeight="1">
      <c r="A1019" s="661">
        <f>SUBTOTAL(3,B$6:B1019)</f>
        <v>1014</v>
      </c>
      <c r="B1019" s="661" t="s">
        <v>2830</v>
      </c>
      <c r="C1019" s="662" t="s">
        <v>2831</v>
      </c>
      <c r="D1019" s="1011">
        <v>44085</v>
      </c>
      <c r="E1019" s="1011" t="s">
        <v>221</v>
      </c>
      <c r="F1019" s="787" t="s">
        <v>536</v>
      </c>
      <c r="G1019" s="996" t="s">
        <v>992</v>
      </c>
      <c r="H1019" s="1012">
        <v>5931000</v>
      </c>
      <c r="I1019" s="1012">
        <v>800000</v>
      </c>
      <c r="J1019" s="1012">
        <v>0</v>
      </c>
      <c r="K1019" s="1012">
        <v>0</v>
      </c>
      <c r="L1019" s="1013">
        <f t="shared" si="208"/>
        <v>6731000</v>
      </c>
      <c r="M1019" s="1014">
        <v>23</v>
      </c>
      <c r="N1019" s="1013">
        <f t="shared" si="209"/>
        <v>5954346</v>
      </c>
      <c r="O1019" s="1015">
        <v>3</v>
      </c>
      <c r="P1019" s="1013">
        <f t="shared" si="210"/>
        <v>776654</v>
      </c>
      <c r="Q1019" s="1016">
        <v>0</v>
      </c>
      <c r="R1019" s="1013">
        <f t="shared" si="211"/>
        <v>0</v>
      </c>
      <c r="S1019" s="1013">
        <f t="shared" si="212"/>
        <v>6731000</v>
      </c>
      <c r="T1019" s="1017">
        <v>0</v>
      </c>
      <c r="U1019" s="785">
        <v>0</v>
      </c>
      <c r="V1019" s="785">
        <v>200000</v>
      </c>
      <c r="W1019" s="1017">
        <v>500000</v>
      </c>
      <c r="X1019" s="1017">
        <v>0</v>
      </c>
      <c r="Y1019" s="1017">
        <v>400000</v>
      </c>
      <c r="Z1019" s="1017">
        <v>549367</v>
      </c>
      <c r="AA1019" s="1018"/>
      <c r="AB1019" s="1013"/>
      <c r="AC1019" s="1017">
        <v>0</v>
      </c>
      <c r="AD1019" s="1017">
        <v>0</v>
      </c>
      <c r="AE1019" s="1013">
        <v>48540.864130434784</v>
      </c>
      <c r="AF1019" s="1019"/>
      <c r="AG1019" s="1019">
        <f t="shared" si="205"/>
        <v>8428908</v>
      </c>
      <c r="AH1019" s="1014">
        <v>24</v>
      </c>
      <c r="AI1019" s="1014">
        <v>0</v>
      </c>
      <c r="AJ1019" s="1014">
        <v>0</v>
      </c>
      <c r="AK1019" s="1018">
        <v>0</v>
      </c>
      <c r="AL1019" s="1020">
        <v>0</v>
      </c>
      <c r="AM1019" s="1013">
        <f t="shared" si="204"/>
        <v>1164981</v>
      </c>
      <c r="AN1019" s="1045">
        <f t="shared" si="207"/>
        <v>9593889</v>
      </c>
      <c r="AO1019" s="1013">
        <v>706755</v>
      </c>
      <c r="AP1019" s="1013">
        <v>44100</v>
      </c>
      <c r="AQ1019" s="1013">
        <v>0</v>
      </c>
      <c r="AR1019" s="1013">
        <v>0</v>
      </c>
      <c r="AS1019" s="1013">
        <v>0</v>
      </c>
      <c r="AT1019" s="1045">
        <f t="shared" si="213"/>
        <v>8843034</v>
      </c>
      <c r="AU1019" s="1004"/>
      <c r="AV1019" s="870"/>
      <c r="AW1019" s="782" t="s">
        <v>5235</v>
      </c>
      <c r="AX1019" s="782" t="s">
        <v>5236</v>
      </c>
      <c r="AY1019" s="1007" t="s">
        <v>221</v>
      </c>
      <c r="AZ1019" s="1007">
        <v>622</v>
      </c>
      <c r="BA1019" s="347" t="str">
        <f t="shared" si="214"/>
        <v>Bag</v>
      </c>
      <c r="BB1019" s="1008"/>
      <c r="BC1019" s="1009"/>
      <c r="BD1019" s="1009"/>
    </row>
    <row r="1020" spans="1:56" s="1010" customFormat="1" ht="36.75" customHeight="1">
      <c r="A1020" s="661">
        <f>SUBTOTAL(3,B$6:B1020)</f>
        <v>1015</v>
      </c>
      <c r="B1020" s="661" t="s">
        <v>2832</v>
      </c>
      <c r="C1020" s="662" t="s">
        <v>2833</v>
      </c>
      <c r="D1020" s="1011">
        <v>39799</v>
      </c>
      <c r="E1020" s="1011" t="s">
        <v>221</v>
      </c>
      <c r="F1020" s="787" t="s">
        <v>536</v>
      </c>
      <c r="G1020" s="996" t="s">
        <v>1589</v>
      </c>
      <c r="H1020" s="1012">
        <v>5931000</v>
      </c>
      <c r="I1020" s="1012">
        <v>900000</v>
      </c>
      <c r="J1020" s="1012">
        <v>0</v>
      </c>
      <c r="K1020" s="1012">
        <v>100000</v>
      </c>
      <c r="L1020" s="1013">
        <f t="shared" si="208"/>
        <v>6931000</v>
      </c>
      <c r="M1020" s="1014">
        <v>23.8</v>
      </c>
      <c r="N1020" s="1013">
        <f t="shared" si="209"/>
        <v>6344531</v>
      </c>
      <c r="O1020" s="1015">
        <v>2</v>
      </c>
      <c r="P1020" s="1013">
        <f t="shared" si="210"/>
        <v>533154</v>
      </c>
      <c r="Q1020" s="1016">
        <v>0</v>
      </c>
      <c r="R1020" s="1013">
        <f t="shared" si="211"/>
        <v>0</v>
      </c>
      <c r="S1020" s="1013">
        <f t="shared" si="212"/>
        <v>6877685</v>
      </c>
      <c r="T1020" s="1017">
        <v>0</v>
      </c>
      <c r="U1020" s="785">
        <v>0</v>
      </c>
      <c r="V1020" s="785">
        <v>200000</v>
      </c>
      <c r="W1020" s="1017">
        <v>500000</v>
      </c>
      <c r="X1020" s="1017">
        <v>0</v>
      </c>
      <c r="Y1020" s="1017">
        <v>400000</v>
      </c>
      <c r="Z1020" s="1017">
        <v>565487</v>
      </c>
      <c r="AA1020" s="1018"/>
      <c r="AB1020" s="1013"/>
      <c r="AC1020" s="1017">
        <v>0</v>
      </c>
      <c r="AD1020" s="1017">
        <v>0</v>
      </c>
      <c r="AE1020" s="1013">
        <v>49983.174894957978</v>
      </c>
      <c r="AF1020" s="1019"/>
      <c r="AG1020" s="1019">
        <f t="shared" si="205"/>
        <v>8593155</v>
      </c>
      <c r="AH1020" s="1014">
        <v>60</v>
      </c>
      <c r="AI1020" s="1014">
        <v>0</v>
      </c>
      <c r="AJ1020" s="1014">
        <v>0</v>
      </c>
      <c r="AK1020" s="1018">
        <v>0</v>
      </c>
      <c r="AL1020" s="1020">
        <v>0</v>
      </c>
      <c r="AM1020" s="1013">
        <f t="shared" si="204"/>
        <v>2998990</v>
      </c>
      <c r="AN1020" s="1045">
        <f t="shared" si="207"/>
        <v>11592145</v>
      </c>
      <c r="AO1020" s="1013">
        <v>727755</v>
      </c>
      <c r="AP1020" s="1013">
        <v>44100</v>
      </c>
      <c r="AQ1020" s="1013">
        <v>0</v>
      </c>
      <c r="AR1020" s="1013">
        <v>0</v>
      </c>
      <c r="AS1020" s="1013">
        <v>0</v>
      </c>
      <c r="AT1020" s="1045">
        <f t="shared" si="213"/>
        <v>10820290</v>
      </c>
      <c r="AU1020" s="1004"/>
      <c r="AV1020" s="870"/>
      <c r="AW1020" s="782" t="s">
        <v>5237</v>
      </c>
      <c r="AX1020" s="782" t="s">
        <v>5238</v>
      </c>
      <c r="AY1020" s="1007" t="s">
        <v>221</v>
      </c>
      <c r="AZ1020" s="1007">
        <v>622</v>
      </c>
      <c r="BA1020" s="347" t="str">
        <f t="shared" si="214"/>
        <v>Bag</v>
      </c>
      <c r="BB1020" s="1008"/>
      <c r="BC1020" s="1009"/>
      <c r="BD1020" s="1009"/>
    </row>
    <row r="1021" spans="1:56" s="1010" customFormat="1" ht="36.75" customHeight="1">
      <c r="A1021" s="661">
        <f>SUBTOTAL(3,B$6:B1021)</f>
        <v>1016</v>
      </c>
      <c r="B1021" s="661" t="s">
        <v>2834</v>
      </c>
      <c r="C1021" s="662" t="s">
        <v>2835</v>
      </c>
      <c r="D1021" s="1011">
        <v>44634</v>
      </c>
      <c r="E1021" s="1011" t="s">
        <v>221</v>
      </c>
      <c r="F1021" s="787" t="s">
        <v>536</v>
      </c>
      <c r="G1021" s="996" t="s">
        <v>987</v>
      </c>
      <c r="H1021" s="1012">
        <v>5931000</v>
      </c>
      <c r="I1021" s="1012">
        <v>400000</v>
      </c>
      <c r="J1021" s="1012">
        <v>0</v>
      </c>
      <c r="K1021" s="1012">
        <v>0</v>
      </c>
      <c r="L1021" s="1013">
        <f t="shared" si="208"/>
        <v>6331000</v>
      </c>
      <c r="M1021" s="1014">
        <v>24</v>
      </c>
      <c r="N1021" s="1013">
        <f t="shared" si="209"/>
        <v>5844000</v>
      </c>
      <c r="O1021" s="1015">
        <v>2</v>
      </c>
      <c r="P1021" s="1013">
        <f t="shared" si="210"/>
        <v>487000</v>
      </c>
      <c r="Q1021" s="1016">
        <v>0</v>
      </c>
      <c r="R1021" s="1013">
        <f t="shared" si="211"/>
        <v>0</v>
      </c>
      <c r="S1021" s="1013">
        <f t="shared" si="212"/>
        <v>6331000</v>
      </c>
      <c r="T1021" s="1017">
        <v>0</v>
      </c>
      <c r="U1021" s="785">
        <v>0</v>
      </c>
      <c r="V1021" s="785">
        <v>200000</v>
      </c>
      <c r="W1021" s="1017">
        <v>500000</v>
      </c>
      <c r="X1021" s="1017">
        <v>0</v>
      </c>
      <c r="Y1021" s="1017">
        <v>400000</v>
      </c>
      <c r="Z1021" s="1017">
        <v>497278</v>
      </c>
      <c r="AA1021" s="1018"/>
      <c r="AB1021" s="1013"/>
      <c r="AC1021" s="1017">
        <v>0</v>
      </c>
      <c r="AD1021" s="1017">
        <v>0</v>
      </c>
      <c r="AE1021" s="1013">
        <v>45656.25</v>
      </c>
      <c r="AF1021" s="1019"/>
      <c r="AG1021" s="1019">
        <f t="shared" si="205"/>
        <v>7973934</v>
      </c>
      <c r="AH1021" s="1014">
        <v>60</v>
      </c>
      <c r="AI1021" s="1014">
        <v>0</v>
      </c>
      <c r="AJ1021" s="1014">
        <v>0</v>
      </c>
      <c r="AK1021" s="1018">
        <v>0</v>
      </c>
      <c r="AL1021" s="1020">
        <v>0</v>
      </c>
      <c r="AM1021" s="1013">
        <f t="shared" si="204"/>
        <v>2739375</v>
      </c>
      <c r="AN1021" s="1045">
        <f t="shared" si="207"/>
        <v>10713309</v>
      </c>
      <c r="AO1021" s="1013">
        <v>664755</v>
      </c>
      <c r="AP1021" s="1013">
        <v>44100</v>
      </c>
      <c r="AQ1021" s="1013">
        <v>0</v>
      </c>
      <c r="AR1021" s="1013">
        <v>0</v>
      </c>
      <c r="AS1021" s="1013">
        <v>0</v>
      </c>
      <c r="AT1021" s="1045">
        <f t="shared" si="213"/>
        <v>10004454</v>
      </c>
      <c r="AU1021" s="1004"/>
      <c r="AV1021" s="870"/>
      <c r="AW1021" s="782" t="s">
        <v>5239</v>
      </c>
      <c r="AX1021" s="782" t="s">
        <v>5240</v>
      </c>
      <c r="AY1021" s="1007" t="s">
        <v>221</v>
      </c>
      <c r="AZ1021" s="1007">
        <v>622</v>
      </c>
      <c r="BA1021" s="347" t="str">
        <f t="shared" si="214"/>
        <v>Bag</v>
      </c>
      <c r="BB1021" s="1008"/>
      <c r="BC1021" s="1009"/>
      <c r="BD1021" s="1009"/>
    </row>
    <row r="1022" spans="1:56" s="1010" customFormat="1" ht="36.75" customHeight="1">
      <c r="A1022" s="661">
        <f>SUBTOTAL(3,B$6:B1022)</f>
        <v>1017</v>
      </c>
      <c r="B1022" s="661" t="s">
        <v>2836</v>
      </c>
      <c r="C1022" s="662" t="s">
        <v>2481</v>
      </c>
      <c r="D1022" s="1011">
        <v>39811</v>
      </c>
      <c r="E1022" s="1011" t="s">
        <v>221</v>
      </c>
      <c r="F1022" s="787" t="s">
        <v>536</v>
      </c>
      <c r="G1022" s="996" t="s">
        <v>1589</v>
      </c>
      <c r="H1022" s="1012">
        <v>5931000</v>
      </c>
      <c r="I1022" s="1012">
        <v>900000</v>
      </c>
      <c r="J1022" s="1012">
        <v>0</v>
      </c>
      <c r="K1022" s="1012">
        <v>0</v>
      </c>
      <c r="L1022" s="1013">
        <f t="shared" si="208"/>
        <v>6831000</v>
      </c>
      <c r="M1022" s="1014">
        <v>24</v>
      </c>
      <c r="N1022" s="1013">
        <f t="shared" si="209"/>
        <v>6305538</v>
      </c>
      <c r="O1022" s="1015">
        <v>2</v>
      </c>
      <c r="P1022" s="1013">
        <f t="shared" si="210"/>
        <v>525462</v>
      </c>
      <c r="Q1022" s="1016">
        <v>0</v>
      </c>
      <c r="R1022" s="1013">
        <f t="shared" si="211"/>
        <v>0</v>
      </c>
      <c r="S1022" s="1013">
        <f t="shared" si="212"/>
        <v>6831000</v>
      </c>
      <c r="T1022" s="1017">
        <v>0</v>
      </c>
      <c r="U1022" s="785">
        <v>0</v>
      </c>
      <c r="V1022" s="785">
        <v>200000</v>
      </c>
      <c r="W1022" s="1017">
        <v>500000</v>
      </c>
      <c r="X1022" s="1017">
        <v>0</v>
      </c>
      <c r="Y1022" s="1017">
        <v>400000</v>
      </c>
      <c r="Z1022" s="1017">
        <v>480227</v>
      </c>
      <c r="AA1022" s="1018"/>
      <c r="AB1022" s="1013"/>
      <c r="AC1022" s="1017">
        <v>0</v>
      </c>
      <c r="AD1022" s="1017">
        <v>0</v>
      </c>
      <c r="AE1022" s="1013">
        <v>49262.015625</v>
      </c>
      <c r="AF1022" s="1019"/>
      <c r="AG1022" s="1019">
        <f t="shared" si="205"/>
        <v>8460489</v>
      </c>
      <c r="AH1022" s="1014">
        <v>60</v>
      </c>
      <c r="AI1022" s="1014">
        <v>0</v>
      </c>
      <c r="AJ1022" s="1014">
        <v>0</v>
      </c>
      <c r="AK1022" s="1018">
        <v>0</v>
      </c>
      <c r="AL1022" s="1020">
        <v>0</v>
      </c>
      <c r="AM1022" s="1013">
        <f t="shared" si="204"/>
        <v>2955721</v>
      </c>
      <c r="AN1022" s="1045">
        <f t="shared" si="207"/>
        <v>11416210</v>
      </c>
      <c r="AO1022" s="1013">
        <v>717255</v>
      </c>
      <c r="AP1022" s="1013">
        <v>44100</v>
      </c>
      <c r="AQ1022" s="1013">
        <v>0</v>
      </c>
      <c r="AR1022" s="1013">
        <v>0</v>
      </c>
      <c r="AS1022" s="1013">
        <v>0</v>
      </c>
      <c r="AT1022" s="1045">
        <f t="shared" si="213"/>
        <v>10654855</v>
      </c>
      <c r="AU1022" s="1004"/>
      <c r="AV1022" s="870"/>
      <c r="AW1022" s="782" t="s">
        <v>4897</v>
      </c>
      <c r="AX1022" s="782" t="s">
        <v>5241</v>
      </c>
      <c r="AY1022" s="1007" t="s">
        <v>221</v>
      </c>
      <c r="AZ1022" s="1007">
        <v>622</v>
      </c>
      <c r="BA1022" s="347" t="str">
        <f t="shared" si="214"/>
        <v>Bag</v>
      </c>
      <c r="BB1022" s="1008"/>
      <c r="BC1022" s="1009"/>
      <c r="BD1022" s="1009"/>
    </row>
    <row r="1023" spans="1:56" s="1010" customFormat="1" ht="36.75" customHeight="1">
      <c r="A1023" s="661">
        <f>SUBTOTAL(3,B$6:B1023)</f>
        <v>1018</v>
      </c>
      <c r="B1023" s="661" t="s">
        <v>2837</v>
      </c>
      <c r="C1023" s="662" t="s">
        <v>2838</v>
      </c>
      <c r="D1023" s="1011">
        <v>45698</v>
      </c>
      <c r="E1023" s="1011" t="s">
        <v>221</v>
      </c>
      <c r="F1023" s="787" t="s">
        <v>536</v>
      </c>
      <c r="G1023" s="996" t="s">
        <v>2748</v>
      </c>
      <c r="H1023" s="1012">
        <v>5023000</v>
      </c>
      <c r="I1023" s="1012">
        <v>700000</v>
      </c>
      <c r="J1023" s="1012">
        <v>0</v>
      </c>
      <c r="K1023" s="1012">
        <v>0</v>
      </c>
      <c r="L1023" s="1013">
        <f t="shared" si="208"/>
        <v>5723000</v>
      </c>
      <c r="M1023" s="1014">
        <v>23.9</v>
      </c>
      <c r="N1023" s="1013">
        <f t="shared" si="209"/>
        <v>5260758</v>
      </c>
      <c r="O1023" s="1015">
        <v>2</v>
      </c>
      <c r="P1023" s="1013">
        <f t="shared" si="210"/>
        <v>440231</v>
      </c>
      <c r="Q1023" s="1016">
        <v>0</v>
      </c>
      <c r="R1023" s="1013">
        <f t="shared" si="211"/>
        <v>0</v>
      </c>
      <c r="S1023" s="1013">
        <f t="shared" si="212"/>
        <v>5700989</v>
      </c>
      <c r="T1023" s="1017">
        <v>0</v>
      </c>
      <c r="U1023" s="785">
        <v>0</v>
      </c>
      <c r="V1023" s="785">
        <v>200000</v>
      </c>
      <c r="W1023" s="1017">
        <v>500000</v>
      </c>
      <c r="X1023" s="1017">
        <v>0</v>
      </c>
      <c r="Y1023" s="1017">
        <v>400000</v>
      </c>
      <c r="Z1023" s="1017">
        <v>515291</v>
      </c>
      <c r="AA1023" s="1018"/>
      <c r="AB1023" s="1013"/>
      <c r="AC1023" s="1017">
        <v>0</v>
      </c>
      <c r="AD1023" s="1017">
        <v>0</v>
      </c>
      <c r="AE1023" s="1013">
        <v>0</v>
      </c>
      <c r="AF1023" s="1019"/>
      <c r="AG1023" s="1019">
        <f t="shared" si="205"/>
        <v>7316280</v>
      </c>
      <c r="AH1023" s="1014">
        <v>52</v>
      </c>
      <c r="AI1023" s="1014">
        <v>0</v>
      </c>
      <c r="AJ1023" s="1014">
        <v>0</v>
      </c>
      <c r="AK1023" s="1018">
        <v>0</v>
      </c>
      <c r="AL1023" s="1020">
        <v>0</v>
      </c>
      <c r="AM1023" s="1013">
        <f t="shared" si="204"/>
        <v>2146125</v>
      </c>
      <c r="AN1023" s="1045">
        <f t="shared" si="207"/>
        <v>9462405</v>
      </c>
      <c r="AO1023" s="1013">
        <v>600915</v>
      </c>
      <c r="AP1023" s="1013">
        <v>44100</v>
      </c>
      <c r="AQ1023" s="1013">
        <v>0</v>
      </c>
      <c r="AR1023" s="1013">
        <v>0</v>
      </c>
      <c r="AS1023" s="1013">
        <v>0</v>
      </c>
      <c r="AT1023" s="1045">
        <f t="shared" si="213"/>
        <v>8817390</v>
      </c>
      <c r="AU1023" s="1004"/>
      <c r="AV1023" s="870"/>
      <c r="AW1023" s="782" t="s">
        <v>5242</v>
      </c>
      <c r="AX1023" s="782" t="s">
        <v>5243</v>
      </c>
      <c r="AY1023" s="1007" t="s">
        <v>221</v>
      </c>
      <c r="AZ1023" s="1007">
        <v>622</v>
      </c>
      <c r="BA1023" s="347" t="str">
        <f t="shared" si="214"/>
        <v>Bag</v>
      </c>
      <c r="BB1023" s="1008"/>
      <c r="BC1023" s="1009"/>
      <c r="BD1023" s="1009"/>
    </row>
    <row r="1024" spans="1:56" s="1010" customFormat="1" ht="36.75" customHeight="1">
      <c r="A1024" s="661">
        <f>SUBTOTAL(3,B$6:B1024)</f>
        <v>1019</v>
      </c>
      <c r="B1024" s="661" t="s">
        <v>2839</v>
      </c>
      <c r="C1024" s="662" t="s">
        <v>977</v>
      </c>
      <c r="D1024" s="1011">
        <v>45743</v>
      </c>
      <c r="E1024" s="1011" t="s">
        <v>221</v>
      </c>
      <c r="F1024" s="787" t="s">
        <v>536</v>
      </c>
      <c r="G1024" s="996" t="s">
        <v>987</v>
      </c>
      <c r="H1024" s="1012">
        <v>4694000</v>
      </c>
      <c r="I1024" s="1012">
        <v>0</v>
      </c>
      <c r="J1024" s="1012">
        <v>0</v>
      </c>
      <c r="K1024" s="1012">
        <v>0</v>
      </c>
      <c r="L1024" s="1013">
        <f t="shared" si="208"/>
        <v>4694000</v>
      </c>
      <c r="M1024" s="1014">
        <v>23.9</v>
      </c>
      <c r="N1024" s="1013">
        <f t="shared" si="209"/>
        <v>4314869</v>
      </c>
      <c r="O1024" s="1015">
        <v>2</v>
      </c>
      <c r="P1024" s="1013">
        <f t="shared" si="210"/>
        <v>361077</v>
      </c>
      <c r="Q1024" s="1016">
        <v>0</v>
      </c>
      <c r="R1024" s="1013">
        <f t="shared" si="211"/>
        <v>0</v>
      </c>
      <c r="S1024" s="1013">
        <f t="shared" si="212"/>
        <v>4675946</v>
      </c>
      <c r="T1024" s="1017">
        <v>0</v>
      </c>
      <c r="U1024" s="785">
        <v>0</v>
      </c>
      <c r="V1024" s="785">
        <v>200000</v>
      </c>
      <c r="W1024" s="1017">
        <v>500000</v>
      </c>
      <c r="X1024" s="1017">
        <v>0</v>
      </c>
      <c r="Y1024" s="1017">
        <v>400000</v>
      </c>
      <c r="Z1024" s="1017">
        <v>20234</v>
      </c>
      <c r="AA1024" s="1018"/>
      <c r="AB1024" s="1013"/>
      <c r="AC1024" s="1017">
        <v>0</v>
      </c>
      <c r="AD1024" s="1017">
        <v>89523</v>
      </c>
      <c r="AE1024" s="1013">
        <v>33850.959728033471</v>
      </c>
      <c r="AF1024" s="1019"/>
      <c r="AG1024" s="1019">
        <f t="shared" si="205"/>
        <v>5919554</v>
      </c>
      <c r="AH1024" s="1014">
        <v>56</v>
      </c>
      <c r="AI1024" s="1014">
        <v>0</v>
      </c>
      <c r="AJ1024" s="1014">
        <v>0</v>
      </c>
      <c r="AK1024" s="1018">
        <v>0</v>
      </c>
      <c r="AL1024" s="1020">
        <v>0</v>
      </c>
      <c r="AM1024" s="1013">
        <f t="shared" si="204"/>
        <v>1895654</v>
      </c>
      <c r="AN1024" s="1045">
        <f t="shared" si="207"/>
        <v>7815208</v>
      </c>
      <c r="AO1024" s="1013">
        <v>0</v>
      </c>
      <c r="AP1024" s="1013">
        <v>0</v>
      </c>
      <c r="AQ1024" s="1013">
        <v>0</v>
      </c>
      <c r="AR1024" s="1013">
        <v>0</v>
      </c>
      <c r="AS1024" s="1013">
        <v>0</v>
      </c>
      <c r="AT1024" s="1045">
        <f t="shared" si="213"/>
        <v>7815208</v>
      </c>
      <c r="AU1024" s="1004"/>
      <c r="AV1024" s="870"/>
      <c r="AW1024" s="782" t="s">
        <v>3506</v>
      </c>
      <c r="AX1024" s="782" t="s">
        <v>5886</v>
      </c>
      <c r="AY1024" s="1007" t="s">
        <v>221</v>
      </c>
      <c r="AZ1024" s="1007">
        <v>622</v>
      </c>
      <c r="BA1024" s="347" t="str">
        <f t="shared" si="214"/>
        <v>Bag</v>
      </c>
      <c r="BB1024" s="1008"/>
      <c r="BC1024" s="1009"/>
      <c r="BD1024" s="1009"/>
    </row>
    <row r="1025" spans="1:56" s="1010" customFormat="1" ht="36.75" customHeight="1">
      <c r="A1025" s="661">
        <f>SUBTOTAL(3,B$6:B1025)</f>
        <v>1020</v>
      </c>
      <c r="B1025" s="661" t="s">
        <v>2840</v>
      </c>
      <c r="C1025" s="662" t="s">
        <v>2841</v>
      </c>
      <c r="D1025" s="1011">
        <v>40633</v>
      </c>
      <c r="E1025" s="1011" t="s">
        <v>221</v>
      </c>
      <c r="F1025" s="787" t="s">
        <v>536</v>
      </c>
      <c r="G1025" s="996" t="s">
        <v>992</v>
      </c>
      <c r="H1025" s="1012">
        <v>5931000</v>
      </c>
      <c r="I1025" s="1012">
        <v>900000</v>
      </c>
      <c r="J1025" s="1012">
        <v>0</v>
      </c>
      <c r="K1025" s="1012">
        <v>0</v>
      </c>
      <c r="L1025" s="1013">
        <f t="shared" si="208"/>
        <v>6831000</v>
      </c>
      <c r="M1025" s="1014">
        <v>24</v>
      </c>
      <c r="N1025" s="1013">
        <f t="shared" si="209"/>
        <v>6305538</v>
      </c>
      <c r="O1025" s="1015">
        <v>2</v>
      </c>
      <c r="P1025" s="1013">
        <f t="shared" si="210"/>
        <v>525462</v>
      </c>
      <c r="Q1025" s="1016">
        <v>0</v>
      </c>
      <c r="R1025" s="1013">
        <f t="shared" si="211"/>
        <v>0</v>
      </c>
      <c r="S1025" s="1013">
        <f t="shared" si="212"/>
        <v>6831000</v>
      </c>
      <c r="T1025" s="1017">
        <v>0</v>
      </c>
      <c r="U1025" s="785">
        <v>0</v>
      </c>
      <c r="V1025" s="785">
        <v>200000</v>
      </c>
      <c r="W1025" s="1017">
        <v>500000</v>
      </c>
      <c r="X1025" s="1017">
        <v>200000</v>
      </c>
      <c r="Y1025" s="1017">
        <v>400000</v>
      </c>
      <c r="Z1025" s="1017">
        <v>550003</v>
      </c>
      <c r="AA1025" s="1018"/>
      <c r="AB1025" s="1013"/>
      <c r="AC1025" s="1017">
        <v>100000</v>
      </c>
      <c r="AD1025" s="1017">
        <v>0</v>
      </c>
      <c r="AE1025" s="1013">
        <v>49262.015625</v>
      </c>
      <c r="AF1025" s="1019"/>
      <c r="AG1025" s="1019">
        <f t="shared" si="205"/>
        <v>8830265</v>
      </c>
      <c r="AH1025" s="1014">
        <v>64</v>
      </c>
      <c r="AI1025" s="1014">
        <v>0</v>
      </c>
      <c r="AJ1025" s="1014">
        <v>0</v>
      </c>
      <c r="AK1025" s="1018">
        <v>0</v>
      </c>
      <c r="AL1025" s="1020">
        <v>0</v>
      </c>
      <c r="AM1025" s="1013">
        <f t="shared" si="204"/>
        <v>3152769</v>
      </c>
      <c r="AN1025" s="1045">
        <f t="shared" si="207"/>
        <v>11983034</v>
      </c>
      <c r="AO1025" s="1013">
        <v>717255</v>
      </c>
      <c r="AP1025" s="1013">
        <v>44100</v>
      </c>
      <c r="AQ1025" s="1013">
        <v>0</v>
      </c>
      <c r="AR1025" s="1013">
        <v>0</v>
      </c>
      <c r="AS1025" s="1013">
        <v>0</v>
      </c>
      <c r="AT1025" s="1045">
        <f t="shared" si="213"/>
        <v>11221679</v>
      </c>
      <c r="AU1025" s="1004"/>
      <c r="AV1025" s="870"/>
      <c r="AW1025" s="782" t="s">
        <v>5244</v>
      </c>
      <c r="AX1025" s="782" t="s">
        <v>5245</v>
      </c>
      <c r="AY1025" s="1007" t="s">
        <v>221</v>
      </c>
      <c r="AZ1025" s="1007">
        <v>622</v>
      </c>
      <c r="BA1025" s="347" t="str">
        <f t="shared" si="214"/>
        <v>Bag</v>
      </c>
      <c r="BB1025" s="1008"/>
      <c r="BC1025" s="1009"/>
      <c r="BD1025" s="1009"/>
    </row>
    <row r="1026" spans="1:56" s="1010" customFormat="1" ht="36.75" customHeight="1">
      <c r="A1026" s="661">
        <f>SUBTOTAL(3,B$6:B1026)</f>
        <v>1021</v>
      </c>
      <c r="B1026" s="661" t="s">
        <v>2842</v>
      </c>
      <c r="C1026" s="662" t="s">
        <v>2843</v>
      </c>
      <c r="D1026" s="1011">
        <v>41271</v>
      </c>
      <c r="E1026" s="1011" t="s">
        <v>221</v>
      </c>
      <c r="F1026" s="787" t="s">
        <v>536</v>
      </c>
      <c r="G1026" s="996" t="s">
        <v>1686</v>
      </c>
      <c r="H1026" s="1012">
        <v>5931000</v>
      </c>
      <c r="I1026" s="1012">
        <v>1800000</v>
      </c>
      <c r="J1026" s="1012">
        <v>0</v>
      </c>
      <c r="K1026" s="1012">
        <v>300000</v>
      </c>
      <c r="L1026" s="1013">
        <f t="shared" si="208"/>
        <v>8031000</v>
      </c>
      <c r="M1026" s="1014">
        <v>22.8</v>
      </c>
      <c r="N1026" s="1013">
        <f t="shared" si="209"/>
        <v>7042569</v>
      </c>
      <c r="O1026" s="1015">
        <v>3</v>
      </c>
      <c r="P1026" s="1013">
        <f t="shared" si="210"/>
        <v>926654</v>
      </c>
      <c r="Q1026" s="1016">
        <v>0</v>
      </c>
      <c r="R1026" s="1013">
        <f t="shared" si="211"/>
        <v>0</v>
      </c>
      <c r="S1026" s="1013">
        <f t="shared" si="212"/>
        <v>7969223</v>
      </c>
      <c r="T1026" s="1017">
        <v>0</v>
      </c>
      <c r="U1026" s="785">
        <v>0</v>
      </c>
      <c r="V1026" s="785">
        <v>200000</v>
      </c>
      <c r="W1026" s="1017">
        <v>500000</v>
      </c>
      <c r="X1026" s="1017">
        <v>0</v>
      </c>
      <c r="Y1026" s="1017">
        <v>400000</v>
      </c>
      <c r="Z1026" s="1017">
        <v>491575</v>
      </c>
      <c r="AA1026" s="1018"/>
      <c r="AB1026" s="1013"/>
      <c r="AC1026" s="1017">
        <v>0</v>
      </c>
      <c r="AD1026" s="1017">
        <v>0</v>
      </c>
      <c r="AE1026" s="1013">
        <v>57915.8634868421</v>
      </c>
      <c r="AF1026" s="1019"/>
      <c r="AG1026" s="1019">
        <f t="shared" si="205"/>
        <v>9618714</v>
      </c>
      <c r="AH1026" s="1014">
        <v>64</v>
      </c>
      <c r="AI1026" s="1014">
        <v>0</v>
      </c>
      <c r="AJ1026" s="1014">
        <v>0</v>
      </c>
      <c r="AK1026" s="1018">
        <v>0</v>
      </c>
      <c r="AL1026" s="1020">
        <v>0</v>
      </c>
      <c r="AM1026" s="1013">
        <f t="shared" si="204"/>
        <v>3706615</v>
      </c>
      <c r="AN1026" s="1045">
        <f t="shared" si="207"/>
        <v>13325329</v>
      </c>
      <c r="AO1026" s="1013">
        <v>843255</v>
      </c>
      <c r="AP1026" s="1013">
        <v>44100</v>
      </c>
      <c r="AQ1026" s="1013">
        <v>0</v>
      </c>
      <c r="AR1026" s="1013">
        <v>0</v>
      </c>
      <c r="AS1026" s="1013">
        <v>0</v>
      </c>
      <c r="AT1026" s="1045">
        <f t="shared" si="213"/>
        <v>12437974</v>
      </c>
      <c r="AU1026" s="1004"/>
      <c r="AV1026" s="870"/>
      <c r="AW1026" s="782" t="s">
        <v>5246</v>
      </c>
      <c r="AX1026" s="782" t="s">
        <v>5247</v>
      </c>
      <c r="AY1026" s="1007" t="s">
        <v>221</v>
      </c>
      <c r="AZ1026" s="1007">
        <v>622</v>
      </c>
      <c r="BA1026" s="347" t="str">
        <f t="shared" si="214"/>
        <v>Bag</v>
      </c>
      <c r="BB1026" s="1008"/>
      <c r="BC1026" s="1009"/>
      <c r="BD1026" s="1009"/>
    </row>
    <row r="1027" spans="1:56" s="1010" customFormat="1" ht="36.75" customHeight="1">
      <c r="A1027" s="661">
        <f>SUBTOTAL(3,B$6:B1027)</f>
        <v>1022</v>
      </c>
      <c r="B1027" s="661" t="s">
        <v>2844</v>
      </c>
      <c r="C1027" s="662" t="s">
        <v>2845</v>
      </c>
      <c r="D1027" s="1011">
        <v>42647</v>
      </c>
      <c r="E1027" s="1011" t="s">
        <v>221</v>
      </c>
      <c r="F1027" s="787" t="s">
        <v>536</v>
      </c>
      <c r="G1027" s="996" t="s">
        <v>1589</v>
      </c>
      <c r="H1027" s="1012">
        <v>5931000</v>
      </c>
      <c r="I1027" s="1012">
        <v>900000</v>
      </c>
      <c r="J1027" s="1012">
        <v>0</v>
      </c>
      <c r="K1027" s="1012">
        <v>0</v>
      </c>
      <c r="L1027" s="1013">
        <f t="shared" si="208"/>
        <v>6831000</v>
      </c>
      <c r="M1027" s="1014">
        <v>23.6</v>
      </c>
      <c r="N1027" s="1013">
        <f t="shared" si="209"/>
        <v>6200446</v>
      </c>
      <c r="O1027" s="1015">
        <v>2</v>
      </c>
      <c r="P1027" s="1013">
        <f t="shared" si="210"/>
        <v>525462</v>
      </c>
      <c r="Q1027" s="1016">
        <v>0</v>
      </c>
      <c r="R1027" s="1013">
        <f t="shared" si="211"/>
        <v>0</v>
      </c>
      <c r="S1027" s="1013">
        <f t="shared" si="212"/>
        <v>6725908</v>
      </c>
      <c r="T1027" s="1017">
        <v>0</v>
      </c>
      <c r="U1027" s="785">
        <v>0</v>
      </c>
      <c r="V1027" s="785">
        <v>200000</v>
      </c>
      <c r="W1027" s="1017">
        <v>500000</v>
      </c>
      <c r="X1027" s="1017">
        <v>0</v>
      </c>
      <c r="Y1027" s="1017">
        <v>400000</v>
      </c>
      <c r="Z1027" s="1017">
        <v>182023</v>
      </c>
      <c r="AA1027" s="1018"/>
      <c r="AB1027" s="1013"/>
      <c r="AC1027" s="1017">
        <v>0</v>
      </c>
      <c r="AD1027" s="1017">
        <v>0</v>
      </c>
      <c r="AE1027" s="1013">
        <v>49262.018008474566</v>
      </c>
      <c r="AF1027" s="1019"/>
      <c r="AG1027" s="1019">
        <f t="shared" si="205"/>
        <v>8057193</v>
      </c>
      <c r="AH1027" s="1014">
        <v>56</v>
      </c>
      <c r="AI1027" s="1014">
        <v>0</v>
      </c>
      <c r="AJ1027" s="1014">
        <v>0</v>
      </c>
      <c r="AK1027" s="1018">
        <v>0</v>
      </c>
      <c r="AL1027" s="1020">
        <v>0</v>
      </c>
      <c r="AM1027" s="1013">
        <f t="shared" si="204"/>
        <v>2758673</v>
      </c>
      <c r="AN1027" s="1045">
        <f t="shared" si="207"/>
        <v>10815866</v>
      </c>
      <c r="AO1027" s="1013">
        <v>717255</v>
      </c>
      <c r="AP1027" s="1013">
        <v>44100</v>
      </c>
      <c r="AQ1027" s="1013">
        <v>0</v>
      </c>
      <c r="AR1027" s="1013">
        <v>0</v>
      </c>
      <c r="AS1027" s="1013">
        <v>0</v>
      </c>
      <c r="AT1027" s="1045">
        <f t="shared" si="213"/>
        <v>10054511</v>
      </c>
      <c r="AU1027" s="1004"/>
      <c r="AV1027" s="870"/>
      <c r="AW1027" s="782" t="s">
        <v>5248</v>
      </c>
      <c r="AX1027" s="782" t="s">
        <v>5249</v>
      </c>
      <c r="AY1027" s="1007" t="s">
        <v>221</v>
      </c>
      <c r="AZ1027" s="1007">
        <v>622</v>
      </c>
      <c r="BA1027" s="347" t="str">
        <f t="shared" si="214"/>
        <v>Bag</v>
      </c>
      <c r="BB1027" s="1008"/>
      <c r="BC1027" s="1009"/>
      <c r="BD1027" s="1009"/>
    </row>
    <row r="1028" spans="1:56" s="1010" customFormat="1" ht="36.75" customHeight="1">
      <c r="A1028" s="661">
        <f>SUBTOTAL(3,B$6:B1028)</f>
        <v>1023</v>
      </c>
      <c r="B1028" s="661" t="s">
        <v>2846</v>
      </c>
      <c r="C1028" s="662" t="s">
        <v>2847</v>
      </c>
      <c r="D1028" s="1011">
        <v>43517</v>
      </c>
      <c r="E1028" s="1011" t="s">
        <v>221</v>
      </c>
      <c r="F1028" s="787" t="s">
        <v>536</v>
      </c>
      <c r="G1028" s="996" t="s">
        <v>1589</v>
      </c>
      <c r="H1028" s="1012">
        <v>5931000</v>
      </c>
      <c r="I1028" s="1012">
        <v>900000</v>
      </c>
      <c r="J1028" s="1012">
        <v>0</v>
      </c>
      <c r="K1028" s="1012">
        <v>0</v>
      </c>
      <c r="L1028" s="1013">
        <f t="shared" si="208"/>
        <v>6831000</v>
      </c>
      <c r="M1028" s="1014">
        <v>24</v>
      </c>
      <c r="N1028" s="1013">
        <f t="shared" si="209"/>
        <v>6305538</v>
      </c>
      <c r="O1028" s="1015">
        <v>2</v>
      </c>
      <c r="P1028" s="1013">
        <f t="shared" si="210"/>
        <v>525462</v>
      </c>
      <c r="Q1028" s="1016">
        <v>0</v>
      </c>
      <c r="R1028" s="1013">
        <f t="shared" si="211"/>
        <v>0</v>
      </c>
      <c r="S1028" s="1013">
        <f t="shared" si="212"/>
        <v>6831000</v>
      </c>
      <c r="T1028" s="1017">
        <v>0</v>
      </c>
      <c r="U1028" s="785">
        <v>0</v>
      </c>
      <c r="V1028" s="785">
        <v>200000</v>
      </c>
      <c r="W1028" s="1017">
        <v>500000</v>
      </c>
      <c r="X1028" s="1017">
        <v>0</v>
      </c>
      <c r="Y1028" s="1017">
        <v>400000</v>
      </c>
      <c r="Z1028" s="1017">
        <v>481163</v>
      </c>
      <c r="AA1028" s="1018"/>
      <c r="AB1028" s="1013"/>
      <c r="AC1028" s="1017">
        <v>200000</v>
      </c>
      <c r="AD1028" s="1017">
        <v>0</v>
      </c>
      <c r="AE1028" s="1013">
        <v>49262.015625</v>
      </c>
      <c r="AF1028" s="1019"/>
      <c r="AG1028" s="1019">
        <f t="shared" si="205"/>
        <v>8661425</v>
      </c>
      <c r="AH1028" s="1014">
        <v>52</v>
      </c>
      <c r="AI1028" s="1014">
        <v>0</v>
      </c>
      <c r="AJ1028" s="1014">
        <v>0</v>
      </c>
      <c r="AK1028" s="1018">
        <v>0</v>
      </c>
      <c r="AL1028" s="1020">
        <v>0</v>
      </c>
      <c r="AM1028" s="1013">
        <f t="shared" si="204"/>
        <v>2561625</v>
      </c>
      <c r="AN1028" s="1045">
        <f t="shared" si="207"/>
        <v>11223050</v>
      </c>
      <c r="AO1028" s="1013">
        <v>717255</v>
      </c>
      <c r="AP1028" s="1013">
        <v>44100</v>
      </c>
      <c r="AQ1028" s="1013">
        <v>0</v>
      </c>
      <c r="AR1028" s="1013">
        <v>0</v>
      </c>
      <c r="AS1028" s="1013">
        <v>0</v>
      </c>
      <c r="AT1028" s="1045">
        <f t="shared" si="213"/>
        <v>10461695</v>
      </c>
      <c r="AU1028" s="1004"/>
      <c r="AV1028" s="870"/>
      <c r="AW1028" s="782" t="s">
        <v>5250</v>
      </c>
      <c r="AX1028" s="782" t="s">
        <v>5251</v>
      </c>
      <c r="AY1028" s="1007" t="s">
        <v>221</v>
      </c>
      <c r="AZ1028" s="1007">
        <v>622</v>
      </c>
      <c r="BA1028" s="347" t="str">
        <f t="shared" si="214"/>
        <v>Bag</v>
      </c>
      <c r="BB1028" s="1008"/>
      <c r="BC1028" s="1009"/>
      <c r="BD1028" s="1009"/>
    </row>
    <row r="1029" spans="1:56" s="1010" customFormat="1" ht="36.75" customHeight="1">
      <c r="A1029" s="661">
        <f>SUBTOTAL(3,B$6:B1029)</f>
        <v>1024</v>
      </c>
      <c r="B1029" s="661" t="s">
        <v>2848</v>
      </c>
      <c r="C1029" s="662" t="s">
        <v>2849</v>
      </c>
      <c r="D1029" s="1011">
        <v>39707</v>
      </c>
      <c r="E1029" s="1011" t="s">
        <v>221</v>
      </c>
      <c r="F1029" s="787" t="s">
        <v>537</v>
      </c>
      <c r="G1029" s="996" t="s">
        <v>1686</v>
      </c>
      <c r="H1029" s="1012">
        <v>5931000</v>
      </c>
      <c r="I1029" s="1012">
        <v>2200000</v>
      </c>
      <c r="J1029" s="1012">
        <v>298000</v>
      </c>
      <c r="K1029" s="1012">
        <v>400000</v>
      </c>
      <c r="L1029" s="1013">
        <f t="shared" si="208"/>
        <v>8829000</v>
      </c>
      <c r="M1029" s="1014">
        <v>22.9</v>
      </c>
      <c r="N1029" s="1013">
        <f t="shared" si="209"/>
        <v>7776312</v>
      </c>
      <c r="O1029" s="1015">
        <v>3</v>
      </c>
      <c r="P1029" s="1013">
        <f t="shared" si="210"/>
        <v>1018731</v>
      </c>
      <c r="Q1029" s="1016">
        <v>0</v>
      </c>
      <c r="R1029" s="1013">
        <f t="shared" si="211"/>
        <v>0</v>
      </c>
      <c r="S1029" s="1013">
        <f t="shared" si="212"/>
        <v>8795043</v>
      </c>
      <c r="T1029" s="1017">
        <v>0</v>
      </c>
      <c r="U1029" s="785">
        <v>0</v>
      </c>
      <c r="V1029" s="785">
        <v>200000</v>
      </c>
      <c r="W1029" s="1017">
        <v>500000</v>
      </c>
      <c r="X1029" s="1017">
        <v>0</v>
      </c>
      <c r="Y1029" s="1017">
        <v>400000</v>
      </c>
      <c r="Z1029" s="1017">
        <v>424307</v>
      </c>
      <c r="AA1029" s="1018"/>
      <c r="AB1029" s="1013"/>
      <c r="AC1029" s="1017">
        <v>0</v>
      </c>
      <c r="AD1029" s="1017">
        <v>0</v>
      </c>
      <c r="AE1029" s="1013">
        <v>63670.676855895203</v>
      </c>
      <c r="AF1029" s="1019"/>
      <c r="AG1029" s="1019">
        <f t="shared" si="205"/>
        <v>10383021</v>
      </c>
      <c r="AH1029" s="1014">
        <v>48</v>
      </c>
      <c r="AI1029" s="1014">
        <v>0</v>
      </c>
      <c r="AJ1029" s="1014">
        <v>0</v>
      </c>
      <c r="AK1029" s="1018">
        <v>0</v>
      </c>
      <c r="AL1029" s="1020">
        <v>0</v>
      </c>
      <c r="AM1029" s="1013">
        <f t="shared" si="204"/>
        <v>3056192</v>
      </c>
      <c r="AN1029" s="1045">
        <f t="shared" si="207"/>
        <v>13439213</v>
      </c>
      <c r="AO1029" s="1013">
        <v>927045</v>
      </c>
      <c r="AP1029" s="1013">
        <v>44100</v>
      </c>
      <c r="AQ1029" s="1013">
        <v>39672</v>
      </c>
      <c r="AR1029" s="1013">
        <v>0</v>
      </c>
      <c r="AS1029" s="1013">
        <v>0</v>
      </c>
      <c r="AT1029" s="1045">
        <f t="shared" si="213"/>
        <v>12428396</v>
      </c>
      <c r="AU1029" s="1004"/>
      <c r="AV1029" s="870"/>
      <c r="AW1029" s="782" t="s">
        <v>5252</v>
      </c>
      <c r="AX1029" s="782" t="s">
        <v>5253</v>
      </c>
      <c r="AY1029" s="1007" t="s">
        <v>221</v>
      </c>
      <c r="AZ1029" s="1007">
        <v>622</v>
      </c>
      <c r="BA1029" s="347" t="str">
        <f t="shared" si="214"/>
        <v>Bag</v>
      </c>
      <c r="BB1029" s="1008"/>
      <c r="BC1029" s="1009"/>
      <c r="BD1029" s="1009"/>
    </row>
    <row r="1030" spans="1:56" s="1010" customFormat="1" ht="36.75" customHeight="1">
      <c r="A1030" s="661">
        <f>SUBTOTAL(3,B$6:B1030)</f>
        <v>1025</v>
      </c>
      <c r="B1030" s="661" t="s">
        <v>2850</v>
      </c>
      <c r="C1030" s="662" t="s">
        <v>2851</v>
      </c>
      <c r="D1030" s="1011">
        <v>43635</v>
      </c>
      <c r="E1030" s="1011" t="s">
        <v>221</v>
      </c>
      <c r="F1030" s="787" t="s">
        <v>537</v>
      </c>
      <c r="G1030" s="996" t="s">
        <v>1589</v>
      </c>
      <c r="H1030" s="1012">
        <v>5931000</v>
      </c>
      <c r="I1030" s="1012">
        <v>900000</v>
      </c>
      <c r="J1030" s="1012">
        <v>298000</v>
      </c>
      <c r="K1030" s="1012">
        <v>0</v>
      </c>
      <c r="L1030" s="1013">
        <f t="shared" si="208"/>
        <v>7129000</v>
      </c>
      <c r="M1030" s="1014">
        <v>24</v>
      </c>
      <c r="N1030" s="1013">
        <f t="shared" si="209"/>
        <v>6580615</v>
      </c>
      <c r="O1030" s="1015">
        <v>2</v>
      </c>
      <c r="P1030" s="1013">
        <f t="shared" si="210"/>
        <v>548385</v>
      </c>
      <c r="Q1030" s="1016">
        <v>0</v>
      </c>
      <c r="R1030" s="1013">
        <f t="shared" si="211"/>
        <v>0</v>
      </c>
      <c r="S1030" s="1013">
        <f t="shared" si="212"/>
        <v>7129000</v>
      </c>
      <c r="T1030" s="1017">
        <v>0</v>
      </c>
      <c r="U1030" s="785">
        <v>0</v>
      </c>
      <c r="V1030" s="785">
        <v>200000</v>
      </c>
      <c r="W1030" s="1017">
        <v>500000</v>
      </c>
      <c r="X1030" s="1017">
        <v>0</v>
      </c>
      <c r="Y1030" s="1017">
        <v>400000</v>
      </c>
      <c r="Z1030" s="1017">
        <v>471826</v>
      </c>
      <c r="AA1030" s="1018"/>
      <c r="AB1030" s="1013"/>
      <c r="AC1030" s="1017">
        <v>0</v>
      </c>
      <c r="AD1030" s="1017">
        <v>0</v>
      </c>
      <c r="AE1030" s="1013">
        <v>0</v>
      </c>
      <c r="AF1030" s="1019"/>
      <c r="AG1030" s="1019">
        <f t="shared" si="205"/>
        <v>8700826</v>
      </c>
      <c r="AH1030" s="1014">
        <v>48</v>
      </c>
      <c r="AI1030" s="1014">
        <v>0</v>
      </c>
      <c r="AJ1030" s="1014">
        <v>0</v>
      </c>
      <c r="AK1030" s="1018">
        <v>0</v>
      </c>
      <c r="AL1030" s="1020">
        <v>0</v>
      </c>
      <c r="AM1030" s="1013">
        <f t="shared" si="204"/>
        <v>2467731</v>
      </c>
      <c r="AN1030" s="1045">
        <f t="shared" si="207"/>
        <v>11168557</v>
      </c>
      <c r="AO1030" s="1013">
        <v>748545</v>
      </c>
      <c r="AP1030" s="1013">
        <v>44100</v>
      </c>
      <c r="AQ1030" s="1013">
        <v>0</v>
      </c>
      <c r="AR1030" s="1013">
        <v>0</v>
      </c>
      <c r="AS1030" s="1013">
        <v>0</v>
      </c>
      <c r="AT1030" s="1045">
        <f t="shared" si="213"/>
        <v>10375912</v>
      </c>
      <c r="AU1030" s="1004"/>
      <c r="AV1030" s="870"/>
      <c r="AW1030" s="782" t="s">
        <v>5254</v>
      </c>
      <c r="AX1030" s="782" t="s">
        <v>5255</v>
      </c>
      <c r="AY1030" s="1007" t="s">
        <v>221</v>
      </c>
      <c r="AZ1030" s="1007">
        <v>622</v>
      </c>
      <c r="BA1030" s="347" t="str">
        <f t="shared" si="214"/>
        <v>Bag</v>
      </c>
      <c r="BB1030" s="1008"/>
      <c r="BC1030" s="1009"/>
      <c r="BD1030" s="1009"/>
    </row>
    <row r="1031" spans="1:56" s="1010" customFormat="1" ht="36.75" customHeight="1">
      <c r="A1031" s="661">
        <f>SUBTOTAL(3,B$6:B1031)</f>
        <v>1026</v>
      </c>
      <c r="B1031" s="661" t="s">
        <v>2852</v>
      </c>
      <c r="C1031" s="662" t="s">
        <v>2853</v>
      </c>
      <c r="D1031" s="1011">
        <v>43749</v>
      </c>
      <c r="E1031" s="1011" t="s">
        <v>221</v>
      </c>
      <c r="F1031" s="787" t="s">
        <v>537</v>
      </c>
      <c r="G1031" s="996" t="s">
        <v>992</v>
      </c>
      <c r="H1031" s="1012">
        <v>5931000</v>
      </c>
      <c r="I1031" s="1012">
        <v>600000</v>
      </c>
      <c r="J1031" s="1012">
        <v>0</v>
      </c>
      <c r="K1031" s="1012">
        <v>0</v>
      </c>
      <c r="L1031" s="1013">
        <f t="shared" si="208"/>
        <v>6531000</v>
      </c>
      <c r="M1031" s="1014">
        <v>22.8</v>
      </c>
      <c r="N1031" s="1013">
        <f t="shared" si="209"/>
        <v>5727185</v>
      </c>
      <c r="O1031" s="1015">
        <v>3</v>
      </c>
      <c r="P1031" s="1013">
        <f t="shared" si="210"/>
        <v>753577</v>
      </c>
      <c r="Q1031" s="1016">
        <v>0</v>
      </c>
      <c r="R1031" s="1013">
        <f t="shared" si="211"/>
        <v>0</v>
      </c>
      <c r="S1031" s="1013">
        <f t="shared" si="212"/>
        <v>6480762</v>
      </c>
      <c r="T1031" s="1017">
        <v>0</v>
      </c>
      <c r="U1031" s="785">
        <v>0</v>
      </c>
      <c r="V1031" s="785">
        <v>200000</v>
      </c>
      <c r="W1031" s="1017">
        <v>500000</v>
      </c>
      <c r="X1031" s="1017">
        <v>0</v>
      </c>
      <c r="Y1031" s="1017">
        <v>400000</v>
      </c>
      <c r="Z1031" s="1017">
        <v>413184</v>
      </c>
      <c r="AA1031" s="1018"/>
      <c r="AB1031" s="1013"/>
      <c r="AC1031" s="1017">
        <v>100000</v>
      </c>
      <c r="AD1031" s="1017">
        <v>0</v>
      </c>
      <c r="AE1031" s="1013">
        <v>47098.56085526316</v>
      </c>
      <c r="AF1031" s="1019"/>
      <c r="AG1031" s="1019">
        <f t="shared" si="205"/>
        <v>8141045</v>
      </c>
      <c r="AH1031" s="1014">
        <v>0</v>
      </c>
      <c r="AI1031" s="1014">
        <v>0</v>
      </c>
      <c r="AJ1031" s="1014">
        <v>0</v>
      </c>
      <c r="AK1031" s="1018">
        <v>0</v>
      </c>
      <c r="AL1031" s="1020">
        <v>0</v>
      </c>
      <c r="AM1031" s="1013">
        <f t="shared" ref="AM1031:AM1094" si="215">ROUND((N1031/IF(M1031&gt;26,26,M1031)/8*(AH1031*$AH$5+AI1031*$AI$5+AJ1031*$AJ$5+AK1031*$AK$5+AL1031*$AL$5)),0)</f>
        <v>0</v>
      </c>
      <c r="AN1031" s="1045">
        <f t="shared" si="207"/>
        <v>8141045</v>
      </c>
      <c r="AO1031" s="1013">
        <v>685755</v>
      </c>
      <c r="AP1031" s="1013">
        <v>44100</v>
      </c>
      <c r="AQ1031" s="1013">
        <v>0</v>
      </c>
      <c r="AR1031" s="1013">
        <v>0</v>
      </c>
      <c r="AS1031" s="1013">
        <v>0</v>
      </c>
      <c r="AT1031" s="1045">
        <f t="shared" si="213"/>
        <v>7411190</v>
      </c>
      <c r="AU1031" s="1004"/>
      <c r="AV1031" s="870"/>
      <c r="AW1031" s="782" t="s">
        <v>5256</v>
      </c>
      <c r="AX1031" s="782" t="s">
        <v>5257</v>
      </c>
      <c r="AY1031" s="1007" t="s">
        <v>221</v>
      </c>
      <c r="AZ1031" s="1007">
        <v>622</v>
      </c>
      <c r="BA1031" s="347" t="str">
        <f t="shared" si="214"/>
        <v>Bag</v>
      </c>
      <c r="BB1031" s="1008"/>
      <c r="BC1031" s="1009"/>
      <c r="BD1031" s="1009"/>
    </row>
    <row r="1032" spans="1:56" s="1010" customFormat="1" ht="36.75" customHeight="1">
      <c r="A1032" s="661">
        <f>SUBTOTAL(3,B$6:B1032)</f>
        <v>1027</v>
      </c>
      <c r="B1032" s="661" t="s">
        <v>2854</v>
      </c>
      <c r="C1032" s="662" t="s">
        <v>2855</v>
      </c>
      <c r="D1032" s="1011">
        <v>43880</v>
      </c>
      <c r="E1032" s="1011" t="s">
        <v>221</v>
      </c>
      <c r="F1032" s="787" t="s">
        <v>537</v>
      </c>
      <c r="G1032" s="996" t="s">
        <v>1589</v>
      </c>
      <c r="H1032" s="1012">
        <v>5931000</v>
      </c>
      <c r="I1032" s="1012">
        <v>900000</v>
      </c>
      <c r="J1032" s="1012">
        <v>298000</v>
      </c>
      <c r="K1032" s="1012">
        <v>0</v>
      </c>
      <c r="L1032" s="1013">
        <f t="shared" si="208"/>
        <v>7129000</v>
      </c>
      <c r="M1032" s="1014">
        <v>23.8</v>
      </c>
      <c r="N1032" s="1013">
        <f t="shared" si="209"/>
        <v>6525777</v>
      </c>
      <c r="O1032" s="1015">
        <v>2</v>
      </c>
      <c r="P1032" s="1013">
        <f t="shared" si="210"/>
        <v>548385</v>
      </c>
      <c r="Q1032" s="1016">
        <v>0</v>
      </c>
      <c r="R1032" s="1013">
        <f t="shared" si="211"/>
        <v>0</v>
      </c>
      <c r="S1032" s="1013">
        <f t="shared" si="212"/>
        <v>7074162</v>
      </c>
      <c r="T1032" s="1017">
        <v>0</v>
      </c>
      <c r="U1032" s="785">
        <v>0</v>
      </c>
      <c r="V1032" s="785">
        <v>200000</v>
      </c>
      <c r="W1032" s="1017">
        <v>500000</v>
      </c>
      <c r="X1032" s="1017">
        <v>0</v>
      </c>
      <c r="Y1032" s="1017">
        <v>400000</v>
      </c>
      <c r="Z1032" s="1017">
        <v>440983</v>
      </c>
      <c r="AA1032" s="1018"/>
      <c r="AB1032" s="1013"/>
      <c r="AC1032" s="1017">
        <v>0</v>
      </c>
      <c r="AD1032" s="1017">
        <v>0</v>
      </c>
      <c r="AE1032" s="1013">
        <v>0</v>
      </c>
      <c r="AF1032" s="1019"/>
      <c r="AG1032" s="1019">
        <f t="shared" si="205"/>
        <v>8615145</v>
      </c>
      <c r="AH1032" s="1014">
        <v>48</v>
      </c>
      <c r="AI1032" s="1014">
        <v>0</v>
      </c>
      <c r="AJ1032" s="1014">
        <v>0</v>
      </c>
      <c r="AK1032" s="1018">
        <v>0</v>
      </c>
      <c r="AL1032" s="1020">
        <v>0</v>
      </c>
      <c r="AM1032" s="1013">
        <f t="shared" si="215"/>
        <v>2467731</v>
      </c>
      <c r="AN1032" s="1045">
        <f t="shared" si="207"/>
        <v>11082876</v>
      </c>
      <c r="AO1032" s="1013">
        <v>748545</v>
      </c>
      <c r="AP1032" s="1013">
        <v>44100</v>
      </c>
      <c r="AQ1032" s="1013">
        <v>0</v>
      </c>
      <c r="AR1032" s="1013">
        <v>0</v>
      </c>
      <c r="AS1032" s="1013">
        <v>0</v>
      </c>
      <c r="AT1032" s="1045">
        <f t="shared" si="213"/>
        <v>10290231</v>
      </c>
      <c r="AU1032" s="1004"/>
      <c r="AV1032" s="870"/>
      <c r="AW1032" s="782" t="s">
        <v>5258</v>
      </c>
      <c r="AX1032" s="782" t="s">
        <v>5259</v>
      </c>
      <c r="AY1032" s="1007" t="s">
        <v>221</v>
      </c>
      <c r="AZ1032" s="1007">
        <v>622</v>
      </c>
      <c r="BA1032" s="347" t="str">
        <f t="shared" si="214"/>
        <v>Bag</v>
      </c>
      <c r="BB1032" s="1008"/>
      <c r="BC1032" s="1009"/>
      <c r="BD1032" s="1009"/>
    </row>
    <row r="1033" spans="1:56" s="1010" customFormat="1" ht="36.75" customHeight="1">
      <c r="A1033" s="661">
        <f>SUBTOTAL(3,B$6:B1033)</f>
        <v>1028</v>
      </c>
      <c r="B1033" s="661" t="s">
        <v>2856</v>
      </c>
      <c r="C1033" s="662" t="s">
        <v>2857</v>
      </c>
      <c r="D1033" s="1011">
        <v>45700</v>
      </c>
      <c r="E1033" s="1011" t="s">
        <v>221</v>
      </c>
      <c r="F1033" s="787" t="s">
        <v>537</v>
      </c>
      <c r="G1033" s="996" t="s">
        <v>987</v>
      </c>
      <c r="H1033" s="1012">
        <v>5023000</v>
      </c>
      <c r="I1033" s="1012">
        <v>200000</v>
      </c>
      <c r="J1033" s="1012">
        <v>252000</v>
      </c>
      <c r="K1033" s="1012">
        <v>0</v>
      </c>
      <c r="L1033" s="1013">
        <f t="shared" si="208"/>
        <v>5475000</v>
      </c>
      <c r="M1033" s="1014">
        <v>22.9</v>
      </c>
      <c r="N1033" s="1013">
        <f t="shared" si="209"/>
        <v>4822212</v>
      </c>
      <c r="O1033" s="1015">
        <v>3</v>
      </c>
      <c r="P1033" s="1013">
        <f t="shared" si="210"/>
        <v>631731</v>
      </c>
      <c r="Q1033" s="1016">
        <v>0</v>
      </c>
      <c r="R1033" s="1013">
        <f t="shared" si="211"/>
        <v>0</v>
      </c>
      <c r="S1033" s="1013">
        <f t="shared" si="212"/>
        <v>5453943</v>
      </c>
      <c r="T1033" s="1017">
        <v>0</v>
      </c>
      <c r="U1033" s="785">
        <v>0</v>
      </c>
      <c r="V1033" s="785">
        <v>200000</v>
      </c>
      <c r="W1033" s="1017">
        <v>500000</v>
      </c>
      <c r="X1033" s="1017">
        <v>0</v>
      </c>
      <c r="Y1033" s="1017">
        <v>400000</v>
      </c>
      <c r="Z1033" s="1017">
        <v>424307</v>
      </c>
      <c r="AA1033" s="1018"/>
      <c r="AB1033" s="1013"/>
      <c r="AC1033" s="1017">
        <v>0</v>
      </c>
      <c r="AD1033" s="1017">
        <v>0</v>
      </c>
      <c r="AE1033" s="1013">
        <v>0</v>
      </c>
      <c r="AF1033" s="1019"/>
      <c r="AG1033" s="1019">
        <f t="shared" si="205"/>
        <v>6978250</v>
      </c>
      <c r="AH1033" s="1014">
        <v>40</v>
      </c>
      <c r="AI1033" s="1014">
        <v>0</v>
      </c>
      <c r="AJ1033" s="1014">
        <v>0</v>
      </c>
      <c r="AK1033" s="1018">
        <v>0</v>
      </c>
      <c r="AL1033" s="1020">
        <v>0</v>
      </c>
      <c r="AM1033" s="1013">
        <f t="shared" si="215"/>
        <v>1579327</v>
      </c>
      <c r="AN1033" s="1045">
        <f t="shared" si="207"/>
        <v>8557577</v>
      </c>
      <c r="AO1033" s="1013">
        <v>574875</v>
      </c>
      <c r="AP1033" s="1013">
        <v>0</v>
      </c>
      <c r="AQ1033" s="1013">
        <v>0</v>
      </c>
      <c r="AR1033" s="1013">
        <v>0</v>
      </c>
      <c r="AS1033" s="1013">
        <v>0</v>
      </c>
      <c r="AT1033" s="1045">
        <f t="shared" si="213"/>
        <v>7982702</v>
      </c>
      <c r="AU1033" s="1004"/>
      <c r="AV1033" s="870"/>
      <c r="AW1033" s="782" t="s">
        <v>5260</v>
      </c>
      <c r="AX1033" s="782" t="s">
        <v>5261</v>
      </c>
      <c r="AY1033" s="1007" t="s">
        <v>221</v>
      </c>
      <c r="AZ1033" s="1007">
        <v>622</v>
      </c>
      <c r="BA1033" s="347" t="str">
        <f t="shared" si="214"/>
        <v>Bag</v>
      </c>
      <c r="BB1033" s="1008"/>
      <c r="BC1033" s="1009"/>
      <c r="BD1033" s="1009"/>
    </row>
    <row r="1034" spans="1:56" s="1010" customFormat="1" ht="36.75" customHeight="1">
      <c r="A1034" s="661">
        <f>SUBTOTAL(3,B$6:B1034)</f>
        <v>1029</v>
      </c>
      <c r="B1034" s="661" t="s">
        <v>2858</v>
      </c>
      <c r="C1034" s="662" t="s">
        <v>2859</v>
      </c>
      <c r="D1034" s="1011">
        <v>45740</v>
      </c>
      <c r="E1034" s="1011" t="s">
        <v>221</v>
      </c>
      <c r="F1034" s="787" t="s">
        <v>537</v>
      </c>
      <c r="G1034" s="996" t="s">
        <v>987</v>
      </c>
      <c r="H1034" s="1012">
        <v>4694000</v>
      </c>
      <c r="I1034" s="1012">
        <v>0</v>
      </c>
      <c r="J1034" s="1012">
        <v>235000</v>
      </c>
      <c r="K1034" s="1012">
        <v>0</v>
      </c>
      <c r="L1034" s="1013">
        <f t="shared" si="208"/>
        <v>4929000</v>
      </c>
      <c r="M1034" s="1014">
        <v>22.6</v>
      </c>
      <c r="N1034" s="1013">
        <f t="shared" si="209"/>
        <v>4284438</v>
      </c>
      <c r="O1034" s="1015">
        <v>3</v>
      </c>
      <c r="P1034" s="1013">
        <f t="shared" si="210"/>
        <v>568731</v>
      </c>
      <c r="Q1034" s="1016">
        <v>0</v>
      </c>
      <c r="R1034" s="1013">
        <f t="shared" si="211"/>
        <v>0</v>
      </c>
      <c r="S1034" s="1013">
        <f t="shared" si="212"/>
        <v>4853169</v>
      </c>
      <c r="T1034" s="1017">
        <v>0</v>
      </c>
      <c r="U1034" s="785">
        <v>0</v>
      </c>
      <c r="V1034" s="785">
        <v>200000</v>
      </c>
      <c r="W1034" s="1017">
        <v>500000</v>
      </c>
      <c r="X1034" s="1017">
        <v>0</v>
      </c>
      <c r="Y1034" s="1017">
        <v>400000</v>
      </c>
      <c r="Z1034" s="1017">
        <v>498659</v>
      </c>
      <c r="AA1034" s="1018"/>
      <c r="AB1034" s="1013"/>
      <c r="AC1034" s="1017">
        <v>0</v>
      </c>
      <c r="AD1034" s="1017">
        <v>228104</v>
      </c>
      <c r="AE1034" s="1013">
        <v>35545.669247787606</v>
      </c>
      <c r="AF1034" s="1019"/>
      <c r="AG1034" s="1019">
        <f t="shared" si="205"/>
        <v>6715478</v>
      </c>
      <c r="AH1034" s="1014">
        <v>36</v>
      </c>
      <c r="AI1034" s="1014">
        <v>0</v>
      </c>
      <c r="AJ1034" s="1014">
        <v>0</v>
      </c>
      <c r="AK1034" s="1018">
        <v>0</v>
      </c>
      <c r="AL1034" s="1020">
        <v>0</v>
      </c>
      <c r="AM1034" s="1013">
        <f t="shared" si="215"/>
        <v>1279644</v>
      </c>
      <c r="AN1034" s="1045">
        <f t="shared" si="207"/>
        <v>7995122</v>
      </c>
      <c r="AO1034" s="1013">
        <v>0</v>
      </c>
      <c r="AP1034" s="1013">
        <v>0</v>
      </c>
      <c r="AQ1034" s="1013">
        <v>0</v>
      </c>
      <c r="AR1034" s="1013">
        <v>0</v>
      </c>
      <c r="AS1034" s="1013">
        <v>0</v>
      </c>
      <c r="AT1034" s="1045">
        <f t="shared" si="213"/>
        <v>7995122</v>
      </c>
      <c r="AU1034" s="1004"/>
      <c r="AV1034" s="870"/>
      <c r="AW1034" s="782" t="s">
        <v>5262</v>
      </c>
      <c r="AX1034" s="782" t="s">
        <v>5263</v>
      </c>
      <c r="AY1034" s="1007" t="s">
        <v>221</v>
      </c>
      <c r="AZ1034" s="1007">
        <v>622</v>
      </c>
      <c r="BA1034" s="347" t="str">
        <f t="shared" si="214"/>
        <v>Bag</v>
      </c>
      <c r="BB1034" s="1008"/>
      <c r="BC1034" s="1009"/>
      <c r="BD1034" s="1009"/>
    </row>
    <row r="1035" spans="1:56" s="1010" customFormat="1" ht="36.75" customHeight="1">
      <c r="A1035" s="661">
        <f>SUBTOTAL(3,B$6:B1035)</f>
        <v>1030</v>
      </c>
      <c r="B1035" s="661" t="s">
        <v>2860</v>
      </c>
      <c r="C1035" s="662" t="s">
        <v>2861</v>
      </c>
      <c r="D1035" s="1011">
        <v>40509</v>
      </c>
      <c r="E1035" s="1011" t="s">
        <v>221</v>
      </c>
      <c r="F1035" s="787" t="s">
        <v>537</v>
      </c>
      <c r="G1035" s="996" t="s">
        <v>1589</v>
      </c>
      <c r="H1035" s="1012">
        <v>5931000</v>
      </c>
      <c r="I1035" s="1012">
        <v>900000</v>
      </c>
      <c r="J1035" s="1012">
        <v>298000</v>
      </c>
      <c r="K1035" s="1012">
        <v>100000</v>
      </c>
      <c r="L1035" s="1013">
        <f t="shared" si="208"/>
        <v>7229000</v>
      </c>
      <c r="M1035" s="1014">
        <v>24</v>
      </c>
      <c r="N1035" s="1013">
        <f t="shared" si="209"/>
        <v>6672923</v>
      </c>
      <c r="O1035" s="1015">
        <v>2</v>
      </c>
      <c r="P1035" s="1013">
        <f t="shared" si="210"/>
        <v>556077</v>
      </c>
      <c r="Q1035" s="1016">
        <v>0</v>
      </c>
      <c r="R1035" s="1013">
        <f t="shared" si="211"/>
        <v>0</v>
      </c>
      <c r="S1035" s="1013">
        <f t="shared" si="212"/>
        <v>7229000</v>
      </c>
      <c r="T1035" s="1017">
        <v>0</v>
      </c>
      <c r="U1035" s="785">
        <v>0</v>
      </c>
      <c r="V1035" s="785">
        <v>200000</v>
      </c>
      <c r="W1035" s="1017">
        <v>500000</v>
      </c>
      <c r="X1035" s="1017">
        <v>0</v>
      </c>
      <c r="Y1035" s="1017">
        <v>400000</v>
      </c>
      <c r="Z1035" s="1017">
        <v>484022</v>
      </c>
      <c r="AA1035" s="1018"/>
      <c r="AB1035" s="1013"/>
      <c r="AC1035" s="1017">
        <v>0</v>
      </c>
      <c r="AD1035" s="1017">
        <v>0</v>
      </c>
      <c r="AE1035" s="1013">
        <v>0</v>
      </c>
      <c r="AF1035" s="1019"/>
      <c r="AG1035" s="1019">
        <f t="shared" si="205"/>
        <v>8813022</v>
      </c>
      <c r="AH1035" s="1014">
        <v>40</v>
      </c>
      <c r="AI1035" s="1014">
        <v>0</v>
      </c>
      <c r="AJ1035" s="1014">
        <v>0</v>
      </c>
      <c r="AK1035" s="1018">
        <v>0</v>
      </c>
      <c r="AL1035" s="1020">
        <v>0</v>
      </c>
      <c r="AM1035" s="1013">
        <f t="shared" si="215"/>
        <v>2085288</v>
      </c>
      <c r="AN1035" s="1045">
        <f t="shared" si="207"/>
        <v>10898310</v>
      </c>
      <c r="AO1035" s="1013">
        <v>759045</v>
      </c>
      <c r="AP1035" s="1013">
        <v>44100</v>
      </c>
      <c r="AQ1035" s="1013">
        <v>0</v>
      </c>
      <c r="AR1035" s="1013">
        <v>0</v>
      </c>
      <c r="AS1035" s="1013">
        <v>0</v>
      </c>
      <c r="AT1035" s="1045">
        <f t="shared" si="213"/>
        <v>10095165</v>
      </c>
      <c r="AU1035" s="1004"/>
      <c r="AV1035" s="870"/>
      <c r="AW1035" s="782" t="s">
        <v>5264</v>
      </c>
      <c r="AX1035" s="782" t="s">
        <v>5265</v>
      </c>
      <c r="AY1035" s="1007" t="s">
        <v>221</v>
      </c>
      <c r="AZ1035" s="1007">
        <v>622</v>
      </c>
      <c r="BA1035" s="347" t="str">
        <f t="shared" si="214"/>
        <v>Bag</v>
      </c>
      <c r="BB1035" s="1008"/>
      <c r="BC1035" s="1009"/>
      <c r="BD1035" s="1009"/>
    </row>
    <row r="1036" spans="1:56" s="1010" customFormat="1" ht="36.75" customHeight="1">
      <c r="A1036" s="661">
        <f>SUBTOTAL(3,B$6:B1036)</f>
        <v>1031</v>
      </c>
      <c r="B1036" s="661" t="s">
        <v>2862</v>
      </c>
      <c r="C1036" s="662" t="s">
        <v>2863</v>
      </c>
      <c r="D1036" s="1011">
        <v>41743</v>
      </c>
      <c r="E1036" s="1011" t="s">
        <v>221</v>
      </c>
      <c r="F1036" s="787" t="s">
        <v>537</v>
      </c>
      <c r="G1036" s="996" t="s">
        <v>1589</v>
      </c>
      <c r="H1036" s="1012">
        <v>5931000</v>
      </c>
      <c r="I1036" s="1012">
        <v>900000</v>
      </c>
      <c r="J1036" s="1012">
        <v>298000</v>
      </c>
      <c r="K1036" s="1012">
        <v>100000</v>
      </c>
      <c r="L1036" s="1013">
        <f t="shared" si="208"/>
        <v>7229000</v>
      </c>
      <c r="M1036" s="1014">
        <v>22.8</v>
      </c>
      <c r="N1036" s="1013">
        <f t="shared" si="209"/>
        <v>6339277</v>
      </c>
      <c r="O1036" s="1015">
        <v>3</v>
      </c>
      <c r="P1036" s="1013">
        <f t="shared" si="210"/>
        <v>834115</v>
      </c>
      <c r="Q1036" s="1016">
        <v>0</v>
      </c>
      <c r="R1036" s="1013">
        <f t="shared" si="211"/>
        <v>0</v>
      </c>
      <c r="S1036" s="1013">
        <f t="shared" si="212"/>
        <v>7173392</v>
      </c>
      <c r="T1036" s="1017">
        <v>0</v>
      </c>
      <c r="U1036" s="785">
        <v>0</v>
      </c>
      <c r="V1036" s="785">
        <v>200000</v>
      </c>
      <c r="W1036" s="1017">
        <v>500000</v>
      </c>
      <c r="X1036" s="1017">
        <v>0</v>
      </c>
      <c r="Y1036" s="1017">
        <v>400000</v>
      </c>
      <c r="Z1036" s="1017">
        <v>458860</v>
      </c>
      <c r="AA1036" s="1018"/>
      <c r="AB1036" s="1013"/>
      <c r="AC1036" s="1017">
        <v>0</v>
      </c>
      <c r="AD1036" s="1017">
        <v>0</v>
      </c>
      <c r="AE1036" s="1013">
        <v>52132.212171052626</v>
      </c>
      <c r="AF1036" s="1019"/>
      <c r="AG1036" s="1019">
        <f t="shared" si="205"/>
        <v>8784384</v>
      </c>
      <c r="AH1036" s="1014">
        <v>40</v>
      </c>
      <c r="AI1036" s="1014">
        <v>0</v>
      </c>
      <c r="AJ1036" s="1014">
        <v>0</v>
      </c>
      <c r="AK1036" s="1018">
        <v>0</v>
      </c>
      <c r="AL1036" s="1020">
        <v>0</v>
      </c>
      <c r="AM1036" s="1013">
        <f t="shared" si="215"/>
        <v>2085288</v>
      </c>
      <c r="AN1036" s="1045">
        <f t="shared" si="207"/>
        <v>10869672</v>
      </c>
      <c r="AO1036" s="1013">
        <v>759045</v>
      </c>
      <c r="AP1036" s="1013">
        <v>44100</v>
      </c>
      <c r="AQ1036" s="1013">
        <v>0</v>
      </c>
      <c r="AR1036" s="1013">
        <v>0</v>
      </c>
      <c r="AS1036" s="1013">
        <v>0</v>
      </c>
      <c r="AT1036" s="1045">
        <f t="shared" si="213"/>
        <v>10066527</v>
      </c>
      <c r="AU1036" s="1004"/>
      <c r="AV1036" s="870"/>
      <c r="AW1036" s="782" t="s">
        <v>5266</v>
      </c>
      <c r="AX1036" s="782" t="s">
        <v>5267</v>
      </c>
      <c r="AY1036" s="1007" t="s">
        <v>221</v>
      </c>
      <c r="AZ1036" s="1007">
        <v>622</v>
      </c>
      <c r="BA1036" s="347" t="str">
        <f t="shared" si="214"/>
        <v>Bag</v>
      </c>
      <c r="BB1036" s="1008"/>
      <c r="BC1036" s="1009"/>
      <c r="BD1036" s="1009"/>
    </row>
    <row r="1037" spans="1:56" s="1010" customFormat="1" ht="36.75" customHeight="1">
      <c r="A1037" s="661">
        <f>SUBTOTAL(3,B$6:B1037)</f>
        <v>1032</v>
      </c>
      <c r="B1037" s="661" t="s">
        <v>2864</v>
      </c>
      <c r="C1037" s="662" t="s">
        <v>2865</v>
      </c>
      <c r="D1037" s="1011">
        <v>43515</v>
      </c>
      <c r="E1037" s="1011" t="s">
        <v>221</v>
      </c>
      <c r="F1037" s="787" t="s">
        <v>537</v>
      </c>
      <c r="G1037" s="996" t="s">
        <v>987</v>
      </c>
      <c r="H1037" s="1012">
        <v>5931000</v>
      </c>
      <c r="I1037" s="1012">
        <v>200000</v>
      </c>
      <c r="J1037" s="1012">
        <v>298000</v>
      </c>
      <c r="K1037" s="1012">
        <v>0</v>
      </c>
      <c r="L1037" s="1013">
        <f t="shared" si="208"/>
        <v>6429000</v>
      </c>
      <c r="M1037" s="1014">
        <v>24</v>
      </c>
      <c r="N1037" s="1013">
        <f t="shared" si="209"/>
        <v>5934462</v>
      </c>
      <c r="O1037" s="1015">
        <v>2</v>
      </c>
      <c r="P1037" s="1013">
        <f t="shared" si="210"/>
        <v>494538</v>
      </c>
      <c r="Q1037" s="1016">
        <v>0</v>
      </c>
      <c r="R1037" s="1013">
        <f t="shared" si="211"/>
        <v>0</v>
      </c>
      <c r="S1037" s="1013">
        <f t="shared" si="212"/>
        <v>6429000</v>
      </c>
      <c r="T1037" s="1017">
        <v>0</v>
      </c>
      <c r="U1037" s="785">
        <v>0</v>
      </c>
      <c r="V1037" s="785">
        <v>200000</v>
      </c>
      <c r="W1037" s="1017">
        <v>500000</v>
      </c>
      <c r="X1037" s="1017">
        <v>0</v>
      </c>
      <c r="Y1037" s="1017">
        <v>400000</v>
      </c>
      <c r="Z1037" s="1017">
        <v>469276</v>
      </c>
      <c r="AA1037" s="1018"/>
      <c r="AB1037" s="1013"/>
      <c r="AC1037" s="1017">
        <v>100000</v>
      </c>
      <c r="AD1037" s="1017">
        <v>0</v>
      </c>
      <c r="AE1037" s="1013">
        <v>0</v>
      </c>
      <c r="AF1037" s="1019"/>
      <c r="AG1037" s="1019">
        <f t="shared" si="205"/>
        <v>8098276</v>
      </c>
      <c r="AH1037" s="1014">
        <v>48</v>
      </c>
      <c r="AI1037" s="1014">
        <v>0</v>
      </c>
      <c r="AJ1037" s="1014">
        <v>0</v>
      </c>
      <c r="AK1037" s="1018">
        <v>0</v>
      </c>
      <c r="AL1037" s="1020">
        <v>0</v>
      </c>
      <c r="AM1037" s="1013">
        <f t="shared" si="215"/>
        <v>2225423</v>
      </c>
      <c r="AN1037" s="1045">
        <f t="shared" si="207"/>
        <v>10323699</v>
      </c>
      <c r="AO1037" s="1013">
        <v>675045</v>
      </c>
      <c r="AP1037" s="1013">
        <v>44100</v>
      </c>
      <c r="AQ1037" s="1013">
        <v>0</v>
      </c>
      <c r="AR1037" s="1013">
        <v>0</v>
      </c>
      <c r="AS1037" s="1013">
        <v>0</v>
      </c>
      <c r="AT1037" s="1045">
        <f t="shared" si="213"/>
        <v>9604554</v>
      </c>
      <c r="AU1037" s="1004"/>
      <c r="AV1037" s="870"/>
      <c r="AW1037" s="782" t="s">
        <v>5268</v>
      </c>
      <c r="AX1037" s="782" t="s">
        <v>5269</v>
      </c>
      <c r="AY1037" s="1007" t="s">
        <v>221</v>
      </c>
      <c r="AZ1037" s="1007">
        <v>622</v>
      </c>
      <c r="BA1037" s="347" t="str">
        <f t="shared" si="214"/>
        <v>Bag</v>
      </c>
      <c r="BB1037" s="1008"/>
      <c r="BC1037" s="1009"/>
      <c r="BD1037" s="1009"/>
    </row>
    <row r="1038" spans="1:56" s="1010" customFormat="1" ht="36.75" customHeight="1">
      <c r="A1038" s="661">
        <f>SUBTOTAL(3,B$6:B1038)</f>
        <v>1033</v>
      </c>
      <c r="B1038" s="661" t="s">
        <v>2866</v>
      </c>
      <c r="C1038" s="662" t="s">
        <v>2867</v>
      </c>
      <c r="D1038" s="1011">
        <v>43522</v>
      </c>
      <c r="E1038" s="1011" t="s">
        <v>221</v>
      </c>
      <c r="F1038" s="787" t="s">
        <v>537</v>
      </c>
      <c r="G1038" s="996" t="s">
        <v>1589</v>
      </c>
      <c r="H1038" s="1012">
        <v>5931000</v>
      </c>
      <c r="I1038" s="1012">
        <v>900000</v>
      </c>
      <c r="J1038" s="1012">
        <v>298000</v>
      </c>
      <c r="K1038" s="1012">
        <v>0</v>
      </c>
      <c r="L1038" s="1013">
        <f t="shared" si="208"/>
        <v>7129000</v>
      </c>
      <c r="M1038" s="1014">
        <v>24</v>
      </c>
      <c r="N1038" s="1013">
        <f t="shared" si="209"/>
        <v>6580615</v>
      </c>
      <c r="O1038" s="1015">
        <v>2</v>
      </c>
      <c r="P1038" s="1013">
        <f t="shared" si="210"/>
        <v>548385</v>
      </c>
      <c r="Q1038" s="1016">
        <v>0</v>
      </c>
      <c r="R1038" s="1013">
        <f t="shared" si="211"/>
        <v>0</v>
      </c>
      <c r="S1038" s="1013">
        <f t="shared" si="212"/>
        <v>7129000</v>
      </c>
      <c r="T1038" s="1017">
        <v>0</v>
      </c>
      <c r="U1038" s="785">
        <v>0</v>
      </c>
      <c r="V1038" s="785">
        <v>200000</v>
      </c>
      <c r="W1038" s="1017">
        <v>500000</v>
      </c>
      <c r="X1038" s="1017">
        <v>0</v>
      </c>
      <c r="Y1038" s="1017">
        <v>400000</v>
      </c>
      <c r="Z1038" s="1017">
        <v>439374</v>
      </c>
      <c r="AA1038" s="1018"/>
      <c r="AB1038" s="1013"/>
      <c r="AC1038" s="1017">
        <v>0</v>
      </c>
      <c r="AD1038" s="1017">
        <v>0</v>
      </c>
      <c r="AE1038" s="1013">
        <v>0</v>
      </c>
      <c r="AF1038" s="1019"/>
      <c r="AG1038" s="1019">
        <f t="shared" si="205"/>
        <v>8668374</v>
      </c>
      <c r="AH1038" s="1014">
        <v>48</v>
      </c>
      <c r="AI1038" s="1014">
        <v>0</v>
      </c>
      <c r="AJ1038" s="1014">
        <v>0</v>
      </c>
      <c r="AK1038" s="1018">
        <v>0</v>
      </c>
      <c r="AL1038" s="1020">
        <v>0</v>
      </c>
      <c r="AM1038" s="1013">
        <f t="shared" si="215"/>
        <v>2467731</v>
      </c>
      <c r="AN1038" s="1045">
        <f t="shared" si="207"/>
        <v>11136105</v>
      </c>
      <c r="AO1038" s="1013">
        <v>748545</v>
      </c>
      <c r="AP1038" s="1013">
        <v>44100</v>
      </c>
      <c r="AQ1038" s="1013">
        <v>0</v>
      </c>
      <c r="AR1038" s="1013">
        <v>0</v>
      </c>
      <c r="AS1038" s="1013">
        <v>0</v>
      </c>
      <c r="AT1038" s="1045">
        <f t="shared" si="213"/>
        <v>10343460</v>
      </c>
      <c r="AU1038" s="1004"/>
      <c r="AV1038" s="870"/>
      <c r="AW1038" s="782" t="s">
        <v>5270</v>
      </c>
      <c r="AX1038" s="782" t="s">
        <v>5271</v>
      </c>
      <c r="AY1038" s="1007" t="s">
        <v>221</v>
      </c>
      <c r="AZ1038" s="1007">
        <v>622</v>
      </c>
      <c r="BA1038" s="347" t="str">
        <f t="shared" si="214"/>
        <v>Bag</v>
      </c>
      <c r="BB1038" s="1008"/>
      <c r="BC1038" s="1009"/>
      <c r="BD1038" s="1009"/>
    </row>
    <row r="1039" spans="1:56" s="1010" customFormat="1" ht="36.75" customHeight="1">
      <c r="A1039" s="661">
        <f>SUBTOTAL(3,B$6:B1039)</f>
        <v>1034</v>
      </c>
      <c r="B1039" s="661" t="s">
        <v>2868</v>
      </c>
      <c r="C1039" s="662" t="s">
        <v>2869</v>
      </c>
      <c r="D1039" s="1011">
        <v>43991</v>
      </c>
      <c r="E1039" s="1011" t="s">
        <v>221</v>
      </c>
      <c r="F1039" s="787" t="s">
        <v>254</v>
      </c>
      <c r="G1039" s="996" t="s">
        <v>1382</v>
      </c>
      <c r="H1039" s="1012">
        <v>5931000</v>
      </c>
      <c r="I1039" s="1012">
        <v>2100000</v>
      </c>
      <c r="J1039" s="1012">
        <v>0</v>
      </c>
      <c r="K1039" s="1012">
        <v>0</v>
      </c>
      <c r="L1039" s="1013">
        <f t="shared" si="208"/>
        <v>8031000</v>
      </c>
      <c r="M1039" s="1014">
        <v>20.3</v>
      </c>
      <c r="N1039" s="1013">
        <f t="shared" si="209"/>
        <v>6270358</v>
      </c>
      <c r="O1039" s="1015">
        <v>2</v>
      </c>
      <c r="P1039" s="1013">
        <f t="shared" si="210"/>
        <v>617769</v>
      </c>
      <c r="Q1039" s="1016">
        <v>0</v>
      </c>
      <c r="R1039" s="1013">
        <f t="shared" si="211"/>
        <v>0</v>
      </c>
      <c r="S1039" s="1013">
        <f t="shared" si="212"/>
        <v>6888127</v>
      </c>
      <c r="T1039" s="1017">
        <v>0</v>
      </c>
      <c r="U1039" s="785">
        <v>0</v>
      </c>
      <c r="V1039" s="785">
        <v>200000</v>
      </c>
      <c r="W1039" s="1017">
        <v>0</v>
      </c>
      <c r="X1039" s="1017">
        <v>0</v>
      </c>
      <c r="Y1039" s="1017">
        <v>0</v>
      </c>
      <c r="Z1039" s="1017">
        <v>813620</v>
      </c>
      <c r="AA1039" s="1018"/>
      <c r="AB1039" s="1013"/>
      <c r="AC1039" s="1017">
        <v>100000</v>
      </c>
      <c r="AD1039" s="1017">
        <v>0</v>
      </c>
      <c r="AE1039" s="1013">
        <v>0</v>
      </c>
      <c r="AF1039" s="1019"/>
      <c r="AG1039" s="1019">
        <f t="shared" si="205"/>
        <v>8001747</v>
      </c>
      <c r="AH1039" s="1014">
        <v>24</v>
      </c>
      <c r="AI1039" s="1014">
        <v>0</v>
      </c>
      <c r="AJ1039" s="1014">
        <v>0</v>
      </c>
      <c r="AK1039" s="1018">
        <v>0</v>
      </c>
      <c r="AL1039" s="1020">
        <v>0</v>
      </c>
      <c r="AM1039" s="1013">
        <f t="shared" si="215"/>
        <v>1389981</v>
      </c>
      <c r="AN1039" s="1045">
        <f t="shared" si="207"/>
        <v>9391728</v>
      </c>
      <c r="AO1039" s="1013">
        <v>843255</v>
      </c>
      <c r="AP1039" s="1013">
        <v>44100</v>
      </c>
      <c r="AQ1039" s="1013">
        <v>0</v>
      </c>
      <c r="AR1039" s="1013">
        <v>0</v>
      </c>
      <c r="AS1039" s="1013">
        <v>0</v>
      </c>
      <c r="AT1039" s="1045">
        <f t="shared" si="213"/>
        <v>8504373</v>
      </c>
      <c r="AU1039" s="1004"/>
      <c r="AV1039" s="870"/>
      <c r="AW1039" s="782" t="s">
        <v>5272</v>
      </c>
      <c r="AX1039" s="782" t="s">
        <v>5273</v>
      </c>
      <c r="AY1039" s="1007" t="s">
        <v>221</v>
      </c>
      <c r="AZ1039" s="1007">
        <v>622</v>
      </c>
      <c r="BA1039" s="347" t="str">
        <f t="shared" si="214"/>
        <v>Bag</v>
      </c>
      <c r="BB1039" s="1008"/>
      <c r="BC1039" s="1009"/>
      <c r="BD1039" s="1009"/>
    </row>
    <row r="1040" spans="1:56" s="1010" customFormat="1" ht="36.75" customHeight="1">
      <c r="A1040" s="661">
        <f>SUBTOTAL(3,B$6:B1040)</f>
        <v>1035</v>
      </c>
      <c r="B1040" s="661" t="s">
        <v>2870</v>
      </c>
      <c r="C1040" s="662" t="s">
        <v>2871</v>
      </c>
      <c r="D1040" s="1011">
        <v>43999</v>
      </c>
      <c r="E1040" s="1011" t="s">
        <v>221</v>
      </c>
      <c r="F1040" s="787" t="s">
        <v>254</v>
      </c>
      <c r="G1040" s="996" t="s">
        <v>1382</v>
      </c>
      <c r="H1040" s="1012">
        <v>5931000</v>
      </c>
      <c r="I1040" s="1012">
        <v>2100000</v>
      </c>
      <c r="J1040" s="1012">
        <v>0</v>
      </c>
      <c r="K1040" s="1012">
        <v>0</v>
      </c>
      <c r="L1040" s="1013">
        <f t="shared" si="208"/>
        <v>8031000</v>
      </c>
      <c r="M1040" s="1014">
        <v>23.9</v>
      </c>
      <c r="N1040" s="1013">
        <f t="shared" si="209"/>
        <v>7382342</v>
      </c>
      <c r="O1040" s="1015">
        <v>2</v>
      </c>
      <c r="P1040" s="1013">
        <f t="shared" si="210"/>
        <v>617769</v>
      </c>
      <c r="Q1040" s="1016">
        <v>52</v>
      </c>
      <c r="R1040" s="1013">
        <f t="shared" si="211"/>
        <v>602325</v>
      </c>
      <c r="S1040" s="1013">
        <f t="shared" si="212"/>
        <v>8602436</v>
      </c>
      <c r="T1040" s="1017">
        <v>0</v>
      </c>
      <c r="U1040" s="785">
        <v>240000</v>
      </c>
      <c r="V1040" s="785">
        <v>200000</v>
      </c>
      <c r="W1040" s="1017">
        <v>500000</v>
      </c>
      <c r="X1040" s="1017">
        <v>0</v>
      </c>
      <c r="Y1040" s="1017">
        <v>400000</v>
      </c>
      <c r="Z1040" s="1017">
        <v>902088</v>
      </c>
      <c r="AA1040" s="1018"/>
      <c r="AB1040" s="1013"/>
      <c r="AC1040" s="1017">
        <v>0</v>
      </c>
      <c r="AD1040" s="1017">
        <v>0</v>
      </c>
      <c r="AE1040" s="1013">
        <v>0</v>
      </c>
      <c r="AF1040" s="1019"/>
      <c r="AG1040" s="1019">
        <f t="shared" si="205"/>
        <v>10844524</v>
      </c>
      <c r="AH1040" s="1014">
        <v>32</v>
      </c>
      <c r="AI1040" s="1014">
        <v>0</v>
      </c>
      <c r="AJ1040" s="1014">
        <v>0</v>
      </c>
      <c r="AK1040" s="1018">
        <v>0</v>
      </c>
      <c r="AL1040" s="1020">
        <v>0</v>
      </c>
      <c r="AM1040" s="1013">
        <f t="shared" si="215"/>
        <v>1853308</v>
      </c>
      <c r="AN1040" s="1045">
        <f t="shared" si="207"/>
        <v>12697832</v>
      </c>
      <c r="AO1040" s="1013">
        <v>843255</v>
      </c>
      <c r="AP1040" s="1013">
        <v>44100</v>
      </c>
      <c r="AQ1040" s="1013">
        <v>0</v>
      </c>
      <c r="AR1040" s="1013">
        <v>0</v>
      </c>
      <c r="AS1040" s="1013">
        <v>0</v>
      </c>
      <c r="AT1040" s="1045">
        <f t="shared" si="213"/>
        <v>11810477</v>
      </c>
      <c r="AU1040" s="1004"/>
      <c r="AV1040" s="870"/>
      <c r="AW1040" s="782" t="s">
        <v>5274</v>
      </c>
      <c r="AX1040" s="782" t="s">
        <v>5275</v>
      </c>
      <c r="AY1040" s="1007" t="s">
        <v>221</v>
      </c>
      <c r="AZ1040" s="1007">
        <v>622</v>
      </c>
      <c r="BA1040" s="347" t="str">
        <f t="shared" si="214"/>
        <v>Bag</v>
      </c>
      <c r="BB1040" s="1008"/>
      <c r="BC1040" s="1009"/>
      <c r="BD1040" s="1009"/>
    </row>
    <row r="1041" spans="1:56" s="1010" customFormat="1" ht="36.75" customHeight="1">
      <c r="A1041" s="661">
        <f>SUBTOTAL(3,B$6:B1041)</f>
        <v>1036</v>
      </c>
      <c r="B1041" s="661" t="s">
        <v>2872</v>
      </c>
      <c r="C1041" s="662" t="s">
        <v>2873</v>
      </c>
      <c r="D1041" s="1011">
        <v>44251</v>
      </c>
      <c r="E1041" s="1011" t="s">
        <v>221</v>
      </c>
      <c r="F1041" s="787" t="s">
        <v>254</v>
      </c>
      <c r="G1041" s="996" t="s">
        <v>973</v>
      </c>
      <c r="H1041" s="1012">
        <v>5931000</v>
      </c>
      <c r="I1041" s="1012">
        <v>1800000</v>
      </c>
      <c r="J1041" s="1012">
        <v>0</v>
      </c>
      <c r="K1041" s="1012">
        <v>0</v>
      </c>
      <c r="L1041" s="1013">
        <f t="shared" si="208"/>
        <v>7731000</v>
      </c>
      <c r="M1041" s="1014">
        <v>23.6</v>
      </c>
      <c r="N1041" s="1013">
        <f t="shared" si="209"/>
        <v>7017369</v>
      </c>
      <c r="O1041" s="1015">
        <v>2</v>
      </c>
      <c r="P1041" s="1013">
        <f t="shared" si="210"/>
        <v>594692</v>
      </c>
      <c r="Q1041" s="1016">
        <v>58.5</v>
      </c>
      <c r="R1041" s="1013">
        <f t="shared" si="211"/>
        <v>652303</v>
      </c>
      <c r="S1041" s="1013">
        <f t="shared" si="212"/>
        <v>8264364</v>
      </c>
      <c r="T1041" s="1017">
        <v>0</v>
      </c>
      <c r="U1041" s="785">
        <v>270000</v>
      </c>
      <c r="V1041" s="785">
        <v>200000</v>
      </c>
      <c r="W1041" s="1017">
        <v>500000</v>
      </c>
      <c r="X1041" s="1017">
        <v>0</v>
      </c>
      <c r="Y1041" s="1017">
        <v>400000</v>
      </c>
      <c r="Z1041" s="1017">
        <v>896394</v>
      </c>
      <c r="AA1041" s="1018"/>
      <c r="AB1041" s="1013"/>
      <c r="AC1041" s="1017">
        <v>0</v>
      </c>
      <c r="AD1041" s="1017">
        <v>0</v>
      </c>
      <c r="AE1041" s="1013">
        <v>0</v>
      </c>
      <c r="AF1041" s="1019"/>
      <c r="AG1041" s="1019">
        <f t="shared" ref="AG1041:AG1104" si="216">ROUND(SUM(S1041:AF1041)-AA1041,0)</f>
        <v>10530758</v>
      </c>
      <c r="AH1041" s="1014">
        <v>28</v>
      </c>
      <c r="AI1041" s="1014">
        <v>0</v>
      </c>
      <c r="AJ1041" s="1014">
        <v>0</v>
      </c>
      <c r="AK1041" s="1018">
        <v>0</v>
      </c>
      <c r="AL1041" s="1020">
        <v>0</v>
      </c>
      <c r="AM1041" s="1013">
        <f t="shared" si="215"/>
        <v>1561067</v>
      </c>
      <c r="AN1041" s="1045">
        <f t="shared" si="207"/>
        <v>12091825</v>
      </c>
      <c r="AO1041" s="1013">
        <v>811755</v>
      </c>
      <c r="AP1041" s="1013">
        <v>44100</v>
      </c>
      <c r="AQ1041" s="1013">
        <v>0</v>
      </c>
      <c r="AR1041" s="1013">
        <v>0</v>
      </c>
      <c r="AS1041" s="1013">
        <v>0</v>
      </c>
      <c r="AT1041" s="1045">
        <f t="shared" si="213"/>
        <v>11235970</v>
      </c>
      <c r="AU1041" s="1004"/>
      <c r="AV1041" s="870"/>
      <c r="AW1041" s="782" t="s">
        <v>5276</v>
      </c>
      <c r="AX1041" s="782" t="s">
        <v>5277</v>
      </c>
      <c r="AY1041" s="1007" t="s">
        <v>221</v>
      </c>
      <c r="AZ1041" s="1007">
        <v>622</v>
      </c>
      <c r="BA1041" s="347" t="str">
        <f t="shared" si="214"/>
        <v>Bag</v>
      </c>
      <c r="BB1041" s="1008"/>
      <c r="BC1041" s="1009"/>
      <c r="BD1041" s="1009"/>
    </row>
    <row r="1042" spans="1:56" s="1010" customFormat="1" ht="36.75" customHeight="1">
      <c r="A1042" s="661">
        <f>SUBTOTAL(3,B$6:B1042)</f>
        <v>1037</v>
      </c>
      <c r="B1042" s="661" t="s">
        <v>2874</v>
      </c>
      <c r="C1042" s="662" t="s">
        <v>2875</v>
      </c>
      <c r="D1042" s="1011">
        <v>44287</v>
      </c>
      <c r="E1042" s="1011" t="s">
        <v>221</v>
      </c>
      <c r="F1042" s="787" t="s">
        <v>254</v>
      </c>
      <c r="G1042" s="996" t="s">
        <v>973</v>
      </c>
      <c r="H1042" s="1012">
        <v>5931000</v>
      </c>
      <c r="I1042" s="1012">
        <v>1800000</v>
      </c>
      <c r="J1042" s="1012">
        <v>0</v>
      </c>
      <c r="K1042" s="1012">
        <v>0</v>
      </c>
      <c r="L1042" s="1013">
        <f t="shared" si="208"/>
        <v>7731000</v>
      </c>
      <c r="M1042" s="1014">
        <v>23.9</v>
      </c>
      <c r="N1042" s="1013">
        <f t="shared" si="209"/>
        <v>7106573</v>
      </c>
      <c r="O1042" s="1015">
        <v>2</v>
      </c>
      <c r="P1042" s="1013">
        <f t="shared" si="210"/>
        <v>594692</v>
      </c>
      <c r="Q1042" s="1016">
        <v>32.5</v>
      </c>
      <c r="R1042" s="1013">
        <f t="shared" si="211"/>
        <v>362391</v>
      </c>
      <c r="S1042" s="1013">
        <f t="shared" si="212"/>
        <v>8063656</v>
      </c>
      <c r="T1042" s="1017">
        <v>0</v>
      </c>
      <c r="U1042" s="785">
        <v>150000</v>
      </c>
      <c r="V1042" s="785">
        <v>200000</v>
      </c>
      <c r="W1042" s="1017">
        <v>500000</v>
      </c>
      <c r="X1042" s="1017">
        <v>0</v>
      </c>
      <c r="Y1042" s="1017">
        <v>400000</v>
      </c>
      <c r="Z1042" s="1017">
        <v>1037061</v>
      </c>
      <c r="AA1042" s="1018"/>
      <c r="AB1042" s="1013"/>
      <c r="AC1042" s="1017">
        <v>0</v>
      </c>
      <c r="AD1042" s="1017">
        <v>0</v>
      </c>
      <c r="AE1042" s="1013">
        <v>0</v>
      </c>
      <c r="AF1042" s="1019"/>
      <c r="AG1042" s="1019">
        <f t="shared" si="216"/>
        <v>10350717</v>
      </c>
      <c r="AH1042" s="1014">
        <v>32</v>
      </c>
      <c r="AI1042" s="1014">
        <v>0</v>
      </c>
      <c r="AJ1042" s="1014">
        <v>0</v>
      </c>
      <c r="AK1042" s="1018">
        <v>0</v>
      </c>
      <c r="AL1042" s="1020">
        <v>0</v>
      </c>
      <c r="AM1042" s="1013">
        <f t="shared" si="215"/>
        <v>1784077</v>
      </c>
      <c r="AN1042" s="1045">
        <f t="shared" si="207"/>
        <v>12134794</v>
      </c>
      <c r="AO1042" s="1013">
        <v>811755</v>
      </c>
      <c r="AP1042" s="1013">
        <v>44100</v>
      </c>
      <c r="AQ1042" s="1013">
        <v>0</v>
      </c>
      <c r="AR1042" s="1013">
        <v>0</v>
      </c>
      <c r="AS1042" s="1013">
        <v>0</v>
      </c>
      <c r="AT1042" s="1045">
        <f t="shared" si="213"/>
        <v>11278939</v>
      </c>
      <c r="AU1042" s="1004"/>
      <c r="AV1042" s="870"/>
      <c r="AW1042" s="782" t="s">
        <v>5278</v>
      </c>
      <c r="AX1042" s="782" t="s">
        <v>5279</v>
      </c>
      <c r="AY1042" s="1007" t="s">
        <v>221</v>
      </c>
      <c r="AZ1042" s="1007">
        <v>622</v>
      </c>
      <c r="BA1042" s="347" t="str">
        <f t="shared" si="214"/>
        <v>Bag</v>
      </c>
      <c r="BB1042" s="1008"/>
      <c r="BC1042" s="1009"/>
      <c r="BD1042" s="1009"/>
    </row>
    <row r="1043" spans="1:56" s="1010" customFormat="1" ht="36.75" customHeight="1">
      <c r="A1043" s="661">
        <f>SUBTOTAL(3,B$6:B1043)</f>
        <v>1038</v>
      </c>
      <c r="B1043" s="661" t="s">
        <v>2876</v>
      </c>
      <c r="C1043" s="662" t="s">
        <v>2877</v>
      </c>
      <c r="D1043" s="1011">
        <v>44611</v>
      </c>
      <c r="E1043" s="1011" t="s">
        <v>221</v>
      </c>
      <c r="F1043" s="787" t="s">
        <v>254</v>
      </c>
      <c r="G1043" s="996" t="s">
        <v>973</v>
      </c>
      <c r="H1043" s="1012">
        <v>5931000</v>
      </c>
      <c r="I1043" s="1012">
        <v>1500000</v>
      </c>
      <c r="J1043" s="1012">
        <v>0</v>
      </c>
      <c r="K1043" s="1012">
        <v>0</v>
      </c>
      <c r="L1043" s="1013">
        <f t="shared" si="208"/>
        <v>7431000</v>
      </c>
      <c r="M1043" s="1014">
        <v>23</v>
      </c>
      <c r="N1043" s="1013">
        <f t="shared" si="209"/>
        <v>6573577</v>
      </c>
      <c r="O1043" s="1015">
        <v>3</v>
      </c>
      <c r="P1043" s="1013">
        <f t="shared" si="210"/>
        <v>857423</v>
      </c>
      <c r="Q1043" s="1016">
        <v>58.5</v>
      </c>
      <c r="R1043" s="1013">
        <f t="shared" si="211"/>
        <v>626991</v>
      </c>
      <c r="S1043" s="1013">
        <f t="shared" si="212"/>
        <v>8057991</v>
      </c>
      <c r="T1043" s="1017">
        <v>0</v>
      </c>
      <c r="U1043" s="785">
        <v>270000</v>
      </c>
      <c r="V1043" s="785">
        <v>200000</v>
      </c>
      <c r="W1043" s="1017">
        <v>500000</v>
      </c>
      <c r="X1043" s="1017">
        <v>0</v>
      </c>
      <c r="Y1043" s="1017">
        <v>400000</v>
      </c>
      <c r="Z1043" s="1017">
        <v>828498</v>
      </c>
      <c r="AA1043" s="1018"/>
      <c r="AB1043" s="1013"/>
      <c r="AC1043" s="1017">
        <v>0</v>
      </c>
      <c r="AD1043" s="1017">
        <v>0</v>
      </c>
      <c r="AE1043" s="1013">
        <v>0</v>
      </c>
      <c r="AF1043" s="1019"/>
      <c r="AG1043" s="1019">
        <f t="shared" si="216"/>
        <v>10256489</v>
      </c>
      <c r="AH1043" s="1014">
        <v>24</v>
      </c>
      <c r="AI1043" s="1014">
        <v>0</v>
      </c>
      <c r="AJ1043" s="1014">
        <v>0</v>
      </c>
      <c r="AK1043" s="1018">
        <v>0</v>
      </c>
      <c r="AL1043" s="1020">
        <v>0</v>
      </c>
      <c r="AM1043" s="1013">
        <f t="shared" si="215"/>
        <v>1286135</v>
      </c>
      <c r="AN1043" s="1045">
        <f t="shared" si="207"/>
        <v>11542624</v>
      </c>
      <c r="AO1043" s="1013">
        <v>780255</v>
      </c>
      <c r="AP1043" s="1013">
        <v>44100</v>
      </c>
      <c r="AQ1043" s="1013">
        <v>0</v>
      </c>
      <c r="AR1043" s="1013">
        <v>0</v>
      </c>
      <c r="AS1043" s="1013">
        <v>0</v>
      </c>
      <c r="AT1043" s="1045">
        <f t="shared" si="213"/>
        <v>10718269</v>
      </c>
      <c r="AU1043" s="1004"/>
      <c r="AV1043" s="870"/>
      <c r="AW1043" s="782" t="s">
        <v>5280</v>
      </c>
      <c r="AX1043" s="782" t="s">
        <v>5281</v>
      </c>
      <c r="AY1043" s="1007" t="s">
        <v>221</v>
      </c>
      <c r="AZ1043" s="1007">
        <v>622</v>
      </c>
      <c r="BA1043" s="347" t="str">
        <f t="shared" si="214"/>
        <v>Bag</v>
      </c>
      <c r="BB1043" s="1008"/>
      <c r="BC1043" s="1009"/>
      <c r="BD1043" s="1009"/>
    </row>
    <row r="1044" spans="1:56" s="1010" customFormat="1" ht="36.75" customHeight="1">
      <c r="A1044" s="661">
        <f>SUBTOTAL(3,B$6:B1044)</f>
        <v>1039</v>
      </c>
      <c r="B1044" s="661" t="s">
        <v>2878</v>
      </c>
      <c r="C1044" s="662" t="s">
        <v>2879</v>
      </c>
      <c r="D1044" s="1011">
        <v>44637</v>
      </c>
      <c r="E1044" s="1011" t="s">
        <v>221</v>
      </c>
      <c r="F1044" s="787" t="s">
        <v>254</v>
      </c>
      <c r="G1044" s="996" t="s">
        <v>973</v>
      </c>
      <c r="H1044" s="1012">
        <v>5931000</v>
      </c>
      <c r="I1044" s="1012">
        <v>1500000</v>
      </c>
      <c r="J1044" s="1012">
        <v>0</v>
      </c>
      <c r="K1044" s="1012">
        <v>0</v>
      </c>
      <c r="L1044" s="1013">
        <f t="shared" si="208"/>
        <v>7431000</v>
      </c>
      <c r="M1044" s="1014">
        <v>22.5</v>
      </c>
      <c r="N1044" s="1013">
        <f t="shared" si="209"/>
        <v>6430673</v>
      </c>
      <c r="O1044" s="1015">
        <v>3</v>
      </c>
      <c r="P1044" s="1013">
        <f t="shared" si="210"/>
        <v>857423</v>
      </c>
      <c r="Q1044" s="1016">
        <v>32.5</v>
      </c>
      <c r="R1044" s="1013">
        <f t="shared" si="211"/>
        <v>348328</v>
      </c>
      <c r="S1044" s="1013">
        <f t="shared" si="212"/>
        <v>7636424</v>
      </c>
      <c r="T1044" s="1017">
        <v>0</v>
      </c>
      <c r="U1044" s="785">
        <v>150000</v>
      </c>
      <c r="V1044" s="785">
        <v>200000</v>
      </c>
      <c r="W1044" s="1017">
        <v>500000</v>
      </c>
      <c r="X1044" s="1017">
        <v>0</v>
      </c>
      <c r="Y1044" s="1017">
        <v>400000</v>
      </c>
      <c r="Z1044" s="1017">
        <v>849546</v>
      </c>
      <c r="AA1044" s="1018"/>
      <c r="AB1044" s="1013"/>
      <c r="AC1044" s="1017">
        <v>0</v>
      </c>
      <c r="AD1044" s="1017">
        <v>0</v>
      </c>
      <c r="AE1044" s="1013">
        <v>0</v>
      </c>
      <c r="AF1044" s="1019"/>
      <c r="AG1044" s="1019">
        <f t="shared" si="216"/>
        <v>9735970</v>
      </c>
      <c r="AH1044" s="1014">
        <v>24</v>
      </c>
      <c r="AI1044" s="1014">
        <v>0</v>
      </c>
      <c r="AJ1044" s="1014">
        <v>0</v>
      </c>
      <c r="AK1044" s="1018">
        <v>0</v>
      </c>
      <c r="AL1044" s="1020">
        <v>0</v>
      </c>
      <c r="AM1044" s="1013">
        <f t="shared" si="215"/>
        <v>1286135</v>
      </c>
      <c r="AN1044" s="1045">
        <f t="shared" si="207"/>
        <v>11022105</v>
      </c>
      <c r="AO1044" s="1013">
        <v>780255</v>
      </c>
      <c r="AP1044" s="1013">
        <v>44100</v>
      </c>
      <c r="AQ1044" s="1013">
        <v>0</v>
      </c>
      <c r="AR1044" s="1013">
        <v>0</v>
      </c>
      <c r="AS1044" s="1013">
        <v>0</v>
      </c>
      <c r="AT1044" s="1045">
        <f t="shared" si="213"/>
        <v>10197750</v>
      </c>
      <c r="AU1044" s="1004"/>
      <c r="AV1044" s="870"/>
      <c r="AW1044" s="782" t="s">
        <v>5282</v>
      </c>
      <c r="AX1044" s="782" t="s">
        <v>5283</v>
      </c>
      <c r="AY1044" s="1007" t="s">
        <v>221</v>
      </c>
      <c r="AZ1044" s="1007">
        <v>622</v>
      </c>
      <c r="BA1044" s="347" t="str">
        <f t="shared" si="214"/>
        <v>Bag</v>
      </c>
      <c r="BB1044" s="1008"/>
      <c r="BC1044" s="1009"/>
      <c r="BD1044" s="1009"/>
    </row>
    <row r="1045" spans="1:56" s="1010" customFormat="1" ht="36.75" customHeight="1">
      <c r="A1045" s="661">
        <f>SUBTOTAL(3,B$6:B1045)</f>
        <v>1040</v>
      </c>
      <c r="B1045" s="661" t="s">
        <v>2880</v>
      </c>
      <c r="C1045" s="662" t="s">
        <v>2881</v>
      </c>
      <c r="D1045" s="1011">
        <v>44652</v>
      </c>
      <c r="E1045" s="1011" t="s">
        <v>221</v>
      </c>
      <c r="F1045" s="787" t="s">
        <v>254</v>
      </c>
      <c r="G1045" s="996" t="s">
        <v>973</v>
      </c>
      <c r="H1045" s="1012">
        <v>5931000</v>
      </c>
      <c r="I1045" s="1012">
        <v>1500000</v>
      </c>
      <c r="J1045" s="1012">
        <v>0</v>
      </c>
      <c r="K1045" s="1012">
        <v>0</v>
      </c>
      <c r="L1045" s="1013">
        <f t="shared" si="208"/>
        <v>7431000</v>
      </c>
      <c r="M1045" s="1014">
        <v>24</v>
      </c>
      <c r="N1045" s="1013">
        <f t="shared" si="209"/>
        <v>6859385</v>
      </c>
      <c r="O1045" s="1015">
        <v>2</v>
      </c>
      <c r="P1045" s="1013">
        <f t="shared" si="210"/>
        <v>571615</v>
      </c>
      <c r="Q1045" s="1016">
        <v>0</v>
      </c>
      <c r="R1045" s="1013">
        <f t="shared" si="211"/>
        <v>0</v>
      </c>
      <c r="S1045" s="1013">
        <f t="shared" si="212"/>
        <v>7431000</v>
      </c>
      <c r="T1045" s="1017">
        <v>0</v>
      </c>
      <c r="U1045" s="785">
        <v>0</v>
      </c>
      <c r="V1045" s="785">
        <v>200000</v>
      </c>
      <c r="W1045" s="1017">
        <v>500000</v>
      </c>
      <c r="X1045" s="1017">
        <v>0</v>
      </c>
      <c r="Y1045" s="1017">
        <v>400000</v>
      </c>
      <c r="Z1045" s="1017">
        <v>1324077</v>
      </c>
      <c r="AA1045" s="1018"/>
      <c r="AB1045" s="1013"/>
      <c r="AC1045" s="1017">
        <v>0</v>
      </c>
      <c r="AD1045" s="1017">
        <v>0</v>
      </c>
      <c r="AE1045" s="1013">
        <v>0</v>
      </c>
      <c r="AF1045" s="1019"/>
      <c r="AG1045" s="1019">
        <f t="shared" si="216"/>
        <v>9855077</v>
      </c>
      <c r="AH1045" s="1014">
        <v>36</v>
      </c>
      <c r="AI1045" s="1014">
        <v>0</v>
      </c>
      <c r="AJ1045" s="1014">
        <v>0</v>
      </c>
      <c r="AK1045" s="1018">
        <v>0</v>
      </c>
      <c r="AL1045" s="1020">
        <v>0</v>
      </c>
      <c r="AM1045" s="1013">
        <f t="shared" si="215"/>
        <v>1929202</v>
      </c>
      <c r="AN1045" s="1045">
        <f t="shared" si="207"/>
        <v>11784279</v>
      </c>
      <c r="AO1045" s="1013">
        <v>780255</v>
      </c>
      <c r="AP1045" s="1013">
        <v>44100</v>
      </c>
      <c r="AQ1045" s="1013">
        <v>0</v>
      </c>
      <c r="AR1045" s="1013">
        <v>0</v>
      </c>
      <c r="AS1045" s="1013">
        <v>0</v>
      </c>
      <c r="AT1045" s="1045">
        <f t="shared" si="213"/>
        <v>10959924</v>
      </c>
      <c r="AU1045" s="1004"/>
      <c r="AV1045" s="870"/>
      <c r="AW1045" s="782" t="s">
        <v>5284</v>
      </c>
      <c r="AX1045" s="782" t="s">
        <v>5285</v>
      </c>
      <c r="AY1045" s="1007" t="s">
        <v>221</v>
      </c>
      <c r="AZ1045" s="1007">
        <v>622</v>
      </c>
      <c r="BA1045" s="347" t="str">
        <f t="shared" si="214"/>
        <v>Bag</v>
      </c>
      <c r="BB1045" s="1008"/>
      <c r="BC1045" s="1009"/>
      <c r="BD1045" s="1009"/>
    </row>
    <row r="1046" spans="1:56" s="1010" customFormat="1" ht="36.75" customHeight="1">
      <c r="A1046" s="661">
        <f>SUBTOTAL(3,B$6:B1046)</f>
        <v>1041</v>
      </c>
      <c r="B1046" s="661" t="s">
        <v>2882</v>
      </c>
      <c r="C1046" s="662" t="s">
        <v>2883</v>
      </c>
      <c r="D1046" s="1011">
        <v>45736</v>
      </c>
      <c r="E1046" s="1011" t="s">
        <v>221</v>
      </c>
      <c r="F1046" s="787" t="s">
        <v>254</v>
      </c>
      <c r="G1046" s="996" t="s">
        <v>1363</v>
      </c>
      <c r="H1046" s="1012">
        <v>4694000</v>
      </c>
      <c r="I1046" s="1012">
        <v>0</v>
      </c>
      <c r="J1046" s="1012">
        <v>0</v>
      </c>
      <c r="K1046" s="1012">
        <v>0</v>
      </c>
      <c r="L1046" s="1013">
        <f t="shared" si="208"/>
        <v>4694000</v>
      </c>
      <c r="M1046" s="1014">
        <v>23</v>
      </c>
      <c r="N1046" s="1013">
        <f t="shared" si="209"/>
        <v>4152385</v>
      </c>
      <c r="O1046" s="1015">
        <v>3</v>
      </c>
      <c r="P1046" s="1013">
        <f t="shared" si="210"/>
        <v>541615</v>
      </c>
      <c r="Q1046" s="1016">
        <v>0</v>
      </c>
      <c r="R1046" s="1013">
        <f t="shared" si="211"/>
        <v>0</v>
      </c>
      <c r="S1046" s="1013">
        <f t="shared" si="212"/>
        <v>4694000</v>
      </c>
      <c r="T1046" s="1017">
        <v>0</v>
      </c>
      <c r="U1046" s="785">
        <v>0</v>
      </c>
      <c r="V1046" s="785">
        <v>200000</v>
      </c>
      <c r="W1046" s="1017">
        <v>500000</v>
      </c>
      <c r="X1046" s="1017">
        <v>0</v>
      </c>
      <c r="Y1046" s="1017">
        <v>400000</v>
      </c>
      <c r="Z1046" s="1017">
        <v>677000</v>
      </c>
      <c r="AA1046" s="1018"/>
      <c r="AB1046" s="1013"/>
      <c r="AC1046" s="1017">
        <v>0</v>
      </c>
      <c r="AD1046" s="1017">
        <v>259413</v>
      </c>
      <c r="AE1046" s="1013">
        <v>0</v>
      </c>
      <c r="AF1046" s="1019"/>
      <c r="AG1046" s="1019">
        <f t="shared" si="216"/>
        <v>6730413</v>
      </c>
      <c r="AH1046" s="1014">
        <v>36</v>
      </c>
      <c r="AI1046" s="1014">
        <v>0</v>
      </c>
      <c r="AJ1046" s="1014">
        <v>0</v>
      </c>
      <c r="AK1046" s="1018">
        <v>0</v>
      </c>
      <c r="AL1046" s="1020">
        <v>0</v>
      </c>
      <c r="AM1046" s="1013">
        <f t="shared" si="215"/>
        <v>1218635</v>
      </c>
      <c r="AN1046" s="1045">
        <f t="shared" si="207"/>
        <v>7949048</v>
      </c>
      <c r="AO1046" s="1013">
        <v>0</v>
      </c>
      <c r="AP1046" s="1013">
        <v>0</v>
      </c>
      <c r="AQ1046" s="1013">
        <v>0</v>
      </c>
      <c r="AR1046" s="1013">
        <v>0</v>
      </c>
      <c r="AS1046" s="1013">
        <v>0</v>
      </c>
      <c r="AT1046" s="1045">
        <f t="shared" si="213"/>
        <v>7949048</v>
      </c>
      <c r="AU1046" s="1004"/>
      <c r="AV1046" s="870"/>
      <c r="AW1046" s="782" t="s">
        <v>5286</v>
      </c>
      <c r="AX1046" s="782" t="s">
        <v>5287</v>
      </c>
      <c r="AY1046" s="1007" t="s">
        <v>221</v>
      </c>
      <c r="AZ1046" s="1007">
        <v>622</v>
      </c>
      <c r="BA1046" s="347" t="str">
        <f t="shared" si="214"/>
        <v>Bag</v>
      </c>
      <c r="BB1046" s="1008"/>
      <c r="BC1046" s="1009"/>
      <c r="BD1046" s="1009"/>
    </row>
    <row r="1047" spans="1:56" s="1010" customFormat="1" ht="36.75" customHeight="1">
      <c r="A1047" s="661">
        <f>SUBTOTAL(3,B$6:B1047)</f>
        <v>1042</v>
      </c>
      <c r="B1047" s="661" t="s">
        <v>2884</v>
      </c>
      <c r="C1047" s="662" t="s">
        <v>2885</v>
      </c>
      <c r="D1047" s="1011">
        <v>41327</v>
      </c>
      <c r="E1047" s="1011" t="s">
        <v>221</v>
      </c>
      <c r="F1047" s="787" t="s">
        <v>254</v>
      </c>
      <c r="G1047" s="996" t="s">
        <v>1377</v>
      </c>
      <c r="H1047" s="1012">
        <v>5931000</v>
      </c>
      <c r="I1047" s="1012">
        <v>3000000</v>
      </c>
      <c r="J1047" s="1012">
        <v>0</v>
      </c>
      <c r="K1047" s="1012">
        <v>400000</v>
      </c>
      <c r="L1047" s="1013">
        <f t="shared" si="208"/>
        <v>9331000</v>
      </c>
      <c r="M1047" s="1014">
        <v>24</v>
      </c>
      <c r="N1047" s="1013">
        <f t="shared" si="209"/>
        <v>8613231</v>
      </c>
      <c r="O1047" s="1015">
        <v>2</v>
      </c>
      <c r="P1047" s="1013">
        <f t="shared" si="210"/>
        <v>717769</v>
      </c>
      <c r="Q1047" s="1016">
        <v>58.5</v>
      </c>
      <c r="R1047" s="1013">
        <f t="shared" si="211"/>
        <v>787303</v>
      </c>
      <c r="S1047" s="1013">
        <f t="shared" si="212"/>
        <v>10118303</v>
      </c>
      <c r="T1047" s="1017">
        <v>0</v>
      </c>
      <c r="U1047" s="785">
        <v>270000</v>
      </c>
      <c r="V1047" s="785">
        <v>200000</v>
      </c>
      <c r="W1047" s="1017">
        <v>500000</v>
      </c>
      <c r="X1047" s="1017">
        <v>0</v>
      </c>
      <c r="Y1047" s="1017">
        <v>400000</v>
      </c>
      <c r="Z1047" s="1017">
        <v>524697</v>
      </c>
      <c r="AA1047" s="1018"/>
      <c r="AB1047" s="1013"/>
      <c r="AC1047" s="1017">
        <v>0</v>
      </c>
      <c r="AD1047" s="1017">
        <v>0</v>
      </c>
      <c r="AE1047" s="1013">
        <v>0</v>
      </c>
      <c r="AF1047" s="1019"/>
      <c r="AG1047" s="1019">
        <f t="shared" si="216"/>
        <v>12013000</v>
      </c>
      <c r="AH1047" s="1014">
        <v>20</v>
      </c>
      <c r="AI1047" s="1014">
        <v>0</v>
      </c>
      <c r="AJ1047" s="1014">
        <v>0</v>
      </c>
      <c r="AK1047" s="1018">
        <v>0</v>
      </c>
      <c r="AL1047" s="1020">
        <v>0</v>
      </c>
      <c r="AM1047" s="1013">
        <f t="shared" si="215"/>
        <v>1345817</v>
      </c>
      <c r="AN1047" s="1045">
        <f t="shared" si="207"/>
        <v>13358817</v>
      </c>
      <c r="AO1047" s="1013">
        <v>979755</v>
      </c>
      <c r="AP1047" s="1013">
        <v>44100</v>
      </c>
      <c r="AQ1047" s="1013">
        <v>0</v>
      </c>
      <c r="AR1047" s="1013">
        <v>0</v>
      </c>
      <c r="AS1047" s="1013">
        <v>0</v>
      </c>
      <c r="AT1047" s="1045">
        <f t="shared" si="213"/>
        <v>12334962</v>
      </c>
      <c r="AU1047" s="1004"/>
      <c r="AV1047" s="870"/>
      <c r="AW1047" s="782" t="s">
        <v>5288</v>
      </c>
      <c r="AX1047" s="782" t="s">
        <v>5289</v>
      </c>
      <c r="AY1047" s="1007" t="s">
        <v>221</v>
      </c>
      <c r="AZ1047" s="1007">
        <v>622</v>
      </c>
      <c r="BA1047" s="347" t="str">
        <f t="shared" si="214"/>
        <v>Bag</v>
      </c>
      <c r="BB1047" s="1008"/>
      <c r="BC1047" s="1009"/>
      <c r="BD1047" s="1009"/>
    </row>
    <row r="1048" spans="1:56" s="1010" customFormat="1" ht="36.75" customHeight="1">
      <c r="A1048" s="661">
        <f>SUBTOTAL(3,B$6:B1048)</f>
        <v>1043</v>
      </c>
      <c r="B1048" s="661" t="s">
        <v>2886</v>
      </c>
      <c r="C1048" s="662" t="s">
        <v>2887</v>
      </c>
      <c r="D1048" s="1011">
        <v>43308</v>
      </c>
      <c r="E1048" s="1011" t="s">
        <v>221</v>
      </c>
      <c r="F1048" s="787" t="s">
        <v>254</v>
      </c>
      <c r="G1048" s="996" t="s">
        <v>1377</v>
      </c>
      <c r="H1048" s="1012">
        <v>5931000</v>
      </c>
      <c r="I1048" s="1012">
        <v>3500000</v>
      </c>
      <c r="J1048" s="1012">
        <v>0</v>
      </c>
      <c r="K1048" s="1012">
        <v>400000</v>
      </c>
      <c r="L1048" s="1013">
        <f t="shared" si="208"/>
        <v>9831000</v>
      </c>
      <c r="M1048" s="1014">
        <v>24</v>
      </c>
      <c r="N1048" s="1013">
        <f t="shared" si="209"/>
        <v>9074769</v>
      </c>
      <c r="O1048" s="1015">
        <v>2</v>
      </c>
      <c r="P1048" s="1013">
        <f t="shared" si="210"/>
        <v>756231</v>
      </c>
      <c r="Q1048" s="1016">
        <v>65</v>
      </c>
      <c r="R1048" s="1013">
        <f t="shared" si="211"/>
        <v>921656</v>
      </c>
      <c r="S1048" s="1013">
        <f t="shared" si="212"/>
        <v>10752656</v>
      </c>
      <c r="T1048" s="1017">
        <v>0</v>
      </c>
      <c r="U1048" s="785">
        <v>300000</v>
      </c>
      <c r="V1048" s="785">
        <v>200000</v>
      </c>
      <c r="W1048" s="1017">
        <v>500000</v>
      </c>
      <c r="X1048" s="1017">
        <v>0</v>
      </c>
      <c r="Y1048" s="1017">
        <v>400000</v>
      </c>
      <c r="Z1048" s="1017">
        <v>524697</v>
      </c>
      <c r="AA1048" s="1018"/>
      <c r="AB1048" s="1013"/>
      <c r="AC1048" s="1017">
        <v>100000</v>
      </c>
      <c r="AD1048" s="1017">
        <v>0</v>
      </c>
      <c r="AE1048" s="1013">
        <v>0</v>
      </c>
      <c r="AF1048" s="1019"/>
      <c r="AG1048" s="1019">
        <f t="shared" si="216"/>
        <v>12777353</v>
      </c>
      <c r="AH1048" s="1014">
        <v>24</v>
      </c>
      <c r="AI1048" s="1014">
        <v>0</v>
      </c>
      <c r="AJ1048" s="1014">
        <v>0</v>
      </c>
      <c r="AK1048" s="1018">
        <v>0</v>
      </c>
      <c r="AL1048" s="1020">
        <v>0</v>
      </c>
      <c r="AM1048" s="1013">
        <f t="shared" si="215"/>
        <v>1701519</v>
      </c>
      <c r="AN1048" s="1045">
        <f t="shared" si="207"/>
        <v>14478872</v>
      </c>
      <c r="AO1048" s="1013">
        <v>1032255</v>
      </c>
      <c r="AP1048" s="1013">
        <v>44100</v>
      </c>
      <c r="AQ1048" s="1013">
        <v>0</v>
      </c>
      <c r="AR1048" s="1013">
        <v>0</v>
      </c>
      <c r="AS1048" s="1013">
        <v>0</v>
      </c>
      <c r="AT1048" s="1045">
        <f t="shared" si="213"/>
        <v>13402517</v>
      </c>
      <c r="AU1048" s="1004"/>
      <c r="AV1048" s="870"/>
      <c r="AW1048" s="782" t="s">
        <v>5290</v>
      </c>
      <c r="AX1048" s="782" t="s">
        <v>5291</v>
      </c>
      <c r="AY1048" s="1007" t="s">
        <v>221</v>
      </c>
      <c r="AZ1048" s="1007">
        <v>622</v>
      </c>
      <c r="BA1048" s="347" t="str">
        <f t="shared" si="214"/>
        <v>Bag</v>
      </c>
      <c r="BB1048" s="1008"/>
      <c r="BC1048" s="1009"/>
      <c r="BD1048" s="1009"/>
    </row>
    <row r="1049" spans="1:56" s="1010" customFormat="1" ht="36.75" customHeight="1">
      <c r="A1049" s="661">
        <f>SUBTOTAL(3,B$6:B1049)</f>
        <v>1044</v>
      </c>
      <c r="B1049" s="661" t="s">
        <v>2888</v>
      </c>
      <c r="C1049" s="662" t="s">
        <v>2889</v>
      </c>
      <c r="D1049" s="1011">
        <v>43637</v>
      </c>
      <c r="E1049" s="1011" t="s">
        <v>221</v>
      </c>
      <c r="F1049" s="787" t="s">
        <v>538</v>
      </c>
      <c r="G1049" s="996" t="s">
        <v>872</v>
      </c>
      <c r="H1049" s="1012">
        <v>5931000</v>
      </c>
      <c r="I1049" s="1012">
        <v>2300000</v>
      </c>
      <c r="J1049" s="1012">
        <v>0</v>
      </c>
      <c r="K1049" s="1012">
        <v>0</v>
      </c>
      <c r="L1049" s="1013">
        <f t="shared" si="208"/>
        <v>8231000</v>
      </c>
      <c r="M1049" s="1014">
        <v>23.8</v>
      </c>
      <c r="N1049" s="1013">
        <f t="shared" si="209"/>
        <v>7534531</v>
      </c>
      <c r="O1049" s="1015">
        <v>2</v>
      </c>
      <c r="P1049" s="1013">
        <f t="shared" si="210"/>
        <v>633154</v>
      </c>
      <c r="Q1049" s="1016">
        <v>65</v>
      </c>
      <c r="R1049" s="1013">
        <f t="shared" si="211"/>
        <v>771656</v>
      </c>
      <c r="S1049" s="1013">
        <f t="shared" si="212"/>
        <v>8939341</v>
      </c>
      <c r="T1049" s="1017">
        <v>0</v>
      </c>
      <c r="U1049" s="785">
        <v>300000</v>
      </c>
      <c r="V1049" s="785">
        <v>200000</v>
      </c>
      <c r="W1049" s="1017">
        <v>500000</v>
      </c>
      <c r="X1049" s="1017">
        <v>0</v>
      </c>
      <c r="Y1049" s="1017">
        <v>400000</v>
      </c>
      <c r="Z1049" s="1017">
        <v>474935</v>
      </c>
      <c r="AA1049" s="1018"/>
      <c r="AB1049" s="1013"/>
      <c r="AC1049" s="1017">
        <v>0</v>
      </c>
      <c r="AD1049" s="1017">
        <v>0</v>
      </c>
      <c r="AE1049" s="1013">
        <v>0</v>
      </c>
      <c r="AF1049" s="1019"/>
      <c r="AG1049" s="1019">
        <f t="shared" si="216"/>
        <v>10814276</v>
      </c>
      <c r="AH1049" s="1014">
        <v>28</v>
      </c>
      <c r="AI1049" s="1014">
        <v>0</v>
      </c>
      <c r="AJ1049" s="1014">
        <v>4</v>
      </c>
      <c r="AK1049" s="1018">
        <v>0</v>
      </c>
      <c r="AL1049" s="1020">
        <v>0</v>
      </c>
      <c r="AM1049" s="1013">
        <f t="shared" si="215"/>
        <v>1994435</v>
      </c>
      <c r="AN1049" s="1045">
        <f t="shared" si="207"/>
        <v>12808711</v>
      </c>
      <c r="AO1049" s="1013">
        <v>864255</v>
      </c>
      <c r="AP1049" s="1013">
        <v>44100</v>
      </c>
      <c r="AQ1049" s="1013">
        <v>0</v>
      </c>
      <c r="AR1049" s="1013">
        <v>0</v>
      </c>
      <c r="AS1049" s="1013">
        <v>0</v>
      </c>
      <c r="AT1049" s="1045">
        <f t="shared" si="213"/>
        <v>11900356</v>
      </c>
      <c r="AU1049" s="1004"/>
      <c r="AV1049" s="870"/>
      <c r="AW1049" s="782" t="s">
        <v>5292</v>
      </c>
      <c r="AX1049" s="782" t="s">
        <v>5293</v>
      </c>
      <c r="AY1049" s="1007" t="s">
        <v>221</v>
      </c>
      <c r="AZ1049" s="1007">
        <v>622</v>
      </c>
      <c r="BA1049" s="347" t="str">
        <f t="shared" si="214"/>
        <v>Bag</v>
      </c>
      <c r="BB1049" s="1008"/>
      <c r="BC1049" s="1009"/>
      <c r="BD1049" s="1009"/>
    </row>
    <row r="1050" spans="1:56" s="1010" customFormat="1" ht="36.75" customHeight="1">
      <c r="A1050" s="661">
        <f>SUBTOTAL(3,B$6:B1050)</f>
        <v>1045</v>
      </c>
      <c r="B1050" s="661" t="s">
        <v>2890</v>
      </c>
      <c r="C1050" s="662" t="s">
        <v>2891</v>
      </c>
      <c r="D1050" s="1011">
        <v>43972</v>
      </c>
      <c r="E1050" s="1011" t="s">
        <v>221</v>
      </c>
      <c r="F1050" s="787" t="s">
        <v>538</v>
      </c>
      <c r="G1050" s="996" t="s">
        <v>872</v>
      </c>
      <c r="H1050" s="1012">
        <v>5931000</v>
      </c>
      <c r="I1050" s="1012">
        <v>2000000</v>
      </c>
      <c r="J1050" s="1012">
        <v>0</v>
      </c>
      <c r="K1050" s="1012">
        <v>0</v>
      </c>
      <c r="L1050" s="1013">
        <f t="shared" si="208"/>
        <v>7931000</v>
      </c>
      <c r="M1050" s="1014">
        <v>23</v>
      </c>
      <c r="N1050" s="1013">
        <f t="shared" si="209"/>
        <v>7015885</v>
      </c>
      <c r="O1050" s="1015">
        <v>3</v>
      </c>
      <c r="P1050" s="1013">
        <f t="shared" si="210"/>
        <v>915115</v>
      </c>
      <c r="Q1050" s="1016">
        <v>58.5</v>
      </c>
      <c r="R1050" s="1013">
        <f t="shared" si="211"/>
        <v>669178</v>
      </c>
      <c r="S1050" s="1013">
        <f t="shared" si="212"/>
        <v>8600178</v>
      </c>
      <c r="T1050" s="1017">
        <v>0</v>
      </c>
      <c r="U1050" s="785">
        <v>270000</v>
      </c>
      <c r="V1050" s="785">
        <v>200000</v>
      </c>
      <c r="W1050" s="1017">
        <v>500000</v>
      </c>
      <c r="X1050" s="1017">
        <v>0</v>
      </c>
      <c r="Y1050" s="1017">
        <v>400000</v>
      </c>
      <c r="Z1050" s="1017">
        <v>471945</v>
      </c>
      <c r="AA1050" s="1018"/>
      <c r="AB1050" s="1013"/>
      <c r="AC1050" s="1017">
        <v>100000</v>
      </c>
      <c r="AD1050" s="1017">
        <v>0</v>
      </c>
      <c r="AE1050" s="1013">
        <v>0</v>
      </c>
      <c r="AF1050" s="1019"/>
      <c r="AG1050" s="1019">
        <f t="shared" si="216"/>
        <v>10542123</v>
      </c>
      <c r="AH1050" s="1014">
        <v>28</v>
      </c>
      <c r="AI1050" s="1014">
        <v>0</v>
      </c>
      <c r="AJ1050" s="1014">
        <v>0</v>
      </c>
      <c r="AK1050" s="1018">
        <v>0</v>
      </c>
      <c r="AL1050" s="1020">
        <v>0</v>
      </c>
      <c r="AM1050" s="1013">
        <f t="shared" si="215"/>
        <v>1601452</v>
      </c>
      <c r="AN1050" s="1045">
        <f t="shared" si="207"/>
        <v>12143575</v>
      </c>
      <c r="AO1050" s="1013">
        <v>832755</v>
      </c>
      <c r="AP1050" s="1013">
        <v>44100</v>
      </c>
      <c r="AQ1050" s="1013">
        <v>0</v>
      </c>
      <c r="AR1050" s="1013">
        <v>0</v>
      </c>
      <c r="AS1050" s="1013">
        <v>0</v>
      </c>
      <c r="AT1050" s="1045">
        <f t="shared" si="213"/>
        <v>11266720</v>
      </c>
      <c r="AU1050" s="1004"/>
      <c r="AV1050" s="870"/>
      <c r="AW1050" s="782" t="s">
        <v>5294</v>
      </c>
      <c r="AX1050" s="782" t="s">
        <v>5295</v>
      </c>
      <c r="AY1050" s="1007" t="s">
        <v>221</v>
      </c>
      <c r="AZ1050" s="1007">
        <v>622</v>
      </c>
      <c r="BA1050" s="347" t="str">
        <f t="shared" si="214"/>
        <v>Bag</v>
      </c>
      <c r="BB1050" s="1008"/>
      <c r="BC1050" s="1009"/>
      <c r="BD1050" s="1009"/>
    </row>
    <row r="1051" spans="1:56" s="1010" customFormat="1" ht="36.75" customHeight="1">
      <c r="A1051" s="661">
        <f>SUBTOTAL(3,B$6:B1051)</f>
        <v>1046</v>
      </c>
      <c r="B1051" s="661" t="s">
        <v>2892</v>
      </c>
      <c r="C1051" s="662" t="s">
        <v>2893</v>
      </c>
      <c r="D1051" s="1011">
        <v>44030</v>
      </c>
      <c r="E1051" s="1011" t="s">
        <v>221</v>
      </c>
      <c r="F1051" s="787" t="s">
        <v>538</v>
      </c>
      <c r="G1051" s="996" t="s">
        <v>872</v>
      </c>
      <c r="H1051" s="1012">
        <v>5931000</v>
      </c>
      <c r="I1051" s="1012">
        <v>2000000</v>
      </c>
      <c r="J1051" s="1012">
        <v>0</v>
      </c>
      <c r="K1051" s="1012">
        <v>0</v>
      </c>
      <c r="L1051" s="1013">
        <f t="shared" si="208"/>
        <v>7931000</v>
      </c>
      <c r="M1051" s="1014">
        <v>22.6</v>
      </c>
      <c r="N1051" s="1013">
        <f t="shared" si="209"/>
        <v>6893869</v>
      </c>
      <c r="O1051" s="1015">
        <v>3</v>
      </c>
      <c r="P1051" s="1013">
        <f t="shared" si="210"/>
        <v>915115</v>
      </c>
      <c r="Q1051" s="1016">
        <v>65</v>
      </c>
      <c r="R1051" s="1013">
        <f t="shared" si="211"/>
        <v>743531</v>
      </c>
      <c r="S1051" s="1013">
        <f t="shared" si="212"/>
        <v>8552515</v>
      </c>
      <c r="T1051" s="1017">
        <v>0</v>
      </c>
      <c r="U1051" s="785">
        <v>300000</v>
      </c>
      <c r="V1051" s="785">
        <v>200000</v>
      </c>
      <c r="W1051" s="1017">
        <v>500000</v>
      </c>
      <c r="X1051" s="1017">
        <v>0</v>
      </c>
      <c r="Y1051" s="1017">
        <v>400000</v>
      </c>
      <c r="Z1051" s="1017">
        <v>486108</v>
      </c>
      <c r="AA1051" s="1018"/>
      <c r="AB1051" s="1013"/>
      <c r="AC1051" s="1017">
        <v>100000</v>
      </c>
      <c r="AD1051" s="1017">
        <v>0</v>
      </c>
      <c r="AE1051" s="1013">
        <v>0</v>
      </c>
      <c r="AF1051" s="1019"/>
      <c r="AG1051" s="1019">
        <f t="shared" si="216"/>
        <v>10538623</v>
      </c>
      <c r="AH1051" s="1014">
        <v>28</v>
      </c>
      <c r="AI1051" s="1014">
        <v>0</v>
      </c>
      <c r="AJ1051" s="1014">
        <v>4</v>
      </c>
      <c r="AK1051" s="1018">
        <v>0</v>
      </c>
      <c r="AL1051" s="1020">
        <v>0</v>
      </c>
      <c r="AM1051" s="1013">
        <f t="shared" si="215"/>
        <v>1921742</v>
      </c>
      <c r="AN1051" s="1045">
        <f t="shared" si="207"/>
        <v>12460365</v>
      </c>
      <c r="AO1051" s="1013">
        <v>832755</v>
      </c>
      <c r="AP1051" s="1013">
        <v>44100</v>
      </c>
      <c r="AQ1051" s="1013">
        <v>0</v>
      </c>
      <c r="AR1051" s="1013">
        <v>0</v>
      </c>
      <c r="AS1051" s="1013">
        <v>0</v>
      </c>
      <c r="AT1051" s="1045">
        <f t="shared" si="213"/>
        <v>11583510</v>
      </c>
      <c r="AU1051" s="1004"/>
      <c r="AV1051" s="870"/>
      <c r="AW1051" s="782" t="s">
        <v>5296</v>
      </c>
      <c r="AX1051" s="782" t="s">
        <v>5297</v>
      </c>
      <c r="AY1051" s="1007" t="s">
        <v>221</v>
      </c>
      <c r="AZ1051" s="1007">
        <v>622</v>
      </c>
      <c r="BA1051" s="347" t="str">
        <f t="shared" si="214"/>
        <v>Bag</v>
      </c>
      <c r="BB1051" s="1008"/>
      <c r="BC1051" s="1009"/>
      <c r="BD1051" s="1009"/>
    </row>
    <row r="1052" spans="1:56" s="1010" customFormat="1" ht="36.75" customHeight="1">
      <c r="A1052" s="661">
        <f>SUBTOTAL(3,B$6:B1052)</f>
        <v>1047</v>
      </c>
      <c r="B1052" s="661" t="s">
        <v>2894</v>
      </c>
      <c r="C1052" s="662" t="s">
        <v>2895</v>
      </c>
      <c r="D1052" s="1011">
        <v>44264</v>
      </c>
      <c r="E1052" s="1011" t="s">
        <v>221</v>
      </c>
      <c r="F1052" s="787" t="s">
        <v>538</v>
      </c>
      <c r="G1052" s="996" t="s">
        <v>872</v>
      </c>
      <c r="H1052" s="1012">
        <v>5931000</v>
      </c>
      <c r="I1052" s="1012">
        <v>900000</v>
      </c>
      <c r="J1052" s="1012">
        <v>0</v>
      </c>
      <c r="K1052" s="1012">
        <v>300000</v>
      </c>
      <c r="L1052" s="1013">
        <f t="shared" si="208"/>
        <v>7131000</v>
      </c>
      <c r="M1052" s="1014">
        <v>23.9</v>
      </c>
      <c r="N1052" s="1013">
        <f t="shared" si="209"/>
        <v>6555035</v>
      </c>
      <c r="O1052" s="1015">
        <v>2</v>
      </c>
      <c r="P1052" s="1013">
        <f t="shared" si="210"/>
        <v>548538</v>
      </c>
      <c r="Q1052" s="1016">
        <v>0</v>
      </c>
      <c r="R1052" s="1013">
        <f t="shared" si="211"/>
        <v>0</v>
      </c>
      <c r="S1052" s="1013">
        <f t="shared" si="212"/>
        <v>7103573</v>
      </c>
      <c r="T1052" s="1017">
        <v>0</v>
      </c>
      <c r="U1052" s="785">
        <v>0</v>
      </c>
      <c r="V1052" s="785">
        <v>200000</v>
      </c>
      <c r="W1052" s="1017">
        <v>500000</v>
      </c>
      <c r="X1052" s="1017">
        <v>0</v>
      </c>
      <c r="Y1052" s="1017">
        <v>400000</v>
      </c>
      <c r="Z1052" s="1017">
        <v>452569</v>
      </c>
      <c r="AA1052" s="1018"/>
      <c r="AB1052" s="1013"/>
      <c r="AC1052" s="1017">
        <v>0</v>
      </c>
      <c r="AD1052" s="1017">
        <v>0</v>
      </c>
      <c r="AE1052" s="1013">
        <v>0</v>
      </c>
      <c r="AF1052" s="1019"/>
      <c r="AG1052" s="1019">
        <f t="shared" si="216"/>
        <v>8656142</v>
      </c>
      <c r="AH1052" s="1014">
        <v>64</v>
      </c>
      <c r="AI1052" s="1014">
        <v>0</v>
      </c>
      <c r="AJ1052" s="1014">
        <v>0</v>
      </c>
      <c r="AK1052" s="1018">
        <v>0</v>
      </c>
      <c r="AL1052" s="1020">
        <v>0</v>
      </c>
      <c r="AM1052" s="1013">
        <f t="shared" si="215"/>
        <v>3291231</v>
      </c>
      <c r="AN1052" s="1045">
        <f t="shared" si="207"/>
        <v>11947373</v>
      </c>
      <c r="AO1052" s="1013">
        <v>748755</v>
      </c>
      <c r="AP1052" s="1013">
        <v>44100</v>
      </c>
      <c r="AQ1052" s="1013">
        <v>0</v>
      </c>
      <c r="AR1052" s="1013">
        <v>0</v>
      </c>
      <c r="AS1052" s="1013">
        <v>0</v>
      </c>
      <c r="AT1052" s="1045">
        <f t="shared" si="213"/>
        <v>11154518</v>
      </c>
      <c r="AU1052" s="1004"/>
      <c r="AV1052" s="870"/>
      <c r="AW1052" s="782" t="s">
        <v>5298</v>
      </c>
      <c r="AX1052" s="782" t="s">
        <v>5299</v>
      </c>
      <c r="AY1052" s="1007" t="s">
        <v>221</v>
      </c>
      <c r="AZ1052" s="1007">
        <v>622</v>
      </c>
      <c r="BA1052" s="347" t="str">
        <f t="shared" si="214"/>
        <v>Bag</v>
      </c>
      <c r="BB1052" s="1008"/>
      <c r="BC1052" s="1009"/>
      <c r="BD1052" s="1009"/>
    </row>
    <row r="1053" spans="1:56" s="1010" customFormat="1" ht="36.75" customHeight="1">
      <c r="A1053" s="661">
        <f>SUBTOTAL(3,B$6:B1053)</f>
        <v>1048</v>
      </c>
      <c r="B1053" s="661" t="s">
        <v>2896</v>
      </c>
      <c r="C1053" s="662" t="s">
        <v>2897</v>
      </c>
      <c r="D1053" s="1011">
        <v>45576</v>
      </c>
      <c r="E1053" s="1011" t="s">
        <v>221</v>
      </c>
      <c r="F1053" s="787" t="s">
        <v>538</v>
      </c>
      <c r="G1053" s="996" t="s">
        <v>1395</v>
      </c>
      <c r="H1053" s="1012">
        <v>5274000</v>
      </c>
      <c r="I1053" s="1012">
        <v>400000</v>
      </c>
      <c r="J1053" s="1012">
        <v>0</v>
      </c>
      <c r="K1053" s="1012">
        <v>0</v>
      </c>
      <c r="L1053" s="1013">
        <f t="shared" si="208"/>
        <v>5674000</v>
      </c>
      <c r="M1053" s="1014">
        <v>23.5</v>
      </c>
      <c r="N1053" s="1013">
        <f t="shared" si="209"/>
        <v>5128423</v>
      </c>
      <c r="O1053" s="1015">
        <v>2</v>
      </c>
      <c r="P1053" s="1013">
        <f t="shared" si="210"/>
        <v>436462</v>
      </c>
      <c r="Q1053" s="1016">
        <v>58.5</v>
      </c>
      <c r="R1053" s="1013">
        <f t="shared" si="211"/>
        <v>478744</v>
      </c>
      <c r="S1053" s="1013">
        <f t="shared" si="212"/>
        <v>6043629</v>
      </c>
      <c r="T1053" s="1017">
        <v>0</v>
      </c>
      <c r="U1053" s="785">
        <v>270000</v>
      </c>
      <c r="V1053" s="785">
        <v>200000</v>
      </c>
      <c r="W1053" s="1017">
        <v>500000</v>
      </c>
      <c r="X1053" s="1017">
        <v>0</v>
      </c>
      <c r="Y1053" s="1017">
        <v>400000</v>
      </c>
      <c r="Z1053" s="1017">
        <v>471372</v>
      </c>
      <c r="AA1053" s="1018"/>
      <c r="AB1053" s="1013"/>
      <c r="AC1053" s="1017">
        <v>0</v>
      </c>
      <c r="AD1053" s="1017">
        <v>0</v>
      </c>
      <c r="AE1053" s="1013">
        <v>0</v>
      </c>
      <c r="AF1053" s="1019"/>
      <c r="AG1053" s="1019">
        <f t="shared" si="216"/>
        <v>7885001</v>
      </c>
      <c r="AH1053" s="1014">
        <v>33</v>
      </c>
      <c r="AI1053" s="1014">
        <v>0</v>
      </c>
      <c r="AJ1053" s="1014">
        <v>0</v>
      </c>
      <c r="AK1053" s="1018">
        <v>0</v>
      </c>
      <c r="AL1053" s="1020">
        <v>0</v>
      </c>
      <c r="AM1053" s="1013">
        <f t="shared" si="215"/>
        <v>1350303</v>
      </c>
      <c r="AN1053" s="1045">
        <f t="shared" si="207"/>
        <v>9235304</v>
      </c>
      <c r="AO1053" s="1013">
        <v>595770</v>
      </c>
      <c r="AP1053" s="1013">
        <v>44100</v>
      </c>
      <c r="AQ1053" s="1013">
        <v>0</v>
      </c>
      <c r="AR1053" s="1013">
        <v>0</v>
      </c>
      <c r="AS1053" s="1013">
        <v>0</v>
      </c>
      <c r="AT1053" s="1045">
        <f t="shared" si="213"/>
        <v>8595434</v>
      </c>
      <c r="AU1053" s="1004"/>
      <c r="AV1053" s="870"/>
      <c r="AW1053" s="782" t="s">
        <v>5300</v>
      </c>
      <c r="AX1053" s="782" t="s">
        <v>5301</v>
      </c>
      <c r="AY1053" s="1007" t="s">
        <v>221</v>
      </c>
      <c r="AZ1053" s="1007">
        <v>622</v>
      </c>
      <c r="BA1053" s="347" t="str">
        <f t="shared" si="214"/>
        <v>Bag</v>
      </c>
      <c r="BB1053" s="1008"/>
      <c r="BC1053" s="1009"/>
      <c r="BD1053" s="1009"/>
    </row>
    <row r="1054" spans="1:56" s="1010" customFormat="1" ht="36.75" customHeight="1">
      <c r="A1054" s="661">
        <f>SUBTOTAL(3,B$6:B1054)</f>
        <v>1049</v>
      </c>
      <c r="B1054" s="661" t="s">
        <v>2898</v>
      </c>
      <c r="C1054" s="662" t="s">
        <v>2696</v>
      </c>
      <c r="D1054" s="1011">
        <v>45714</v>
      </c>
      <c r="E1054" s="1011" t="s">
        <v>221</v>
      </c>
      <c r="F1054" s="787" t="s">
        <v>538</v>
      </c>
      <c r="G1054" s="996" t="s">
        <v>1395</v>
      </c>
      <c r="H1054" s="1012">
        <v>5023000</v>
      </c>
      <c r="I1054" s="1012">
        <v>400000</v>
      </c>
      <c r="J1054" s="1012">
        <v>0</v>
      </c>
      <c r="K1054" s="1012">
        <v>0</v>
      </c>
      <c r="L1054" s="1013">
        <f t="shared" si="208"/>
        <v>5423000</v>
      </c>
      <c r="M1054" s="1014">
        <v>24</v>
      </c>
      <c r="N1054" s="1013">
        <f t="shared" si="209"/>
        <v>5005846</v>
      </c>
      <c r="O1054" s="1015">
        <v>2</v>
      </c>
      <c r="P1054" s="1013">
        <f t="shared" si="210"/>
        <v>417154</v>
      </c>
      <c r="Q1054" s="1016">
        <v>65</v>
      </c>
      <c r="R1054" s="1013">
        <f t="shared" si="211"/>
        <v>508406</v>
      </c>
      <c r="S1054" s="1013">
        <f t="shared" si="212"/>
        <v>5931406</v>
      </c>
      <c r="T1054" s="1017">
        <v>0</v>
      </c>
      <c r="U1054" s="785">
        <v>300000</v>
      </c>
      <c r="V1054" s="785">
        <v>200000</v>
      </c>
      <c r="W1054" s="1017">
        <v>500000</v>
      </c>
      <c r="X1054" s="1017">
        <v>0</v>
      </c>
      <c r="Y1054" s="1017">
        <v>400000</v>
      </c>
      <c r="Z1054" s="1017">
        <v>425946</v>
      </c>
      <c r="AA1054" s="1018"/>
      <c r="AB1054" s="1013"/>
      <c r="AC1054" s="1017">
        <v>0</v>
      </c>
      <c r="AD1054" s="1017">
        <v>0</v>
      </c>
      <c r="AE1054" s="1013">
        <v>0</v>
      </c>
      <c r="AF1054" s="1019"/>
      <c r="AG1054" s="1019">
        <f t="shared" si="216"/>
        <v>7757352</v>
      </c>
      <c r="AH1054" s="1014">
        <v>28</v>
      </c>
      <c r="AI1054" s="1014">
        <v>0</v>
      </c>
      <c r="AJ1054" s="1014">
        <v>4</v>
      </c>
      <c r="AK1054" s="1018">
        <v>0</v>
      </c>
      <c r="AL1054" s="1020">
        <v>0</v>
      </c>
      <c r="AM1054" s="1013">
        <f t="shared" si="215"/>
        <v>1314035</v>
      </c>
      <c r="AN1054" s="1045">
        <f t="shared" si="207"/>
        <v>9071387</v>
      </c>
      <c r="AO1054" s="1013">
        <v>569415</v>
      </c>
      <c r="AP1054" s="1013">
        <v>0</v>
      </c>
      <c r="AQ1054" s="1013">
        <v>0</v>
      </c>
      <c r="AR1054" s="1013">
        <v>0</v>
      </c>
      <c r="AS1054" s="1013">
        <v>0</v>
      </c>
      <c r="AT1054" s="1045">
        <f t="shared" si="213"/>
        <v>8501972</v>
      </c>
      <c r="AU1054" s="1004"/>
      <c r="AV1054" s="870"/>
      <c r="AW1054" s="782" t="s">
        <v>5100</v>
      </c>
      <c r="AX1054" s="782" t="s">
        <v>5302</v>
      </c>
      <c r="AY1054" s="1007" t="s">
        <v>221</v>
      </c>
      <c r="AZ1054" s="1007">
        <v>622</v>
      </c>
      <c r="BA1054" s="347" t="str">
        <f t="shared" si="214"/>
        <v>Bag</v>
      </c>
      <c r="BB1054" s="1008"/>
      <c r="BC1054" s="1009"/>
      <c r="BD1054" s="1009"/>
    </row>
    <row r="1055" spans="1:56" s="1010" customFormat="1" ht="36.75" customHeight="1">
      <c r="A1055" s="661">
        <f>SUBTOTAL(3,B$6:B1055)</f>
        <v>1050</v>
      </c>
      <c r="B1055" s="661" t="s">
        <v>2899</v>
      </c>
      <c r="C1055" s="662" t="s">
        <v>2900</v>
      </c>
      <c r="D1055" s="1011">
        <v>45730</v>
      </c>
      <c r="E1055" s="1011" t="s">
        <v>221</v>
      </c>
      <c r="F1055" s="787" t="s">
        <v>538</v>
      </c>
      <c r="G1055" s="996" t="s">
        <v>1395</v>
      </c>
      <c r="H1055" s="1012">
        <v>5023000</v>
      </c>
      <c r="I1055" s="1012">
        <v>400000</v>
      </c>
      <c r="J1055" s="1012">
        <v>0</v>
      </c>
      <c r="K1055" s="1012">
        <v>0</v>
      </c>
      <c r="L1055" s="1013">
        <f t="shared" si="208"/>
        <v>5423000</v>
      </c>
      <c r="M1055" s="1014">
        <v>23.9</v>
      </c>
      <c r="N1055" s="1013">
        <f t="shared" si="209"/>
        <v>4984988</v>
      </c>
      <c r="O1055" s="1015">
        <v>2</v>
      </c>
      <c r="P1055" s="1013">
        <f t="shared" si="210"/>
        <v>417154</v>
      </c>
      <c r="Q1055" s="1016">
        <v>58.5</v>
      </c>
      <c r="R1055" s="1013">
        <f t="shared" si="211"/>
        <v>457566</v>
      </c>
      <c r="S1055" s="1013">
        <f t="shared" si="212"/>
        <v>5859708</v>
      </c>
      <c r="T1055" s="1017">
        <v>0</v>
      </c>
      <c r="U1055" s="785">
        <v>270000</v>
      </c>
      <c r="V1055" s="785">
        <v>200000</v>
      </c>
      <c r="W1055" s="1017">
        <v>500000</v>
      </c>
      <c r="X1055" s="1017">
        <v>0</v>
      </c>
      <c r="Y1055" s="1017">
        <v>400000</v>
      </c>
      <c r="Z1055" s="1017">
        <v>522941</v>
      </c>
      <c r="AA1055" s="1018"/>
      <c r="AB1055" s="1013"/>
      <c r="AC1055" s="1017">
        <v>0</v>
      </c>
      <c r="AD1055" s="1017">
        <v>0</v>
      </c>
      <c r="AE1055" s="1013">
        <v>0</v>
      </c>
      <c r="AF1055" s="1019"/>
      <c r="AG1055" s="1019">
        <f t="shared" si="216"/>
        <v>7752649</v>
      </c>
      <c r="AH1055" s="1014">
        <v>29</v>
      </c>
      <c r="AI1055" s="1014">
        <v>0</v>
      </c>
      <c r="AJ1055" s="1014">
        <v>0</v>
      </c>
      <c r="AK1055" s="1018">
        <v>0</v>
      </c>
      <c r="AL1055" s="1020">
        <v>0</v>
      </c>
      <c r="AM1055" s="1013">
        <f t="shared" si="215"/>
        <v>1134137</v>
      </c>
      <c r="AN1055" s="1045">
        <f t="shared" ref="AN1055:AN1116" si="217">ROUND(AG1055+AM1055,0)</f>
        <v>8886786</v>
      </c>
      <c r="AO1055" s="1013">
        <v>537031</v>
      </c>
      <c r="AP1055" s="1013">
        <v>0</v>
      </c>
      <c r="AQ1055" s="1013">
        <v>0</v>
      </c>
      <c r="AR1055" s="1013">
        <v>0</v>
      </c>
      <c r="AS1055" s="1013">
        <v>353985</v>
      </c>
      <c r="AT1055" s="1045">
        <f t="shared" si="213"/>
        <v>7995770</v>
      </c>
      <c r="AU1055" s="1004"/>
      <c r="AV1055" s="870"/>
      <c r="AW1055" s="782" t="s">
        <v>5303</v>
      </c>
      <c r="AX1055" s="782" t="s">
        <v>5304</v>
      </c>
      <c r="AY1055" s="1007" t="s">
        <v>221</v>
      </c>
      <c r="AZ1055" s="1007">
        <v>622</v>
      </c>
      <c r="BA1055" s="347" t="str">
        <f t="shared" si="214"/>
        <v>Bag</v>
      </c>
      <c r="BB1055" s="1008"/>
      <c r="BC1055" s="1009"/>
      <c r="BD1055" s="1009"/>
    </row>
    <row r="1056" spans="1:56" s="1010" customFormat="1" ht="36.75" customHeight="1">
      <c r="A1056" s="661">
        <f>SUBTOTAL(3,B$6:B1056)</f>
        <v>1051</v>
      </c>
      <c r="B1056" s="661" t="s">
        <v>2901</v>
      </c>
      <c r="C1056" s="662" t="s">
        <v>2902</v>
      </c>
      <c r="D1056" s="1011">
        <v>43795</v>
      </c>
      <c r="E1056" s="1011" t="s">
        <v>221</v>
      </c>
      <c r="F1056" s="787" t="s">
        <v>255</v>
      </c>
      <c r="G1056" s="996" t="s">
        <v>2903</v>
      </c>
      <c r="H1056" s="1012">
        <v>5931000</v>
      </c>
      <c r="I1056" s="1012">
        <v>1600000</v>
      </c>
      <c r="J1056" s="1012">
        <v>0</v>
      </c>
      <c r="K1056" s="1012">
        <v>200000</v>
      </c>
      <c r="L1056" s="1013">
        <f t="shared" si="208"/>
        <v>7731000</v>
      </c>
      <c r="M1056" s="1014">
        <v>22.5</v>
      </c>
      <c r="N1056" s="1013">
        <f t="shared" si="209"/>
        <v>6690288</v>
      </c>
      <c r="O1056" s="1015">
        <v>3</v>
      </c>
      <c r="P1056" s="1013">
        <f t="shared" si="210"/>
        <v>892038</v>
      </c>
      <c r="Q1056" s="1016">
        <v>0</v>
      </c>
      <c r="R1056" s="1013">
        <f t="shared" si="211"/>
        <v>0</v>
      </c>
      <c r="S1056" s="1013">
        <f t="shared" si="212"/>
        <v>7582326</v>
      </c>
      <c r="T1056" s="1017">
        <v>0</v>
      </c>
      <c r="U1056" s="785">
        <v>0</v>
      </c>
      <c r="V1056" s="785">
        <v>200000</v>
      </c>
      <c r="W1056" s="1017">
        <v>500000</v>
      </c>
      <c r="X1056" s="1017">
        <v>0</v>
      </c>
      <c r="Y1056" s="1017">
        <v>400000</v>
      </c>
      <c r="Z1056" s="1017">
        <v>415829</v>
      </c>
      <c r="AA1056" s="1018"/>
      <c r="AB1056" s="1013"/>
      <c r="AC1056" s="1017">
        <v>100000</v>
      </c>
      <c r="AD1056" s="1017">
        <v>0</v>
      </c>
      <c r="AE1056" s="1013">
        <v>0</v>
      </c>
      <c r="AF1056" s="1019"/>
      <c r="AG1056" s="1019">
        <f t="shared" si="216"/>
        <v>9198155</v>
      </c>
      <c r="AH1056" s="1014">
        <v>4</v>
      </c>
      <c r="AI1056" s="1014">
        <v>0</v>
      </c>
      <c r="AJ1056" s="1014">
        <v>0</v>
      </c>
      <c r="AK1056" s="1018">
        <v>0</v>
      </c>
      <c r="AL1056" s="1020">
        <v>0</v>
      </c>
      <c r="AM1056" s="1013">
        <f t="shared" si="215"/>
        <v>223010</v>
      </c>
      <c r="AN1056" s="1045">
        <f t="shared" si="217"/>
        <v>9421165</v>
      </c>
      <c r="AO1056" s="1013">
        <v>811755</v>
      </c>
      <c r="AP1056" s="1013">
        <v>44100</v>
      </c>
      <c r="AQ1056" s="1013">
        <v>0</v>
      </c>
      <c r="AR1056" s="1013">
        <v>0</v>
      </c>
      <c r="AS1056" s="1013">
        <v>0</v>
      </c>
      <c r="AT1056" s="1045">
        <f t="shared" si="213"/>
        <v>8565310</v>
      </c>
      <c r="AU1056" s="1004"/>
      <c r="AV1056" s="870"/>
      <c r="AW1056" s="782" t="s">
        <v>5305</v>
      </c>
      <c r="AX1056" s="782" t="s">
        <v>5306</v>
      </c>
      <c r="AY1056" s="1007" t="s">
        <v>221</v>
      </c>
      <c r="AZ1056" s="1007">
        <v>622</v>
      </c>
      <c r="BA1056" s="347" t="str">
        <f t="shared" si="214"/>
        <v>Bag</v>
      </c>
      <c r="BB1056" s="1008"/>
      <c r="BC1056" s="1009"/>
      <c r="BD1056" s="1009"/>
    </row>
    <row r="1057" spans="1:56" s="1010" customFormat="1" ht="36.75" customHeight="1">
      <c r="A1057" s="661">
        <f>SUBTOTAL(3,B$6:B1057)</f>
        <v>1052</v>
      </c>
      <c r="B1057" s="661" t="s">
        <v>2904</v>
      </c>
      <c r="C1057" s="662" t="s">
        <v>2905</v>
      </c>
      <c r="D1057" s="1011">
        <v>44606</v>
      </c>
      <c r="E1057" s="1011" t="s">
        <v>221</v>
      </c>
      <c r="F1057" s="787" t="s">
        <v>255</v>
      </c>
      <c r="G1057" s="996" t="s">
        <v>1338</v>
      </c>
      <c r="H1057" s="1012">
        <v>5931000</v>
      </c>
      <c r="I1057" s="1012">
        <v>600000</v>
      </c>
      <c r="J1057" s="1012">
        <v>0</v>
      </c>
      <c r="K1057" s="1012">
        <v>0</v>
      </c>
      <c r="L1057" s="1013">
        <f t="shared" si="208"/>
        <v>6531000</v>
      </c>
      <c r="M1057" s="1014">
        <v>24</v>
      </c>
      <c r="N1057" s="1013">
        <f t="shared" si="209"/>
        <v>6028615</v>
      </c>
      <c r="O1057" s="1015">
        <v>2</v>
      </c>
      <c r="P1057" s="1013">
        <f t="shared" si="210"/>
        <v>502385</v>
      </c>
      <c r="Q1057" s="1016">
        <v>0</v>
      </c>
      <c r="R1057" s="1013">
        <f t="shared" si="211"/>
        <v>0</v>
      </c>
      <c r="S1057" s="1013">
        <f t="shared" si="212"/>
        <v>6531000</v>
      </c>
      <c r="T1057" s="1017">
        <v>0</v>
      </c>
      <c r="U1057" s="785">
        <v>0</v>
      </c>
      <c r="V1057" s="785">
        <v>200000</v>
      </c>
      <c r="W1057" s="1017">
        <v>500000</v>
      </c>
      <c r="X1057" s="1017">
        <v>0</v>
      </c>
      <c r="Y1057" s="1017">
        <v>400000</v>
      </c>
      <c r="Z1057" s="1017">
        <v>443551</v>
      </c>
      <c r="AA1057" s="1018"/>
      <c r="AB1057" s="1013"/>
      <c r="AC1057" s="1017">
        <v>0</v>
      </c>
      <c r="AD1057" s="1017">
        <v>0</v>
      </c>
      <c r="AE1057" s="1013">
        <v>47098.5546875</v>
      </c>
      <c r="AF1057" s="1019"/>
      <c r="AG1057" s="1019">
        <f t="shared" si="216"/>
        <v>8121650</v>
      </c>
      <c r="AH1057" s="1014">
        <v>56</v>
      </c>
      <c r="AI1057" s="1014">
        <v>0</v>
      </c>
      <c r="AJ1057" s="1014">
        <v>0</v>
      </c>
      <c r="AK1057" s="1018">
        <v>0</v>
      </c>
      <c r="AL1057" s="1020">
        <v>0</v>
      </c>
      <c r="AM1057" s="1013">
        <f t="shared" si="215"/>
        <v>2637519</v>
      </c>
      <c r="AN1057" s="1045">
        <f t="shared" si="217"/>
        <v>10759169</v>
      </c>
      <c r="AO1057" s="1013">
        <v>685755</v>
      </c>
      <c r="AP1057" s="1013">
        <v>44100</v>
      </c>
      <c r="AQ1057" s="1013">
        <v>0</v>
      </c>
      <c r="AR1057" s="1013">
        <v>0</v>
      </c>
      <c r="AS1057" s="1013">
        <v>0</v>
      </c>
      <c r="AT1057" s="1045">
        <f t="shared" si="213"/>
        <v>10029314</v>
      </c>
      <c r="AU1057" s="1004"/>
      <c r="AV1057" s="870"/>
      <c r="AW1057" s="782" t="s">
        <v>5307</v>
      </c>
      <c r="AX1057" s="782" t="s">
        <v>5308</v>
      </c>
      <c r="AY1057" s="1007" t="s">
        <v>221</v>
      </c>
      <c r="AZ1057" s="1007">
        <v>622</v>
      </c>
      <c r="BA1057" s="347" t="str">
        <f t="shared" si="214"/>
        <v>Bag</v>
      </c>
      <c r="BB1057" s="1008"/>
      <c r="BC1057" s="1009"/>
      <c r="BD1057" s="1009"/>
    </row>
    <row r="1058" spans="1:56" s="1010" customFormat="1" ht="36.75" customHeight="1">
      <c r="A1058" s="661">
        <f>SUBTOTAL(3,B$6:B1058)</f>
        <v>1053</v>
      </c>
      <c r="B1058" s="661" t="s">
        <v>2906</v>
      </c>
      <c r="C1058" s="662" t="s">
        <v>2907</v>
      </c>
      <c r="D1058" s="1011">
        <v>45737</v>
      </c>
      <c r="E1058" s="1011" t="s">
        <v>221</v>
      </c>
      <c r="F1058" s="787" t="s">
        <v>255</v>
      </c>
      <c r="G1058" s="996" t="s">
        <v>1338</v>
      </c>
      <c r="H1058" s="1012">
        <v>4694000</v>
      </c>
      <c r="I1058" s="1012">
        <v>0</v>
      </c>
      <c r="J1058" s="1012">
        <v>0</v>
      </c>
      <c r="K1058" s="1012">
        <v>0</v>
      </c>
      <c r="L1058" s="1013">
        <f t="shared" si="208"/>
        <v>4694000</v>
      </c>
      <c r="M1058" s="1014">
        <v>18</v>
      </c>
      <c r="N1058" s="1013">
        <f t="shared" si="209"/>
        <v>3249692</v>
      </c>
      <c r="O1058" s="1015">
        <v>2</v>
      </c>
      <c r="P1058" s="1013">
        <f t="shared" si="210"/>
        <v>361077</v>
      </c>
      <c r="Q1058" s="1016">
        <v>0</v>
      </c>
      <c r="R1058" s="1013">
        <f t="shared" si="211"/>
        <v>0</v>
      </c>
      <c r="S1058" s="1013">
        <f t="shared" si="212"/>
        <v>3610769</v>
      </c>
      <c r="T1058" s="1017">
        <v>0</v>
      </c>
      <c r="U1058" s="785">
        <v>0</v>
      </c>
      <c r="V1058" s="785">
        <v>200000</v>
      </c>
      <c r="W1058" s="1017">
        <v>0</v>
      </c>
      <c r="X1058" s="1017">
        <v>0</v>
      </c>
      <c r="Y1058" s="1017">
        <v>0</v>
      </c>
      <c r="Z1058" s="1017">
        <v>332663</v>
      </c>
      <c r="AA1058" s="1018"/>
      <c r="AB1058" s="1013"/>
      <c r="AC1058" s="1017">
        <v>200000</v>
      </c>
      <c r="AD1058" s="1017">
        <v>108866</v>
      </c>
      <c r="AE1058" s="1013">
        <v>33850.958333333328</v>
      </c>
      <c r="AF1058" s="1019"/>
      <c r="AG1058" s="1019">
        <f t="shared" si="216"/>
        <v>4486149</v>
      </c>
      <c r="AH1058" s="1014">
        <v>40</v>
      </c>
      <c r="AI1058" s="1014">
        <v>0</v>
      </c>
      <c r="AJ1058" s="1014">
        <v>0</v>
      </c>
      <c r="AK1058" s="1018">
        <v>0</v>
      </c>
      <c r="AL1058" s="1020">
        <v>0</v>
      </c>
      <c r="AM1058" s="1013">
        <f t="shared" si="215"/>
        <v>1354038</v>
      </c>
      <c r="AN1058" s="1045">
        <f t="shared" si="217"/>
        <v>5840187</v>
      </c>
      <c r="AO1058" s="1013">
        <v>0</v>
      </c>
      <c r="AP1058" s="1013">
        <v>0</v>
      </c>
      <c r="AQ1058" s="1013">
        <v>0</v>
      </c>
      <c r="AR1058" s="1013">
        <v>0</v>
      </c>
      <c r="AS1058" s="1013">
        <v>0</v>
      </c>
      <c r="AT1058" s="1045">
        <f t="shared" si="213"/>
        <v>5840187</v>
      </c>
      <c r="AU1058" s="1004"/>
      <c r="AV1058" s="870"/>
      <c r="AW1058" s="782" t="s">
        <v>5309</v>
      </c>
      <c r="AX1058" s="782" t="s">
        <v>5310</v>
      </c>
      <c r="AY1058" s="1007" t="s">
        <v>221</v>
      </c>
      <c r="AZ1058" s="1007">
        <v>622</v>
      </c>
      <c r="BA1058" s="347" t="str">
        <f t="shared" si="214"/>
        <v>Bag</v>
      </c>
      <c r="BB1058" s="1008"/>
      <c r="BC1058" s="1009"/>
      <c r="BD1058" s="1009"/>
    </row>
    <row r="1059" spans="1:56" s="1010" customFormat="1" ht="36.75" customHeight="1">
      <c r="A1059" s="661">
        <f>SUBTOTAL(3,B$6:B1059)</f>
        <v>1054</v>
      </c>
      <c r="B1059" s="661" t="s">
        <v>2908</v>
      </c>
      <c r="C1059" s="662" t="s">
        <v>2909</v>
      </c>
      <c r="D1059" s="1011">
        <v>43567</v>
      </c>
      <c r="E1059" s="1011" t="s">
        <v>221</v>
      </c>
      <c r="F1059" s="787" t="s">
        <v>282</v>
      </c>
      <c r="G1059" s="996" t="s">
        <v>797</v>
      </c>
      <c r="H1059" s="1012">
        <v>5931000</v>
      </c>
      <c r="I1059" s="1012">
        <v>0</v>
      </c>
      <c r="J1059" s="1012">
        <v>0</v>
      </c>
      <c r="K1059" s="1012">
        <v>0</v>
      </c>
      <c r="L1059" s="1013">
        <f t="shared" si="208"/>
        <v>5931000</v>
      </c>
      <c r="M1059" s="1014">
        <v>19.899999999999999</v>
      </c>
      <c r="N1059" s="1013">
        <f t="shared" si="209"/>
        <v>4539496</v>
      </c>
      <c r="O1059" s="1015">
        <v>3</v>
      </c>
      <c r="P1059" s="1013">
        <f t="shared" si="210"/>
        <v>684346</v>
      </c>
      <c r="Q1059" s="1016">
        <v>0</v>
      </c>
      <c r="R1059" s="1013">
        <f t="shared" si="211"/>
        <v>0</v>
      </c>
      <c r="S1059" s="1013">
        <f t="shared" si="212"/>
        <v>5223842</v>
      </c>
      <c r="T1059" s="1017">
        <v>0</v>
      </c>
      <c r="U1059" s="785">
        <v>0</v>
      </c>
      <c r="V1059" s="785">
        <v>200000</v>
      </c>
      <c r="W1059" s="1017">
        <v>0</v>
      </c>
      <c r="X1059" s="1017">
        <v>0</v>
      </c>
      <c r="Y1059" s="1017">
        <v>0</v>
      </c>
      <c r="Z1059" s="1017">
        <v>344912</v>
      </c>
      <c r="AA1059" s="1018"/>
      <c r="AB1059" s="1013"/>
      <c r="AC1059" s="1017">
        <v>100000</v>
      </c>
      <c r="AD1059" s="1017">
        <v>0</v>
      </c>
      <c r="AE1059" s="1013">
        <v>0</v>
      </c>
      <c r="AF1059" s="1019"/>
      <c r="AG1059" s="1019">
        <f t="shared" si="216"/>
        <v>5868754</v>
      </c>
      <c r="AH1059" s="1014">
        <v>48</v>
      </c>
      <c r="AI1059" s="1014">
        <v>0</v>
      </c>
      <c r="AJ1059" s="1014">
        <v>0</v>
      </c>
      <c r="AK1059" s="1018">
        <v>0</v>
      </c>
      <c r="AL1059" s="1020">
        <v>0</v>
      </c>
      <c r="AM1059" s="1013">
        <f t="shared" si="215"/>
        <v>2053038</v>
      </c>
      <c r="AN1059" s="1045">
        <f t="shared" si="217"/>
        <v>7921792</v>
      </c>
      <c r="AO1059" s="1013">
        <v>622755</v>
      </c>
      <c r="AP1059" s="1013">
        <v>44100</v>
      </c>
      <c r="AQ1059" s="1013">
        <v>0</v>
      </c>
      <c r="AR1059" s="1013">
        <v>0</v>
      </c>
      <c r="AS1059" s="1013">
        <v>0</v>
      </c>
      <c r="AT1059" s="1045">
        <f t="shared" si="213"/>
        <v>7254937</v>
      </c>
      <c r="AU1059" s="1004"/>
      <c r="AV1059" s="870"/>
      <c r="AW1059" s="782" t="s">
        <v>5311</v>
      </c>
      <c r="AX1059" s="782" t="s">
        <v>5312</v>
      </c>
      <c r="AY1059" s="1007" t="s">
        <v>221</v>
      </c>
      <c r="AZ1059" s="1007">
        <v>622</v>
      </c>
      <c r="BA1059" s="347" t="str">
        <f t="shared" si="214"/>
        <v>Bag</v>
      </c>
      <c r="BB1059" s="1008"/>
      <c r="BC1059" s="1009"/>
      <c r="BD1059" s="1009"/>
    </row>
    <row r="1060" spans="1:56" s="1010" customFormat="1" ht="36.75" customHeight="1">
      <c r="A1060" s="661">
        <f>SUBTOTAL(3,B$6:B1060)</f>
        <v>1055</v>
      </c>
      <c r="B1060" s="661" t="s">
        <v>2910</v>
      </c>
      <c r="C1060" s="662" t="s">
        <v>2911</v>
      </c>
      <c r="D1060" s="1011">
        <v>43599</v>
      </c>
      <c r="E1060" s="1011" t="s">
        <v>221</v>
      </c>
      <c r="F1060" s="787" t="s">
        <v>282</v>
      </c>
      <c r="G1060" s="996" t="s">
        <v>1747</v>
      </c>
      <c r="H1060" s="1012">
        <v>5931000</v>
      </c>
      <c r="I1060" s="1012">
        <v>700000</v>
      </c>
      <c r="J1060" s="1012">
        <v>298000</v>
      </c>
      <c r="K1060" s="1012">
        <v>300000</v>
      </c>
      <c r="L1060" s="1013">
        <f t="shared" si="208"/>
        <v>7229000</v>
      </c>
      <c r="M1060" s="1014">
        <v>23.9</v>
      </c>
      <c r="N1060" s="1013">
        <f t="shared" si="209"/>
        <v>6645119</v>
      </c>
      <c r="O1060" s="1015">
        <v>2</v>
      </c>
      <c r="P1060" s="1013">
        <f t="shared" si="210"/>
        <v>556077</v>
      </c>
      <c r="Q1060" s="1016">
        <v>0</v>
      </c>
      <c r="R1060" s="1013">
        <f t="shared" si="211"/>
        <v>0</v>
      </c>
      <c r="S1060" s="1013">
        <f t="shared" si="212"/>
        <v>7201196</v>
      </c>
      <c r="T1060" s="1017">
        <v>0</v>
      </c>
      <c r="U1060" s="785">
        <v>0</v>
      </c>
      <c r="V1060" s="785">
        <v>200000</v>
      </c>
      <c r="W1060" s="1017">
        <v>500000</v>
      </c>
      <c r="X1060" s="1017">
        <v>0</v>
      </c>
      <c r="Y1060" s="1017">
        <v>400000</v>
      </c>
      <c r="Z1060" s="1017">
        <v>912371</v>
      </c>
      <c r="AA1060" s="1018"/>
      <c r="AB1060" s="1013"/>
      <c r="AC1060" s="1017">
        <v>200000</v>
      </c>
      <c r="AD1060" s="1017">
        <v>0</v>
      </c>
      <c r="AE1060" s="1013">
        <v>52132.209728033471</v>
      </c>
      <c r="AF1060" s="1019"/>
      <c r="AG1060" s="1019">
        <f t="shared" si="216"/>
        <v>9465699</v>
      </c>
      <c r="AH1060" s="1014">
        <v>55</v>
      </c>
      <c r="AI1060" s="1014">
        <v>0</v>
      </c>
      <c r="AJ1060" s="1014">
        <v>0</v>
      </c>
      <c r="AK1060" s="1018">
        <v>0</v>
      </c>
      <c r="AL1060" s="1020">
        <v>0</v>
      </c>
      <c r="AM1060" s="1013">
        <f t="shared" si="215"/>
        <v>2867272</v>
      </c>
      <c r="AN1060" s="1045">
        <f t="shared" si="217"/>
        <v>12332971</v>
      </c>
      <c r="AO1060" s="1013">
        <v>759045</v>
      </c>
      <c r="AP1060" s="1013">
        <v>44100</v>
      </c>
      <c r="AQ1060" s="1013">
        <v>0</v>
      </c>
      <c r="AR1060" s="1013">
        <v>0</v>
      </c>
      <c r="AS1060" s="1013">
        <v>0</v>
      </c>
      <c r="AT1060" s="1045">
        <f t="shared" si="213"/>
        <v>11529826</v>
      </c>
      <c r="AU1060" s="1004"/>
      <c r="AV1060" s="870"/>
      <c r="AW1060" s="782" t="s">
        <v>5313</v>
      </c>
      <c r="AX1060" s="782" t="s">
        <v>5314</v>
      </c>
      <c r="AY1060" s="1007" t="s">
        <v>221</v>
      </c>
      <c r="AZ1060" s="1007">
        <v>622</v>
      </c>
      <c r="BA1060" s="347" t="str">
        <f t="shared" si="214"/>
        <v>Bag</v>
      </c>
      <c r="BB1060" s="1008"/>
      <c r="BC1060" s="1009"/>
      <c r="BD1060" s="1009"/>
    </row>
    <row r="1061" spans="1:56" s="1010" customFormat="1" ht="36.75" customHeight="1">
      <c r="A1061" s="661">
        <f>SUBTOTAL(3,B$6:B1061)</f>
        <v>1056</v>
      </c>
      <c r="B1061" s="661" t="s">
        <v>2912</v>
      </c>
      <c r="C1061" s="662" t="s">
        <v>2913</v>
      </c>
      <c r="D1061" s="1011">
        <v>43654</v>
      </c>
      <c r="E1061" s="1011" t="s">
        <v>221</v>
      </c>
      <c r="F1061" s="787" t="s">
        <v>282</v>
      </c>
      <c r="G1061" s="996" t="s">
        <v>920</v>
      </c>
      <c r="H1061" s="1012">
        <v>5931000</v>
      </c>
      <c r="I1061" s="1012">
        <v>0</v>
      </c>
      <c r="J1061" s="1012">
        <v>298000</v>
      </c>
      <c r="K1061" s="1012">
        <v>0</v>
      </c>
      <c r="L1061" s="1013">
        <f t="shared" si="208"/>
        <v>6229000</v>
      </c>
      <c r="M1061" s="1014">
        <v>22.6</v>
      </c>
      <c r="N1061" s="1013">
        <f t="shared" si="209"/>
        <v>5414438</v>
      </c>
      <c r="O1061" s="1015">
        <v>3</v>
      </c>
      <c r="P1061" s="1013">
        <f t="shared" si="210"/>
        <v>718731</v>
      </c>
      <c r="Q1061" s="1016">
        <v>0</v>
      </c>
      <c r="R1061" s="1013">
        <f t="shared" si="211"/>
        <v>0</v>
      </c>
      <c r="S1061" s="1013">
        <f t="shared" si="212"/>
        <v>6133169</v>
      </c>
      <c r="T1061" s="1017">
        <v>0</v>
      </c>
      <c r="U1061" s="785">
        <v>0</v>
      </c>
      <c r="V1061" s="785">
        <v>200000</v>
      </c>
      <c r="W1061" s="1017">
        <v>500000</v>
      </c>
      <c r="X1061" s="1017">
        <v>0</v>
      </c>
      <c r="Y1061" s="1017">
        <v>400000</v>
      </c>
      <c r="Z1061" s="1017">
        <v>541627</v>
      </c>
      <c r="AA1061" s="1018"/>
      <c r="AB1061" s="1013"/>
      <c r="AC1061" s="1017">
        <v>100000</v>
      </c>
      <c r="AD1061" s="1017">
        <v>0</v>
      </c>
      <c r="AE1061" s="1013">
        <v>44920.669247787606</v>
      </c>
      <c r="AF1061" s="1019"/>
      <c r="AG1061" s="1019">
        <f t="shared" si="216"/>
        <v>7919717</v>
      </c>
      <c r="AH1061" s="1014">
        <v>52</v>
      </c>
      <c r="AI1061" s="1014">
        <v>0</v>
      </c>
      <c r="AJ1061" s="1014">
        <v>0</v>
      </c>
      <c r="AK1061" s="1018">
        <v>0</v>
      </c>
      <c r="AL1061" s="1020">
        <v>0</v>
      </c>
      <c r="AM1061" s="1013">
        <f t="shared" si="215"/>
        <v>2335875</v>
      </c>
      <c r="AN1061" s="1045">
        <f t="shared" si="217"/>
        <v>10255592</v>
      </c>
      <c r="AO1061" s="1013">
        <v>654045</v>
      </c>
      <c r="AP1061" s="1013">
        <v>44100</v>
      </c>
      <c r="AQ1061" s="1013">
        <v>0</v>
      </c>
      <c r="AR1061" s="1013">
        <v>0</v>
      </c>
      <c r="AS1061" s="1013">
        <v>0</v>
      </c>
      <c r="AT1061" s="1045">
        <f t="shared" si="213"/>
        <v>9557447</v>
      </c>
      <c r="AU1061" s="1004"/>
      <c r="AV1061" s="870"/>
      <c r="AW1061" s="782" t="s">
        <v>5315</v>
      </c>
      <c r="AX1061" s="782" t="s">
        <v>5316</v>
      </c>
      <c r="AY1061" s="1007" t="s">
        <v>221</v>
      </c>
      <c r="AZ1061" s="1007">
        <v>622</v>
      </c>
      <c r="BA1061" s="347" t="str">
        <f t="shared" si="214"/>
        <v>Bag</v>
      </c>
      <c r="BB1061" s="1008"/>
      <c r="BC1061" s="1009"/>
      <c r="BD1061" s="1009"/>
    </row>
    <row r="1062" spans="1:56" s="1010" customFormat="1" ht="36.75" customHeight="1">
      <c r="A1062" s="661">
        <f>SUBTOTAL(3,B$6:B1062)</f>
        <v>1057</v>
      </c>
      <c r="B1062" s="661" t="s">
        <v>2914</v>
      </c>
      <c r="C1062" s="662" t="s">
        <v>2915</v>
      </c>
      <c r="D1062" s="1011">
        <v>43731</v>
      </c>
      <c r="E1062" s="1011" t="s">
        <v>221</v>
      </c>
      <c r="F1062" s="787" t="s">
        <v>282</v>
      </c>
      <c r="G1062" s="996" t="s">
        <v>1232</v>
      </c>
      <c r="H1062" s="1012">
        <v>5931000</v>
      </c>
      <c r="I1062" s="1012">
        <v>200000</v>
      </c>
      <c r="J1062" s="1012">
        <v>0</v>
      </c>
      <c r="K1062" s="1012">
        <v>0</v>
      </c>
      <c r="L1062" s="1013">
        <f t="shared" si="208"/>
        <v>6131000</v>
      </c>
      <c r="M1062" s="1014">
        <v>23.8</v>
      </c>
      <c r="N1062" s="1013">
        <f t="shared" si="209"/>
        <v>5612223</v>
      </c>
      <c r="O1062" s="1015">
        <v>2</v>
      </c>
      <c r="P1062" s="1013">
        <f t="shared" si="210"/>
        <v>471615</v>
      </c>
      <c r="Q1062" s="1016">
        <v>0</v>
      </c>
      <c r="R1062" s="1013">
        <f t="shared" si="211"/>
        <v>0</v>
      </c>
      <c r="S1062" s="1013">
        <f t="shared" si="212"/>
        <v>6083838</v>
      </c>
      <c r="T1062" s="1017">
        <v>0</v>
      </c>
      <c r="U1062" s="785">
        <v>0</v>
      </c>
      <c r="V1062" s="785">
        <v>200000</v>
      </c>
      <c r="W1062" s="1017">
        <v>500000</v>
      </c>
      <c r="X1062" s="1017">
        <v>0</v>
      </c>
      <c r="Y1062" s="1017">
        <v>300000</v>
      </c>
      <c r="Z1062" s="1017">
        <v>380424</v>
      </c>
      <c r="AA1062" s="1018"/>
      <c r="AB1062" s="1013"/>
      <c r="AC1062" s="1017">
        <v>0</v>
      </c>
      <c r="AD1062" s="1017">
        <v>0</v>
      </c>
      <c r="AE1062" s="1013">
        <v>0</v>
      </c>
      <c r="AF1062" s="1019"/>
      <c r="AG1062" s="1019">
        <f t="shared" si="216"/>
        <v>7464262</v>
      </c>
      <c r="AH1062" s="1014">
        <v>56</v>
      </c>
      <c r="AI1062" s="1014">
        <v>0</v>
      </c>
      <c r="AJ1062" s="1014">
        <v>0</v>
      </c>
      <c r="AK1062" s="1018">
        <v>0</v>
      </c>
      <c r="AL1062" s="1020">
        <v>0</v>
      </c>
      <c r="AM1062" s="1013">
        <f t="shared" si="215"/>
        <v>2475981</v>
      </c>
      <c r="AN1062" s="1045">
        <f t="shared" si="217"/>
        <v>9940243</v>
      </c>
      <c r="AO1062" s="1013">
        <v>643755</v>
      </c>
      <c r="AP1062" s="1013">
        <v>44100</v>
      </c>
      <c r="AQ1062" s="1013">
        <v>0</v>
      </c>
      <c r="AR1062" s="1013">
        <v>0</v>
      </c>
      <c r="AS1062" s="1013">
        <v>0</v>
      </c>
      <c r="AT1062" s="1045">
        <f t="shared" si="213"/>
        <v>9252388</v>
      </c>
      <c r="AU1062" s="1004"/>
      <c r="AV1062" s="870"/>
      <c r="AW1062" s="782" t="s">
        <v>5317</v>
      </c>
      <c r="AX1062" s="782" t="s">
        <v>5318</v>
      </c>
      <c r="AY1062" s="1007" t="s">
        <v>221</v>
      </c>
      <c r="AZ1062" s="1007">
        <v>622</v>
      </c>
      <c r="BA1062" s="347" t="str">
        <f t="shared" si="214"/>
        <v>Bag</v>
      </c>
      <c r="BB1062" s="1008"/>
      <c r="BC1062" s="1009"/>
      <c r="BD1062" s="1009"/>
    </row>
    <row r="1063" spans="1:56" s="1010" customFormat="1" ht="36.75" customHeight="1">
      <c r="A1063" s="661">
        <f>SUBTOTAL(3,B$6:B1063)</f>
        <v>1058</v>
      </c>
      <c r="B1063" s="661" t="s">
        <v>2916</v>
      </c>
      <c r="C1063" s="662" t="s">
        <v>2917</v>
      </c>
      <c r="D1063" s="1011">
        <v>43868</v>
      </c>
      <c r="E1063" s="1011" t="s">
        <v>221</v>
      </c>
      <c r="F1063" s="787" t="s">
        <v>282</v>
      </c>
      <c r="G1063" s="996" t="s">
        <v>797</v>
      </c>
      <c r="H1063" s="1012">
        <v>5931000</v>
      </c>
      <c r="I1063" s="1012">
        <v>0</v>
      </c>
      <c r="J1063" s="1012">
        <v>0</v>
      </c>
      <c r="K1063" s="1012">
        <v>0</v>
      </c>
      <c r="L1063" s="1013">
        <f t="shared" si="208"/>
        <v>5931000</v>
      </c>
      <c r="M1063" s="1014">
        <v>20</v>
      </c>
      <c r="N1063" s="1013">
        <f t="shared" si="209"/>
        <v>4562308</v>
      </c>
      <c r="O1063" s="1015">
        <v>2</v>
      </c>
      <c r="P1063" s="1013">
        <f t="shared" si="210"/>
        <v>456231</v>
      </c>
      <c r="Q1063" s="1016">
        <v>0</v>
      </c>
      <c r="R1063" s="1013">
        <f t="shared" si="211"/>
        <v>0</v>
      </c>
      <c r="S1063" s="1013">
        <f t="shared" si="212"/>
        <v>5018539</v>
      </c>
      <c r="T1063" s="1017">
        <v>0</v>
      </c>
      <c r="U1063" s="785">
        <v>0</v>
      </c>
      <c r="V1063" s="785">
        <v>200000</v>
      </c>
      <c r="W1063" s="1017">
        <v>0</v>
      </c>
      <c r="X1063" s="1017">
        <v>0</v>
      </c>
      <c r="Y1063" s="1017">
        <v>150000</v>
      </c>
      <c r="Z1063" s="1017">
        <v>340734</v>
      </c>
      <c r="AA1063" s="1018"/>
      <c r="AB1063" s="1013"/>
      <c r="AC1063" s="1017">
        <v>0</v>
      </c>
      <c r="AD1063" s="1017">
        <v>0</v>
      </c>
      <c r="AE1063" s="1013">
        <v>0</v>
      </c>
      <c r="AF1063" s="1019"/>
      <c r="AG1063" s="1019">
        <f t="shared" si="216"/>
        <v>5709273</v>
      </c>
      <c r="AH1063" s="1014">
        <v>48</v>
      </c>
      <c r="AI1063" s="1014">
        <v>0</v>
      </c>
      <c r="AJ1063" s="1014">
        <v>0</v>
      </c>
      <c r="AK1063" s="1018">
        <v>0</v>
      </c>
      <c r="AL1063" s="1020">
        <v>0</v>
      </c>
      <c r="AM1063" s="1013">
        <f t="shared" si="215"/>
        <v>2053039</v>
      </c>
      <c r="AN1063" s="1045">
        <f t="shared" si="217"/>
        <v>7762312</v>
      </c>
      <c r="AO1063" s="1013">
        <v>622755</v>
      </c>
      <c r="AP1063" s="1013">
        <v>44100</v>
      </c>
      <c r="AQ1063" s="1013">
        <v>0</v>
      </c>
      <c r="AR1063" s="1013">
        <v>0</v>
      </c>
      <c r="AS1063" s="1013">
        <v>0</v>
      </c>
      <c r="AT1063" s="1045">
        <f t="shared" si="213"/>
        <v>7095457</v>
      </c>
      <c r="AU1063" s="1004"/>
      <c r="AV1063" s="870"/>
      <c r="AW1063" s="782" t="s">
        <v>5319</v>
      </c>
      <c r="AX1063" s="782" t="s">
        <v>5320</v>
      </c>
      <c r="AY1063" s="1007" t="s">
        <v>221</v>
      </c>
      <c r="AZ1063" s="1007">
        <v>622</v>
      </c>
      <c r="BA1063" s="347" t="str">
        <f t="shared" si="214"/>
        <v>Bag</v>
      </c>
      <c r="BB1063" s="1008"/>
      <c r="BC1063" s="1009"/>
      <c r="BD1063" s="1009"/>
    </row>
    <row r="1064" spans="1:56" s="1010" customFormat="1" ht="36.75" customHeight="1">
      <c r="A1064" s="661">
        <f>SUBTOTAL(3,B$6:B1064)</f>
        <v>1059</v>
      </c>
      <c r="B1064" s="661" t="s">
        <v>2918</v>
      </c>
      <c r="C1064" s="662" t="s">
        <v>2919</v>
      </c>
      <c r="D1064" s="1011">
        <v>43869</v>
      </c>
      <c r="E1064" s="1011" t="s">
        <v>221</v>
      </c>
      <c r="F1064" s="787" t="s">
        <v>282</v>
      </c>
      <c r="G1064" s="996" t="s">
        <v>797</v>
      </c>
      <c r="H1064" s="1012">
        <v>5931000</v>
      </c>
      <c r="I1064" s="1012">
        <v>0</v>
      </c>
      <c r="J1064" s="1012">
        <v>298000</v>
      </c>
      <c r="K1064" s="1012">
        <v>0</v>
      </c>
      <c r="L1064" s="1013">
        <f t="shared" ref="L1064:L1126" si="218">SUM(H1064:K1064)</f>
        <v>6229000</v>
      </c>
      <c r="M1064" s="1014">
        <v>23.8</v>
      </c>
      <c r="N1064" s="1013">
        <f t="shared" ref="N1064:N1127" si="219">ROUND((H1064+I1064+J1064+K1064)/IF($M$2&gt;26,26,$M$2)*M1064,0)</f>
        <v>5701931</v>
      </c>
      <c r="O1064" s="1015">
        <v>2</v>
      </c>
      <c r="P1064" s="1013">
        <f t="shared" ref="P1064:P1127" si="220">ROUND((H1064+I1064+J1064+K1064)/IF($M$2&gt;26,26,$M$2)*O1064,0)</f>
        <v>479154</v>
      </c>
      <c r="Q1064" s="1016">
        <v>0</v>
      </c>
      <c r="R1064" s="1013">
        <f t="shared" ref="R1064:R1127" si="221">IF(M1064&gt;0,ROUND(N1064/IF(M1064&gt;26,26,M1064)/8*Q1064*30%,0),0)</f>
        <v>0</v>
      </c>
      <c r="S1064" s="1013">
        <f t="shared" ref="S1064:S1127" si="222">N1064+P1064+R1064</f>
        <v>6181085</v>
      </c>
      <c r="T1064" s="1017">
        <v>0</v>
      </c>
      <c r="U1064" s="785">
        <v>0</v>
      </c>
      <c r="V1064" s="785">
        <v>200000</v>
      </c>
      <c r="W1064" s="1017">
        <v>500000</v>
      </c>
      <c r="X1064" s="1017">
        <v>0</v>
      </c>
      <c r="Y1064" s="1017">
        <v>400000</v>
      </c>
      <c r="Z1064" s="1017">
        <v>654077</v>
      </c>
      <c r="AA1064" s="1018"/>
      <c r="AB1064" s="1013"/>
      <c r="AC1064" s="1017">
        <v>0</v>
      </c>
      <c r="AD1064" s="1017">
        <v>0</v>
      </c>
      <c r="AE1064" s="1013">
        <v>0</v>
      </c>
      <c r="AF1064" s="1019"/>
      <c r="AG1064" s="1019">
        <f t="shared" si="216"/>
        <v>7935162</v>
      </c>
      <c r="AH1064" s="1014">
        <v>56</v>
      </c>
      <c r="AI1064" s="1014">
        <v>0</v>
      </c>
      <c r="AJ1064" s="1014">
        <v>0</v>
      </c>
      <c r="AK1064" s="1018">
        <v>0</v>
      </c>
      <c r="AL1064" s="1020">
        <v>0</v>
      </c>
      <c r="AM1064" s="1013">
        <f t="shared" si="215"/>
        <v>2515558</v>
      </c>
      <c r="AN1064" s="1045">
        <f t="shared" si="217"/>
        <v>10450720</v>
      </c>
      <c r="AO1064" s="1013">
        <v>654045</v>
      </c>
      <c r="AP1064" s="1013">
        <v>44100</v>
      </c>
      <c r="AQ1064" s="1013">
        <v>0</v>
      </c>
      <c r="AR1064" s="1013">
        <v>0</v>
      </c>
      <c r="AS1064" s="1013">
        <v>0</v>
      </c>
      <c r="AT1064" s="1045">
        <f t="shared" si="213"/>
        <v>9752575</v>
      </c>
      <c r="AU1064" s="1004"/>
      <c r="AV1064" s="870"/>
      <c r="AW1064" s="782" t="s">
        <v>5321</v>
      </c>
      <c r="AX1064" s="782" t="s">
        <v>5322</v>
      </c>
      <c r="AY1064" s="1007" t="s">
        <v>221</v>
      </c>
      <c r="AZ1064" s="1007">
        <v>622</v>
      </c>
      <c r="BA1064" s="347" t="str">
        <f t="shared" si="214"/>
        <v>Bag</v>
      </c>
      <c r="BB1064" s="1008"/>
      <c r="BC1064" s="1009"/>
      <c r="BD1064" s="1009"/>
    </row>
    <row r="1065" spans="1:56" s="1010" customFormat="1" ht="36.75" customHeight="1">
      <c r="A1065" s="661">
        <f>SUBTOTAL(3,B$6:B1065)</f>
        <v>1060</v>
      </c>
      <c r="B1065" s="661" t="s">
        <v>2920</v>
      </c>
      <c r="C1065" s="662" t="s">
        <v>2921</v>
      </c>
      <c r="D1065" s="1011">
        <v>44060</v>
      </c>
      <c r="E1065" s="1011" t="s">
        <v>221</v>
      </c>
      <c r="F1065" s="787" t="s">
        <v>282</v>
      </c>
      <c r="G1065" s="996" t="s">
        <v>920</v>
      </c>
      <c r="H1065" s="1012">
        <v>5931000</v>
      </c>
      <c r="I1065" s="1012">
        <v>0</v>
      </c>
      <c r="J1065" s="1012">
        <v>0</v>
      </c>
      <c r="K1065" s="1012">
        <v>0</v>
      </c>
      <c r="L1065" s="1013">
        <f t="shared" si="218"/>
        <v>5931000</v>
      </c>
      <c r="M1065" s="1014">
        <v>24</v>
      </c>
      <c r="N1065" s="1013">
        <f t="shared" si="219"/>
        <v>5474769</v>
      </c>
      <c r="O1065" s="1015">
        <v>2</v>
      </c>
      <c r="P1065" s="1013">
        <f t="shared" si="220"/>
        <v>456231</v>
      </c>
      <c r="Q1065" s="1016">
        <v>0</v>
      </c>
      <c r="R1065" s="1013">
        <f t="shared" si="221"/>
        <v>0</v>
      </c>
      <c r="S1065" s="1013">
        <f t="shared" si="222"/>
        <v>5931000</v>
      </c>
      <c r="T1065" s="1017">
        <v>0</v>
      </c>
      <c r="U1065" s="785">
        <v>0</v>
      </c>
      <c r="V1065" s="785">
        <v>200000</v>
      </c>
      <c r="W1065" s="1017">
        <v>500000</v>
      </c>
      <c r="X1065" s="1017">
        <v>0</v>
      </c>
      <c r="Y1065" s="1017">
        <v>300000</v>
      </c>
      <c r="Z1065" s="1017">
        <v>410449</v>
      </c>
      <c r="AA1065" s="1018"/>
      <c r="AB1065" s="1013"/>
      <c r="AC1065" s="1017">
        <v>0</v>
      </c>
      <c r="AD1065" s="1017">
        <v>0</v>
      </c>
      <c r="AE1065" s="1013">
        <v>42771.6328125</v>
      </c>
      <c r="AF1065" s="1019"/>
      <c r="AG1065" s="1019">
        <f t="shared" si="216"/>
        <v>7384221</v>
      </c>
      <c r="AH1065" s="1014">
        <v>56</v>
      </c>
      <c r="AI1065" s="1014">
        <v>0</v>
      </c>
      <c r="AJ1065" s="1014">
        <v>0</v>
      </c>
      <c r="AK1065" s="1018">
        <v>0</v>
      </c>
      <c r="AL1065" s="1020">
        <v>0</v>
      </c>
      <c r="AM1065" s="1013">
        <f t="shared" si="215"/>
        <v>2395211</v>
      </c>
      <c r="AN1065" s="1045">
        <f t="shared" si="217"/>
        <v>9779432</v>
      </c>
      <c r="AO1065" s="1013">
        <v>622755</v>
      </c>
      <c r="AP1065" s="1013">
        <v>44100</v>
      </c>
      <c r="AQ1065" s="1013">
        <v>0</v>
      </c>
      <c r="AR1065" s="1013">
        <v>0</v>
      </c>
      <c r="AS1065" s="1013">
        <v>0</v>
      </c>
      <c r="AT1065" s="1045">
        <f t="shared" si="213"/>
        <v>9112577</v>
      </c>
      <c r="AU1065" s="1004"/>
      <c r="AV1065" s="870"/>
      <c r="AW1065" s="782" t="s">
        <v>5323</v>
      </c>
      <c r="AX1065" s="782" t="s">
        <v>5324</v>
      </c>
      <c r="AY1065" s="1007" t="s">
        <v>221</v>
      </c>
      <c r="AZ1065" s="1007">
        <v>622</v>
      </c>
      <c r="BA1065" s="347" t="str">
        <f t="shared" si="214"/>
        <v>Bag</v>
      </c>
      <c r="BB1065" s="1008"/>
      <c r="BC1065" s="1009"/>
      <c r="BD1065" s="1009"/>
    </row>
    <row r="1066" spans="1:56" s="1010" customFormat="1" ht="36.75" customHeight="1">
      <c r="A1066" s="661">
        <f>SUBTOTAL(3,B$6:B1066)</f>
        <v>1061</v>
      </c>
      <c r="B1066" s="661" t="s">
        <v>2922</v>
      </c>
      <c r="C1066" s="662" t="s">
        <v>2923</v>
      </c>
      <c r="D1066" s="1011">
        <v>44097</v>
      </c>
      <c r="E1066" s="1011" t="s">
        <v>221</v>
      </c>
      <c r="F1066" s="787" t="s">
        <v>282</v>
      </c>
      <c r="G1066" s="996" t="s">
        <v>1232</v>
      </c>
      <c r="H1066" s="1012">
        <v>5931000</v>
      </c>
      <c r="I1066" s="1012">
        <v>200000</v>
      </c>
      <c r="J1066" s="1012">
        <v>0</v>
      </c>
      <c r="K1066" s="1012">
        <v>0</v>
      </c>
      <c r="L1066" s="1013">
        <f t="shared" si="218"/>
        <v>6131000</v>
      </c>
      <c r="M1066" s="1014">
        <v>23</v>
      </c>
      <c r="N1066" s="1013">
        <f t="shared" si="219"/>
        <v>5423577</v>
      </c>
      <c r="O1066" s="1015">
        <v>3</v>
      </c>
      <c r="P1066" s="1013">
        <f t="shared" si="220"/>
        <v>707423</v>
      </c>
      <c r="Q1066" s="1016">
        <v>0</v>
      </c>
      <c r="R1066" s="1013">
        <f t="shared" si="221"/>
        <v>0</v>
      </c>
      <c r="S1066" s="1013">
        <f t="shared" si="222"/>
        <v>6131000</v>
      </c>
      <c r="T1066" s="1017">
        <v>0</v>
      </c>
      <c r="U1066" s="785">
        <v>0</v>
      </c>
      <c r="V1066" s="785">
        <v>200000</v>
      </c>
      <c r="W1066" s="1017">
        <v>500000</v>
      </c>
      <c r="X1066" s="1017">
        <v>0</v>
      </c>
      <c r="Y1066" s="1017">
        <v>300000</v>
      </c>
      <c r="Z1066" s="1017">
        <v>368396</v>
      </c>
      <c r="AA1066" s="1018"/>
      <c r="AB1066" s="1013"/>
      <c r="AC1066" s="1017">
        <v>0</v>
      </c>
      <c r="AD1066" s="1017">
        <v>0</v>
      </c>
      <c r="AE1066" s="1013">
        <v>44213.942934782608</v>
      </c>
      <c r="AF1066" s="1019"/>
      <c r="AG1066" s="1019">
        <f t="shared" si="216"/>
        <v>7543610</v>
      </c>
      <c r="AH1066" s="1014">
        <v>52</v>
      </c>
      <c r="AI1066" s="1014">
        <v>0</v>
      </c>
      <c r="AJ1066" s="1014">
        <v>0</v>
      </c>
      <c r="AK1066" s="1018">
        <v>0</v>
      </c>
      <c r="AL1066" s="1020">
        <v>0</v>
      </c>
      <c r="AM1066" s="1013">
        <f t="shared" si="215"/>
        <v>2299125</v>
      </c>
      <c r="AN1066" s="1045">
        <f t="shared" si="217"/>
        <v>9842735</v>
      </c>
      <c r="AO1066" s="1013">
        <v>643755</v>
      </c>
      <c r="AP1066" s="1013">
        <v>44100</v>
      </c>
      <c r="AQ1066" s="1013">
        <v>0</v>
      </c>
      <c r="AR1066" s="1013">
        <v>0</v>
      </c>
      <c r="AS1066" s="1013">
        <v>0</v>
      </c>
      <c r="AT1066" s="1045">
        <f t="shared" si="213"/>
        <v>9154880</v>
      </c>
      <c r="AU1066" s="1004"/>
      <c r="AV1066" s="870"/>
      <c r="AW1066" s="782" t="s">
        <v>5325</v>
      </c>
      <c r="AX1066" s="782" t="s">
        <v>5326</v>
      </c>
      <c r="AY1066" s="1007" t="s">
        <v>221</v>
      </c>
      <c r="AZ1066" s="1007">
        <v>622</v>
      </c>
      <c r="BA1066" s="347" t="str">
        <f t="shared" si="214"/>
        <v>Bag</v>
      </c>
      <c r="BB1066" s="1008"/>
      <c r="BC1066" s="1009"/>
      <c r="BD1066" s="1009"/>
    </row>
    <row r="1067" spans="1:56" s="1010" customFormat="1" ht="36.75" customHeight="1">
      <c r="A1067" s="661">
        <f>SUBTOTAL(3,B$6:B1067)</f>
        <v>1062</v>
      </c>
      <c r="B1067" s="661" t="s">
        <v>2924</v>
      </c>
      <c r="C1067" s="662" t="s">
        <v>2925</v>
      </c>
      <c r="D1067" s="1011">
        <v>44250</v>
      </c>
      <c r="E1067" s="1011" t="s">
        <v>221</v>
      </c>
      <c r="F1067" s="787" t="s">
        <v>282</v>
      </c>
      <c r="G1067" s="996" t="s">
        <v>797</v>
      </c>
      <c r="H1067" s="1012">
        <v>5931000</v>
      </c>
      <c r="I1067" s="1012">
        <v>0</v>
      </c>
      <c r="J1067" s="1012">
        <v>0</v>
      </c>
      <c r="K1067" s="1012">
        <v>0</v>
      </c>
      <c r="L1067" s="1013">
        <f t="shared" si="218"/>
        <v>5931000</v>
      </c>
      <c r="M1067" s="1014">
        <v>23.9</v>
      </c>
      <c r="N1067" s="1013">
        <f t="shared" si="219"/>
        <v>5451958</v>
      </c>
      <c r="O1067" s="1015">
        <v>2</v>
      </c>
      <c r="P1067" s="1013">
        <f t="shared" si="220"/>
        <v>456231</v>
      </c>
      <c r="Q1067" s="1016">
        <v>0</v>
      </c>
      <c r="R1067" s="1013">
        <f t="shared" si="221"/>
        <v>0</v>
      </c>
      <c r="S1067" s="1013">
        <f t="shared" si="222"/>
        <v>5908189</v>
      </c>
      <c r="T1067" s="1017">
        <v>0</v>
      </c>
      <c r="U1067" s="785">
        <v>0</v>
      </c>
      <c r="V1067" s="785">
        <v>200000</v>
      </c>
      <c r="W1067" s="1017">
        <v>500000</v>
      </c>
      <c r="X1067" s="1017">
        <v>0</v>
      </c>
      <c r="Y1067" s="1017">
        <v>300000</v>
      </c>
      <c r="Z1067" s="1017">
        <v>225647</v>
      </c>
      <c r="AA1067" s="1018"/>
      <c r="AB1067" s="1013"/>
      <c r="AC1067" s="1017">
        <v>100000</v>
      </c>
      <c r="AD1067" s="1017">
        <v>0</v>
      </c>
      <c r="AE1067" s="1013">
        <v>42771.6370292887</v>
      </c>
      <c r="AF1067" s="1019"/>
      <c r="AG1067" s="1019">
        <f t="shared" si="216"/>
        <v>7276608</v>
      </c>
      <c r="AH1067" s="1014">
        <v>0</v>
      </c>
      <c r="AI1067" s="1014">
        <v>0</v>
      </c>
      <c r="AJ1067" s="1014">
        <v>0</v>
      </c>
      <c r="AK1067" s="1018">
        <v>0</v>
      </c>
      <c r="AL1067" s="1020">
        <v>0</v>
      </c>
      <c r="AM1067" s="1013">
        <f t="shared" si="215"/>
        <v>0</v>
      </c>
      <c r="AN1067" s="1045">
        <f t="shared" si="217"/>
        <v>7276608</v>
      </c>
      <c r="AO1067" s="1013">
        <v>622755</v>
      </c>
      <c r="AP1067" s="1013">
        <v>44100</v>
      </c>
      <c r="AQ1067" s="1013">
        <v>0</v>
      </c>
      <c r="AR1067" s="1013">
        <v>0</v>
      </c>
      <c r="AS1067" s="1013">
        <v>0</v>
      </c>
      <c r="AT1067" s="1045">
        <f t="shared" si="213"/>
        <v>6609753</v>
      </c>
      <c r="AU1067" s="1004"/>
      <c r="AV1067" s="870"/>
      <c r="AW1067" s="782" t="s">
        <v>5327</v>
      </c>
      <c r="AX1067" s="782" t="s">
        <v>5328</v>
      </c>
      <c r="AY1067" s="1007" t="s">
        <v>221</v>
      </c>
      <c r="AZ1067" s="1007">
        <v>622</v>
      </c>
      <c r="BA1067" s="347" t="str">
        <f t="shared" si="214"/>
        <v>Bag</v>
      </c>
      <c r="BB1067" s="1008"/>
      <c r="BC1067" s="1009"/>
      <c r="BD1067" s="1009"/>
    </row>
    <row r="1068" spans="1:56" s="1010" customFormat="1" ht="36.75" customHeight="1">
      <c r="A1068" s="661">
        <f>SUBTOTAL(3,B$6:B1068)</f>
        <v>1063</v>
      </c>
      <c r="B1068" s="661" t="s">
        <v>2926</v>
      </c>
      <c r="C1068" s="662" t="s">
        <v>2927</v>
      </c>
      <c r="D1068" s="1011">
        <v>44281</v>
      </c>
      <c r="E1068" s="1011" t="s">
        <v>221</v>
      </c>
      <c r="F1068" s="787" t="s">
        <v>282</v>
      </c>
      <c r="G1068" s="996" t="s">
        <v>797</v>
      </c>
      <c r="H1068" s="1012">
        <v>5931000</v>
      </c>
      <c r="I1068" s="1012">
        <v>0</v>
      </c>
      <c r="J1068" s="1012">
        <v>0</v>
      </c>
      <c r="K1068" s="1012">
        <v>0</v>
      </c>
      <c r="L1068" s="1013">
        <f t="shared" si="218"/>
        <v>5931000</v>
      </c>
      <c r="M1068" s="1014">
        <v>22.5</v>
      </c>
      <c r="N1068" s="1013">
        <f t="shared" si="219"/>
        <v>5132596</v>
      </c>
      <c r="O1068" s="1015">
        <v>3</v>
      </c>
      <c r="P1068" s="1013">
        <f t="shared" si="220"/>
        <v>684346</v>
      </c>
      <c r="Q1068" s="1016">
        <v>0</v>
      </c>
      <c r="R1068" s="1013">
        <f t="shared" si="221"/>
        <v>0</v>
      </c>
      <c r="S1068" s="1013">
        <f t="shared" si="222"/>
        <v>5816942</v>
      </c>
      <c r="T1068" s="1017">
        <v>0</v>
      </c>
      <c r="U1068" s="785">
        <v>0</v>
      </c>
      <c r="V1068" s="785">
        <v>200000</v>
      </c>
      <c r="W1068" s="1017">
        <v>500000</v>
      </c>
      <c r="X1068" s="1017">
        <v>0</v>
      </c>
      <c r="Y1068" s="1017">
        <v>150000</v>
      </c>
      <c r="Z1068" s="1017">
        <v>333033</v>
      </c>
      <c r="AA1068" s="1018"/>
      <c r="AB1068" s="1013"/>
      <c r="AC1068" s="1017">
        <v>200000</v>
      </c>
      <c r="AD1068" s="1017">
        <v>0</v>
      </c>
      <c r="AE1068" s="1013">
        <v>0</v>
      </c>
      <c r="AF1068" s="1019"/>
      <c r="AG1068" s="1019">
        <f t="shared" si="216"/>
        <v>7199975</v>
      </c>
      <c r="AH1068" s="1014">
        <v>48</v>
      </c>
      <c r="AI1068" s="1014">
        <v>0</v>
      </c>
      <c r="AJ1068" s="1014">
        <v>0</v>
      </c>
      <c r="AK1068" s="1018">
        <v>0</v>
      </c>
      <c r="AL1068" s="1020">
        <v>0</v>
      </c>
      <c r="AM1068" s="1013">
        <f t="shared" si="215"/>
        <v>2053038</v>
      </c>
      <c r="AN1068" s="1045">
        <f t="shared" si="217"/>
        <v>9253013</v>
      </c>
      <c r="AO1068" s="1013">
        <v>622755</v>
      </c>
      <c r="AP1068" s="1013">
        <v>44100</v>
      </c>
      <c r="AQ1068" s="1013">
        <v>0</v>
      </c>
      <c r="AR1068" s="1013">
        <v>0</v>
      </c>
      <c r="AS1068" s="1013">
        <v>0</v>
      </c>
      <c r="AT1068" s="1045">
        <f t="shared" si="213"/>
        <v>8586158</v>
      </c>
      <c r="AU1068" s="1004"/>
      <c r="AV1068" s="870"/>
      <c r="AW1068" s="782" t="s">
        <v>5329</v>
      </c>
      <c r="AX1068" s="782" t="s">
        <v>5330</v>
      </c>
      <c r="AY1068" s="1007" t="s">
        <v>221</v>
      </c>
      <c r="AZ1068" s="1007">
        <v>622</v>
      </c>
      <c r="BA1068" s="347" t="str">
        <f t="shared" si="214"/>
        <v>Bag</v>
      </c>
      <c r="BB1068" s="1008"/>
      <c r="BC1068" s="1009"/>
      <c r="BD1068" s="1009"/>
    </row>
    <row r="1069" spans="1:56" s="1010" customFormat="1" ht="36.75" customHeight="1">
      <c r="A1069" s="661">
        <f>SUBTOTAL(3,B$6:B1069)</f>
        <v>1064</v>
      </c>
      <c r="B1069" s="661" t="s">
        <v>2928</v>
      </c>
      <c r="C1069" s="662" t="s">
        <v>2929</v>
      </c>
      <c r="D1069" s="1011">
        <v>44336</v>
      </c>
      <c r="E1069" s="1011" t="s">
        <v>221</v>
      </c>
      <c r="F1069" s="787" t="s">
        <v>282</v>
      </c>
      <c r="G1069" s="996" t="s">
        <v>797</v>
      </c>
      <c r="H1069" s="1012">
        <v>5931000</v>
      </c>
      <c r="I1069" s="1012">
        <v>0</v>
      </c>
      <c r="J1069" s="1012">
        <v>298000</v>
      </c>
      <c r="K1069" s="1012">
        <v>0</v>
      </c>
      <c r="L1069" s="1013">
        <f t="shared" si="218"/>
        <v>6229000</v>
      </c>
      <c r="M1069" s="1014">
        <v>19.8</v>
      </c>
      <c r="N1069" s="1013">
        <f t="shared" si="219"/>
        <v>4743623</v>
      </c>
      <c r="O1069" s="1015">
        <v>3</v>
      </c>
      <c r="P1069" s="1013">
        <f t="shared" si="220"/>
        <v>718731</v>
      </c>
      <c r="Q1069" s="1016">
        <v>0</v>
      </c>
      <c r="R1069" s="1013">
        <f t="shared" si="221"/>
        <v>0</v>
      </c>
      <c r="S1069" s="1013">
        <f t="shared" si="222"/>
        <v>5462354</v>
      </c>
      <c r="T1069" s="1017">
        <v>0</v>
      </c>
      <c r="U1069" s="785">
        <v>0</v>
      </c>
      <c r="V1069" s="785">
        <v>200000</v>
      </c>
      <c r="W1069" s="1017">
        <v>0</v>
      </c>
      <c r="X1069" s="1017">
        <v>0</v>
      </c>
      <c r="Y1069" s="1017">
        <v>0</v>
      </c>
      <c r="Z1069" s="1017">
        <v>532767</v>
      </c>
      <c r="AA1069" s="1018"/>
      <c r="AB1069" s="1013"/>
      <c r="AC1069" s="1017">
        <v>0</v>
      </c>
      <c r="AD1069" s="1017">
        <v>0</v>
      </c>
      <c r="AE1069" s="1013">
        <v>44920.672348484848</v>
      </c>
      <c r="AF1069" s="1019"/>
      <c r="AG1069" s="1019">
        <f t="shared" si="216"/>
        <v>6240042</v>
      </c>
      <c r="AH1069" s="1014">
        <v>44</v>
      </c>
      <c r="AI1069" s="1014">
        <v>0</v>
      </c>
      <c r="AJ1069" s="1014">
        <v>0</v>
      </c>
      <c r="AK1069" s="1018">
        <v>0</v>
      </c>
      <c r="AL1069" s="1020">
        <v>0</v>
      </c>
      <c r="AM1069" s="1013">
        <f t="shared" si="215"/>
        <v>1976510</v>
      </c>
      <c r="AN1069" s="1045">
        <f t="shared" si="217"/>
        <v>8216552</v>
      </c>
      <c r="AO1069" s="1013">
        <v>654045</v>
      </c>
      <c r="AP1069" s="1013">
        <v>44100</v>
      </c>
      <c r="AQ1069" s="1013">
        <v>0</v>
      </c>
      <c r="AR1069" s="1013">
        <v>0</v>
      </c>
      <c r="AS1069" s="1013">
        <v>0</v>
      </c>
      <c r="AT1069" s="1045">
        <f t="shared" ref="AT1069:AT1132" si="223">+ROUND(SUM(AN1069:AN1069)-SUM(AO1069:AS1069),0)</f>
        <v>7518407</v>
      </c>
      <c r="AU1069" s="1004"/>
      <c r="AV1069" s="870"/>
      <c r="AW1069" s="782" t="s">
        <v>5331</v>
      </c>
      <c r="AX1069" s="782" t="s">
        <v>5332</v>
      </c>
      <c r="AY1069" s="1007" t="s">
        <v>221</v>
      </c>
      <c r="AZ1069" s="1007">
        <v>622</v>
      </c>
      <c r="BA1069" s="347" t="str">
        <f t="shared" si="214"/>
        <v>Bag</v>
      </c>
      <c r="BB1069" s="1008"/>
      <c r="BC1069" s="1009"/>
      <c r="BD1069" s="1009"/>
    </row>
    <row r="1070" spans="1:56" s="1010" customFormat="1" ht="36.75" customHeight="1">
      <c r="A1070" s="661">
        <f>SUBTOTAL(3,B$6:B1070)</f>
        <v>1065</v>
      </c>
      <c r="B1070" s="661" t="s">
        <v>2930</v>
      </c>
      <c r="C1070" s="662" t="s">
        <v>2931</v>
      </c>
      <c r="D1070" s="1011">
        <v>44720</v>
      </c>
      <c r="E1070" s="1011" t="s">
        <v>221</v>
      </c>
      <c r="F1070" s="787" t="s">
        <v>282</v>
      </c>
      <c r="G1070" s="996" t="s">
        <v>797</v>
      </c>
      <c r="H1070" s="1012">
        <v>5815000</v>
      </c>
      <c r="I1070" s="1012">
        <v>0</v>
      </c>
      <c r="J1070" s="1012">
        <v>292000</v>
      </c>
      <c r="K1070" s="1012">
        <v>0</v>
      </c>
      <c r="L1070" s="1013">
        <f t="shared" si="218"/>
        <v>6107000</v>
      </c>
      <c r="M1070" s="1014">
        <v>23.5</v>
      </c>
      <c r="N1070" s="1013">
        <f t="shared" si="219"/>
        <v>5519788</v>
      </c>
      <c r="O1070" s="1015">
        <v>2</v>
      </c>
      <c r="P1070" s="1013">
        <f t="shared" si="220"/>
        <v>469769</v>
      </c>
      <c r="Q1070" s="1016">
        <v>0</v>
      </c>
      <c r="R1070" s="1013">
        <f t="shared" si="221"/>
        <v>0</v>
      </c>
      <c r="S1070" s="1013">
        <f t="shared" si="222"/>
        <v>5989557</v>
      </c>
      <c r="T1070" s="1017">
        <v>0</v>
      </c>
      <c r="U1070" s="785">
        <v>0</v>
      </c>
      <c r="V1070" s="785">
        <v>200000</v>
      </c>
      <c r="W1070" s="1017">
        <v>500000</v>
      </c>
      <c r="X1070" s="1017">
        <v>0</v>
      </c>
      <c r="Y1070" s="1017">
        <v>400000</v>
      </c>
      <c r="Z1070" s="1017">
        <v>610389</v>
      </c>
      <c r="AA1070" s="1018"/>
      <c r="AB1070" s="1013"/>
      <c r="AC1070" s="1017">
        <v>200000</v>
      </c>
      <c r="AD1070" s="1017">
        <v>0</v>
      </c>
      <c r="AE1070" s="1013">
        <v>44040.861702127659</v>
      </c>
      <c r="AF1070" s="1019"/>
      <c r="AG1070" s="1019">
        <f t="shared" si="216"/>
        <v>7943987</v>
      </c>
      <c r="AH1070" s="1014">
        <v>48</v>
      </c>
      <c r="AI1070" s="1014">
        <v>0</v>
      </c>
      <c r="AJ1070" s="1014">
        <v>0</v>
      </c>
      <c r="AK1070" s="1018">
        <v>0</v>
      </c>
      <c r="AL1070" s="1020">
        <v>0</v>
      </c>
      <c r="AM1070" s="1013">
        <f t="shared" si="215"/>
        <v>2113961</v>
      </c>
      <c r="AN1070" s="1045">
        <f t="shared" si="217"/>
        <v>10057948</v>
      </c>
      <c r="AO1070" s="1013">
        <v>641235</v>
      </c>
      <c r="AP1070" s="1013">
        <v>44100</v>
      </c>
      <c r="AQ1070" s="1013">
        <v>0</v>
      </c>
      <c r="AR1070" s="1013">
        <v>0</v>
      </c>
      <c r="AS1070" s="1013">
        <v>0</v>
      </c>
      <c r="AT1070" s="1045">
        <f t="shared" si="223"/>
        <v>9372613</v>
      </c>
      <c r="AU1070" s="1004"/>
      <c r="AV1070" s="870"/>
      <c r="AW1070" s="782" t="s">
        <v>5333</v>
      </c>
      <c r="AX1070" s="782" t="s">
        <v>5334</v>
      </c>
      <c r="AY1070" s="1007" t="s">
        <v>221</v>
      </c>
      <c r="AZ1070" s="1007">
        <v>622</v>
      </c>
      <c r="BA1070" s="347" t="str">
        <f t="shared" si="214"/>
        <v>Bag</v>
      </c>
      <c r="BB1070" s="1008"/>
      <c r="BC1070" s="1009"/>
      <c r="BD1070" s="1009"/>
    </row>
    <row r="1071" spans="1:56" s="1010" customFormat="1" ht="36.75" customHeight="1">
      <c r="A1071" s="661">
        <f>SUBTOTAL(3,B$6:B1071)</f>
        <v>1066</v>
      </c>
      <c r="B1071" s="661" t="s">
        <v>2932</v>
      </c>
      <c r="C1071" s="662" t="s">
        <v>2933</v>
      </c>
      <c r="D1071" s="1011">
        <v>44722</v>
      </c>
      <c r="E1071" s="1011" t="s">
        <v>221</v>
      </c>
      <c r="F1071" s="787" t="s">
        <v>282</v>
      </c>
      <c r="G1071" s="996" t="s">
        <v>797</v>
      </c>
      <c r="H1071" s="1012">
        <v>5815000</v>
      </c>
      <c r="I1071" s="1012">
        <v>0</v>
      </c>
      <c r="J1071" s="1012">
        <v>292000</v>
      </c>
      <c r="K1071" s="1012">
        <v>0</v>
      </c>
      <c r="L1071" s="1013">
        <f t="shared" si="218"/>
        <v>6107000</v>
      </c>
      <c r="M1071" s="1014">
        <v>24</v>
      </c>
      <c r="N1071" s="1013">
        <f t="shared" si="219"/>
        <v>5637231</v>
      </c>
      <c r="O1071" s="1015">
        <v>2</v>
      </c>
      <c r="P1071" s="1013">
        <f t="shared" si="220"/>
        <v>469769</v>
      </c>
      <c r="Q1071" s="1016">
        <v>0</v>
      </c>
      <c r="R1071" s="1013">
        <f t="shared" si="221"/>
        <v>0</v>
      </c>
      <c r="S1071" s="1013">
        <f t="shared" si="222"/>
        <v>6107000</v>
      </c>
      <c r="T1071" s="1017">
        <v>0</v>
      </c>
      <c r="U1071" s="785">
        <v>0</v>
      </c>
      <c r="V1071" s="785">
        <v>200000</v>
      </c>
      <c r="W1071" s="1017">
        <v>500000</v>
      </c>
      <c r="X1071" s="1017">
        <v>0</v>
      </c>
      <c r="Y1071" s="1017">
        <v>400000</v>
      </c>
      <c r="Z1071" s="1017">
        <v>649953</v>
      </c>
      <c r="AA1071" s="1018"/>
      <c r="AB1071" s="1013"/>
      <c r="AC1071" s="1017">
        <v>0</v>
      </c>
      <c r="AD1071" s="1017">
        <v>0</v>
      </c>
      <c r="AE1071" s="1013">
        <v>44040.8671875</v>
      </c>
      <c r="AF1071" s="1019"/>
      <c r="AG1071" s="1019">
        <f t="shared" si="216"/>
        <v>7900994</v>
      </c>
      <c r="AH1071" s="1014">
        <v>52</v>
      </c>
      <c r="AI1071" s="1014">
        <v>0</v>
      </c>
      <c r="AJ1071" s="1014">
        <v>0</v>
      </c>
      <c r="AK1071" s="1018">
        <v>0</v>
      </c>
      <c r="AL1071" s="1020">
        <v>0</v>
      </c>
      <c r="AM1071" s="1013">
        <f t="shared" si="215"/>
        <v>2290125</v>
      </c>
      <c r="AN1071" s="1045">
        <f t="shared" si="217"/>
        <v>10191119</v>
      </c>
      <c r="AO1071" s="1013">
        <v>641235</v>
      </c>
      <c r="AP1071" s="1013">
        <v>44100</v>
      </c>
      <c r="AQ1071" s="1013">
        <v>0</v>
      </c>
      <c r="AR1071" s="1013">
        <v>0</v>
      </c>
      <c r="AS1071" s="1013">
        <v>0</v>
      </c>
      <c r="AT1071" s="1045">
        <f t="shared" si="223"/>
        <v>9505784</v>
      </c>
      <c r="AU1071" s="1004"/>
      <c r="AV1071" s="870"/>
      <c r="AW1071" s="782" t="s">
        <v>5335</v>
      </c>
      <c r="AX1071" s="782" t="s">
        <v>5336</v>
      </c>
      <c r="AY1071" s="1007" t="s">
        <v>221</v>
      </c>
      <c r="AZ1071" s="1007">
        <v>622</v>
      </c>
      <c r="BA1071" s="347" t="str">
        <f t="shared" si="214"/>
        <v>Bag</v>
      </c>
      <c r="BB1071" s="1008"/>
      <c r="BC1071" s="1009"/>
      <c r="BD1071" s="1009"/>
    </row>
    <row r="1072" spans="1:56" s="1010" customFormat="1" ht="36.75" customHeight="1">
      <c r="A1072" s="661">
        <f>SUBTOTAL(3,B$6:B1072)</f>
        <v>1067</v>
      </c>
      <c r="B1072" s="661" t="s">
        <v>2934</v>
      </c>
      <c r="C1072" s="662" t="s">
        <v>2935</v>
      </c>
      <c r="D1072" s="1011">
        <v>45355</v>
      </c>
      <c r="E1072" s="1011" t="s">
        <v>221</v>
      </c>
      <c r="F1072" s="787" t="s">
        <v>282</v>
      </c>
      <c r="G1072" s="996" t="s">
        <v>797</v>
      </c>
      <c r="H1072" s="1012">
        <v>5538000</v>
      </c>
      <c r="I1072" s="1012">
        <v>0</v>
      </c>
      <c r="J1072" s="1012">
        <v>278000</v>
      </c>
      <c r="K1072" s="1012">
        <v>0</v>
      </c>
      <c r="L1072" s="1013">
        <f t="shared" si="218"/>
        <v>5816000</v>
      </c>
      <c r="M1072" s="1014">
        <v>23.7</v>
      </c>
      <c r="N1072" s="1013">
        <f t="shared" si="219"/>
        <v>5301508</v>
      </c>
      <c r="O1072" s="1015">
        <v>2</v>
      </c>
      <c r="P1072" s="1013">
        <f t="shared" si="220"/>
        <v>447385</v>
      </c>
      <c r="Q1072" s="1016">
        <v>0</v>
      </c>
      <c r="R1072" s="1013">
        <f t="shared" si="221"/>
        <v>0</v>
      </c>
      <c r="S1072" s="1013">
        <f t="shared" si="222"/>
        <v>5748893</v>
      </c>
      <c r="T1072" s="1017">
        <v>0</v>
      </c>
      <c r="U1072" s="785">
        <v>0</v>
      </c>
      <c r="V1072" s="785">
        <v>200000</v>
      </c>
      <c r="W1072" s="1017">
        <v>500000</v>
      </c>
      <c r="X1072" s="1017">
        <v>0</v>
      </c>
      <c r="Y1072" s="1017">
        <v>400000</v>
      </c>
      <c r="Z1072" s="1017">
        <v>654077</v>
      </c>
      <c r="AA1072" s="1018"/>
      <c r="AB1072" s="1013"/>
      <c r="AC1072" s="1017">
        <v>0</v>
      </c>
      <c r="AD1072" s="1017">
        <v>0</v>
      </c>
      <c r="AE1072" s="1013">
        <v>41942.310126582277</v>
      </c>
      <c r="AF1072" s="1019"/>
      <c r="AG1072" s="1019">
        <f t="shared" si="216"/>
        <v>7544912</v>
      </c>
      <c r="AH1072" s="1014">
        <v>56</v>
      </c>
      <c r="AI1072" s="1014">
        <v>0</v>
      </c>
      <c r="AJ1072" s="1014">
        <v>0</v>
      </c>
      <c r="AK1072" s="1018">
        <v>0</v>
      </c>
      <c r="AL1072" s="1020">
        <v>0</v>
      </c>
      <c r="AM1072" s="1013">
        <f t="shared" si="215"/>
        <v>2348769</v>
      </c>
      <c r="AN1072" s="1045">
        <f t="shared" si="217"/>
        <v>9893681</v>
      </c>
      <c r="AO1072" s="1013">
        <v>610680</v>
      </c>
      <c r="AP1072" s="1013">
        <v>44100</v>
      </c>
      <c r="AQ1072" s="1013">
        <v>0</v>
      </c>
      <c r="AR1072" s="1013">
        <v>0</v>
      </c>
      <c r="AS1072" s="1013">
        <v>0</v>
      </c>
      <c r="AT1072" s="1045">
        <f t="shared" si="223"/>
        <v>9238901</v>
      </c>
      <c r="AU1072" s="1004"/>
      <c r="AV1072" s="870"/>
      <c r="AW1072" s="782"/>
      <c r="AX1072" s="782" t="s">
        <v>3644</v>
      </c>
      <c r="AY1072" s="1007" t="s">
        <v>221</v>
      </c>
      <c r="AZ1072" s="1007">
        <v>622</v>
      </c>
      <c r="BA1072" s="347" t="str">
        <f t="shared" si="214"/>
        <v>Bag</v>
      </c>
      <c r="BB1072" s="1008"/>
      <c r="BC1072" s="1009"/>
      <c r="BD1072" s="1009"/>
    </row>
    <row r="1073" spans="1:56" s="1010" customFormat="1" ht="36.75" customHeight="1">
      <c r="A1073" s="661">
        <f>SUBTOTAL(3,B$6:B1073)</f>
        <v>1068</v>
      </c>
      <c r="B1073" s="661" t="s">
        <v>2936</v>
      </c>
      <c r="C1073" s="662" t="s">
        <v>2937</v>
      </c>
      <c r="D1073" s="1011">
        <v>45355</v>
      </c>
      <c r="E1073" s="1011" t="s">
        <v>221</v>
      </c>
      <c r="F1073" s="787" t="s">
        <v>282</v>
      </c>
      <c r="G1073" s="996" t="s">
        <v>797</v>
      </c>
      <c r="H1073" s="1012">
        <v>5538000</v>
      </c>
      <c r="I1073" s="1012">
        <v>0</v>
      </c>
      <c r="J1073" s="1012">
        <v>278000</v>
      </c>
      <c r="K1073" s="1012">
        <v>0</v>
      </c>
      <c r="L1073" s="1013">
        <f t="shared" si="218"/>
        <v>5816000</v>
      </c>
      <c r="M1073" s="1014">
        <v>22.8</v>
      </c>
      <c r="N1073" s="1013">
        <f t="shared" si="219"/>
        <v>5100185</v>
      </c>
      <c r="O1073" s="1015">
        <v>3</v>
      </c>
      <c r="P1073" s="1013">
        <f t="shared" si="220"/>
        <v>671077</v>
      </c>
      <c r="Q1073" s="1016">
        <v>0</v>
      </c>
      <c r="R1073" s="1013">
        <f t="shared" si="221"/>
        <v>0</v>
      </c>
      <c r="S1073" s="1013">
        <f t="shared" si="222"/>
        <v>5771262</v>
      </c>
      <c r="T1073" s="1017">
        <v>0</v>
      </c>
      <c r="U1073" s="785">
        <v>0</v>
      </c>
      <c r="V1073" s="785">
        <v>200000</v>
      </c>
      <c r="W1073" s="1017">
        <v>500000</v>
      </c>
      <c r="X1073" s="1017">
        <v>0</v>
      </c>
      <c r="Y1073" s="1017">
        <v>400000</v>
      </c>
      <c r="Z1073" s="1017">
        <v>618032</v>
      </c>
      <c r="AA1073" s="1018"/>
      <c r="AB1073" s="1013"/>
      <c r="AC1073" s="1017">
        <v>100000</v>
      </c>
      <c r="AD1073" s="1017">
        <v>0</v>
      </c>
      <c r="AE1073" s="1013">
        <v>41942.31085526316</v>
      </c>
      <c r="AF1073" s="1019"/>
      <c r="AG1073" s="1019">
        <f t="shared" si="216"/>
        <v>7631236</v>
      </c>
      <c r="AH1073" s="1014">
        <v>56</v>
      </c>
      <c r="AI1073" s="1014">
        <v>0</v>
      </c>
      <c r="AJ1073" s="1014">
        <v>0</v>
      </c>
      <c r="AK1073" s="1018">
        <v>0</v>
      </c>
      <c r="AL1073" s="1020">
        <v>0</v>
      </c>
      <c r="AM1073" s="1013">
        <f t="shared" si="215"/>
        <v>2348769</v>
      </c>
      <c r="AN1073" s="1045">
        <f t="shared" si="217"/>
        <v>9980005</v>
      </c>
      <c r="AO1073" s="1013">
        <v>610680</v>
      </c>
      <c r="AP1073" s="1013">
        <v>44100</v>
      </c>
      <c r="AQ1073" s="1013">
        <v>0</v>
      </c>
      <c r="AR1073" s="1013">
        <v>0</v>
      </c>
      <c r="AS1073" s="1013">
        <v>0</v>
      </c>
      <c r="AT1073" s="1045">
        <f t="shared" si="223"/>
        <v>9325225</v>
      </c>
      <c r="AU1073" s="1004"/>
      <c r="AV1073" s="870"/>
      <c r="AW1073" s="782" t="s">
        <v>5337</v>
      </c>
      <c r="AX1073" s="782" t="s">
        <v>5338</v>
      </c>
      <c r="AY1073" s="1007" t="s">
        <v>221</v>
      </c>
      <c r="AZ1073" s="1007">
        <v>622</v>
      </c>
      <c r="BA1073" s="347" t="str">
        <f t="shared" si="214"/>
        <v>Bag</v>
      </c>
      <c r="BB1073" s="1008"/>
      <c r="BC1073" s="1009"/>
      <c r="BD1073" s="1009"/>
    </row>
    <row r="1074" spans="1:56" s="1010" customFormat="1" ht="36.75" customHeight="1">
      <c r="A1074" s="661">
        <f>SUBTOTAL(3,B$6:B1074)</f>
        <v>1069</v>
      </c>
      <c r="B1074" s="661" t="s">
        <v>2938</v>
      </c>
      <c r="C1074" s="662" t="s">
        <v>2939</v>
      </c>
      <c r="D1074" s="1011">
        <v>45357</v>
      </c>
      <c r="E1074" s="1011" t="s">
        <v>221</v>
      </c>
      <c r="F1074" s="787" t="s">
        <v>282</v>
      </c>
      <c r="G1074" s="996" t="s">
        <v>1232</v>
      </c>
      <c r="H1074" s="1012">
        <v>5538000</v>
      </c>
      <c r="I1074" s="1012">
        <v>200000</v>
      </c>
      <c r="J1074" s="1012">
        <v>278000</v>
      </c>
      <c r="K1074" s="1012">
        <v>0</v>
      </c>
      <c r="L1074" s="1013">
        <f t="shared" si="218"/>
        <v>6016000</v>
      </c>
      <c r="M1074" s="1014">
        <v>19.399999999999999</v>
      </c>
      <c r="N1074" s="1013">
        <f t="shared" si="219"/>
        <v>4488862</v>
      </c>
      <c r="O1074" s="1015">
        <v>3</v>
      </c>
      <c r="P1074" s="1013">
        <f t="shared" si="220"/>
        <v>694154</v>
      </c>
      <c r="Q1074" s="1016">
        <v>0</v>
      </c>
      <c r="R1074" s="1013">
        <f t="shared" si="221"/>
        <v>0</v>
      </c>
      <c r="S1074" s="1013">
        <f t="shared" si="222"/>
        <v>5183016</v>
      </c>
      <c r="T1074" s="1017">
        <v>0</v>
      </c>
      <c r="U1074" s="785">
        <v>0</v>
      </c>
      <c r="V1074" s="785">
        <v>200000</v>
      </c>
      <c r="W1074" s="1017">
        <v>0</v>
      </c>
      <c r="X1074" s="1017">
        <v>0</v>
      </c>
      <c r="Y1074" s="1017">
        <v>0</v>
      </c>
      <c r="Z1074" s="1017">
        <v>544985</v>
      </c>
      <c r="AA1074" s="1018"/>
      <c r="AB1074" s="1013"/>
      <c r="AC1074" s="1017">
        <v>0</v>
      </c>
      <c r="AD1074" s="1017">
        <v>0</v>
      </c>
      <c r="AE1074" s="1013">
        <v>0</v>
      </c>
      <c r="AF1074" s="1019"/>
      <c r="AG1074" s="1019">
        <f t="shared" si="216"/>
        <v>5928001</v>
      </c>
      <c r="AH1074" s="1014">
        <v>48</v>
      </c>
      <c r="AI1074" s="1014">
        <v>0</v>
      </c>
      <c r="AJ1074" s="1014">
        <v>0</v>
      </c>
      <c r="AK1074" s="1018">
        <v>0</v>
      </c>
      <c r="AL1074" s="1020">
        <v>0</v>
      </c>
      <c r="AM1074" s="1013">
        <f t="shared" si="215"/>
        <v>2082462</v>
      </c>
      <c r="AN1074" s="1045">
        <f t="shared" si="217"/>
        <v>8010463</v>
      </c>
      <c r="AO1074" s="1013">
        <v>631680</v>
      </c>
      <c r="AP1074" s="1013">
        <v>44100</v>
      </c>
      <c r="AQ1074" s="1013">
        <v>0</v>
      </c>
      <c r="AR1074" s="1013">
        <v>0</v>
      </c>
      <c r="AS1074" s="1013">
        <v>0</v>
      </c>
      <c r="AT1074" s="1045">
        <f t="shared" si="223"/>
        <v>7334683</v>
      </c>
      <c r="AU1074" s="1004"/>
      <c r="AV1074" s="870"/>
      <c r="AW1074" s="782" t="s">
        <v>5339</v>
      </c>
      <c r="AX1074" s="782" t="s">
        <v>5340</v>
      </c>
      <c r="AY1074" s="1007" t="s">
        <v>221</v>
      </c>
      <c r="AZ1074" s="1007">
        <v>622</v>
      </c>
      <c r="BA1074" s="347" t="str">
        <f t="shared" si="214"/>
        <v>Bag</v>
      </c>
      <c r="BB1074" s="1008"/>
      <c r="BC1074" s="1009"/>
      <c r="BD1074" s="1009"/>
    </row>
    <row r="1075" spans="1:56" s="1010" customFormat="1" ht="36.75" customHeight="1">
      <c r="A1075" s="661">
        <f>SUBTOTAL(3,B$6:B1075)</f>
        <v>1070</v>
      </c>
      <c r="B1075" s="661" t="s">
        <v>2940</v>
      </c>
      <c r="C1075" s="662" t="s">
        <v>984</v>
      </c>
      <c r="D1075" s="1011">
        <v>45364</v>
      </c>
      <c r="E1075" s="1011" t="s">
        <v>221</v>
      </c>
      <c r="F1075" s="787" t="s">
        <v>282</v>
      </c>
      <c r="G1075" s="996" t="s">
        <v>797</v>
      </c>
      <c r="H1075" s="1012">
        <v>5538000</v>
      </c>
      <c r="I1075" s="1012">
        <v>0</v>
      </c>
      <c r="J1075" s="1012">
        <v>278000</v>
      </c>
      <c r="K1075" s="1012">
        <v>0</v>
      </c>
      <c r="L1075" s="1013">
        <f t="shared" si="218"/>
        <v>5816000</v>
      </c>
      <c r="M1075" s="1014">
        <v>23.8</v>
      </c>
      <c r="N1075" s="1013">
        <f t="shared" si="219"/>
        <v>5323877</v>
      </c>
      <c r="O1075" s="1015">
        <v>2</v>
      </c>
      <c r="P1075" s="1013">
        <f t="shared" si="220"/>
        <v>447385</v>
      </c>
      <c r="Q1075" s="1016">
        <v>0</v>
      </c>
      <c r="R1075" s="1013">
        <f t="shared" si="221"/>
        <v>0</v>
      </c>
      <c r="S1075" s="1013">
        <f t="shared" si="222"/>
        <v>5771262</v>
      </c>
      <c r="T1075" s="1017">
        <v>0</v>
      </c>
      <c r="U1075" s="785">
        <v>0</v>
      </c>
      <c r="V1075" s="785">
        <v>200000</v>
      </c>
      <c r="W1075" s="1017">
        <v>500000</v>
      </c>
      <c r="X1075" s="1017">
        <v>0</v>
      </c>
      <c r="Y1075" s="1017">
        <v>400000</v>
      </c>
      <c r="Z1075" s="1017">
        <v>640758</v>
      </c>
      <c r="AA1075" s="1018"/>
      <c r="AB1075" s="1013"/>
      <c r="AC1075" s="1017">
        <v>0</v>
      </c>
      <c r="AD1075" s="1017">
        <v>0</v>
      </c>
      <c r="AE1075" s="1013">
        <v>41942.308298319331</v>
      </c>
      <c r="AF1075" s="1019"/>
      <c r="AG1075" s="1019">
        <f t="shared" si="216"/>
        <v>7553962</v>
      </c>
      <c r="AH1075" s="1014">
        <v>56</v>
      </c>
      <c r="AI1075" s="1014">
        <v>0</v>
      </c>
      <c r="AJ1075" s="1014">
        <v>0</v>
      </c>
      <c r="AK1075" s="1018">
        <v>0</v>
      </c>
      <c r="AL1075" s="1020">
        <v>0</v>
      </c>
      <c r="AM1075" s="1013">
        <f t="shared" si="215"/>
        <v>2348769</v>
      </c>
      <c r="AN1075" s="1045">
        <f t="shared" si="217"/>
        <v>9902731</v>
      </c>
      <c r="AO1075" s="1013">
        <v>610680</v>
      </c>
      <c r="AP1075" s="1013">
        <v>44100</v>
      </c>
      <c r="AQ1075" s="1013">
        <v>0</v>
      </c>
      <c r="AR1075" s="1013">
        <v>0</v>
      </c>
      <c r="AS1075" s="1013">
        <v>0</v>
      </c>
      <c r="AT1075" s="1045">
        <f t="shared" si="223"/>
        <v>9247951</v>
      </c>
      <c r="AU1075" s="1004"/>
      <c r="AV1075" s="870"/>
      <c r="AW1075" s="782" t="s">
        <v>3512</v>
      </c>
      <c r="AX1075" s="782" t="s">
        <v>5341</v>
      </c>
      <c r="AY1075" s="1007" t="s">
        <v>221</v>
      </c>
      <c r="AZ1075" s="1007">
        <v>622</v>
      </c>
      <c r="BA1075" s="347" t="str">
        <f t="shared" ref="BA1075:BA1138" si="224">+IF(AY1075="SK1 Box","Box",IF(AY1075="Seaman","Seaman","Bag"))</f>
        <v>Bag</v>
      </c>
      <c r="BB1075" s="1008"/>
      <c r="BC1075" s="1009"/>
      <c r="BD1075" s="1009"/>
    </row>
    <row r="1076" spans="1:56" s="1010" customFormat="1" ht="36.75" customHeight="1">
      <c r="A1076" s="661">
        <f>SUBTOTAL(3,B$6:B1076)</f>
        <v>1071</v>
      </c>
      <c r="B1076" s="661" t="s">
        <v>2941</v>
      </c>
      <c r="C1076" s="662" t="s">
        <v>2942</v>
      </c>
      <c r="D1076" s="1011">
        <v>45369</v>
      </c>
      <c r="E1076" s="1011" t="s">
        <v>221</v>
      </c>
      <c r="F1076" s="787" t="s">
        <v>282</v>
      </c>
      <c r="G1076" s="996" t="s">
        <v>797</v>
      </c>
      <c r="H1076" s="1012">
        <v>5538000</v>
      </c>
      <c r="I1076" s="1012">
        <v>0</v>
      </c>
      <c r="J1076" s="1012">
        <v>0</v>
      </c>
      <c r="K1076" s="1012">
        <v>0</v>
      </c>
      <c r="L1076" s="1013">
        <f t="shared" si="218"/>
        <v>5538000</v>
      </c>
      <c r="M1076" s="1014">
        <v>24</v>
      </c>
      <c r="N1076" s="1013">
        <f t="shared" si="219"/>
        <v>5112000</v>
      </c>
      <c r="O1076" s="1015">
        <v>2</v>
      </c>
      <c r="P1076" s="1013">
        <f t="shared" si="220"/>
        <v>426000</v>
      </c>
      <c r="Q1076" s="1016">
        <v>0</v>
      </c>
      <c r="R1076" s="1013">
        <f t="shared" si="221"/>
        <v>0</v>
      </c>
      <c r="S1076" s="1013">
        <f t="shared" si="222"/>
        <v>5538000</v>
      </c>
      <c r="T1076" s="1017">
        <v>0</v>
      </c>
      <c r="U1076" s="785">
        <v>0</v>
      </c>
      <c r="V1076" s="785">
        <v>200000</v>
      </c>
      <c r="W1076" s="1017">
        <v>500000</v>
      </c>
      <c r="X1076" s="1017">
        <v>0</v>
      </c>
      <c r="Y1076" s="1017">
        <v>400000</v>
      </c>
      <c r="Z1076" s="1017">
        <v>492417</v>
      </c>
      <c r="AA1076" s="1018"/>
      <c r="AB1076" s="1013"/>
      <c r="AC1076" s="1017">
        <v>100000</v>
      </c>
      <c r="AD1076" s="1017">
        <v>0</v>
      </c>
      <c r="AE1076" s="1013">
        <v>39937.5</v>
      </c>
      <c r="AF1076" s="1019"/>
      <c r="AG1076" s="1019">
        <f t="shared" si="216"/>
        <v>7270355</v>
      </c>
      <c r="AH1076" s="1014">
        <v>56</v>
      </c>
      <c r="AI1076" s="1014">
        <v>0</v>
      </c>
      <c r="AJ1076" s="1014">
        <v>0</v>
      </c>
      <c r="AK1076" s="1018">
        <v>0</v>
      </c>
      <c r="AL1076" s="1020">
        <v>0</v>
      </c>
      <c r="AM1076" s="1013">
        <f t="shared" si="215"/>
        <v>2236500</v>
      </c>
      <c r="AN1076" s="1045">
        <f t="shared" si="217"/>
        <v>9506855</v>
      </c>
      <c r="AO1076" s="1013">
        <v>581490</v>
      </c>
      <c r="AP1076" s="1013">
        <v>44100</v>
      </c>
      <c r="AQ1076" s="1013">
        <v>0</v>
      </c>
      <c r="AR1076" s="1013">
        <v>0</v>
      </c>
      <c r="AS1076" s="1013">
        <v>0</v>
      </c>
      <c r="AT1076" s="1045">
        <f t="shared" si="223"/>
        <v>8881265</v>
      </c>
      <c r="AU1076" s="1004"/>
      <c r="AV1076" s="870"/>
      <c r="AW1076" s="782" t="s">
        <v>5342</v>
      </c>
      <c r="AX1076" s="782" t="s">
        <v>5343</v>
      </c>
      <c r="AY1076" s="1007" t="s">
        <v>221</v>
      </c>
      <c r="AZ1076" s="1007">
        <v>622</v>
      </c>
      <c r="BA1076" s="347" t="str">
        <f t="shared" si="224"/>
        <v>Bag</v>
      </c>
      <c r="BB1076" s="1008"/>
      <c r="BC1076" s="1009"/>
      <c r="BD1076" s="1009"/>
    </row>
    <row r="1077" spans="1:56" s="1010" customFormat="1" ht="36.75" customHeight="1">
      <c r="A1077" s="661">
        <f>SUBTOTAL(3,B$6:B1077)</f>
        <v>1072</v>
      </c>
      <c r="B1077" s="661" t="s">
        <v>2943</v>
      </c>
      <c r="C1077" s="662" t="s">
        <v>2944</v>
      </c>
      <c r="D1077" s="1011">
        <v>45488</v>
      </c>
      <c r="E1077" s="1011" t="s">
        <v>221</v>
      </c>
      <c r="F1077" s="787" t="s">
        <v>282</v>
      </c>
      <c r="G1077" s="996" t="s">
        <v>797</v>
      </c>
      <c r="H1077" s="1012">
        <v>5274000</v>
      </c>
      <c r="I1077" s="1012">
        <v>0</v>
      </c>
      <c r="J1077" s="1012">
        <v>265000</v>
      </c>
      <c r="K1077" s="1012">
        <v>0</v>
      </c>
      <c r="L1077" s="1013">
        <f t="shared" si="218"/>
        <v>5539000</v>
      </c>
      <c r="M1077" s="1014">
        <v>24</v>
      </c>
      <c r="N1077" s="1013">
        <f t="shared" si="219"/>
        <v>5112923</v>
      </c>
      <c r="O1077" s="1015">
        <v>2</v>
      </c>
      <c r="P1077" s="1013">
        <f t="shared" si="220"/>
        <v>426077</v>
      </c>
      <c r="Q1077" s="1016">
        <v>0</v>
      </c>
      <c r="R1077" s="1013">
        <f t="shared" si="221"/>
        <v>0</v>
      </c>
      <c r="S1077" s="1013">
        <f t="shared" si="222"/>
        <v>5539000</v>
      </c>
      <c r="T1077" s="1017">
        <v>0</v>
      </c>
      <c r="U1077" s="785">
        <v>0</v>
      </c>
      <c r="V1077" s="785">
        <v>200000</v>
      </c>
      <c r="W1077" s="1017">
        <v>500000</v>
      </c>
      <c r="X1077" s="1017">
        <v>0</v>
      </c>
      <c r="Y1077" s="1017">
        <v>400000</v>
      </c>
      <c r="Z1077" s="1017">
        <v>424249</v>
      </c>
      <c r="AA1077" s="1018"/>
      <c r="AB1077" s="1013"/>
      <c r="AC1077" s="1017">
        <v>0</v>
      </c>
      <c r="AD1077" s="1017">
        <v>0</v>
      </c>
      <c r="AE1077" s="1013">
        <v>39944.7109375</v>
      </c>
      <c r="AF1077" s="1019"/>
      <c r="AG1077" s="1019">
        <f t="shared" si="216"/>
        <v>7103194</v>
      </c>
      <c r="AH1077" s="1014">
        <v>56</v>
      </c>
      <c r="AI1077" s="1014">
        <v>0</v>
      </c>
      <c r="AJ1077" s="1014">
        <v>0</v>
      </c>
      <c r="AK1077" s="1018">
        <v>0</v>
      </c>
      <c r="AL1077" s="1020">
        <v>0</v>
      </c>
      <c r="AM1077" s="1013">
        <f t="shared" si="215"/>
        <v>2236904</v>
      </c>
      <c r="AN1077" s="1045">
        <f t="shared" si="217"/>
        <v>9340098</v>
      </c>
      <c r="AO1077" s="1013">
        <v>581595</v>
      </c>
      <c r="AP1077" s="1013">
        <v>44100</v>
      </c>
      <c r="AQ1077" s="1013">
        <v>0</v>
      </c>
      <c r="AR1077" s="1013">
        <v>0</v>
      </c>
      <c r="AS1077" s="1013">
        <v>0</v>
      </c>
      <c r="AT1077" s="1045">
        <f t="shared" si="223"/>
        <v>8714403</v>
      </c>
      <c r="AU1077" s="1004"/>
      <c r="AV1077" s="870"/>
      <c r="AW1077" s="782" t="s">
        <v>5344</v>
      </c>
      <c r="AX1077" s="782" t="s">
        <v>5345</v>
      </c>
      <c r="AY1077" s="1007" t="s">
        <v>221</v>
      </c>
      <c r="AZ1077" s="1007">
        <v>622</v>
      </c>
      <c r="BA1077" s="347" t="str">
        <f t="shared" si="224"/>
        <v>Bag</v>
      </c>
      <c r="BB1077" s="1008"/>
      <c r="BC1077" s="1009"/>
      <c r="BD1077" s="1009"/>
    </row>
    <row r="1078" spans="1:56" s="1010" customFormat="1" ht="36.75" customHeight="1">
      <c r="A1078" s="661">
        <f>SUBTOTAL(3,B$6:B1078)</f>
        <v>1073</v>
      </c>
      <c r="B1078" s="661" t="s">
        <v>2945</v>
      </c>
      <c r="C1078" s="662" t="s">
        <v>2946</v>
      </c>
      <c r="D1078" s="1011">
        <v>45551</v>
      </c>
      <c r="E1078" s="1011" t="s">
        <v>221</v>
      </c>
      <c r="F1078" s="787" t="s">
        <v>282</v>
      </c>
      <c r="G1078" s="996" t="s">
        <v>797</v>
      </c>
      <c r="H1078" s="1012">
        <v>5274000</v>
      </c>
      <c r="I1078" s="1012">
        <v>0</v>
      </c>
      <c r="J1078" s="1012">
        <v>265000</v>
      </c>
      <c r="K1078" s="1012">
        <v>0</v>
      </c>
      <c r="L1078" s="1013">
        <f t="shared" si="218"/>
        <v>5539000</v>
      </c>
      <c r="M1078" s="1014">
        <v>23</v>
      </c>
      <c r="N1078" s="1013">
        <f t="shared" si="219"/>
        <v>4899885</v>
      </c>
      <c r="O1078" s="1015">
        <v>3</v>
      </c>
      <c r="P1078" s="1013">
        <f t="shared" si="220"/>
        <v>639115</v>
      </c>
      <c r="Q1078" s="1016">
        <v>0</v>
      </c>
      <c r="R1078" s="1013">
        <f t="shared" si="221"/>
        <v>0</v>
      </c>
      <c r="S1078" s="1013">
        <f t="shared" si="222"/>
        <v>5539000</v>
      </c>
      <c r="T1078" s="1017">
        <v>0</v>
      </c>
      <c r="U1078" s="785">
        <v>0</v>
      </c>
      <c r="V1078" s="785">
        <v>200000</v>
      </c>
      <c r="W1078" s="1017">
        <v>500000</v>
      </c>
      <c r="X1078" s="1017">
        <v>0</v>
      </c>
      <c r="Y1078" s="1017">
        <v>400000</v>
      </c>
      <c r="Z1078" s="1017">
        <v>637226</v>
      </c>
      <c r="AA1078" s="1018"/>
      <c r="AB1078" s="1013"/>
      <c r="AC1078" s="1017">
        <v>0</v>
      </c>
      <c r="AD1078" s="1017">
        <v>0</v>
      </c>
      <c r="AE1078" s="1013">
        <v>39944.71467391304</v>
      </c>
      <c r="AF1078" s="1019"/>
      <c r="AG1078" s="1019">
        <f t="shared" si="216"/>
        <v>7316171</v>
      </c>
      <c r="AH1078" s="1014">
        <v>56</v>
      </c>
      <c r="AI1078" s="1014">
        <v>0</v>
      </c>
      <c r="AJ1078" s="1014">
        <v>0</v>
      </c>
      <c r="AK1078" s="1018">
        <v>0</v>
      </c>
      <c r="AL1078" s="1020">
        <v>0</v>
      </c>
      <c r="AM1078" s="1013">
        <f t="shared" si="215"/>
        <v>2236904</v>
      </c>
      <c r="AN1078" s="1045">
        <f t="shared" si="217"/>
        <v>9553075</v>
      </c>
      <c r="AO1078" s="1013">
        <v>581595</v>
      </c>
      <c r="AP1078" s="1013">
        <v>44100</v>
      </c>
      <c r="AQ1078" s="1013">
        <v>0</v>
      </c>
      <c r="AR1078" s="1013">
        <v>0</v>
      </c>
      <c r="AS1078" s="1013">
        <v>0</v>
      </c>
      <c r="AT1078" s="1045">
        <f t="shared" si="223"/>
        <v>8927380</v>
      </c>
      <c r="AU1078" s="1004"/>
      <c r="AV1078" s="870"/>
      <c r="AW1078" s="782" t="s">
        <v>3327</v>
      </c>
      <c r="AX1078" s="782" t="s">
        <v>5346</v>
      </c>
      <c r="AY1078" s="1007" t="s">
        <v>221</v>
      </c>
      <c r="AZ1078" s="1007">
        <v>622</v>
      </c>
      <c r="BA1078" s="347" t="str">
        <f t="shared" si="224"/>
        <v>Bag</v>
      </c>
      <c r="BB1078" s="1008"/>
      <c r="BC1078" s="1009"/>
      <c r="BD1078" s="1009"/>
    </row>
    <row r="1079" spans="1:56" s="1010" customFormat="1" ht="36.75" customHeight="1">
      <c r="A1079" s="661">
        <f>SUBTOTAL(3,B$6:B1079)</f>
        <v>1074</v>
      </c>
      <c r="B1079" s="661" t="s">
        <v>2947</v>
      </c>
      <c r="C1079" s="662" t="s">
        <v>2948</v>
      </c>
      <c r="D1079" s="1011">
        <v>45551</v>
      </c>
      <c r="E1079" s="1011" t="s">
        <v>221</v>
      </c>
      <c r="F1079" s="787" t="s">
        <v>282</v>
      </c>
      <c r="G1079" s="996" t="s">
        <v>797</v>
      </c>
      <c r="H1079" s="1012">
        <v>5274000</v>
      </c>
      <c r="I1079" s="1012">
        <v>0</v>
      </c>
      <c r="J1079" s="1012">
        <v>265000</v>
      </c>
      <c r="K1079" s="1012">
        <v>0</v>
      </c>
      <c r="L1079" s="1013">
        <f t="shared" si="218"/>
        <v>5539000</v>
      </c>
      <c r="M1079" s="1014">
        <v>20.6</v>
      </c>
      <c r="N1079" s="1013">
        <f t="shared" si="219"/>
        <v>4388592</v>
      </c>
      <c r="O1079" s="1015">
        <v>3</v>
      </c>
      <c r="P1079" s="1013">
        <f t="shared" si="220"/>
        <v>639115</v>
      </c>
      <c r="Q1079" s="1016">
        <v>0</v>
      </c>
      <c r="R1079" s="1013">
        <f t="shared" si="221"/>
        <v>0</v>
      </c>
      <c r="S1079" s="1013">
        <f t="shared" si="222"/>
        <v>5027707</v>
      </c>
      <c r="T1079" s="1017">
        <v>0</v>
      </c>
      <c r="U1079" s="785">
        <v>0</v>
      </c>
      <c r="V1079" s="785">
        <v>200000</v>
      </c>
      <c r="W1079" s="1017">
        <v>0</v>
      </c>
      <c r="X1079" s="1017">
        <v>0</v>
      </c>
      <c r="Y1079" s="1017">
        <v>300000</v>
      </c>
      <c r="Z1079" s="1017">
        <v>578621</v>
      </c>
      <c r="AA1079" s="1018"/>
      <c r="AB1079" s="1013"/>
      <c r="AC1079" s="1017">
        <v>0</v>
      </c>
      <c r="AD1079" s="1017">
        <v>0</v>
      </c>
      <c r="AE1079" s="1013">
        <v>39944.708737864079</v>
      </c>
      <c r="AF1079" s="1019"/>
      <c r="AG1079" s="1019">
        <f t="shared" si="216"/>
        <v>6146273</v>
      </c>
      <c r="AH1079" s="1014">
        <v>52</v>
      </c>
      <c r="AI1079" s="1014">
        <v>0</v>
      </c>
      <c r="AJ1079" s="1014">
        <v>0</v>
      </c>
      <c r="AK1079" s="1018">
        <v>0</v>
      </c>
      <c r="AL1079" s="1020">
        <v>0</v>
      </c>
      <c r="AM1079" s="1013">
        <f t="shared" si="215"/>
        <v>2077125</v>
      </c>
      <c r="AN1079" s="1045">
        <f t="shared" si="217"/>
        <v>8223398</v>
      </c>
      <c r="AO1079" s="1013">
        <v>581595</v>
      </c>
      <c r="AP1079" s="1013">
        <v>44100</v>
      </c>
      <c r="AQ1079" s="1013">
        <v>0</v>
      </c>
      <c r="AR1079" s="1013">
        <v>0</v>
      </c>
      <c r="AS1079" s="1013">
        <v>0</v>
      </c>
      <c r="AT1079" s="1045">
        <f t="shared" si="223"/>
        <v>7597703</v>
      </c>
      <c r="AU1079" s="1004"/>
      <c r="AV1079" s="870"/>
      <c r="AW1079" s="782" t="s">
        <v>5347</v>
      </c>
      <c r="AX1079" s="782" t="s">
        <v>5348</v>
      </c>
      <c r="AY1079" s="1007" t="s">
        <v>221</v>
      </c>
      <c r="AZ1079" s="1007">
        <v>622</v>
      </c>
      <c r="BA1079" s="347" t="str">
        <f t="shared" si="224"/>
        <v>Bag</v>
      </c>
      <c r="BB1079" s="1008"/>
      <c r="BC1079" s="1009"/>
      <c r="BD1079" s="1009"/>
    </row>
    <row r="1080" spans="1:56" s="1010" customFormat="1" ht="36.75" customHeight="1">
      <c r="A1080" s="661">
        <f>SUBTOTAL(3,B$6:B1080)</f>
        <v>1075</v>
      </c>
      <c r="B1080" s="661" t="s">
        <v>2949</v>
      </c>
      <c r="C1080" s="662" t="s">
        <v>2950</v>
      </c>
      <c r="D1080" s="1011">
        <v>45556</v>
      </c>
      <c r="E1080" s="1011" t="s">
        <v>221</v>
      </c>
      <c r="F1080" s="787" t="s">
        <v>282</v>
      </c>
      <c r="G1080" s="996" t="s">
        <v>797</v>
      </c>
      <c r="H1080" s="1012">
        <v>5274000</v>
      </c>
      <c r="I1080" s="1012">
        <v>0</v>
      </c>
      <c r="J1080" s="1012">
        <v>0</v>
      </c>
      <c r="K1080" s="1012">
        <v>0</v>
      </c>
      <c r="L1080" s="1013">
        <f t="shared" si="218"/>
        <v>5274000</v>
      </c>
      <c r="M1080" s="1014">
        <v>24</v>
      </c>
      <c r="N1080" s="1013">
        <f t="shared" si="219"/>
        <v>4868308</v>
      </c>
      <c r="O1080" s="1015">
        <v>2</v>
      </c>
      <c r="P1080" s="1013">
        <f t="shared" si="220"/>
        <v>405692</v>
      </c>
      <c r="Q1080" s="1016">
        <v>0</v>
      </c>
      <c r="R1080" s="1013">
        <f t="shared" si="221"/>
        <v>0</v>
      </c>
      <c r="S1080" s="1013">
        <f t="shared" si="222"/>
        <v>5274000</v>
      </c>
      <c r="T1080" s="1017">
        <v>0</v>
      </c>
      <c r="U1080" s="785">
        <v>0</v>
      </c>
      <c r="V1080" s="785">
        <v>200000</v>
      </c>
      <c r="W1080" s="1017">
        <v>500000</v>
      </c>
      <c r="X1080" s="1017">
        <v>0</v>
      </c>
      <c r="Y1080" s="1017">
        <v>300000</v>
      </c>
      <c r="Z1080" s="1017">
        <v>364011</v>
      </c>
      <c r="AA1080" s="1018"/>
      <c r="AB1080" s="1013"/>
      <c r="AC1080" s="1017">
        <v>0</v>
      </c>
      <c r="AD1080" s="1017">
        <v>0</v>
      </c>
      <c r="AE1080" s="1013">
        <v>38033.65625</v>
      </c>
      <c r="AF1080" s="1019"/>
      <c r="AG1080" s="1019">
        <f t="shared" si="216"/>
        <v>6676045</v>
      </c>
      <c r="AH1080" s="1014">
        <v>52</v>
      </c>
      <c r="AI1080" s="1014">
        <v>0</v>
      </c>
      <c r="AJ1080" s="1014">
        <v>0</v>
      </c>
      <c r="AK1080" s="1018">
        <v>0</v>
      </c>
      <c r="AL1080" s="1020">
        <v>0</v>
      </c>
      <c r="AM1080" s="1013">
        <f t="shared" si="215"/>
        <v>1977750</v>
      </c>
      <c r="AN1080" s="1045">
        <f t="shared" si="217"/>
        <v>8653795</v>
      </c>
      <c r="AO1080" s="1013">
        <v>553770</v>
      </c>
      <c r="AP1080" s="1013">
        <v>44100</v>
      </c>
      <c r="AQ1080" s="1013">
        <v>0</v>
      </c>
      <c r="AR1080" s="1013">
        <v>0</v>
      </c>
      <c r="AS1080" s="1013">
        <v>0</v>
      </c>
      <c r="AT1080" s="1045">
        <f t="shared" si="223"/>
        <v>8055925</v>
      </c>
      <c r="AU1080" s="1004"/>
      <c r="AV1080" s="870"/>
      <c r="AW1080" s="782" t="s">
        <v>5349</v>
      </c>
      <c r="AX1080" s="782" t="s">
        <v>5350</v>
      </c>
      <c r="AY1080" s="1007" t="s">
        <v>221</v>
      </c>
      <c r="AZ1080" s="1007">
        <v>622</v>
      </c>
      <c r="BA1080" s="347" t="str">
        <f t="shared" si="224"/>
        <v>Bag</v>
      </c>
      <c r="BB1080" s="1008"/>
      <c r="BC1080" s="1009"/>
      <c r="BD1080" s="1009"/>
    </row>
    <row r="1081" spans="1:56" s="1010" customFormat="1" ht="36.75" customHeight="1">
      <c r="A1081" s="661">
        <f>SUBTOTAL(3,B$6:B1081)</f>
        <v>1076</v>
      </c>
      <c r="B1081" s="661" t="s">
        <v>2951</v>
      </c>
      <c r="C1081" s="662" t="s">
        <v>2952</v>
      </c>
      <c r="D1081" s="1011">
        <v>45559</v>
      </c>
      <c r="E1081" s="1011" t="s">
        <v>221</v>
      </c>
      <c r="F1081" s="787" t="s">
        <v>282</v>
      </c>
      <c r="G1081" s="996" t="s">
        <v>797</v>
      </c>
      <c r="H1081" s="1012">
        <v>5274000</v>
      </c>
      <c r="I1081" s="1012">
        <v>0</v>
      </c>
      <c r="J1081" s="1012">
        <v>265000</v>
      </c>
      <c r="K1081" s="1012">
        <v>0</v>
      </c>
      <c r="L1081" s="1013">
        <f t="shared" si="218"/>
        <v>5539000</v>
      </c>
      <c r="M1081" s="1014">
        <v>23.6</v>
      </c>
      <c r="N1081" s="1013">
        <f t="shared" si="219"/>
        <v>5027708</v>
      </c>
      <c r="O1081" s="1015">
        <v>2</v>
      </c>
      <c r="P1081" s="1013">
        <f t="shared" si="220"/>
        <v>426077</v>
      </c>
      <c r="Q1081" s="1016">
        <v>0</v>
      </c>
      <c r="R1081" s="1013">
        <f t="shared" si="221"/>
        <v>0</v>
      </c>
      <c r="S1081" s="1013">
        <f t="shared" si="222"/>
        <v>5453785</v>
      </c>
      <c r="T1081" s="1017">
        <v>0</v>
      </c>
      <c r="U1081" s="785">
        <v>0</v>
      </c>
      <c r="V1081" s="785">
        <v>200000</v>
      </c>
      <c r="W1081" s="1017">
        <v>500000</v>
      </c>
      <c r="X1081" s="1017">
        <v>0</v>
      </c>
      <c r="Y1081" s="1017">
        <v>400000</v>
      </c>
      <c r="Z1081" s="1017">
        <v>432251</v>
      </c>
      <c r="AA1081" s="1018"/>
      <c r="AB1081" s="1013"/>
      <c r="AC1081" s="1017">
        <v>0</v>
      </c>
      <c r="AD1081" s="1017">
        <v>0</v>
      </c>
      <c r="AE1081" s="1013">
        <v>39944.713983050846</v>
      </c>
      <c r="AF1081" s="1019"/>
      <c r="AG1081" s="1019">
        <f t="shared" si="216"/>
        <v>7025981</v>
      </c>
      <c r="AH1081" s="1014">
        <v>52</v>
      </c>
      <c r="AI1081" s="1014">
        <v>0</v>
      </c>
      <c r="AJ1081" s="1014">
        <v>0</v>
      </c>
      <c r="AK1081" s="1018">
        <v>0</v>
      </c>
      <c r="AL1081" s="1020">
        <v>0</v>
      </c>
      <c r="AM1081" s="1013">
        <f t="shared" si="215"/>
        <v>2077125</v>
      </c>
      <c r="AN1081" s="1045">
        <f t="shared" si="217"/>
        <v>9103106</v>
      </c>
      <c r="AO1081" s="1013">
        <v>581595</v>
      </c>
      <c r="AP1081" s="1013">
        <v>44100</v>
      </c>
      <c r="AQ1081" s="1013">
        <v>0</v>
      </c>
      <c r="AR1081" s="1013">
        <v>0</v>
      </c>
      <c r="AS1081" s="1013">
        <v>0</v>
      </c>
      <c r="AT1081" s="1045">
        <f t="shared" si="223"/>
        <v>8477411</v>
      </c>
      <c r="AU1081" s="1004"/>
      <c r="AV1081" s="870"/>
      <c r="AW1081" s="782" t="s">
        <v>5351</v>
      </c>
      <c r="AX1081" s="782" t="s">
        <v>5352</v>
      </c>
      <c r="AY1081" s="1007" t="s">
        <v>221</v>
      </c>
      <c r="AZ1081" s="1007">
        <v>622</v>
      </c>
      <c r="BA1081" s="347" t="str">
        <f t="shared" si="224"/>
        <v>Bag</v>
      </c>
      <c r="BB1081" s="1008"/>
      <c r="BC1081" s="1009"/>
      <c r="BD1081" s="1009"/>
    </row>
    <row r="1082" spans="1:56" s="1010" customFormat="1" ht="36.75" customHeight="1">
      <c r="A1082" s="661">
        <f>SUBTOTAL(3,B$6:B1082)</f>
        <v>1077</v>
      </c>
      <c r="B1082" s="661" t="s">
        <v>2953</v>
      </c>
      <c r="C1082" s="662" t="s">
        <v>2954</v>
      </c>
      <c r="D1082" s="1011">
        <v>45576</v>
      </c>
      <c r="E1082" s="1011" t="s">
        <v>221</v>
      </c>
      <c r="F1082" s="787" t="s">
        <v>282</v>
      </c>
      <c r="G1082" s="996" t="s">
        <v>797</v>
      </c>
      <c r="H1082" s="1012">
        <v>5274000</v>
      </c>
      <c r="I1082" s="1012">
        <v>0</v>
      </c>
      <c r="J1082" s="1012">
        <v>0</v>
      </c>
      <c r="K1082" s="1012">
        <v>0</v>
      </c>
      <c r="L1082" s="1013">
        <f t="shared" si="218"/>
        <v>5274000</v>
      </c>
      <c r="M1082" s="1014">
        <v>23.9</v>
      </c>
      <c r="N1082" s="1013">
        <f t="shared" si="219"/>
        <v>4848023</v>
      </c>
      <c r="O1082" s="1015">
        <v>2</v>
      </c>
      <c r="P1082" s="1013">
        <f t="shared" si="220"/>
        <v>405692</v>
      </c>
      <c r="Q1082" s="1016">
        <v>0</v>
      </c>
      <c r="R1082" s="1013">
        <f t="shared" si="221"/>
        <v>0</v>
      </c>
      <c r="S1082" s="1013">
        <f t="shared" si="222"/>
        <v>5253715</v>
      </c>
      <c r="T1082" s="1017">
        <v>0</v>
      </c>
      <c r="U1082" s="785">
        <v>0</v>
      </c>
      <c r="V1082" s="785">
        <v>200000</v>
      </c>
      <c r="W1082" s="1017">
        <v>500000</v>
      </c>
      <c r="X1082" s="1017">
        <v>0</v>
      </c>
      <c r="Y1082" s="1017">
        <v>300000</v>
      </c>
      <c r="Z1082" s="1017">
        <v>357109</v>
      </c>
      <c r="AA1082" s="1018"/>
      <c r="AB1082" s="1013"/>
      <c r="AC1082" s="1017">
        <v>0</v>
      </c>
      <c r="AD1082" s="1017">
        <v>0</v>
      </c>
      <c r="AE1082" s="1013">
        <v>38033.653242677829</v>
      </c>
      <c r="AF1082" s="1019"/>
      <c r="AG1082" s="1019">
        <f t="shared" si="216"/>
        <v>6648858</v>
      </c>
      <c r="AH1082" s="1014">
        <v>52</v>
      </c>
      <c r="AI1082" s="1014">
        <v>0</v>
      </c>
      <c r="AJ1082" s="1014">
        <v>0</v>
      </c>
      <c r="AK1082" s="1018">
        <v>0</v>
      </c>
      <c r="AL1082" s="1020">
        <v>0</v>
      </c>
      <c r="AM1082" s="1013">
        <f t="shared" si="215"/>
        <v>1977750</v>
      </c>
      <c r="AN1082" s="1045">
        <f t="shared" si="217"/>
        <v>8626608</v>
      </c>
      <c r="AO1082" s="1013">
        <v>553770</v>
      </c>
      <c r="AP1082" s="1013">
        <v>44100</v>
      </c>
      <c r="AQ1082" s="1013">
        <v>0</v>
      </c>
      <c r="AR1082" s="1013">
        <v>0</v>
      </c>
      <c r="AS1082" s="1013">
        <v>0</v>
      </c>
      <c r="AT1082" s="1045">
        <f t="shared" si="223"/>
        <v>8028738</v>
      </c>
      <c r="AU1082" s="1004"/>
      <c r="AV1082" s="870"/>
      <c r="AW1082" s="782" t="s">
        <v>5353</v>
      </c>
      <c r="AX1082" s="782" t="s">
        <v>5354</v>
      </c>
      <c r="AY1082" s="1007" t="s">
        <v>221</v>
      </c>
      <c r="AZ1082" s="1007">
        <v>622</v>
      </c>
      <c r="BA1082" s="347" t="str">
        <f t="shared" si="224"/>
        <v>Bag</v>
      </c>
      <c r="BB1082" s="1008"/>
      <c r="BC1082" s="1009"/>
      <c r="BD1082" s="1009"/>
    </row>
    <row r="1083" spans="1:56" s="1010" customFormat="1" ht="36.75" customHeight="1">
      <c r="A1083" s="661">
        <f>SUBTOTAL(3,B$6:B1083)</f>
        <v>1078</v>
      </c>
      <c r="B1083" s="661" t="s">
        <v>2955</v>
      </c>
      <c r="C1083" s="662" t="s">
        <v>2956</v>
      </c>
      <c r="D1083" s="1011">
        <v>45603</v>
      </c>
      <c r="E1083" s="1011" t="s">
        <v>221</v>
      </c>
      <c r="F1083" s="787" t="s">
        <v>282</v>
      </c>
      <c r="G1083" s="996" t="s">
        <v>797</v>
      </c>
      <c r="H1083" s="1012">
        <v>5023000</v>
      </c>
      <c r="I1083" s="1012">
        <v>0</v>
      </c>
      <c r="J1083" s="1012">
        <v>252000</v>
      </c>
      <c r="K1083" s="1012">
        <v>0</v>
      </c>
      <c r="L1083" s="1013">
        <f t="shared" si="218"/>
        <v>5275000</v>
      </c>
      <c r="M1083" s="1014">
        <v>23.8</v>
      </c>
      <c r="N1083" s="1013">
        <f t="shared" si="219"/>
        <v>4828654</v>
      </c>
      <c r="O1083" s="1015">
        <v>2</v>
      </c>
      <c r="P1083" s="1013">
        <f t="shared" si="220"/>
        <v>405769</v>
      </c>
      <c r="Q1083" s="1016">
        <v>0</v>
      </c>
      <c r="R1083" s="1013">
        <f t="shared" si="221"/>
        <v>0</v>
      </c>
      <c r="S1083" s="1013">
        <f t="shared" si="222"/>
        <v>5234423</v>
      </c>
      <c r="T1083" s="1017">
        <v>0</v>
      </c>
      <c r="U1083" s="785">
        <v>0</v>
      </c>
      <c r="V1083" s="785">
        <v>200000</v>
      </c>
      <c r="W1083" s="1017">
        <v>500000</v>
      </c>
      <c r="X1083" s="1017">
        <v>0</v>
      </c>
      <c r="Y1083" s="1017">
        <v>400000</v>
      </c>
      <c r="Z1083" s="1017">
        <v>578355</v>
      </c>
      <c r="AA1083" s="1018"/>
      <c r="AB1083" s="1013"/>
      <c r="AC1083" s="1017">
        <v>0</v>
      </c>
      <c r="AD1083" s="1017">
        <v>0</v>
      </c>
      <c r="AE1083" s="1013">
        <v>38040.866596638654</v>
      </c>
      <c r="AF1083" s="1019"/>
      <c r="AG1083" s="1019">
        <f t="shared" si="216"/>
        <v>6950819</v>
      </c>
      <c r="AH1083" s="1014">
        <v>56</v>
      </c>
      <c r="AI1083" s="1014">
        <v>0</v>
      </c>
      <c r="AJ1083" s="1014">
        <v>0</v>
      </c>
      <c r="AK1083" s="1018">
        <v>0</v>
      </c>
      <c r="AL1083" s="1020">
        <v>0</v>
      </c>
      <c r="AM1083" s="1013">
        <f t="shared" si="215"/>
        <v>2130289</v>
      </c>
      <c r="AN1083" s="1045">
        <f t="shared" si="217"/>
        <v>9081108</v>
      </c>
      <c r="AO1083" s="1013">
        <v>553875</v>
      </c>
      <c r="AP1083" s="1013">
        <v>44100</v>
      </c>
      <c r="AQ1083" s="1013">
        <v>0</v>
      </c>
      <c r="AR1083" s="1013">
        <v>0</v>
      </c>
      <c r="AS1083" s="1013">
        <v>0</v>
      </c>
      <c r="AT1083" s="1045">
        <f t="shared" si="223"/>
        <v>8483133</v>
      </c>
      <c r="AU1083" s="1004"/>
      <c r="AV1083" s="870"/>
      <c r="AW1083" s="782" t="s">
        <v>4136</v>
      </c>
      <c r="AX1083" s="782" t="s">
        <v>5355</v>
      </c>
      <c r="AY1083" s="1007" t="s">
        <v>221</v>
      </c>
      <c r="AZ1083" s="1007">
        <v>622</v>
      </c>
      <c r="BA1083" s="347" t="str">
        <f t="shared" si="224"/>
        <v>Bag</v>
      </c>
      <c r="BB1083" s="1008"/>
      <c r="BC1083" s="1009"/>
      <c r="BD1083" s="1009"/>
    </row>
    <row r="1084" spans="1:56" s="1010" customFormat="1" ht="36.75" customHeight="1">
      <c r="A1084" s="661">
        <f>SUBTOTAL(3,B$6:B1084)</f>
        <v>1079</v>
      </c>
      <c r="B1084" s="661" t="s">
        <v>2957</v>
      </c>
      <c r="C1084" s="662" t="s">
        <v>2958</v>
      </c>
      <c r="D1084" s="1011">
        <v>45603</v>
      </c>
      <c r="E1084" s="1011" t="s">
        <v>221</v>
      </c>
      <c r="F1084" s="787" t="s">
        <v>282</v>
      </c>
      <c r="G1084" s="996" t="s">
        <v>797</v>
      </c>
      <c r="H1084" s="1012">
        <v>5023000</v>
      </c>
      <c r="I1084" s="1012">
        <v>0</v>
      </c>
      <c r="J1084" s="1012">
        <v>252000</v>
      </c>
      <c r="K1084" s="1012">
        <v>0</v>
      </c>
      <c r="L1084" s="1013">
        <f t="shared" si="218"/>
        <v>5275000</v>
      </c>
      <c r="M1084" s="1014">
        <v>17.600000000000001</v>
      </c>
      <c r="N1084" s="1013">
        <f t="shared" si="219"/>
        <v>3570769</v>
      </c>
      <c r="O1084" s="1015">
        <v>3</v>
      </c>
      <c r="P1084" s="1013">
        <f t="shared" si="220"/>
        <v>608654</v>
      </c>
      <c r="Q1084" s="1016">
        <v>0</v>
      </c>
      <c r="R1084" s="1013">
        <f t="shared" si="221"/>
        <v>0</v>
      </c>
      <c r="S1084" s="1013">
        <f t="shared" si="222"/>
        <v>4179423</v>
      </c>
      <c r="T1084" s="1017">
        <v>0</v>
      </c>
      <c r="U1084" s="785">
        <v>0</v>
      </c>
      <c r="V1084" s="785">
        <v>200000</v>
      </c>
      <c r="W1084" s="1017">
        <v>0</v>
      </c>
      <c r="X1084" s="1017">
        <v>0</v>
      </c>
      <c r="Y1084" s="1017">
        <v>0</v>
      </c>
      <c r="Z1084" s="1017">
        <v>421767</v>
      </c>
      <c r="AA1084" s="1018"/>
      <c r="AB1084" s="1013"/>
      <c r="AC1084" s="1017">
        <v>0</v>
      </c>
      <c r="AD1084" s="1017">
        <v>0</v>
      </c>
      <c r="AE1084" s="1013">
        <v>38040.86292613636</v>
      </c>
      <c r="AF1084" s="1019"/>
      <c r="AG1084" s="1019">
        <f t="shared" si="216"/>
        <v>4839231</v>
      </c>
      <c r="AH1084" s="1014">
        <v>40</v>
      </c>
      <c r="AI1084" s="1014">
        <v>0</v>
      </c>
      <c r="AJ1084" s="1014">
        <v>0</v>
      </c>
      <c r="AK1084" s="1018">
        <v>0</v>
      </c>
      <c r="AL1084" s="1020">
        <v>0</v>
      </c>
      <c r="AM1084" s="1013">
        <f t="shared" si="215"/>
        <v>1521635</v>
      </c>
      <c r="AN1084" s="1045">
        <f t="shared" si="217"/>
        <v>6360866</v>
      </c>
      <c r="AO1084" s="1013">
        <v>553875</v>
      </c>
      <c r="AP1084" s="1013">
        <v>44100</v>
      </c>
      <c r="AQ1084" s="1013">
        <v>0</v>
      </c>
      <c r="AR1084" s="1013">
        <v>0</v>
      </c>
      <c r="AS1084" s="1013">
        <v>0</v>
      </c>
      <c r="AT1084" s="1045">
        <f t="shared" si="223"/>
        <v>5762891</v>
      </c>
      <c r="AU1084" s="1004"/>
      <c r="AV1084" s="870"/>
      <c r="AW1084" s="782" t="s">
        <v>5356</v>
      </c>
      <c r="AX1084" s="782" t="s">
        <v>5357</v>
      </c>
      <c r="AY1084" s="1007" t="s">
        <v>221</v>
      </c>
      <c r="AZ1084" s="1007">
        <v>622</v>
      </c>
      <c r="BA1084" s="347" t="str">
        <f t="shared" si="224"/>
        <v>Bag</v>
      </c>
      <c r="BB1084" s="1008"/>
      <c r="BC1084" s="1009"/>
      <c r="BD1084" s="1009"/>
    </row>
    <row r="1085" spans="1:56" s="1010" customFormat="1" ht="36.75" customHeight="1">
      <c r="A1085" s="661">
        <f>SUBTOTAL(3,B$6:B1085)</f>
        <v>1080</v>
      </c>
      <c r="B1085" s="661" t="s">
        <v>2959</v>
      </c>
      <c r="C1085" s="662" t="s">
        <v>2960</v>
      </c>
      <c r="D1085" s="1011">
        <v>45698</v>
      </c>
      <c r="E1085" s="1011" t="s">
        <v>221</v>
      </c>
      <c r="F1085" s="787" t="s">
        <v>282</v>
      </c>
      <c r="G1085" s="996" t="s">
        <v>797</v>
      </c>
      <c r="H1085" s="1012">
        <v>5023000</v>
      </c>
      <c r="I1085" s="1012">
        <v>0</v>
      </c>
      <c r="J1085" s="1012">
        <v>0</v>
      </c>
      <c r="K1085" s="1012">
        <v>0</v>
      </c>
      <c r="L1085" s="1013">
        <f t="shared" si="218"/>
        <v>5023000</v>
      </c>
      <c r="M1085" s="1014">
        <v>21.6</v>
      </c>
      <c r="N1085" s="1013">
        <f t="shared" si="219"/>
        <v>4172954</v>
      </c>
      <c r="O1085" s="1015">
        <v>4</v>
      </c>
      <c r="P1085" s="1013">
        <f t="shared" si="220"/>
        <v>772769</v>
      </c>
      <c r="Q1085" s="1016">
        <v>0</v>
      </c>
      <c r="R1085" s="1013">
        <f t="shared" si="221"/>
        <v>0</v>
      </c>
      <c r="S1085" s="1013">
        <f t="shared" si="222"/>
        <v>4945723</v>
      </c>
      <c r="T1085" s="1017">
        <v>0</v>
      </c>
      <c r="U1085" s="785">
        <v>0</v>
      </c>
      <c r="V1085" s="785">
        <v>200000</v>
      </c>
      <c r="W1085" s="1017">
        <v>500000</v>
      </c>
      <c r="X1085" s="1017">
        <v>0</v>
      </c>
      <c r="Y1085" s="1017">
        <v>400000</v>
      </c>
      <c r="Z1085" s="1017">
        <v>425854</v>
      </c>
      <c r="AA1085" s="1018"/>
      <c r="AB1085" s="1013"/>
      <c r="AC1085" s="1017">
        <v>0</v>
      </c>
      <c r="AD1085" s="1017">
        <v>0</v>
      </c>
      <c r="AE1085" s="1013">
        <v>36223.559027777774</v>
      </c>
      <c r="AF1085" s="1019"/>
      <c r="AG1085" s="1019">
        <f t="shared" si="216"/>
        <v>6507801</v>
      </c>
      <c r="AH1085" s="1014">
        <v>52</v>
      </c>
      <c r="AI1085" s="1014">
        <v>0</v>
      </c>
      <c r="AJ1085" s="1014">
        <v>0</v>
      </c>
      <c r="AK1085" s="1018">
        <v>0</v>
      </c>
      <c r="AL1085" s="1020">
        <v>0</v>
      </c>
      <c r="AM1085" s="1013">
        <f t="shared" si="215"/>
        <v>1883625</v>
      </c>
      <c r="AN1085" s="1045">
        <f t="shared" si="217"/>
        <v>8391426</v>
      </c>
      <c r="AO1085" s="1013">
        <v>527415</v>
      </c>
      <c r="AP1085" s="1013">
        <v>44100</v>
      </c>
      <c r="AQ1085" s="1013">
        <v>0</v>
      </c>
      <c r="AR1085" s="1013">
        <v>0</v>
      </c>
      <c r="AS1085" s="1013">
        <v>0</v>
      </c>
      <c r="AT1085" s="1045">
        <f t="shared" si="223"/>
        <v>7819911</v>
      </c>
      <c r="AU1085" s="1004"/>
      <c r="AV1085" s="870"/>
      <c r="AW1085" s="782" t="s">
        <v>5358</v>
      </c>
      <c r="AX1085" s="782" t="s">
        <v>5359</v>
      </c>
      <c r="AY1085" s="1007" t="s">
        <v>221</v>
      </c>
      <c r="AZ1085" s="1007">
        <v>622</v>
      </c>
      <c r="BA1085" s="347" t="str">
        <f t="shared" si="224"/>
        <v>Bag</v>
      </c>
      <c r="BB1085" s="1008"/>
      <c r="BC1085" s="1009"/>
      <c r="BD1085" s="1009"/>
    </row>
    <row r="1086" spans="1:56" s="1010" customFormat="1" ht="36.75" customHeight="1">
      <c r="A1086" s="661">
        <f>SUBTOTAL(3,B$6:B1086)</f>
        <v>1081</v>
      </c>
      <c r="B1086" s="661" t="s">
        <v>2961</v>
      </c>
      <c r="C1086" s="662" t="s">
        <v>2962</v>
      </c>
      <c r="D1086" s="1011">
        <v>45698</v>
      </c>
      <c r="E1086" s="1011" t="s">
        <v>221</v>
      </c>
      <c r="F1086" s="787" t="s">
        <v>282</v>
      </c>
      <c r="G1086" s="996" t="s">
        <v>797</v>
      </c>
      <c r="H1086" s="1012">
        <v>5023000</v>
      </c>
      <c r="I1086" s="1012">
        <v>0</v>
      </c>
      <c r="J1086" s="1012">
        <v>0</v>
      </c>
      <c r="K1086" s="1012">
        <v>0</v>
      </c>
      <c r="L1086" s="1013">
        <f t="shared" si="218"/>
        <v>5023000</v>
      </c>
      <c r="M1086" s="1014">
        <v>23</v>
      </c>
      <c r="N1086" s="1013">
        <f t="shared" si="219"/>
        <v>4443423</v>
      </c>
      <c r="O1086" s="1015">
        <v>3</v>
      </c>
      <c r="P1086" s="1013">
        <f t="shared" si="220"/>
        <v>579577</v>
      </c>
      <c r="Q1086" s="1016">
        <v>0</v>
      </c>
      <c r="R1086" s="1013">
        <f t="shared" si="221"/>
        <v>0</v>
      </c>
      <c r="S1086" s="1013">
        <f t="shared" si="222"/>
        <v>5023000</v>
      </c>
      <c r="T1086" s="1017">
        <v>0</v>
      </c>
      <c r="U1086" s="785">
        <v>0</v>
      </c>
      <c r="V1086" s="785">
        <v>200000</v>
      </c>
      <c r="W1086" s="1017">
        <v>500000</v>
      </c>
      <c r="X1086" s="1017">
        <v>0</v>
      </c>
      <c r="Y1086" s="1017">
        <v>400000</v>
      </c>
      <c r="Z1086" s="1017">
        <v>486771</v>
      </c>
      <c r="AA1086" s="1018"/>
      <c r="AB1086" s="1013"/>
      <c r="AC1086" s="1017">
        <v>0</v>
      </c>
      <c r="AD1086" s="1017">
        <v>0</v>
      </c>
      <c r="AE1086" s="1013">
        <v>36223.557065217392</v>
      </c>
      <c r="AF1086" s="1019"/>
      <c r="AG1086" s="1019">
        <f t="shared" si="216"/>
        <v>6645995</v>
      </c>
      <c r="AH1086" s="1014">
        <v>52</v>
      </c>
      <c r="AI1086" s="1014">
        <v>0</v>
      </c>
      <c r="AJ1086" s="1014">
        <v>0</v>
      </c>
      <c r="AK1086" s="1018">
        <v>0</v>
      </c>
      <c r="AL1086" s="1020">
        <v>0</v>
      </c>
      <c r="AM1086" s="1013">
        <f t="shared" si="215"/>
        <v>1883625</v>
      </c>
      <c r="AN1086" s="1045">
        <f t="shared" si="217"/>
        <v>8529620</v>
      </c>
      <c r="AO1086" s="1013">
        <v>527415</v>
      </c>
      <c r="AP1086" s="1013">
        <v>44100</v>
      </c>
      <c r="AQ1086" s="1013">
        <v>0</v>
      </c>
      <c r="AR1086" s="1013">
        <v>0</v>
      </c>
      <c r="AS1086" s="1013">
        <v>0</v>
      </c>
      <c r="AT1086" s="1045">
        <f t="shared" si="223"/>
        <v>7958105</v>
      </c>
      <c r="AU1086" s="1004"/>
      <c r="AV1086" s="870"/>
      <c r="AW1086" s="782" t="s">
        <v>5360</v>
      </c>
      <c r="AX1086" s="782" t="s">
        <v>5361</v>
      </c>
      <c r="AY1086" s="1007" t="s">
        <v>221</v>
      </c>
      <c r="AZ1086" s="1007">
        <v>622</v>
      </c>
      <c r="BA1086" s="347" t="str">
        <f t="shared" si="224"/>
        <v>Bag</v>
      </c>
      <c r="BB1086" s="1008"/>
      <c r="BC1086" s="1009"/>
      <c r="BD1086" s="1009"/>
    </row>
    <row r="1087" spans="1:56" s="1010" customFormat="1" ht="36.75" customHeight="1">
      <c r="A1087" s="661">
        <f>SUBTOTAL(3,B$6:B1087)</f>
        <v>1082</v>
      </c>
      <c r="B1087" s="661" t="s">
        <v>2963</v>
      </c>
      <c r="C1087" s="662" t="s">
        <v>2964</v>
      </c>
      <c r="D1087" s="1011">
        <v>45698</v>
      </c>
      <c r="E1087" s="1011" t="s">
        <v>221</v>
      </c>
      <c r="F1087" s="787" t="s">
        <v>282</v>
      </c>
      <c r="G1087" s="996" t="s">
        <v>797</v>
      </c>
      <c r="H1087" s="1012">
        <v>5023000</v>
      </c>
      <c r="I1087" s="1012">
        <v>0</v>
      </c>
      <c r="J1087" s="1012">
        <v>0</v>
      </c>
      <c r="K1087" s="1012">
        <v>0</v>
      </c>
      <c r="L1087" s="1013">
        <f t="shared" si="218"/>
        <v>5023000</v>
      </c>
      <c r="M1087" s="1014">
        <v>21.6</v>
      </c>
      <c r="N1087" s="1013">
        <f t="shared" si="219"/>
        <v>4172954</v>
      </c>
      <c r="O1087" s="1015">
        <v>4</v>
      </c>
      <c r="P1087" s="1013">
        <f t="shared" si="220"/>
        <v>772769</v>
      </c>
      <c r="Q1087" s="1016">
        <v>0</v>
      </c>
      <c r="R1087" s="1013">
        <f t="shared" si="221"/>
        <v>0</v>
      </c>
      <c r="S1087" s="1013">
        <f t="shared" si="222"/>
        <v>4945723</v>
      </c>
      <c r="T1087" s="1017">
        <v>0</v>
      </c>
      <c r="U1087" s="785">
        <v>0</v>
      </c>
      <c r="V1087" s="785">
        <v>200000</v>
      </c>
      <c r="W1087" s="1017">
        <v>500000</v>
      </c>
      <c r="X1087" s="1017">
        <v>0</v>
      </c>
      <c r="Y1087" s="1017">
        <v>300000</v>
      </c>
      <c r="Z1087" s="1017">
        <v>368664</v>
      </c>
      <c r="AA1087" s="1018"/>
      <c r="AB1087" s="1013"/>
      <c r="AC1087" s="1017">
        <v>0</v>
      </c>
      <c r="AD1087" s="1017">
        <v>0</v>
      </c>
      <c r="AE1087" s="1013">
        <v>36223.559027777774</v>
      </c>
      <c r="AF1087" s="1019"/>
      <c r="AG1087" s="1019">
        <f t="shared" si="216"/>
        <v>6350611</v>
      </c>
      <c r="AH1087" s="1014">
        <v>52</v>
      </c>
      <c r="AI1087" s="1014">
        <v>0</v>
      </c>
      <c r="AJ1087" s="1014">
        <v>0</v>
      </c>
      <c r="AK1087" s="1018">
        <v>0</v>
      </c>
      <c r="AL1087" s="1020">
        <v>0</v>
      </c>
      <c r="AM1087" s="1013">
        <f t="shared" si="215"/>
        <v>1883625</v>
      </c>
      <c r="AN1087" s="1045">
        <f t="shared" si="217"/>
        <v>8234236</v>
      </c>
      <c r="AO1087" s="1013">
        <v>527415</v>
      </c>
      <c r="AP1087" s="1013">
        <v>44100</v>
      </c>
      <c r="AQ1087" s="1013">
        <v>0</v>
      </c>
      <c r="AR1087" s="1013">
        <v>0</v>
      </c>
      <c r="AS1087" s="1013">
        <v>0</v>
      </c>
      <c r="AT1087" s="1045">
        <f t="shared" si="223"/>
        <v>7662721</v>
      </c>
      <c r="AU1087" s="1004"/>
      <c r="AV1087" s="870"/>
      <c r="AW1087" s="782" t="s">
        <v>5362</v>
      </c>
      <c r="AX1087" s="782" t="s">
        <v>5363</v>
      </c>
      <c r="AY1087" s="1007" t="s">
        <v>221</v>
      </c>
      <c r="AZ1087" s="1007">
        <v>622</v>
      </c>
      <c r="BA1087" s="347" t="str">
        <f t="shared" si="224"/>
        <v>Bag</v>
      </c>
      <c r="BB1087" s="1008"/>
      <c r="BC1087" s="1009"/>
      <c r="BD1087" s="1009"/>
    </row>
    <row r="1088" spans="1:56" s="1010" customFormat="1" ht="36.75" customHeight="1">
      <c r="A1088" s="661">
        <f>SUBTOTAL(3,B$6:B1088)</f>
        <v>1083</v>
      </c>
      <c r="B1088" s="661" t="s">
        <v>2965</v>
      </c>
      <c r="C1088" s="662" t="s">
        <v>2966</v>
      </c>
      <c r="D1088" s="1011">
        <v>45698</v>
      </c>
      <c r="E1088" s="1011" t="s">
        <v>221</v>
      </c>
      <c r="F1088" s="787" t="s">
        <v>282</v>
      </c>
      <c r="G1088" s="996" t="s">
        <v>797</v>
      </c>
      <c r="H1088" s="1012">
        <v>5023000</v>
      </c>
      <c r="I1088" s="1012">
        <v>0</v>
      </c>
      <c r="J1088" s="1012">
        <v>0</v>
      </c>
      <c r="K1088" s="1012">
        <v>0</v>
      </c>
      <c r="L1088" s="1013">
        <f t="shared" si="218"/>
        <v>5023000</v>
      </c>
      <c r="M1088" s="1014">
        <v>14.5</v>
      </c>
      <c r="N1088" s="1013">
        <f t="shared" si="219"/>
        <v>2801288</v>
      </c>
      <c r="O1088" s="1015">
        <v>6</v>
      </c>
      <c r="P1088" s="1013">
        <f t="shared" si="220"/>
        <v>1159154</v>
      </c>
      <c r="Q1088" s="1016">
        <v>0</v>
      </c>
      <c r="R1088" s="1013">
        <f t="shared" si="221"/>
        <v>0</v>
      </c>
      <c r="S1088" s="1013">
        <f t="shared" si="222"/>
        <v>3960442</v>
      </c>
      <c r="T1088" s="1017">
        <v>0</v>
      </c>
      <c r="U1088" s="785">
        <v>0</v>
      </c>
      <c r="V1088" s="785">
        <v>200000</v>
      </c>
      <c r="W1088" s="1017">
        <v>0</v>
      </c>
      <c r="X1088" s="1017">
        <v>0</v>
      </c>
      <c r="Y1088" s="1017">
        <v>0</v>
      </c>
      <c r="Z1088" s="1017">
        <v>314341</v>
      </c>
      <c r="AA1088" s="1018"/>
      <c r="AB1088" s="1013"/>
      <c r="AC1088" s="1017">
        <v>0</v>
      </c>
      <c r="AD1088" s="1017">
        <v>0</v>
      </c>
      <c r="AE1088" s="1013">
        <v>36223.551724137928</v>
      </c>
      <c r="AF1088" s="1019"/>
      <c r="AG1088" s="1019">
        <f t="shared" si="216"/>
        <v>4511007</v>
      </c>
      <c r="AH1088" s="1014">
        <v>40</v>
      </c>
      <c r="AI1088" s="1014">
        <v>0</v>
      </c>
      <c r="AJ1088" s="1014">
        <v>0</v>
      </c>
      <c r="AK1088" s="1018">
        <v>0</v>
      </c>
      <c r="AL1088" s="1020">
        <v>0</v>
      </c>
      <c r="AM1088" s="1013">
        <f t="shared" si="215"/>
        <v>1448942</v>
      </c>
      <c r="AN1088" s="1045">
        <f t="shared" si="217"/>
        <v>5959949</v>
      </c>
      <c r="AO1088" s="1013">
        <v>527415</v>
      </c>
      <c r="AP1088" s="1013">
        <v>44100</v>
      </c>
      <c r="AQ1088" s="1013">
        <v>0</v>
      </c>
      <c r="AR1088" s="1013">
        <v>0</v>
      </c>
      <c r="AS1088" s="1013">
        <v>0</v>
      </c>
      <c r="AT1088" s="1045">
        <f t="shared" si="223"/>
        <v>5388434</v>
      </c>
      <c r="AU1088" s="1004"/>
      <c r="AV1088" s="870"/>
      <c r="AW1088" s="782" t="s">
        <v>5364</v>
      </c>
      <c r="AX1088" s="782" t="s">
        <v>5365</v>
      </c>
      <c r="AY1088" s="1007" t="s">
        <v>221</v>
      </c>
      <c r="AZ1088" s="1007">
        <v>622</v>
      </c>
      <c r="BA1088" s="347" t="str">
        <f t="shared" si="224"/>
        <v>Bag</v>
      </c>
      <c r="BB1088" s="1008"/>
      <c r="BC1088" s="1009"/>
      <c r="BD1088" s="1009"/>
    </row>
    <row r="1089" spans="1:56" s="1010" customFormat="1" ht="36.75" customHeight="1">
      <c r="A1089" s="661">
        <f>SUBTOTAL(3,B$6:B1089)</f>
        <v>1084</v>
      </c>
      <c r="B1089" s="661" t="s">
        <v>2967</v>
      </c>
      <c r="C1089" s="662" t="s">
        <v>843</v>
      </c>
      <c r="D1089" s="1011">
        <v>45698</v>
      </c>
      <c r="E1089" s="1011" t="s">
        <v>221</v>
      </c>
      <c r="F1089" s="787" t="s">
        <v>282</v>
      </c>
      <c r="G1089" s="996" t="s">
        <v>797</v>
      </c>
      <c r="H1089" s="1012">
        <v>5023000</v>
      </c>
      <c r="I1089" s="1012">
        <v>0</v>
      </c>
      <c r="J1089" s="1012">
        <v>0</v>
      </c>
      <c r="K1089" s="1012">
        <v>0</v>
      </c>
      <c r="L1089" s="1013">
        <f t="shared" si="218"/>
        <v>5023000</v>
      </c>
      <c r="M1089" s="1014">
        <v>20.9</v>
      </c>
      <c r="N1089" s="1013">
        <f t="shared" si="219"/>
        <v>4037719</v>
      </c>
      <c r="O1089" s="1015">
        <v>5</v>
      </c>
      <c r="P1089" s="1013">
        <f t="shared" si="220"/>
        <v>965962</v>
      </c>
      <c r="Q1089" s="1016">
        <v>0</v>
      </c>
      <c r="R1089" s="1013">
        <f t="shared" si="221"/>
        <v>0</v>
      </c>
      <c r="S1089" s="1013">
        <f t="shared" si="222"/>
        <v>5003681</v>
      </c>
      <c r="T1089" s="1017">
        <v>0</v>
      </c>
      <c r="U1089" s="785">
        <v>0</v>
      </c>
      <c r="V1089" s="785">
        <v>200000</v>
      </c>
      <c r="W1089" s="1017">
        <v>500000</v>
      </c>
      <c r="X1089" s="1017">
        <v>0</v>
      </c>
      <c r="Y1089" s="1017">
        <v>400000</v>
      </c>
      <c r="Z1089" s="1017">
        <v>427991</v>
      </c>
      <c r="AA1089" s="1018"/>
      <c r="AB1089" s="1013"/>
      <c r="AC1089" s="1017">
        <v>0</v>
      </c>
      <c r="AD1089" s="1017">
        <v>0</v>
      </c>
      <c r="AE1089" s="1013">
        <v>36223.555622009568</v>
      </c>
      <c r="AF1089" s="1019"/>
      <c r="AG1089" s="1019">
        <f t="shared" si="216"/>
        <v>6567896</v>
      </c>
      <c r="AH1089" s="1014">
        <v>52</v>
      </c>
      <c r="AI1089" s="1014">
        <v>0</v>
      </c>
      <c r="AJ1089" s="1014">
        <v>0</v>
      </c>
      <c r="AK1089" s="1018">
        <v>0</v>
      </c>
      <c r="AL1089" s="1020">
        <v>0</v>
      </c>
      <c r="AM1089" s="1013">
        <f t="shared" si="215"/>
        <v>1883625</v>
      </c>
      <c r="AN1089" s="1045">
        <f t="shared" si="217"/>
        <v>8451521</v>
      </c>
      <c r="AO1089" s="1013">
        <v>527415</v>
      </c>
      <c r="AP1089" s="1013">
        <v>44100</v>
      </c>
      <c r="AQ1089" s="1013">
        <v>0</v>
      </c>
      <c r="AR1089" s="1013">
        <v>0</v>
      </c>
      <c r="AS1089" s="1013">
        <v>0</v>
      </c>
      <c r="AT1089" s="1045">
        <f t="shared" si="223"/>
        <v>7880006</v>
      </c>
      <c r="AU1089" s="1004"/>
      <c r="AV1089" s="870"/>
      <c r="AW1089" s="782" t="s">
        <v>3380</v>
      </c>
      <c r="AX1089" s="782" t="s">
        <v>5366</v>
      </c>
      <c r="AY1089" s="1007" t="s">
        <v>221</v>
      </c>
      <c r="AZ1089" s="1007">
        <v>622</v>
      </c>
      <c r="BA1089" s="347" t="str">
        <f t="shared" si="224"/>
        <v>Bag</v>
      </c>
      <c r="BB1089" s="1008"/>
      <c r="BC1089" s="1009"/>
      <c r="BD1089" s="1009"/>
    </row>
    <row r="1090" spans="1:56" s="1010" customFormat="1" ht="36.75" customHeight="1">
      <c r="A1090" s="661">
        <f>SUBTOTAL(3,B$6:B1090)</f>
        <v>1085</v>
      </c>
      <c r="B1090" s="661" t="s">
        <v>2968</v>
      </c>
      <c r="C1090" s="662" t="s">
        <v>2969</v>
      </c>
      <c r="D1090" s="1011">
        <v>45700</v>
      </c>
      <c r="E1090" s="1011" t="s">
        <v>221</v>
      </c>
      <c r="F1090" s="787" t="s">
        <v>282</v>
      </c>
      <c r="G1090" s="996" t="s">
        <v>797</v>
      </c>
      <c r="H1090" s="1012">
        <v>5023000</v>
      </c>
      <c r="I1090" s="1012">
        <v>0</v>
      </c>
      <c r="J1090" s="1012">
        <v>252000</v>
      </c>
      <c r="K1090" s="1012">
        <v>0</v>
      </c>
      <c r="L1090" s="1013">
        <f t="shared" si="218"/>
        <v>5275000</v>
      </c>
      <c r="M1090" s="1014">
        <v>24</v>
      </c>
      <c r="N1090" s="1013">
        <f t="shared" si="219"/>
        <v>4869231</v>
      </c>
      <c r="O1090" s="1015">
        <v>2</v>
      </c>
      <c r="P1090" s="1013">
        <f t="shared" si="220"/>
        <v>405769</v>
      </c>
      <c r="Q1090" s="1016">
        <v>0</v>
      </c>
      <c r="R1090" s="1013">
        <f t="shared" si="221"/>
        <v>0</v>
      </c>
      <c r="S1090" s="1013">
        <f t="shared" si="222"/>
        <v>5275000</v>
      </c>
      <c r="T1090" s="1017">
        <v>0</v>
      </c>
      <c r="U1090" s="785">
        <v>0</v>
      </c>
      <c r="V1090" s="785">
        <v>200000</v>
      </c>
      <c r="W1090" s="1017">
        <v>500000</v>
      </c>
      <c r="X1090" s="1017">
        <v>0</v>
      </c>
      <c r="Y1090" s="1017">
        <v>400000</v>
      </c>
      <c r="Z1090" s="1017">
        <v>476076</v>
      </c>
      <c r="AA1090" s="1018"/>
      <c r="AB1090" s="1013"/>
      <c r="AC1090" s="1017">
        <v>0</v>
      </c>
      <c r="AD1090" s="1017">
        <v>0</v>
      </c>
      <c r="AE1090" s="1013">
        <v>38040.8671875</v>
      </c>
      <c r="AF1090" s="1019"/>
      <c r="AG1090" s="1019">
        <f t="shared" si="216"/>
        <v>6889117</v>
      </c>
      <c r="AH1090" s="1014">
        <v>56</v>
      </c>
      <c r="AI1090" s="1014">
        <v>0</v>
      </c>
      <c r="AJ1090" s="1014">
        <v>0</v>
      </c>
      <c r="AK1090" s="1018">
        <v>0</v>
      </c>
      <c r="AL1090" s="1020">
        <v>0</v>
      </c>
      <c r="AM1090" s="1013">
        <f t="shared" si="215"/>
        <v>2130289</v>
      </c>
      <c r="AN1090" s="1045">
        <f t="shared" si="217"/>
        <v>9019406</v>
      </c>
      <c r="AO1090" s="1013">
        <v>553875</v>
      </c>
      <c r="AP1090" s="1013">
        <v>44100</v>
      </c>
      <c r="AQ1090" s="1013">
        <v>0</v>
      </c>
      <c r="AR1090" s="1013">
        <v>0</v>
      </c>
      <c r="AS1090" s="1013">
        <v>0</v>
      </c>
      <c r="AT1090" s="1045">
        <f t="shared" si="223"/>
        <v>8421431</v>
      </c>
      <c r="AU1090" s="1004"/>
      <c r="AV1090" s="870"/>
      <c r="AW1090" s="782" t="s">
        <v>5367</v>
      </c>
      <c r="AX1090" s="782" t="s">
        <v>5368</v>
      </c>
      <c r="AY1090" s="1007" t="s">
        <v>221</v>
      </c>
      <c r="AZ1090" s="1007">
        <v>622</v>
      </c>
      <c r="BA1090" s="347" t="str">
        <f t="shared" si="224"/>
        <v>Bag</v>
      </c>
      <c r="BB1090" s="1008"/>
      <c r="BC1090" s="1009"/>
      <c r="BD1090" s="1009"/>
    </row>
    <row r="1091" spans="1:56" s="1010" customFormat="1" ht="36.75" customHeight="1">
      <c r="A1091" s="661">
        <f>SUBTOTAL(3,B$6:B1091)</f>
        <v>1086</v>
      </c>
      <c r="B1091" s="661" t="s">
        <v>2970</v>
      </c>
      <c r="C1091" s="662" t="s">
        <v>2306</v>
      </c>
      <c r="D1091" s="1011">
        <v>45707</v>
      </c>
      <c r="E1091" s="1011" t="s">
        <v>221</v>
      </c>
      <c r="F1091" s="787" t="s">
        <v>282</v>
      </c>
      <c r="G1091" s="996" t="s">
        <v>797</v>
      </c>
      <c r="H1091" s="1012">
        <v>5023000</v>
      </c>
      <c r="I1091" s="1012">
        <v>0</v>
      </c>
      <c r="J1091" s="1012">
        <v>0</v>
      </c>
      <c r="K1091" s="1012">
        <v>0</v>
      </c>
      <c r="L1091" s="1013">
        <f t="shared" si="218"/>
        <v>5023000</v>
      </c>
      <c r="M1091" s="1014">
        <v>23</v>
      </c>
      <c r="N1091" s="1013">
        <f t="shared" si="219"/>
        <v>4443423</v>
      </c>
      <c r="O1091" s="1015">
        <v>3</v>
      </c>
      <c r="P1091" s="1013">
        <f t="shared" si="220"/>
        <v>579577</v>
      </c>
      <c r="Q1091" s="1016">
        <v>0</v>
      </c>
      <c r="R1091" s="1013">
        <f t="shared" si="221"/>
        <v>0</v>
      </c>
      <c r="S1091" s="1013">
        <f t="shared" si="222"/>
        <v>5023000</v>
      </c>
      <c r="T1091" s="1017">
        <v>0</v>
      </c>
      <c r="U1091" s="785">
        <v>0</v>
      </c>
      <c r="V1091" s="785">
        <v>200000</v>
      </c>
      <c r="W1091" s="1017">
        <v>500000</v>
      </c>
      <c r="X1091" s="1017">
        <v>0</v>
      </c>
      <c r="Y1091" s="1017">
        <v>400000</v>
      </c>
      <c r="Z1091" s="1017">
        <v>464972</v>
      </c>
      <c r="AA1091" s="1018"/>
      <c r="AB1091" s="1013"/>
      <c r="AC1091" s="1017">
        <v>0</v>
      </c>
      <c r="AD1091" s="1017">
        <v>0</v>
      </c>
      <c r="AE1091" s="1013">
        <v>36223.557065217392</v>
      </c>
      <c r="AF1091" s="1019"/>
      <c r="AG1091" s="1019">
        <f t="shared" si="216"/>
        <v>6624196</v>
      </c>
      <c r="AH1091" s="1014">
        <v>48</v>
      </c>
      <c r="AI1091" s="1014">
        <v>0</v>
      </c>
      <c r="AJ1091" s="1014">
        <v>0</v>
      </c>
      <c r="AK1091" s="1018">
        <v>0</v>
      </c>
      <c r="AL1091" s="1020">
        <v>0</v>
      </c>
      <c r="AM1091" s="1013">
        <f t="shared" si="215"/>
        <v>1738731</v>
      </c>
      <c r="AN1091" s="1045">
        <f t="shared" si="217"/>
        <v>8362927</v>
      </c>
      <c r="AO1091" s="1013">
        <v>527415</v>
      </c>
      <c r="AP1091" s="1013">
        <v>0</v>
      </c>
      <c r="AQ1091" s="1013">
        <v>0</v>
      </c>
      <c r="AR1091" s="1013">
        <v>0</v>
      </c>
      <c r="AS1091" s="1013">
        <v>0</v>
      </c>
      <c r="AT1091" s="1045">
        <f t="shared" si="223"/>
        <v>7835512</v>
      </c>
      <c r="AU1091" s="1004"/>
      <c r="AV1091" s="870"/>
      <c r="AW1091" s="782" t="s">
        <v>4744</v>
      </c>
      <c r="AX1091" s="782" t="s">
        <v>5369</v>
      </c>
      <c r="AY1091" s="1007" t="s">
        <v>221</v>
      </c>
      <c r="AZ1091" s="1007">
        <v>622</v>
      </c>
      <c r="BA1091" s="347" t="str">
        <f t="shared" si="224"/>
        <v>Bag</v>
      </c>
      <c r="BB1091" s="1008"/>
      <c r="BC1091" s="1009"/>
      <c r="BD1091" s="1009"/>
    </row>
    <row r="1092" spans="1:56" s="1010" customFormat="1" ht="36.75" customHeight="1">
      <c r="A1092" s="661">
        <f>SUBTOTAL(3,B$6:B1092)</f>
        <v>1087</v>
      </c>
      <c r="B1092" s="661" t="s">
        <v>2971</v>
      </c>
      <c r="C1092" s="662" t="s">
        <v>2972</v>
      </c>
      <c r="D1092" s="1011">
        <v>45712</v>
      </c>
      <c r="E1092" s="1011" t="s">
        <v>221</v>
      </c>
      <c r="F1092" s="787" t="s">
        <v>282</v>
      </c>
      <c r="G1092" s="996" t="s">
        <v>797</v>
      </c>
      <c r="H1092" s="1012">
        <v>5023000</v>
      </c>
      <c r="I1092" s="1012">
        <v>0</v>
      </c>
      <c r="J1092" s="1012">
        <v>0</v>
      </c>
      <c r="K1092" s="1012">
        <v>0</v>
      </c>
      <c r="L1092" s="1013">
        <f t="shared" si="218"/>
        <v>5023000</v>
      </c>
      <c r="M1092" s="1014">
        <v>23</v>
      </c>
      <c r="N1092" s="1013">
        <f t="shared" si="219"/>
        <v>4443423</v>
      </c>
      <c r="O1092" s="1015">
        <v>3</v>
      </c>
      <c r="P1092" s="1013">
        <f t="shared" si="220"/>
        <v>579577</v>
      </c>
      <c r="Q1092" s="1016">
        <v>0</v>
      </c>
      <c r="R1092" s="1013">
        <f t="shared" si="221"/>
        <v>0</v>
      </c>
      <c r="S1092" s="1013">
        <f t="shared" si="222"/>
        <v>5023000</v>
      </c>
      <c r="T1092" s="1017">
        <v>0</v>
      </c>
      <c r="U1092" s="785">
        <v>0</v>
      </c>
      <c r="V1092" s="785">
        <v>200000</v>
      </c>
      <c r="W1092" s="1017">
        <v>500000</v>
      </c>
      <c r="X1092" s="1017">
        <v>0</v>
      </c>
      <c r="Y1092" s="1017">
        <v>300000</v>
      </c>
      <c r="Z1092" s="1017">
        <v>251280</v>
      </c>
      <c r="AA1092" s="1018"/>
      <c r="AB1092" s="1013"/>
      <c r="AC1092" s="1017">
        <v>0</v>
      </c>
      <c r="AD1092" s="1017">
        <v>0</v>
      </c>
      <c r="AE1092" s="1013">
        <v>36223.557065217392</v>
      </c>
      <c r="AF1092" s="1019"/>
      <c r="AG1092" s="1019">
        <f t="shared" si="216"/>
        <v>6310504</v>
      </c>
      <c r="AH1092" s="1014">
        <v>56</v>
      </c>
      <c r="AI1092" s="1014">
        <v>0</v>
      </c>
      <c r="AJ1092" s="1014">
        <v>0</v>
      </c>
      <c r="AK1092" s="1018">
        <v>0</v>
      </c>
      <c r="AL1092" s="1020">
        <v>0</v>
      </c>
      <c r="AM1092" s="1013">
        <f t="shared" si="215"/>
        <v>2028519</v>
      </c>
      <c r="AN1092" s="1045">
        <f t="shared" si="217"/>
        <v>8339023</v>
      </c>
      <c r="AO1092" s="1013">
        <v>527415</v>
      </c>
      <c r="AP1092" s="1013">
        <v>0</v>
      </c>
      <c r="AQ1092" s="1013">
        <v>0</v>
      </c>
      <c r="AR1092" s="1013">
        <v>0</v>
      </c>
      <c r="AS1092" s="1013">
        <v>0</v>
      </c>
      <c r="AT1092" s="1045">
        <f t="shared" si="223"/>
        <v>7811608</v>
      </c>
      <c r="AU1092" s="1004"/>
      <c r="AV1092" s="870"/>
      <c r="AW1092" s="782" t="s">
        <v>5370</v>
      </c>
      <c r="AX1092" s="782" t="s">
        <v>5371</v>
      </c>
      <c r="AY1092" s="1007" t="s">
        <v>221</v>
      </c>
      <c r="AZ1092" s="1007">
        <v>622</v>
      </c>
      <c r="BA1092" s="347" t="str">
        <f t="shared" si="224"/>
        <v>Bag</v>
      </c>
      <c r="BB1092" s="1008"/>
      <c r="BC1092" s="1009"/>
      <c r="BD1092" s="1009"/>
    </row>
    <row r="1093" spans="1:56" s="1010" customFormat="1" ht="36.75" customHeight="1">
      <c r="A1093" s="661">
        <f>SUBTOTAL(3,B$6:B1093)</f>
        <v>1088</v>
      </c>
      <c r="B1093" s="661" t="s">
        <v>2973</v>
      </c>
      <c r="C1093" s="662" t="s">
        <v>2974</v>
      </c>
      <c r="D1093" s="1011">
        <v>45712</v>
      </c>
      <c r="E1093" s="1011" t="s">
        <v>221</v>
      </c>
      <c r="F1093" s="787" t="s">
        <v>282</v>
      </c>
      <c r="G1093" s="996" t="s">
        <v>797</v>
      </c>
      <c r="H1093" s="1012">
        <v>5023000</v>
      </c>
      <c r="I1093" s="1012">
        <v>0</v>
      </c>
      <c r="J1093" s="1012">
        <v>0</v>
      </c>
      <c r="K1093" s="1012">
        <v>0</v>
      </c>
      <c r="L1093" s="1013">
        <f t="shared" si="218"/>
        <v>5023000</v>
      </c>
      <c r="M1093" s="1014">
        <v>22.9</v>
      </c>
      <c r="N1093" s="1013">
        <f t="shared" si="219"/>
        <v>4424104</v>
      </c>
      <c r="O1093" s="1015">
        <v>3</v>
      </c>
      <c r="P1093" s="1013">
        <f t="shared" si="220"/>
        <v>579577</v>
      </c>
      <c r="Q1093" s="1016">
        <v>0</v>
      </c>
      <c r="R1093" s="1013">
        <f t="shared" si="221"/>
        <v>0</v>
      </c>
      <c r="S1093" s="1013">
        <f t="shared" si="222"/>
        <v>5003681</v>
      </c>
      <c r="T1093" s="1017">
        <v>0</v>
      </c>
      <c r="U1093" s="785">
        <v>0</v>
      </c>
      <c r="V1093" s="785">
        <v>200000</v>
      </c>
      <c r="W1093" s="1017">
        <v>500000</v>
      </c>
      <c r="X1093" s="1017">
        <v>0</v>
      </c>
      <c r="Y1093" s="1017">
        <v>300000</v>
      </c>
      <c r="Z1093" s="1017">
        <v>363103</v>
      </c>
      <c r="AA1093" s="1018"/>
      <c r="AB1093" s="1013"/>
      <c r="AC1093" s="1017">
        <v>0</v>
      </c>
      <c r="AD1093" s="1017">
        <v>0</v>
      </c>
      <c r="AE1093" s="1013">
        <v>36223.558951965068</v>
      </c>
      <c r="AF1093" s="1019"/>
      <c r="AG1093" s="1019">
        <f t="shared" si="216"/>
        <v>6403008</v>
      </c>
      <c r="AH1093" s="1014">
        <v>52</v>
      </c>
      <c r="AI1093" s="1014">
        <v>0</v>
      </c>
      <c r="AJ1093" s="1014">
        <v>0</v>
      </c>
      <c r="AK1093" s="1018">
        <v>0</v>
      </c>
      <c r="AL1093" s="1020">
        <v>0</v>
      </c>
      <c r="AM1093" s="1013">
        <f t="shared" si="215"/>
        <v>1883625</v>
      </c>
      <c r="AN1093" s="1045">
        <f t="shared" si="217"/>
        <v>8286633</v>
      </c>
      <c r="AO1093" s="1013">
        <v>527415</v>
      </c>
      <c r="AP1093" s="1013">
        <v>0</v>
      </c>
      <c r="AQ1093" s="1013">
        <v>0</v>
      </c>
      <c r="AR1093" s="1013">
        <v>0</v>
      </c>
      <c r="AS1093" s="1013">
        <v>0</v>
      </c>
      <c r="AT1093" s="1045">
        <f t="shared" si="223"/>
        <v>7759218</v>
      </c>
      <c r="AU1093" s="1004"/>
      <c r="AV1093" s="870"/>
      <c r="AW1093" s="782" t="s">
        <v>5372</v>
      </c>
      <c r="AX1093" s="782" t="s">
        <v>5373</v>
      </c>
      <c r="AY1093" s="1007" t="s">
        <v>221</v>
      </c>
      <c r="AZ1093" s="1007">
        <v>622</v>
      </c>
      <c r="BA1093" s="347" t="str">
        <f t="shared" si="224"/>
        <v>Bag</v>
      </c>
      <c r="BB1093" s="1008"/>
      <c r="BC1093" s="1009"/>
      <c r="BD1093" s="1009"/>
    </row>
    <row r="1094" spans="1:56" s="1010" customFormat="1" ht="36.75" customHeight="1">
      <c r="A1094" s="661">
        <f>SUBTOTAL(3,B$6:B1094)</f>
        <v>1089</v>
      </c>
      <c r="B1094" s="661" t="s">
        <v>2975</v>
      </c>
      <c r="C1094" s="662" t="s">
        <v>2976</v>
      </c>
      <c r="D1094" s="1011">
        <v>45717</v>
      </c>
      <c r="E1094" s="1011" t="s">
        <v>221</v>
      </c>
      <c r="F1094" s="787" t="s">
        <v>282</v>
      </c>
      <c r="G1094" s="996" t="s">
        <v>1232</v>
      </c>
      <c r="H1094" s="1012">
        <v>5023000</v>
      </c>
      <c r="I1094" s="1012">
        <v>200000</v>
      </c>
      <c r="J1094" s="1012">
        <v>252000</v>
      </c>
      <c r="K1094" s="1012">
        <v>0</v>
      </c>
      <c r="L1094" s="1013">
        <f t="shared" si="218"/>
        <v>5475000</v>
      </c>
      <c r="M1094" s="1014">
        <v>19</v>
      </c>
      <c r="N1094" s="1013">
        <f t="shared" si="219"/>
        <v>4000962</v>
      </c>
      <c r="O1094" s="1015">
        <v>3</v>
      </c>
      <c r="P1094" s="1013">
        <f t="shared" si="220"/>
        <v>631731</v>
      </c>
      <c r="Q1094" s="1016">
        <v>0</v>
      </c>
      <c r="R1094" s="1013">
        <f t="shared" si="221"/>
        <v>0</v>
      </c>
      <c r="S1094" s="1013">
        <f t="shared" si="222"/>
        <v>4632693</v>
      </c>
      <c r="T1094" s="1017">
        <v>0</v>
      </c>
      <c r="U1094" s="785">
        <v>0</v>
      </c>
      <c r="V1094" s="785">
        <v>200000</v>
      </c>
      <c r="W1094" s="1017">
        <v>0</v>
      </c>
      <c r="X1094" s="1017">
        <v>0</v>
      </c>
      <c r="Y1094" s="1017">
        <v>0</v>
      </c>
      <c r="Z1094" s="1017">
        <v>414202</v>
      </c>
      <c r="AA1094" s="1018"/>
      <c r="AB1094" s="1013"/>
      <c r="AC1094" s="1017">
        <v>0</v>
      </c>
      <c r="AD1094" s="1017">
        <v>0</v>
      </c>
      <c r="AE1094" s="1013">
        <v>0</v>
      </c>
      <c r="AF1094" s="1019"/>
      <c r="AG1094" s="1019">
        <f t="shared" si="216"/>
        <v>5246895</v>
      </c>
      <c r="AH1094" s="1014">
        <v>44</v>
      </c>
      <c r="AI1094" s="1014">
        <v>0</v>
      </c>
      <c r="AJ1094" s="1014">
        <v>0</v>
      </c>
      <c r="AK1094" s="1018">
        <v>0</v>
      </c>
      <c r="AL1094" s="1020">
        <v>0</v>
      </c>
      <c r="AM1094" s="1013">
        <f t="shared" si="215"/>
        <v>1737260</v>
      </c>
      <c r="AN1094" s="1045">
        <f t="shared" si="217"/>
        <v>6984155</v>
      </c>
      <c r="AO1094" s="1013">
        <v>574875</v>
      </c>
      <c r="AP1094" s="1013">
        <v>44100</v>
      </c>
      <c r="AQ1094" s="1013">
        <v>0</v>
      </c>
      <c r="AR1094" s="1013">
        <v>0</v>
      </c>
      <c r="AS1094" s="1013">
        <v>0</v>
      </c>
      <c r="AT1094" s="1045">
        <f t="shared" si="223"/>
        <v>6365180</v>
      </c>
      <c r="AU1094" s="1004"/>
      <c r="AV1094" s="870"/>
      <c r="AW1094" s="782" t="s">
        <v>5374</v>
      </c>
      <c r="AX1094" s="782" t="s">
        <v>5375</v>
      </c>
      <c r="AY1094" s="1007" t="s">
        <v>221</v>
      </c>
      <c r="AZ1094" s="1007">
        <v>622</v>
      </c>
      <c r="BA1094" s="347" t="str">
        <f t="shared" si="224"/>
        <v>Bag</v>
      </c>
      <c r="BB1094" s="1008"/>
      <c r="BC1094" s="1009"/>
      <c r="BD1094" s="1009"/>
    </row>
    <row r="1095" spans="1:56" s="1010" customFormat="1" ht="36.75" customHeight="1">
      <c r="A1095" s="661">
        <f>SUBTOTAL(3,B$6:B1095)</f>
        <v>1090</v>
      </c>
      <c r="B1095" s="661" t="s">
        <v>2977</v>
      </c>
      <c r="C1095" s="662" t="s">
        <v>2978</v>
      </c>
      <c r="D1095" s="1011">
        <v>45717</v>
      </c>
      <c r="E1095" s="1011" t="s">
        <v>221</v>
      </c>
      <c r="F1095" s="787" t="s">
        <v>282</v>
      </c>
      <c r="G1095" s="996" t="s">
        <v>797</v>
      </c>
      <c r="H1095" s="1012">
        <v>5023000</v>
      </c>
      <c r="I1095" s="1012">
        <v>0</v>
      </c>
      <c r="J1095" s="1012">
        <v>0</v>
      </c>
      <c r="K1095" s="1012">
        <v>0</v>
      </c>
      <c r="L1095" s="1013">
        <f t="shared" si="218"/>
        <v>5023000</v>
      </c>
      <c r="M1095" s="1014">
        <v>21</v>
      </c>
      <c r="N1095" s="1013">
        <f t="shared" si="219"/>
        <v>4057038</v>
      </c>
      <c r="O1095" s="1015">
        <v>4</v>
      </c>
      <c r="P1095" s="1013">
        <f t="shared" si="220"/>
        <v>772769</v>
      </c>
      <c r="Q1095" s="1016">
        <v>0</v>
      </c>
      <c r="R1095" s="1013">
        <f t="shared" si="221"/>
        <v>0</v>
      </c>
      <c r="S1095" s="1013">
        <f t="shared" si="222"/>
        <v>4829807</v>
      </c>
      <c r="T1095" s="1017">
        <v>0</v>
      </c>
      <c r="U1095" s="785">
        <v>0</v>
      </c>
      <c r="V1095" s="785">
        <v>200000</v>
      </c>
      <c r="W1095" s="1017">
        <v>0</v>
      </c>
      <c r="X1095" s="1017">
        <v>0</v>
      </c>
      <c r="Y1095" s="1017">
        <v>0</v>
      </c>
      <c r="Z1095" s="1017">
        <v>213792</v>
      </c>
      <c r="AA1095" s="1018"/>
      <c r="AB1095" s="1013"/>
      <c r="AC1095" s="1017">
        <v>0</v>
      </c>
      <c r="AD1095" s="1017">
        <v>0</v>
      </c>
      <c r="AE1095" s="1013">
        <v>0</v>
      </c>
      <c r="AF1095" s="1019"/>
      <c r="AG1095" s="1019">
        <f t="shared" si="216"/>
        <v>5243599</v>
      </c>
      <c r="AH1095" s="1014">
        <v>40</v>
      </c>
      <c r="AI1095" s="1014">
        <v>0</v>
      </c>
      <c r="AJ1095" s="1014">
        <v>0</v>
      </c>
      <c r="AK1095" s="1018">
        <v>0</v>
      </c>
      <c r="AL1095" s="1020">
        <v>0</v>
      </c>
      <c r="AM1095" s="1013">
        <f t="shared" ref="AM1095:AM1158" si="225">ROUND((N1095/IF(M1095&gt;26,26,M1095)/8*(AH1095*$AH$5+AI1095*$AI$5+AJ1095*$AJ$5+AK1095*$AK$5+AL1095*$AL$5)),0)</f>
        <v>1448942</v>
      </c>
      <c r="AN1095" s="1045">
        <f t="shared" si="217"/>
        <v>6692541</v>
      </c>
      <c r="AO1095" s="1013">
        <v>527415</v>
      </c>
      <c r="AP1095" s="1013">
        <v>0</v>
      </c>
      <c r="AQ1095" s="1013">
        <v>0</v>
      </c>
      <c r="AR1095" s="1013">
        <v>0</v>
      </c>
      <c r="AS1095" s="1013">
        <v>0</v>
      </c>
      <c r="AT1095" s="1045">
        <f t="shared" si="223"/>
        <v>6165126</v>
      </c>
      <c r="AU1095" s="1004"/>
      <c r="AV1095" s="870"/>
      <c r="AW1095" s="782" t="s">
        <v>5887</v>
      </c>
      <c r="AX1095" s="782" t="s">
        <v>5888</v>
      </c>
      <c r="AY1095" s="1007" t="s">
        <v>221</v>
      </c>
      <c r="AZ1095" s="1007">
        <v>622</v>
      </c>
      <c r="BA1095" s="347" t="str">
        <f t="shared" si="224"/>
        <v>Bag</v>
      </c>
      <c r="BB1095" s="1008"/>
      <c r="BC1095" s="1009"/>
      <c r="BD1095" s="1009"/>
    </row>
    <row r="1096" spans="1:56" s="1010" customFormat="1" ht="36.75" customHeight="1">
      <c r="A1096" s="661">
        <f>SUBTOTAL(3,B$6:B1096)</f>
        <v>1091</v>
      </c>
      <c r="B1096" s="661" t="s">
        <v>2979</v>
      </c>
      <c r="C1096" s="662" t="s">
        <v>2980</v>
      </c>
      <c r="D1096" s="1011">
        <v>45717</v>
      </c>
      <c r="E1096" s="1011" t="s">
        <v>221</v>
      </c>
      <c r="F1096" s="787" t="s">
        <v>282</v>
      </c>
      <c r="G1096" s="996" t="s">
        <v>1232</v>
      </c>
      <c r="H1096" s="1012">
        <v>5023000</v>
      </c>
      <c r="I1096" s="1012">
        <v>200000</v>
      </c>
      <c r="J1096" s="1012">
        <v>0</v>
      </c>
      <c r="K1096" s="1012">
        <v>0</v>
      </c>
      <c r="L1096" s="1013">
        <f t="shared" si="218"/>
        <v>5223000</v>
      </c>
      <c r="M1096" s="1014">
        <v>23</v>
      </c>
      <c r="N1096" s="1013">
        <f t="shared" si="219"/>
        <v>4620346</v>
      </c>
      <c r="O1096" s="1015">
        <v>3</v>
      </c>
      <c r="P1096" s="1013">
        <f t="shared" si="220"/>
        <v>602654</v>
      </c>
      <c r="Q1096" s="1016">
        <v>0</v>
      </c>
      <c r="R1096" s="1013">
        <f t="shared" si="221"/>
        <v>0</v>
      </c>
      <c r="S1096" s="1013">
        <f t="shared" si="222"/>
        <v>5223000</v>
      </c>
      <c r="T1096" s="1017">
        <v>0</v>
      </c>
      <c r="U1096" s="785">
        <v>0</v>
      </c>
      <c r="V1096" s="785">
        <v>200000</v>
      </c>
      <c r="W1096" s="1017">
        <v>500000</v>
      </c>
      <c r="X1096" s="1017">
        <v>0</v>
      </c>
      <c r="Y1096" s="1017">
        <v>400000</v>
      </c>
      <c r="Z1096" s="1017">
        <v>452276</v>
      </c>
      <c r="AA1096" s="1018"/>
      <c r="AB1096" s="1013"/>
      <c r="AC1096" s="1017">
        <v>0</v>
      </c>
      <c r="AD1096" s="1017">
        <v>0</v>
      </c>
      <c r="AE1096" s="1013">
        <v>0</v>
      </c>
      <c r="AF1096" s="1019"/>
      <c r="AG1096" s="1019">
        <f t="shared" si="216"/>
        <v>6775276</v>
      </c>
      <c r="AH1096" s="1014">
        <v>44</v>
      </c>
      <c r="AI1096" s="1014">
        <v>0</v>
      </c>
      <c r="AJ1096" s="1014">
        <v>0</v>
      </c>
      <c r="AK1096" s="1018">
        <v>0</v>
      </c>
      <c r="AL1096" s="1020">
        <v>0</v>
      </c>
      <c r="AM1096" s="1013">
        <f t="shared" si="225"/>
        <v>1657298</v>
      </c>
      <c r="AN1096" s="1045">
        <f t="shared" si="217"/>
        <v>8432574</v>
      </c>
      <c r="AO1096" s="1013">
        <v>548415</v>
      </c>
      <c r="AP1096" s="1013">
        <v>0</v>
      </c>
      <c r="AQ1096" s="1013">
        <v>0</v>
      </c>
      <c r="AR1096" s="1013">
        <v>0</v>
      </c>
      <c r="AS1096" s="1013">
        <v>0</v>
      </c>
      <c r="AT1096" s="1045">
        <f t="shared" si="223"/>
        <v>7884159</v>
      </c>
      <c r="AU1096" s="1004"/>
      <c r="AV1096" s="870"/>
      <c r="AW1096" s="782" t="s">
        <v>5376</v>
      </c>
      <c r="AX1096" s="782" t="s">
        <v>5377</v>
      </c>
      <c r="AY1096" s="1007" t="s">
        <v>221</v>
      </c>
      <c r="AZ1096" s="1007">
        <v>622</v>
      </c>
      <c r="BA1096" s="347" t="str">
        <f t="shared" si="224"/>
        <v>Bag</v>
      </c>
      <c r="BB1096" s="1008"/>
      <c r="BC1096" s="1009"/>
      <c r="BD1096" s="1009"/>
    </row>
    <row r="1097" spans="1:56" s="1010" customFormat="1" ht="36.75" customHeight="1">
      <c r="A1097" s="661">
        <f>SUBTOTAL(3,B$6:B1097)</f>
        <v>1092</v>
      </c>
      <c r="B1097" s="661" t="s">
        <v>2981</v>
      </c>
      <c r="C1097" s="662" t="s">
        <v>2982</v>
      </c>
      <c r="D1097" s="1011">
        <v>45723</v>
      </c>
      <c r="E1097" s="1011" t="s">
        <v>221</v>
      </c>
      <c r="F1097" s="787" t="s">
        <v>282</v>
      </c>
      <c r="G1097" s="996" t="s">
        <v>797</v>
      </c>
      <c r="H1097" s="1012">
        <v>5023000</v>
      </c>
      <c r="I1097" s="1012">
        <v>0</v>
      </c>
      <c r="J1097" s="1012">
        <v>252000</v>
      </c>
      <c r="K1097" s="1012">
        <v>0</v>
      </c>
      <c r="L1097" s="1013">
        <f t="shared" si="218"/>
        <v>5275000</v>
      </c>
      <c r="M1097" s="1014">
        <v>22.8</v>
      </c>
      <c r="N1097" s="1013">
        <f t="shared" si="219"/>
        <v>4625769</v>
      </c>
      <c r="O1097" s="1015">
        <v>3</v>
      </c>
      <c r="P1097" s="1013">
        <f t="shared" si="220"/>
        <v>608654</v>
      </c>
      <c r="Q1097" s="1016">
        <v>0</v>
      </c>
      <c r="R1097" s="1013">
        <f t="shared" si="221"/>
        <v>0</v>
      </c>
      <c r="S1097" s="1013">
        <f t="shared" si="222"/>
        <v>5234423</v>
      </c>
      <c r="T1097" s="1017">
        <v>0</v>
      </c>
      <c r="U1097" s="785">
        <v>0</v>
      </c>
      <c r="V1097" s="785">
        <v>200000</v>
      </c>
      <c r="W1097" s="1017">
        <v>500000</v>
      </c>
      <c r="X1097" s="1017">
        <v>0</v>
      </c>
      <c r="Y1097" s="1017">
        <v>400000</v>
      </c>
      <c r="Z1097" s="1017">
        <v>262104</v>
      </c>
      <c r="AA1097" s="1018"/>
      <c r="AB1097" s="1013"/>
      <c r="AC1097" s="1017">
        <v>0</v>
      </c>
      <c r="AD1097" s="1017">
        <v>0</v>
      </c>
      <c r="AE1097" s="1013">
        <v>38040.863486842107</v>
      </c>
      <c r="AF1097" s="1019"/>
      <c r="AG1097" s="1019">
        <f t="shared" si="216"/>
        <v>6634568</v>
      </c>
      <c r="AH1097" s="1014">
        <v>49.5</v>
      </c>
      <c r="AI1097" s="1014">
        <v>0</v>
      </c>
      <c r="AJ1097" s="1014">
        <v>0</v>
      </c>
      <c r="AK1097" s="1018">
        <v>0</v>
      </c>
      <c r="AL1097" s="1020">
        <v>0</v>
      </c>
      <c r="AM1097" s="1013">
        <f t="shared" si="225"/>
        <v>1883023</v>
      </c>
      <c r="AN1097" s="1045">
        <f t="shared" si="217"/>
        <v>8517591</v>
      </c>
      <c r="AO1097" s="1013">
        <v>520771</v>
      </c>
      <c r="AP1097" s="1013">
        <v>44100</v>
      </c>
      <c r="AQ1097" s="1013">
        <v>0</v>
      </c>
      <c r="AR1097" s="1013">
        <v>0</v>
      </c>
      <c r="AS1097" s="1013">
        <v>83839</v>
      </c>
      <c r="AT1097" s="1045">
        <f t="shared" si="223"/>
        <v>7868881</v>
      </c>
      <c r="AU1097" s="1004"/>
      <c r="AV1097" s="870"/>
      <c r="AW1097" s="782" t="s">
        <v>5889</v>
      </c>
      <c r="AX1097" s="782" t="s">
        <v>5890</v>
      </c>
      <c r="AY1097" s="1007" t="s">
        <v>221</v>
      </c>
      <c r="AZ1097" s="1007">
        <v>622</v>
      </c>
      <c r="BA1097" s="347" t="str">
        <f t="shared" si="224"/>
        <v>Bag</v>
      </c>
      <c r="BB1097" s="1008"/>
      <c r="BC1097" s="1009"/>
      <c r="BD1097" s="1009"/>
    </row>
    <row r="1098" spans="1:56" s="1010" customFormat="1" ht="36.75" customHeight="1">
      <c r="A1098" s="661">
        <f>SUBTOTAL(3,B$6:B1098)</f>
        <v>1093</v>
      </c>
      <c r="B1098" s="661" t="s">
        <v>2983</v>
      </c>
      <c r="C1098" s="662" t="s">
        <v>2984</v>
      </c>
      <c r="D1098" s="1011">
        <v>45723</v>
      </c>
      <c r="E1098" s="1011" t="s">
        <v>221</v>
      </c>
      <c r="F1098" s="787" t="s">
        <v>282</v>
      </c>
      <c r="G1098" s="996" t="s">
        <v>797</v>
      </c>
      <c r="H1098" s="1012">
        <v>5023000</v>
      </c>
      <c r="I1098" s="1012">
        <v>0</v>
      </c>
      <c r="J1098" s="1012">
        <v>252000</v>
      </c>
      <c r="K1098" s="1012">
        <v>0</v>
      </c>
      <c r="L1098" s="1013">
        <f t="shared" si="218"/>
        <v>5275000</v>
      </c>
      <c r="M1098" s="1014">
        <v>21</v>
      </c>
      <c r="N1098" s="1013">
        <f t="shared" si="219"/>
        <v>4260577</v>
      </c>
      <c r="O1098" s="1015">
        <v>3</v>
      </c>
      <c r="P1098" s="1013">
        <f t="shared" si="220"/>
        <v>608654</v>
      </c>
      <c r="Q1098" s="1016">
        <v>0</v>
      </c>
      <c r="R1098" s="1013">
        <f t="shared" si="221"/>
        <v>0</v>
      </c>
      <c r="S1098" s="1013">
        <f t="shared" si="222"/>
        <v>4869231</v>
      </c>
      <c r="T1098" s="1017">
        <v>0</v>
      </c>
      <c r="U1098" s="785">
        <v>0</v>
      </c>
      <c r="V1098" s="785">
        <v>200000</v>
      </c>
      <c r="W1098" s="1017">
        <v>0</v>
      </c>
      <c r="X1098" s="1017">
        <v>0</v>
      </c>
      <c r="Y1098" s="1017">
        <v>150000</v>
      </c>
      <c r="Z1098" s="1017">
        <v>243476</v>
      </c>
      <c r="AA1098" s="1018"/>
      <c r="AB1098" s="1013"/>
      <c r="AC1098" s="1017">
        <v>0</v>
      </c>
      <c r="AD1098" s="1017">
        <v>0</v>
      </c>
      <c r="AE1098" s="1013">
        <v>38040.866071428572</v>
      </c>
      <c r="AF1098" s="1019"/>
      <c r="AG1098" s="1019">
        <f t="shared" si="216"/>
        <v>5500748</v>
      </c>
      <c r="AH1098" s="1014">
        <v>48</v>
      </c>
      <c r="AI1098" s="1014">
        <v>0</v>
      </c>
      <c r="AJ1098" s="1014">
        <v>0</v>
      </c>
      <c r="AK1098" s="1018">
        <v>0</v>
      </c>
      <c r="AL1098" s="1020">
        <v>0</v>
      </c>
      <c r="AM1098" s="1013">
        <f t="shared" si="225"/>
        <v>1825962</v>
      </c>
      <c r="AN1098" s="1045">
        <f t="shared" si="217"/>
        <v>7326710</v>
      </c>
      <c r="AO1098" s="1013">
        <v>520771</v>
      </c>
      <c r="AP1098" s="1013">
        <v>44100</v>
      </c>
      <c r="AQ1098" s="1013">
        <v>0</v>
      </c>
      <c r="AR1098" s="1013">
        <v>0</v>
      </c>
      <c r="AS1098" s="1013">
        <v>76519</v>
      </c>
      <c r="AT1098" s="1045">
        <f t="shared" si="223"/>
        <v>6685320</v>
      </c>
      <c r="AU1098" s="1004"/>
      <c r="AV1098" s="870"/>
      <c r="AW1098" s="782" t="s">
        <v>5378</v>
      </c>
      <c r="AX1098" s="782" t="s">
        <v>5379</v>
      </c>
      <c r="AY1098" s="1007" t="s">
        <v>221</v>
      </c>
      <c r="AZ1098" s="1007">
        <v>622</v>
      </c>
      <c r="BA1098" s="347" t="str">
        <f t="shared" si="224"/>
        <v>Bag</v>
      </c>
      <c r="BB1098" s="1008"/>
      <c r="BC1098" s="1009"/>
      <c r="BD1098" s="1009"/>
    </row>
    <row r="1099" spans="1:56" s="1010" customFormat="1" ht="36.75" customHeight="1">
      <c r="A1099" s="661">
        <f>SUBTOTAL(3,B$6:B1099)</f>
        <v>1094</v>
      </c>
      <c r="B1099" s="661" t="s">
        <v>2985</v>
      </c>
      <c r="C1099" s="662" t="s">
        <v>2986</v>
      </c>
      <c r="D1099" s="1011">
        <v>45723</v>
      </c>
      <c r="E1099" s="1011" t="s">
        <v>221</v>
      </c>
      <c r="F1099" s="787" t="s">
        <v>282</v>
      </c>
      <c r="G1099" s="996" t="s">
        <v>797</v>
      </c>
      <c r="H1099" s="1012">
        <v>5023000</v>
      </c>
      <c r="I1099" s="1012">
        <v>0</v>
      </c>
      <c r="J1099" s="1012">
        <v>252000</v>
      </c>
      <c r="K1099" s="1012">
        <v>0</v>
      </c>
      <c r="L1099" s="1013">
        <f t="shared" si="218"/>
        <v>5275000</v>
      </c>
      <c r="M1099" s="1014">
        <v>17.399999999999999</v>
      </c>
      <c r="N1099" s="1013">
        <f t="shared" si="219"/>
        <v>3530192</v>
      </c>
      <c r="O1099" s="1015">
        <v>2</v>
      </c>
      <c r="P1099" s="1013">
        <f t="shared" si="220"/>
        <v>405769</v>
      </c>
      <c r="Q1099" s="1016">
        <v>0</v>
      </c>
      <c r="R1099" s="1013">
        <f t="shared" si="221"/>
        <v>0</v>
      </c>
      <c r="S1099" s="1013">
        <f t="shared" si="222"/>
        <v>3935961</v>
      </c>
      <c r="T1099" s="1017">
        <v>0</v>
      </c>
      <c r="U1099" s="785">
        <v>0</v>
      </c>
      <c r="V1099" s="785">
        <v>200000</v>
      </c>
      <c r="W1099" s="1017">
        <v>0</v>
      </c>
      <c r="X1099" s="1017">
        <v>0</v>
      </c>
      <c r="Y1099" s="1017">
        <v>0</v>
      </c>
      <c r="Z1099" s="1017">
        <v>199097</v>
      </c>
      <c r="AA1099" s="1018"/>
      <c r="AB1099" s="1013"/>
      <c r="AC1099" s="1017">
        <v>200000</v>
      </c>
      <c r="AD1099" s="1017">
        <v>0</v>
      </c>
      <c r="AE1099" s="1013">
        <v>38040.862068965522</v>
      </c>
      <c r="AF1099" s="1019"/>
      <c r="AG1099" s="1019">
        <f t="shared" si="216"/>
        <v>4573099</v>
      </c>
      <c r="AH1099" s="1014">
        <v>37.5</v>
      </c>
      <c r="AI1099" s="1014">
        <v>0</v>
      </c>
      <c r="AJ1099" s="1014">
        <v>0</v>
      </c>
      <c r="AK1099" s="1018">
        <v>0</v>
      </c>
      <c r="AL1099" s="1020">
        <v>0</v>
      </c>
      <c r="AM1099" s="1013">
        <f t="shared" si="225"/>
        <v>1426532</v>
      </c>
      <c r="AN1099" s="1045">
        <f t="shared" si="217"/>
        <v>5999631</v>
      </c>
      <c r="AO1099" s="1013">
        <v>520771</v>
      </c>
      <c r="AP1099" s="1013">
        <v>44100</v>
      </c>
      <c r="AQ1099" s="1013">
        <v>0</v>
      </c>
      <c r="AR1099" s="1013">
        <v>0</v>
      </c>
      <c r="AS1099" s="1013">
        <v>49904</v>
      </c>
      <c r="AT1099" s="1045">
        <f t="shared" si="223"/>
        <v>5384856</v>
      </c>
      <c r="AU1099" s="1004"/>
      <c r="AV1099" s="870"/>
      <c r="AW1099" s="782" t="s">
        <v>5380</v>
      </c>
      <c r="AX1099" s="782" t="s">
        <v>5381</v>
      </c>
      <c r="AY1099" s="1007" t="s">
        <v>221</v>
      </c>
      <c r="AZ1099" s="1007">
        <v>622</v>
      </c>
      <c r="BA1099" s="347" t="str">
        <f t="shared" si="224"/>
        <v>Bag</v>
      </c>
      <c r="BB1099" s="1008"/>
      <c r="BC1099" s="1009"/>
      <c r="BD1099" s="1009"/>
    </row>
    <row r="1100" spans="1:56" s="1010" customFormat="1" ht="36.75" customHeight="1">
      <c r="A1100" s="661">
        <f>SUBTOTAL(3,B$6:B1100)</f>
        <v>1095</v>
      </c>
      <c r="B1100" s="661" t="s">
        <v>2987</v>
      </c>
      <c r="C1100" s="662" t="s">
        <v>2988</v>
      </c>
      <c r="D1100" s="1011">
        <v>45723</v>
      </c>
      <c r="E1100" s="1011" t="s">
        <v>221</v>
      </c>
      <c r="F1100" s="787" t="s">
        <v>282</v>
      </c>
      <c r="G1100" s="996" t="s">
        <v>1232</v>
      </c>
      <c r="H1100" s="1012">
        <v>5023000</v>
      </c>
      <c r="I1100" s="1012">
        <v>200000</v>
      </c>
      <c r="J1100" s="1012">
        <v>252000</v>
      </c>
      <c r="K1100" s="1012">
        <v>0</v>
      </c>
      <c r="L1100" s="1013">
        <f t="shared" si="218"/>
        <v>5475000</v>
      </c>
      <c r="M1100" s="1014">
        <v>18.7</v>
      </c>
      <c r="N1100" s="1013">
        <f t="shared" si="219"/>
        <v>3937788</v>
      </c>
      <c r="O1100" s="1015">
        <v>2</v>
      </c>
      <c r="P1100" s="1013">
        <f t="shared" si="220"/>
        <v>421154</v>
      </c>
      <c r="Q1100" s="1016">
        <v>0</v>
      </c>
      <c r="R1100" s="1013">
        <f t="shared" si="221"/>
        <v>0</v>
      </c>
      <c r="S1100" s="1013">
        <f t="shared" si="222"/>
        <v>4358942</v>
      </c>
      <c r="T1100" s="1017">
        <v>0</v>
      </c>
      <c r="U1100" s="785">
        <v>0</v>
      </c>
      <c r="V1100" s="785">
        <v>200000</v>
      </c>
      <c r="W1100" s="1017">
        <v>0</v>
      </c>
      <c r="X1100" s="1017">
        <v>0</v>
      </c>
      <c r="Y1100" s="1017">
        <v>0</v>
      </c>
      <c r="Z1100" s="1017">
        <v>243824</v>
      </c>
      <c r="AA1100" s="1018"/>
      <c r="AB1100" s="1013"/>
      <c r="AC1100" s="1017">
        <v>0</v>
      </c>
      <c r="AD1100" s="1017">
        <v>0</v>
      </c>
      <c r="AE1100" s="1013">
        <v>0</v>
      </c>
      <c r="AF1100" s="1019"/>
      <c r="AG1100" s="1019">
        <f t="shared" si="216"/>
        <v>4802766</v>
      </c>
      <c r="AH1100" s="1014">
        <v>41.5</v>
      </c>
      <c r="AI1100" s="1014">
        <v>0</v>
      </c>
      <c r="AJ1100" s="1014">
        <v>0</v>
      </c>
      <c r="AK1100" s="1018">
        <v>0</v>
      </c>
      <c r="AL1100" s="1020">
        <v>0</v>
      </c>
      <c r="AM1100" s="1013">
        <f t="shared" si="225"/>
        <v>1638551</v>
      </c>
      <c r="AN1100" s="1045">
        <f t="shared" si="217"/>
        <v>6441317</v>
      </c>
      <c r="AO1100" s="1013">
        <v>520771</v>
      </c>
      <c r="AP1100" s="1013">
        <v>44100</v>
      </c>
      <c r="AQ1100" s="1013">
        <v>0</v>
      </c>
      <c r="AR1100" s="1013">
        <v>0</v>
      </c>
      <c r="AS1100" s="1013">
        <v>78748</v>
      </c>
      <c r="AT1100" s="1045">
        <f t="shared" si="223"/>
        <v>5797698</v>
      </c>
      <c r="AU1100" s="1004"/>
      <c r="AV1100" s="870"/>
      <c r="AW1100" s="782" t="s">
        <v>5382</v>
      </c>
      <c r="AX1100" s="782" t="s">
        <v>5383</v>
      </c>
      <c r="AY1100" s="1007" t="s">
        <v>221</v>
      </c>
      <c r="AZ1100" s="1007">
        <v>622</v>
      </c>
      <c r="BA1100" s="347" t="str">
        <f t="shared" si="224"/>
        <v>Bag</v>
      </c>
      <c r="BB1100" s="1008"/>
      <c r="BC1100" s="1009"/>
      <c r="BD1100" s="1009"/>
    </row>
    <row r="1101" spans="1:56" s="1010" customFormat="1" ht="36.75" customHeight="1">
      <c r="A1101" s="661">
        <f>SUBTOTAL(3,B$6:B1101)</f>
        <v>1096</v>
      </c>
      <c r="B1101" s="661" t="s">
        <v>2989</v>
      </c>
      <c r="C1101" s="662" t="s">
        <v>2990</v>
      </c>
      <c r="D1101" s="1011">
        <v>45730</v>
      </c>
      <c r="E1101" s="1011" t="s">
        <v>221</v>
      </c>
      <c r="F1101" s="787" t="s">
        <v>282</v>
      </c>
      <c r="G1101" s="996" t="s">
        <v>1232</v>
      </c>
      <c r="H1101" s="1012">
        <v>5023000</v>
      </c>
      <c r="I1101" s="1012">
        <v>200000</v>
      </c>
      <c r="J1101" s="1012">
        <v>0</v>
      </c>
      <c r="K1101" s="1012">
        <v>0</v>
      </c>
      <c r="L1101" s="1013">
        <f t="shared" si="218"/>
        <v>5223000</v>
      </c>
      <c r="M1101" s="1014">
        <v>24</v>
      </c>
      <c r="N1101" s="1013">
        <f t="shared" si="219"/>
        <v>4821231</v>
      </c>
      <c r="O1101" s="1015">
        <v>2</v>
      </c>
      <c r="P1101" s="1013">
        <f t="shared" si="220"/>
        <v>401769</v>
      </c>
      <c r="Q1101" s="1016">
        <v>0</v>
      </c>
      <c r="R1101" s="1013">
        <f t="shared" si="221"/>
        <v>0</v>
      </c>
      <c r="S1101" s="1013">
        <f t="shared" si="222"/>
        <v>5223000</v>
      </c>
      <c r="T1101" s="1017">
        <v>0</v>
      </c>
      <c r="U1101" s="785">
        <v>0</v>
      </c>
      <c r="V1101" s="785">
        <v>200000</v>
      </c>
      <c r="W1101" s="1017">
        <v>500000</v>
      </c>
      <c r="X1101" s="1017">
        <v>0</v>
      </c>
      <c r="Y1101" s="1017">
        <v>300000</v>
      </c>
      <c r="Z1101" s="1017">
        <v>115823</v>
      </c>
      <c r="AA1101" s="1018"/>
      <c r="AB1101" s="1013"/>
      <c r="AC1101" s="1017">
        <v>0</v>
      </c>
      <c r="AD1101" s="1017">
        <v>0</v>
      </c>
      <c r="AE1101" s="1013">
        <v>0</v>
      </c>
      <c r="AF1101" s="1019"/>
      <c r="AG1101" s="1019">
        <f t="shared" si="216"/>
        <v>6338823</v>
      </c>
      <c r="AH1101" s="1014">
        <v>56</v>
      </c>
      <c r="AI1101" s="1014">
        <v>0</v>
      </c>
      <c r="AJ1101" s="1014">
        <v>0</v>
      </c>
      <c r="AK1101" s="1018">
        <v>0</v>
      </c>
      <c r="AL1101" s="1020">
        <v>0</v>
      </c>
      <c r="AM1101" s="1013">
        <f t="shared" si="225"/>
        <v>2109289</v>
      </c>
      <c r="AN1101" s="1045">
        <f t="shared" si="217"/>
        <v>8448112</v>
      </c>
      <c r="AO1101" s="1013">
        <v>512800</v>
      </c>
      <c r="AP1101" s="1013">
        <v>0</v>
      </c>
      <c r="AQ1101" s="1013">
        <v>0</v>
      </c>
      <c r="AR1101" s="1013">
        <v>0</v>
      </c>
      <c r="AS1101" s="1013">
        <v>284846</v>
      </c>
      <c r="AT1101" s="1045">
        <f t="shared" si="223"/>
        <v>7650466</v>
      </c>
      <c r="AU1101" s="1004"/>
      <c r="AV1101" s="870"/>
      <c r="AW1101" s="782" t="s">
        <v>5891</v>
      </c>
      <c r="AX1101" s="782" t="s">
        <v>5892</v>
      </c>
      <c r="AY1101" s="1007" t="s">
        <v>221</v>
      </c>
      <c r="AZ1101" s="1007">
        <v>622</v>
      </c>
      <c r="BA1101" s="347" t="str">
        <f t="shared" si="224"/>
        <v>Bag</v>
      </c>
      <c r="BB1101" s="1008"/>
      <c r="BC1101" s="1009"/>
      <c r="BD1101" s="1009"/>
    </row>
    <row r="1102" spans="1:56" s="1010" customFormat="1" ht="36.75" customHeight="1">
      <c r="A1102" s="661">
        <f>SUBTOTAL(3,B$6:B1102)</f>
        <v>1097</v>
      </c>
      <c r="B1102" s="661" t="s">
        <v>2991</v>
      </c>
      <c r="C1102" s="662" t="s">
        <v>2992</v>
      </c>
      <c r="D1102" s="1011">
        <v>45737</v>
      </c>
      <c r="E1102" s="1011" t="s">
        <v>221</v>
      </c>
      <c r="F1102" s="787" t="s">
        <v>282</v>
      </c>
      <c r="G1102" s="996" t="s">
        <v>797</v>
      </c>
      <c r="H1102" s="1012">
        <v>4694000</v>
      </c>
      <c r="I1102" s="1012">
        <v>0</v>
      </c>
      <c r="J1102" s="1012">
        <v>235000</v>
      </c>
      <c r="K1102" s="1012">
        <v>0</v>
      </c>
      <c r="L1102" s="1013">
        <f t="shared" si="218"/>
        <v>4929000</v>
      </c>
      <c r="M1102" s="1014">
        <v>14.7</v>
      </c>
      <c r="N1102" s="1013">
        <f t="shared" si="219"/>
        <v>2786781</v>
      </c>
      <c r="O1102" s="1015">
        <v>3</v>
      </c>
      <c r="P1102" s="1013">
        <f t="shared" si="220"/>
        <v>568731</v>
      </c>
      <c r="Q1102" s="1016">
        <v>0</v>
      </c>
      <c r="R1102" s="1013">
        <f t="shared" si="221"/>
        <v>0</v>
      </c>
      <c r="S1102" s="1013">
        <f t="shared" si="222"/>
        <v>3355512</v>
      </c>
      <c r="T1102" s="1017">
        <v>0</v>
      </c>
      <c r="U1102" s="785">
        <v>0</v>
      </c>
      <c r="V1102" s="785">
        <v>200000</v>
      </c>
      <c r="W1102" s="1017">
        <v>0</v>
      </c>
      <c r="X1102" s="1017">
        <v>0</v>
      </c>
      <c r="Y1102" s="1017">
        <v>0</v>
      </c>
      <c r="Z1102" s="1017">
        <v>0</v>
      </c>
      <c r="AA1102" s="1018"/>
      <c r="AB1102" s="1013"/>
      <c r="AC1102" s="1017">
        <v>0</v>
      </c>
      <c r="AD1102" s="1017">
        <v>39923</v>
      </c>
      <c r="AE1102" s="1013">
        <v>35545.676020408166</v>
      </c>
      <c r="AF1102" s="1019"/>
      <c r="AG1102" s="1019">
        <f t="shared" si="216"/>
        <v>3630981</v>
      </c>
      <c r="AH1102" s="1014">
        <v>28</v>
      </c>
      <c r="AI1102" s="1014">
        <v>0</v>
      </c>
      <c r="AJ1102" s="1014">
        <v>0</v>
      </c>
      <c r="AK1102" s="1018">
        <v>0</v>
      </c>
      <c r="AL1102" s="1020">
        <v>0</v>
      </c>
      <c r="AM1102" s="1013">
        <f t="shared" si="225"/>
        <v>995279</v>
      </c>
      <c r="AN1102" s="1045">
        <f t="shared" si="217"/>
        <v>4626260</v>
      </c>
      <c r="AO1102" s="1013">
        <v>0</v>
      </c>
      <c r="AP1102" s="1013">
        <v>0</v>
      </c>
      <c r="AQ1102" s="1013">
        <v>0</v>
      </c>
      <c r="AR1102" s="1013">
        <v>0</v>
      </c>
      <c r="AS1102" s="1013">
        <v>0</v>
      </c>
      <c r="AT1102" s="1045">
        <f t="shared" si="223"/>
        <v>4626260</v>
      </c>
      <c r="AU1102" s="1004"/>
      <c r="AV1102" s="870"/>
      <c r="AW1102" s="782" t="s">
        <v>5384</v>
      </c>
      <c r="AX1102" s="782" t="s">
        <v>5385</v>
      </c>
      <c r="AY1102" s="1007" t="s">
        <v>221</v>
      </c>
      <c r="AZ1102" s="1007">
        <v>622</v>
      </c>
      <c r="BA1102" s="347" t="str">
        <f t="shared" si="224"/>
        <v>Bag</v>
      </c>
      <c r="BB1102" s="1008"/>
      <c r="BC1102" s="1009"/>
      <c r="BD1102" s="1009"/>
    </row>
    <row r="1103" spans="1:56" s="1010" customFormat="1" ht="36.75" customHeight="1">
      <c r="A1103" s="661">
        <f>SUBTOTAL(3,B$6:B1103)</f>
        <v>1098</v>
      </c>
      <c r="B1103" s="661" t="s">
        <v>2993</v>
      </c>
      <c r="C1103" s="662" t="s">
        <v>2994</v>
      </c>
      <c r="D1103" s="1011">
        <v>39716</v>
      </c>
      <c r="E1103" s="1011" t="s">
        <v>221</v>
      </c>
      <c r="F1103" s="787" t="s">
        <v>282</v>
      </c>
      <c r="G1103" s="996" t="s">
        <v>797</v>
      </c>
      <c r="H1103" s="1012">
        <v>5931000</v>
      </c>
      <c r="I1103" s="1012">
        <v>0</v>
      </c>
      <c r="J1103" s="1012">
        <v>0</v>
      </c>
      <c r="K1103" s="1012">
        <v>0</v>
      </c>
      <c r="L1103" s="1013">
        <f t="shared" si="218"/>
        <v>5931000</v>
      </c>
      <c r="M1103" s="1014">
        <v>24</v>
      </c>
      <c r="N1103" s="1013">
        <f t="shared" si="219"/>
        <v>5474769</v>
      </c>
      <c r="O1103" s="1015">
        <v>2</v>
      </c>
      <c r="P1103" s="1013">
        <f t="shared" si="220"/>
        <v>456231</v>
      </c>
      <c r="Q1103" s="1016">
        <v>0</v>
      </c>
      <c r="R1103" s="1013">
        <f t="shared" si="221"/>
        <v>0</v>
      </c>
      <c r="S1103" s="1013">
        <f t="shared" si="222"/>
        <v>5931000</v>
      </c>
      <c r="T1103" s="1017">
        <v>0</v>
      </c>
      <c r="U1103" s="785">
        <v>0</v>
      </c>
      <c r="V1103" s="785">
        <v>200000</v>
      </c>
      <c r="W1103" s="1017">
        <v>500000</v>
      </c>
      <c r="X1103" s="1017">
        <v>0</v>
      </c>
      <c r="Y1103" s="1017">
        <v>300000</v>
      </c>
      <c r="Z1103" s="1017">
        <v>415277</v>
      </c>
      <c r="AA1103" s="1018"/>
      <c r="AB1103" s="1013"/>
      <c r="AC1103" s="1017">
        <v>100000</v>
      </c>
      <c r="AD1103" s="1017">
        <v>0</v>
      </c>
      <c r="AE1103" s="1013">
        <v>42771.6328125</v>
      </c>
      <c r="AF1103" s="1019"/>
      <c r="AG1103" s="1019">
        <f t="shared" si="216"/>
        <v>7489049</v>
      </c>
      <c r="AH1103" s="1014">
        <v>56</v>
      </c>
      <c r="AI1103" s="1014">
        <v>0</v>
      </c>
      <c r="AJ1103" s="1014">
        <v>0</v>
      </c>
      <c r="AK1103" s="1018">
        <v>0</v>
      </c>
      <c r="AL1103" s="1020">
        <v>0</v>
      </c>
      <c r="AM1103" s="1013">
        <f t="shared" si="225"/>
        <v>2395211</v>
      </c>
      <c r="AN1103" s="1045">
        <f t="shared" si="217"/>
        <v>9884260</v>
      </c>
      <c r="AO1103" s="1013">
        <v>622755</v>
      </c>
      <c r="AP1103" s="1013">
        <v>44100</v>
      </c>
      <c r="AQ1103" s="1013">
        <v>0</v>
      </c>
      <c r="AR1103" s="1013">
        <v>0</v>
      </c>
      <c r="AS1103" s="1013">
        <v>0</v>
      </c>
      <c r="AT1103" s="1045">
        <f t="shared" si="223"/>
        <v>9217405</v>
      </c>
      <c r="AU1103" s="1004"/>
      <c r="AV1103" s="870"/>
      <c r="AW1103" s="782" t="s">
        <v>5386</v>
      </c>
      <c r="AX1103" s="782" t="s">
        <v>5387</v>
      </c>
      <c r="AY1103" s="1007" t="s">
        <v>221</v>
      </c>
      <c r="AZ1103" s="1007">
        <v>622</v>
      </c>
      <c r="BA1103" s="347" t="str">
        <f t="shared" si="224"/>
        <v>Bag</v>
      </c>
      <c r="BB1103" s="1008"/>
      <c r="BC1103" s="1009"/>
      <c r="BD1103" s="1009"/>
    </row>
    <row r="1104" spans="1:56" s="1010" customFormat="1" ht="36.75" customHeight="1">
      <c r="A1104" s="661">
        <f>SUBTOTAL(3,B$6:B1104)</f>
        <v>1099</v>
      </c>
      <c r="B1104" s="661" t="s">
        <v>2995</v>
      </c>
      <c r="C1104" s="662" t="s">
        <v>2996</v>
      </c>
      <c r="D1104" s="1011">
        <v>40680</v>
      </c>
      <c r="E1104" s="1011" t="s">
        <v>221</v>
      </c>
      <c r="F1104" s="787" t="s">
        <v>282</v>
      </c>
      <c r="G1104" s="996" t="s">
        <v>810</v>
      </c>
      <c r="H1104" s="1012">
        <v>5931000</v>
      </c>
      <c r="I1104" s="1012">
        <v>1100000</v>
      </c>
      <c r="J1104" s="1012">
        <v>298000</v>
      </c>
      <c r="K1104" s="1012">
        <v>400000</v>
      </c>
      <c r="L1104" s="1013">
        <f t="shared" si="218"/>
        <v>7729000</v>
      </c>
      <c r="M1104" s="1014">
        <v>23</v>
      </c>
      <c r="N1104" s="1013">
        <f t="shared" si="219"/>
        <v>6837192</v>
      </c>
      <c r="O1104" s="1015">
        <v>3</v>
      </c>
      <c r="P1104" s="1013">
        <f t="shared" si="220"/>
        <v>891808</v>
      </c>
      <c r="Q1104" s="1016">
        <v>0</v>
      </c>
      <c r="R1104" s="1013">
        <f t="shared" si="221"/>
        <v>0</v>
      </c>
      <c r="S1104" s="1013">
        <f t="shared" si="222"/>
        <v>7729000</v>
      </c>
      <c r="T1104" s="1017">
        <v>0</v>
      </c>
      <c r="U1104" s="785">
        <v>0</v>
      </c>
      <c r="V1104" s="785">
        <v>200000</v>
      </c>
      <c r="W1104" s="1017">
        <v>500000</v>
      </c>
      <c r="X1104" s="1017">
        <v>0</v>
      </c>
      <c r="Y1104" s="1017">
        <v>400000</v>
      </c>
      <c r="Z1104" s="1017">
        <v>409478</v>
      </c>
      <c r="AA1104" s="1018"/>
      <c r="AB1104" s="1013"/>
      <c r="AC1104" s="1017">
        <v>0</v>
      </c>
      <c r="AD1104" s="1017">
        <v>0</v>
      </c>
      <c r="AE1104" s="1013">
        <v>55737.97826086956</v>
      </c>
      <c r="AF1104" s="1019"/>
      <c r="AG1104" s="1019">
        <f t="shared" si="216"/>
        <v>9294216</v>
      </c>
      <c r="AH1104" s="1014">
        <v>55</v>
      </c>
      <c r="AI1104" s="1014">
        <v>0</v>
      </c>
      <c r="AJ1104" s="1014">
        <v>0</v>
      </c>
      <c r="AK1104" s="1018">
        <v>0</v>
      </c>
      <c r="AL1104" s="1020">
        <v>0</v>
      </c>
      <c r="AM1104" s="1013">
        <f t="shared" si="225"/>
        <v>3065589</v>
      </c>
      <c r="AN1104" s="1045">
        <f t="shared" si="217"/>
        <v>12359805</v>
      </c>
      <c r="AO1104" s="1013">
        <v>811545</v>
      </c>
      <c r="AP1104" s="1013">
        <v>44100</v>
      </c>
      <c r="AQ1104" s="1013">
        <v>0</v>
      </c>
      <c r="AR1104" s="1013">
        <v>0</v>
      </c>
      <c r="AS1104" s="1013">
        <v>0</v>
      </c>
      <c r="AT1104" s="1045">
        <f t="shared" si="223"/>
        <v>11504160</v>
      </c>
      <c r="AU1104" s="1004"/>
      <c r="AV1104" s="870"/>
      <c r="AW1104" s="782" t="s">
        <v>5388</v>
      </c>
      <c r="AX1104" s="782" t="s">
        <v>5389</v>
      </c>
      <c r="AY1104" s="1007" t="s">
        <v>221</v>
      </c>
      <c r="AZ1104" s="1007">
        <v>622</v>
      </c>
      <c r="BA1104" s="347" t="str">
        <f t="shared" si="224"/>
        <v>Bag</v>
      </c>
      <c r="BB1104" s="1008"/>
      <c r="BC1104" s="1009"/>
      <c r="BD1104" s="1009"/>
    </row>
    <row r="1105" spans="1:56" s="1010" customFormat="1" ht="36.75" customHeight="1">
      <c r="A1105" s="661">
        <f>SUBTOTAL(3,B$6:B1105)</f>
        <v>1100</v>
      </c>
      <c r="B1105" s="661" t="s">
        <v>2997</v>
      </c>
      <c r="C1105" s="662" t="s">
        <v>2998</v>
      </c>
      <c r="D1105" s="1011">
        <v>42647</v>
      </c>
      <c r="E1105" s="1011" t="s">
        <v>221</v>
      </c>
      <c r="F1105" s="787" t="s">
        <v>282</v>
      </c>
      <c r="G1105" s="996" t="s">
        <v>1747</v>
      </c>
      <c r="H1105" s="1012">
        <v>5931000</v>
      </c>
      <c r="I1105" s="1012">
        <v>2300000</v>
      </c>
      <c r="J1105" s="1012">
        <v>0</v>
      </c>
      <c r="K1105" s="1012">
        <v>0</v>
      </c>
      <c r="L1105" s="1013">
        <f t="shared" si="218"/>
        <v>8231000</v>
      </c>
      <c r="M1105" s="1014">
        <v>23.7</v>
      </c>
      <c r="N1105" s="1013">
        <f t="shared" si="219"/>
        <v>7502873</v>
      </c>
      <c r="O1105" s="1015">
        <v>2</v>
      </c>
      <c r="P1105" s="1013">
        <f t="shared" si="220"/>
        <v>633154</v>
      </c>
      <c r="Q1105" s="1016">
        <v>0</v>
      </c>
      <c r="R1105" s="1013">
        <f t="shared" si="221"/>
        <v>0</v>
      </c>
      <c r="S1105" s="1013">
        <f t="shared" si="222"/>
        <v>8136027</v>
      </c>
      <c r="T1105" s="1017">
        <v>0</v>
      </c>
      <c r="U1105" s="785">
        <v>0</v>
      </c>
      <c r="V1105" s="785">
        <v>200000</v>
      </c>
      <c r="W1105" s="1017">
        <v>500000</v>
      </c>
      <c r="X1105" s="1017">
        <v>0</v>
      </c>
      <c r="Y1105" s="1017">
        <v>300000</v>
      </c>
      <c r="Z1105" s="1017">
        <v>338402</v>
      </c>
      <c r="AA1105" s="1018"/>
      <c r="AB1105" s="1013"/>
      <c r="AC1105" s="1017">
        <v>0</v>
      </c>
      <c r="AD1105" s="1017">
        <v>0</v>
      </c>
      <c r="AE1105" s="1013">
        <v>59358.172468354431</v>
      </c>
      <c r="AF1105" s="1019"/>
      <c r="AG1105" s="1019">
        <f t="shared" ref="AG1105:AG1168" si="226">ROUND(SUM(S1105:AF1105)-AA1105,0)</f>
        <v>9533787</v>
      </c>
      <c r="AH1105" s="1014">
        <v>0</v>
      </c>
      <c r="AI1105" s="1014">
        <v>0</v>
      </c>
      <c r="AJ1105" s="1014">
        <v>0</v>
      </c>
      <c r="AK1105" s="1018">
        <v>0</v>
      </c>
      <c r="AL1105" s="1020">
        <v>0</v>
      </c>
      <c r="AM1105" s="1013">
        <f t="shared" si="225"/>
        <v>0</v>
      </c>
      <c r="AN1105" s="1045">
        <f t="shared" si="217"/>
        <v>9533787</v>
      </c>
      <c r="AO1105" s="1013">
        <v>864255</v>
      </c>
      <c r="AP1105" s="1013">
        <v>44100</v>
      </c>
      <c r="AQ1105" s="1013">
        <v>0</v>
      </c>
      <c r="AR1105" s="1013">
        <v>0</v>
      </c>
      <c r="AS1105" s="1013">
        <v>0</v>
      </c>
      <c r="AT1105" s="1045">
        <f t="shared" si="223"/>
        <v>8625432</v>
      </c>
      <c r="AU1105" s="1004"/>
      <c r="AV1105" s="870"/>
      <c r="AW1105" s="782" t="s">
        <v>5390</v>
      </c>
      <c r="AX1105" s="782" t="s">
        <v>5391</v>
      </c>
      <c r="AY1105" s="1007" t="s">
        <v>221</v>
      </c>
      <c r="AZ1105" s="1007">
        <v>622</v>
      </c>
      <c r="BA1105" s="347" t="str">
        <f t="shared" si="224"/>
        <v>Bag</v>
      </c>
      <c r="BB1105" s="1008"/>
      <c r="BC1105" s="1009"/>
      <c r="BD1105" s="1009"/>
    </row>
    <row r="1106" spans="1:56" s="1010" customFormat="1" ht="36.75" customHeight="1">
      <c r="A1106" s="661">
        <f>SUBTOTAL(3,B$6:B1106)</f>
        <v>1101</v>
      </c>
      <c r="B1106" s="661" t="s">
        <v>2999</v>
      </c>
      <c r="C1106" s="662" t="s">
        <v>3000</v>
      </c>
      <c r="D1106" s="1011">
        <v>43435</v>
      </c>
      <c r="E1106" s="1011" t="s">
        <v>221</v>
      </c>
      <c r="F1106" s="787" t="s">
        <v>282</v>
      </c>
      <c r="G1106" s="996" t="s">
        <v>797</v>
      </c>
      <c r="H1106" s="1012">
        <v>5931000</v>
      </c>
      <c r="I1106" s="1012">
        <v>0</v>
      </c>
      <c r="J1106" s="1012">
        <v>298000</v>
      </c>
      <c r="K1106" s="1012">
        <v>0</v>
      </c>
      <c r="L1106" s="1013">
        <f t="shared" si="218"/>
        <v>6229000</v>
      </c>
      <c r="M1106" s="1014">
        <v>20.9</v>
      </c>
      <c r="N1106" s="1013">
        <f t="shared" si="219"/>
        <v>5007158</v>
      </c>
      <c r="O1106" s="1015">
        <v>2</v>
      </c>
      <c r="P1106" s="1013">
        <f t="shared" si="220"/>
        <v>479154</v>
      </c>
      <c r="Q1106" s="1016">
        <v>0</v>
      </c>
      <c r="R1106" s="1013">
        <f t="shared" si="221"/>
        <v>0</v>
      </c>
      <c r="S1106" s="1013">
        <f t="shared" si="222"/>
        <v>5486312</v>
      </c>
      <c r="T1106" s="1017">
        <v>0</v>
      </c>
      <c r="U1106" s="785">
        <v>0</v>
      </c>
      <c r="V1106" s="785">
        <v>200000</v>
      </c>
      <c r="W1106" s="1017">
        <v>0</v>
      </c>
      <c r="X1106" s="1017">
        <v>0</v>
      </c>
      <c r="Y1106" s="1017">
        <v>0</v>
      </c>
      <c r="Z1106" s="1017">
        <v>512489</v>
      </c>
      <c r="AA1106" s="1018"/>
      <c r="AB1106" s="1013"/>
      <c r="AC1106" s="1017">
        <v>100000</v>
      </c>
      <c r="AD1106" s="1017">
        <v>0</v>
      </c>
      <c r="AE1106" s="1013">
        <v>44920.675837320581</v>
      </c>
      <c r="AF1106" s="1019"/>
      <c r="AG1106" s="1019">
        <f t="shared" si="226"/>
        <v>6343722</v>
      </c>
      <c r="AH1106" s="1014">
        <v>48</v>
      </c>
      <c r="AI1106" s="1014">
        <v>0</v>
      </c>
      <c r="AJ1106" s="1014">
        <v>0</v>
      </c>
      <c r="AK1106" s="1018">
        <v>0</v>
      </c>
      <c r="AL1106" s="1020">
        <v>0</v>
      </c>
      <c r="AM1106" s="1013">
        <f t="shared" si="225"/>
        <v>2156192</v>
      </c>
      <c r="AN1106" s="1045">
        <f t="shared" si="217"/>
        <v>8499914</v>
      </c>
      <c r="AO1106" s="1013">
        <v>654045</v>
      </c>
      <c r="AP1106" s="1013">
        <v>0</v>
      </c>
      <c r="AQ1106" s="1013">
        <v>0</v>
      </c>
      <c r="AR1106" s="1013">
        <v>0</v>
      </c>
      <c r="AS1106" s="1013">
        <v>0</v>
      </c>
      <c r="AT1106" s="1045">
        <f t="shared" si="223"/>
        <v>7845869</v>
      </c>
      <c r="AU1106" s="1004"/>
      <c r="AV1106" s="870"/>
      <c r="AW1106" s="782" t="s">
        <v>5392</v>
      </c>
      <c r="AX1106" s="782" t="s">
        <v>5393</v>
      </c>
      <c r="AY1106" s="1007" t="s">
        <v>221</v>
      </c>
      <c r="AZ1106" s="1007">
        <v>622</v>
      </c>
      <c r="BA1106" s="347" t="str">
        <f t="shared" si="224"/>
        <v>Bag</v>
      </c>
      <c r="BB1106" s="1008"/>
      <c r="BC1106" s="1009"/>
      <c r="BD1106" s="1009"/>
    </row>
    <row r="1107" spans="1:56" s="1010" customFormat="1" ht="36.75" customHeight="1">
      <c r="A1107" s="661">
        <f>SUBTOTAL(3,B$6:B1107)</f>
        <v>1102</v>
      </c>
      <c r="B1107" s="661" t="s">
        <v>3001</v>
      </c>
      <c r="C1107" s="662" t="s">
        <v>3002</v>
      </c>
      <c r="D1107" s="1011">
        <v>43514</v>
      </c>
      <c r="E1107" s="1011" t="s">
        <v>221</v>
      </c>
      <c r="F1107" s="787" t="s">
        <v>282</v>
      </c>
      <c r="G1107" s="996" t="s">
        <v>797</v>
      </c>
      <c r="H1107" s="1012">
        <v>5931000</v>
      </c>
      <c r="I1107" s="1012">
        <v>0</v>
      </c>
      <c r="J1107" s="1012">
        <v>0</v>
      </c>
      <c r="K1107" s="1012">
        <v>0</v>
      </c>
      <c r="L1107" s="1013">
        <f t="shared" si="218"/>
        <v>5931000</v>
      </c>
      <c r="M1107" s="1014">
        <v>21.6</v>
      </c>
      <c r="N1107" s="1013">
        <f t="shared" si="219"/>
        <v>4927292</v>
      </c>
      <c r="O1107" s="1015">
        <v>3</v>
      </c>
      <c r="P1107" s="1013">
        <f t="shared" si="220"/>
        <v>684346</v>
      </c>
      <c r="Q1107" s="1016">
        <v>0</v>
      </c>
      <c r="R1107" s="1013">
        <f t="shared" si="221"/>
        <v>0</v>
      </c>
      <c r="S1107" s="1013">
        <f t="shared" si="222"/>
        <v>5611638</v>
      </c>
      <c r="T1107" s="1017">
        <v>0</v>
      </c>
      <c r="U1107" s="785">
        <v>0</v>
      </c>
      <c r="V1107" s="785">
        <v>200000</v>
      </c>
      <c r="W1107" s="1017">
        <v>0</v>
      </c>
      <c r="X1107" s="1017">
        <v>0</v>
      </c>
      <c r="Y1107" s="1017">
        <v>300000</v>
      </c>
      <c r="Z1107" s="1017">
        <v>378911</v>
      </c>
      <c r="AA1107" s="1018"/>
      <c r="AB1107" s="1013"/>
      <c r="AC1107" s="1017">
        <v>0</v>
      </c>
      <c r="AD1107" s="1017">
        <v>0</v>
      </c>
      <c r="AE1107" s="1013">
        <v>42771.631944444445</v>
      </c>
      <c r="AF1107" s="1019"/>
      <c r="AG1107" s="1019">
        <f t="shared" si="226"/>
        <v>6533321</v>
      </c>
      <c r="AH1107" s="1014">
        <v>44</v>
      </c>
      <c r="AI1107" s="1014">
        <v>0</v>
      </c>
      <c r="AJ1107" s="1014">
        <v>0</v>
      </c>
      <c r="AK1107" s="1018">
        <v>0</v>
      </c>
      <c r="AL1107" s="1020">
        <v>0</v>
      </c>
      <c r="AM1107" s="1013">
        <f t="shared" si="225"/>
        <v>1881952</v>
      </c>
      <c r="AN1107" s="1045">
        <f t="shared" si="217"/>
        <v>8415273</v>
      </c>
      <c r="AO1107" s="1013">
        <v>622755</v>
      </c>
      <c r="AP1107" s="1013">
        <v>44100</v>
      </c>
      <c r="AQ1107" s="1013">
        <v>0</v>
      </c>
      <c r="AR1107" s="1013">
        <v>0</v>
      </c>
      <c r="AS1107" s="1013">
        <v>0</v>
      </c>
      <c r="AT1107" s="1045">
        <f t="shared" si="223"/>
        <v>7748418</v>
      </c>
      <c r="AU1107" s="1004"/>
      <c r="AV1107" s="870"/>
      <c r="AW1107" s="782" t="s">
        <v>5394</v>
      </c>
      <c r="AX1107" s="782" t="s">
        <v>5395</v>
      </c>
      <c r="AY1107" s="1007" t="s">
        <v>221</v>
      </c>
      <c r="AZ1107" s="1007">
        <v>622</v>
      </c>
      <c r="BA1107" s="347" t="str">
        <f t="shared" si="224"/>
        <v>Bag</v>
      </c>
      <c r="BB1107" s="1008"/>
      <c r="BC1107" s="1009"/>
      <c r="BD1107" s="1009"/>
    </row>
    <row r="1108" spans="1:56" s="1010" customFormat="1" ht="36.75" customHeight="1">
      <c r="A1108" s="661">
        <f>SUBTOTAL(3,B$6:B1108)</f>
        <v>1103</v>
      </c>
      <c r="B1108" s="661" t="s">
        <v>3003</v>
      </c>
      <c r="C1108" s="662" t="s">
        <v>3004</v>
      </c>
      <c r="D1108" s="1011">
        <v>43519</v>
      </c>
      <c r="E1108" s="1011" t="s">
        <v>221</v>
      </c>
      <c r="F1108" s="787" t="s">
        <v>282</v>
      </c>
      <c r="G1108" s="996" t="s">
        <v>797</v>
      </c>
      <c r="H1108" s="1012">
        <v>5931000</v>
      </c>
      <c r="I1108" s="1012">
        <v>0</v>
      </c>
      <c r="J1108" s="1012">
        <v>298000</v>
      </c>
      <c r="K1108" s="1012">
        <v>0</v>
      </c>
      <c r="L1108" s="1013">
        <f t="shared" si="218"/>
        <v>6229000</v>
      </c>
      <c r="M1108" s="1014">
        <v>24</v>
      </c>
      <c r="N1108" s="1013">
        <f t="shared" si="219"/>
        <v>5749846</v>
      </c>
      <c r="O1108" s="1015">
        <v>2</v>
      </c>
      <c r="P1108" s="1013">
        <f t="shared" si="220"/>
        <v>479154</v>
      </c>
      <c r="Q1108" s="1016">
        <v>0</v>
      </c>
      <c r="R1108" s="1013">
        <f t="shared" si="221"/>
        <v>0</v>
      </c>
      <c r="S1108" s="1013">
        <f t="shared" si="222"/>
        <v>6229000</v>
      </c>
      <c r="T1108" s="1017">
        <v>0</v>
      </c>
      <c r="U1108" s="785">
        <v>0</v>
      </c>
      <c r="V1108" s="785">
        <v>200000</v>
      </c>
      <c r="W1108" s="1017">
        <v>500000</v>
      </c>
      <c r="X1108" s="1017">
        <v>0</v>
      </c>
      <c r="Y1108" s="1017">
        <v>400000</v>
      </c>
      <c r="Z1108" s="1017">
        <v>1141521</v>
      </c>
      <c r="AA1108" s="1018"/>
      <c r="AB1108" s="1013"/>
      <c r="AC1108" s="1017">
        <v>0</v>
      </c>
      <c r="AD1108" s="1017">
        <v>0</v>
      </c>
      <c r="AE1108" s="1013">
        <v>44920.671875</v>
      </c>
      <c r="AF1108" s="1019"/>
      <c r="AG1108" s="1019">
        <f t="shared" si="226"/>
        <v>8515442</v>
      </c>
      <c r="AH1108" s="1014">
        <v>56</v>
      </c>
      <c r="AI1108" s="1014">
        <v>0</v>
      </c>
      <c r="AJ1108" s="1014">
        <v>0</v>
      </c>
      <c r="AK1108" s="1018">
        <v>0</v>
      </c>
      <c r="AL1108" s="1020">
        <v>0</v>
      </c>
      <c r="AM1108" s="1013">
        <f t="shared" si="225"/>
        <v>2515558</v>
      </c>
      <c r="AN1108" s="1045">
        <f t="shared" si="217"/>
        <v>11031000</v>
      </c>
      <c r="AO1108" s="1013">
        <v>654045</v>
      </c>
      <c r="AP1108" s="1013">
        <v>44100</v>
      </c>
      <c r="AQ1108" s="1013">
        <v>0</v>
      </c>
      <c r="AR1108" s="1013">
        <v>0</v>
      </c>
      <c r="AS1108" s="1013">
        <v>0</v>
      </c>
      <c r="AT1108" s="1045">
        <f t="shared" si="223"/>
        <v>10332855</v>
      </c>
      <c r="AU1108" s="1004"/>
      <c r="AV1108" s="870"/>
      <c r="AW1108" s="782" t="s">
        <v>5396</v>
      </c>
      <c r="AX1108" s="782" t="s">
        <v>5397</v>
      </c>
      <c r="AY1108" s="1007" t="s">
        <v>221</v>
      </c>
      <c r="AZ1108" s="1007">
        <v>622</v>
      </c>
      <c r="BA1108" s="347" t="str">
        <f t="shared" si="224"/>
        <v>Bag</v>
      </c>
      <c r="BB1108" s="1008"/>
      <c r="BC1108" s="1009"/>
      <c r="BD1108" s="1009"/>
    </row>
    <row r="1109" spans="1:56" s="1010" customFormat="1" ht="36.75" customHeight="1">
      <c r="A1109" s="661">
        <f>SUBTOTAL(3,B$6:B1109)</f>
        <v>1104</v>
      </c>
      <c r="B1109" s="661" t="s">
        <v>3005</v>
      </c>
      <c r="C1109" s="662" t="s">
        <v>3006</v>
      </c>
      <c r="D1109" s="1011">
        <v>43536</v>
      </c>
      <c r="E1109" s="1011" t="s">
        <v>221</v>
      </c>
      <c r="F1109" s="787" t="s">
        <v>282</v>
      </c>
      <c r="G1109" s="996" t="s">
        <v>797</v>
      </c>
      <c r="H1109" s="1012">
        <v>5931000</v>
      </c>
      <c r="I1109" s="1012">
        <v>0</v>
      </c>
      <c r="J1109" s="1012">
        <v>298000</v>
      </c>
      <c r="K1109" s="1012">
        <v>0</v>
      </c>
      <c r="L1109" s="1013">
        <f t="shared" si="218"/>
        <v>6229000</v>
      </c>
      <c r="M1109" s="1014">
        <v>19.600000000000001</v>
      </c>
      <c r="N1109" s="1013">
        <f t="shared" si="219"/>
        <v>4695708</v>
      </c>
      <c r="O1109" s="1015">
        <v>2</v>
      </c>
      <c r="P1109" s="1013">
        <f t="shared" si="220"/>
        <v>479154</v>
      </c>
      <c r="Q1109" s="1016">
        <v>0</v>
      </c>
      <c r="R1109" s="1013">
        <f t="shared" si="221"/>
        <v>0</v>
      </c>
      <c r="S1109" s="1013">
        <f t="shared" si="222"/>
        <v>5174862</v>
      </c>
      <c r="T1109" s="1017">
        <v>0</v>
      </c>
      <c r="U1109" s="785">
        <v>0</v>
      </c>
      <c r="V1109" s="785">
        <v>200000</v>
      </c>
      <c r="W1109" s="1017">
        <v>0</v>
      </c>
      <c r="X1109" s="1017">
        <v>0</v>
      </c>
      <c r="Y1109" s="1017">
        <v>0</v>
      </c>
      <c r="Z1109" s="1017">
        <v>481731</v>
      </c>
      <c r="AA1109" s="1018"/>
      <c r="AB1109" s="1013"/>
      <c r="AC1109" s="1017">
        <v>0</v>
      </c>
      <c r="AD1109" s="1017">
        <v>0</v>
      </c>
      <c r="AE1109" s="1013">
        <v>44920.676020408158</v>
      </c>
      <c r="AF1109" s="1019"/>
      <c r="AG1109" s="1019">
        <f t="shared" si="226"/>
        <v>5901514</v>
      </c>
      <c r="AH1109" s="1014">
        <v>44</v>
      </c>
      <c r="AI1109" s="1014">
        <v>0</v>
      </c>
      <c r="AJ1109" s="1014">
        <v>0</v>
      </c>
      <c r="AK1109" s="1018">
        <v>0</v>
      </c>
      <c r="AL1109" s="1020">
        <v>0</v>
      </c>
      <c r="AM1109" s="1013">
        <f t="shared" si="225"/>
        <v>1976510</v>
      </c>
      <c r="AN1109" s="1045">
        <f t="shared" si="217"/>
        <v>7878024</v>
      </c>
      <c r="AO1109" s="1013">
        <v>654045</v>
      </c>
      <c r="AP1109" s="1013">
        <v>44100</v>
      </c>
      <c r="AQ1109" s="1013">
        <v>0</v>
      </c>
      <c r="AR1109" s="1013">
        <v>0</v>
      </c>
      <c r="AS1109" s="1013">
        <v>0</v>
      </c>
      <c r="AT1109" s="1045">
        <f t="shared" si="223"/>
        <v>7179879</v>
      </c>
      <c r="AU1109" s="1004"/>
      <c r="AV1109" s="870"/>
      <c r="AW1109" s="782" t="s">
        <v>5398</v>
      </c>
      <c r="AX1109" s="782" t="s">
        <v>5399</v>
      </c>
      <c r="AY1109" s="1007" t="s">
        <v>221</v>
      </c>
      <c r="AZ1109" s="1007">
        <v>622</v>
      </c>
      <c r="BA1109" s="347" t="str">
        <f t="shared" si="224"/>
        <v>Bag</v>
      </c>
      <c r="BB1109" s="1008"/>
      <c r="BC1109" s="1009"/>
      <c r="BD1109" s="1009"/>
    </row>
    <row r="1110" spans="1:56" s="1010" customFormat="1" ht="36.75" customHeight="1">
      <c r="A1110" s="661">
        <f>SUBTOTAL(3,B$6:B1110)</f>
        <v>1105</v>
      </c>
      <c r="B1110" s="661" t="s">
        <v>3007</v>
      </c>
      <c r="C1110" s="662" t="s">
        <v>3008</v>
      </c>
      <c r="D1110" s="1011">
        <v>43569</v>
      </c>
      <c r="E1110" s="1011" t="s">
        <v>221</v>
      </c>
      <c r="F1110" s="787" t="s">
        <v>256</v>
      </c>
      <c r="G1110" s="996" t="s">
        <v>797</v>
      </c>
      <c r="H1110" s="1012">
        <v>5931000</v>
      </c>
      <c r="I1110" s="1012">
        <v>0</v>
      </c>
      <c r="J1110" s="1012">
        <v>0</v>
      </c>
      <c r="K1110" s="1012">
        <v>0</v>
      </c>
      <c r="L1110" s="1013">
        <f t="shared" si="218"/>
        <v>5931000</v>
      </c>
      <c r="M1110" s="1014">
        <v>23.8</v>
      </c>
      <c r="N1110" s="1013">
        <f t="shared" si="219"/>
        <v>5429146</v>
      </c>
      <c r="O1110" s="1015">
        <v>2</v>
      </c>
      <c r="P1110" s="1013">
        <f t="shared" si="220"/>
        <v>456231</v>
      </c>
      <c r="Q1110" s="1016">
        <v>0</v>
      </c>
      <c r="R1110" s="1013">
        <f t="shared" si="221"/>
        <v>0</v>
      </c>
      <c r="S1110" s="1013">
        <f t="shared" si="222"/>
        <v>5885377</v>
      </c>
      <c r="T1110" s="1017">
        <v>0</v>
      </c>
      <c r="U1110" s="785">
        <v>0</v>
      </c>
      <c r="V1110" s="785">
        <v>200000</v>
      </c>
      <c r="W1110" s="1017">
        <v>500000</v>
      </c>
      <c r="X1110" s="1017">
        <v>0</v>
      </c>
      <c r="Y1110" s="1017">
        <v>400000</v>
      </c>
      <c r="Z1110" s="1017">
        <v>626481</v>
      </c>
      <c r="AA1110" s="1018"/>
      <c r="AB1110" s="1013"/>
      <c r="AC1110" s="1017">
        <v>100000</v>
      </c>
      <c r="AD1110" s="1017">
        <v>0</v>
      </c>
      <c r="AE1110" s="1013">
        <v>0</v>
      </c>
      <c r="AF1110" s="1019"/>
      <c r="AG1110" s="1019">
        <f t="shared" si="226"/>
        <v>7711858</v>
      </c>
      <c r="AH1110" s="1014">
        <v>56</v>
      </c>
      <c r="AI1110" s="1014">
        <v>0</v>
      </c>
      <c r="AJ1110" s="1014">
        <v>0</v>
      </c>
      <c r="AK1110" s="1018">
        <v>0</v>
      </c>
      <c r="AL1110" s="1020">
        <v>0</v>
      </c>
      <c r="AM1110" s="1013">
        <f t="shared" si="225"/>
        <v>2395211</v>
      </c>
      <c r="AN1110" s="1045">
        <f t="shared" si="217"/>
        <v>10107069</v>
      </c>
      <c r="AO1110" s="1013">
        <v>622755</v>
      </c>
      <c r="AP1110" s="1013">
        <v>44100</v>
      </c>
      <c r="AQ1110" s="1013">
        <v>0</v>
      </c>
      <c r="AR1110" s="1013">
        <v>0</v>
      </c>
      <c r="AS1110" s="1013">
        <v>0</v>
      </c>
      <c r="AT1110" s="1045">
        <f t="shared" si="223"/>
        <v>9440214</v>
      </c>
      <c r="AU1110" s="1004"/>
      <c r="AV1110" s="870"/>
      <c r="AW1110" s="782" t="s">
        <v>5400</v>
      </c>
      <c r="AX1110" s="782" t="s">
        <v>5401</v>
      </c>
      <c r="AY1110" s="1007" t="s">
        <v>221</v>
      </c>
      <c r="AZ1110" s="1007">
        <v>622</v>
      </c>
      <c r="BA1110" s="347" t="str">
        <f t="shared" si="224"/>
        <v>Bag</v>
      </c>
      <c r="BB1110" s="1008"/>
      <c r="BC1110" s="1009"/>
      <c r="BD1110" s="1009"/>
    </row>
    <row r="1111" spans="1:56" s="1010" customFormat="1" ht="36.75" customHeight="1">
      <c r="A1111" s="661">
        <f>SUBTOTAL(3,B$6:B1111)</f>
        <v>1106</v>
      </c>
      <c r="B1111" s="661" t="s">
        <v>3009</v>
      </c>
      <c r="C1111" s="662" t="s">
        <v>3010</v>
      </c>
      <c r="D1111" s="1011">
        <v>43596</v>
      </c>
      <c r="E1111" s="1011" t="s">
        <v>221</v>
      </c>
      <c r="F1111" s="787" t="s">
        <v>256</v>
      </c>
      <c r="G1111" s="996" t="s">
        <v>1747</v>
      </c>
      <c r="H1111" s="1012">
        <v>5931000</v>
      </c>
      <c r="I1111" s="1012">
        <v>2300000</v>
      </c>
      <c r="J1111" s="1012">
        <v>0</v>
      </c>
      <c r="K1111" s="1012">
        <v>500000</v>
      </c>
      <c r="L1111" s="1013">
        <f t="shared" si="218"/>
        <v>8731000</v>
      </c>
      <c r="M1111" s="1014">
        <v>23.8</v>
      </c>
      <c r="N1111" s="1013">
        <f t="shared" si="219"/>
        <v>7992223</v>
      </c>
      <c r="O1111" s="1015">
        <v>2</v>
      </c>
      <c r="P1111" s="1013">
        <f t="shared" si="220"/>
        <v>671615</v>
      </c>
      <c r="Q1111" s="1016">
        <v>0</v>
      </c>
      <c r="R1111" s="1013">
        <f t="shared" si="221"/>
        <v>0</v>
      </c>
      <c r="S1111" s="1013">
        <f t="shared" si="222"/>
        <v>8663838</v>
      </c>
      <c r="T1111" s="1017">
        <v>0</v>
      </c>
      <c r="U1111" s="785">
        <v>0</v>
      </c>
      <c r="V1111" s="785">
        <v>200000</v>
      </c>
      <c r="W1111" s="1017">
        <v>500000</v>
      </c>
      <c r="X1111" s="1017">
        <v>0</v>
      </c>
      <c r="Y1111" s="1017">
        <v>400000</v>
      </c>
      <c r="Z1111" s="1017">
        <v>461112</v>
      </c>
      <c r="AA1111" s="1018"/>
      <c r="AB1111" s="1013"/>
      <c r="AC1111" s="1017">
        <v>0</v>
      </c>
      <c r="AD1111" s="1017">
        <v>0</v>
      </c>
      <c r="AE1111" s="1013">
        <v>62963.941701680669</v>
      </c>
      <c r="AF1111" s="1019"/>
      <c r="AG1111" s="1019">
        <f t="shared" si="226"/>
        <v>10287914</v>
      </c>
      <c r="AH1111" s="1014">
        <v>55</v>
      </c>
      <c r="AI1111" s="1014">
        <v>0</v>
      </c>
      <c r="AJ1111" s="1014">
        <v>0</v>
      </c>
      <c r="AK1111" s="1018">
        <v>0</v>
      </c>
      <c r="AL1111" s="1020">
        <v>0</v>
      </c>
      <c r="AM1111" s="1013">
        <f t="shared" si="225"/>
        <v>3463017</v>
      </c>
      <c r="AN1111" s="1045">
        <f t="shared" si="217"/>
        <v>13750931</v>
      </c>
      <c r="AO1111" s="1013">
        <v>916755</v>
      </c>
      <c r="AP1111" s="1013">
        <v>44100</v>
      </c>
      <c r="AQ1111" s="1013">
        <v>0</v>
      </c>
      <c r="AR1111" s="1013">
        <v>0</v>
      </c>
      <c r="AS1111" s="1013">
        <v>0</v>
      </c>
      <c r="AT1111" s="1045">
        <f t="shared" si="223"/>
        <v>12790076</v>
      </c>
      <c r="AU1111" s="1004"/>
      <c r="AV1111" s="870"/>
      <c r="AW1111" s="782" t="s">
        <v>5402</v>
      </c>
      <c r="AX1111" s="782" t="s">
        <v>5403</v>
      </c>
      <c r="AY1111" s="1007" t="s">
        <v>221</v>
      </c>
      <c r="AZ1111" s="1007">
        <v>622</v>
      </c>
      <c r="BA1111" s="347" t="str">
        <f t="shared" si="224"/>
        <v>Bag</v>
      </c>
      <c r="BB1111" s="1008"/>
      <c r="BC1111" s="1009"/>
      <c r="BD1111" s="1009"/>
    </row>
    <row r="1112" spans="1:56" s="1010" customFormat="1" ht="36.75" customHeight="1">
      <c r="A1112" s="661">
        <f>SUBTOTAL(3,B$6:B1112)</f>
        <v>1107</v>
      </c>
      <c r="B1112" s="661" t="s">
        <v>3011</v>
      </c>
      <c r="C1112" s="662" t="s">
        <v>3012</v>
      </c>
      <c r="D1112" s="1011">
        <v>43676</v>
      </c>
      <c r="E1112" s="1011" t="s">
        <v>221</v>
      </c>
      <c r="F1112" s="787" t="s">
        <v>256</v>
      </c>
      <c r="G1112" s="996" t="s">
        <v>797</v>
      </c>
      <c r="H1112" s="1012">
        <v>5931000</v>
      </c>
      <c r="I1112" s="1012">
        <v>0</v>
      </c>
      <c r="J1112" s="1012">
        <v>0</v>
      </c>
      <c r="K1112" s="1012">
        <v>0</v>
      </c>
      <c r="L1112" s="1013">
        <f t="shared" si="218"/>
        <v>5931000</v>
      </c>
      <c r="M1112" s="1014">
        <v>23.5</v>
      </c>
      <c r="N1112" s="1013">
        <f t="shared" si="219"/>
        <v>5360712</v>
      </c>
      <c r="O1112" s="1015">
        <v>2</v>
      </c>
      <c r="P1112" s="1013">
        <f t="shared" si="220"/>
        <v>456231</v>
      </c>
      <c r="Q1112" s="1016">
        <v>0</v>
      </c>
      <c r="R1112" s="1013">
        <f t="shared" si="221"/>
        <v>0</v>
      </c>
      <c r="S1112" s="1013">
        <f t="shared" si="222"/>
        <v>5816943</v>
      </c>
      <c r="T1112" s="1017">
        <v>0</v>
      </c>
      <c r="U1112" s="785">
        <v>0</v>
      </c>
      <c r="V1112" s="785">
        <v>200000</v>
      </c>
      <c r="W1112" s="1017">
        <v>500000</v>
      </c>
      <c r="X1112" s="1017">
        <v>0</v>
      </c>
      <c r="Y1112" s="1017">
        <v>400000</v>
      </c>
      <c r="Z1112" s="1017">
        <v>539470</v>
      </c>
      <c r="AA1112" s="1018"/>
      <c r="AB1112" s="1013"/>
      <c r="AC1112" s="1017">
        <v>0</v>
      </c>
      <c r="AD1112" s="1017">
        <v>0</v>
      </c>
      <c r="AE1112" s="1013">
        <v>0</v>
      </c>
      <c r="AF1112" s="1019"/>
      <c r="AG1112" s="1019">
        <f t="shared" si="226"/>
        <v>7456413</v>
      </c>
      <c r="AH1112" s="1014">
        <v>52</v>
      </c>
      <c r="AI1112" s="1014">
        <v>0</v>
      </c>
      <c r="AJ1112" s="1014">
        <v>0</v>
      </c>
      <c r="AK1112" s="1018">
        <v>0</v>
      </c>
      <c r="AL1112" s="1020">
        <v>0</v>
      </c>
      <c r="AM1112" s="1013">
        <f t="shared" si="225"/>
        <v>2224125</v>
      </c>
      <c r="AN1112" s="1045">
        <f t="shared" si="217"/>
        <v>9680538</v>
      </c>
      <c r="AO1112" s="1013">
        <v>622755</v>
      </c>
      <c r="AP1112" s="1013">
        <v>44100</v>
      </c>
      <c r="AQ1112" s="1013">
        <v>0</v>
      </c>
      <c r="AR1112" s="1013">
        <v>0</v>
      </c>
      <c r="AS1112" s="1013">
        <v>0</v>
      </c>
      <c r="AT1112" s="1045">
        <f t="shared" si="223"/>
        <v>9013683</v>
      </c>
      <c r="AU1112" s="1004"/>
      <c r="AV1112" s="870"/>
      <c r="AW1112" s="782" t="s">
        <v>5404</v>
      </c>
      <c r="AX1112" s="782" t="s">
        <v>5405</v>
      </c>
      <c r="AY1112" s="1007" t="s">
        <v>221</v>
      </c>
      <c r="AZ1112" s="1007">
        <v>622</v>
      </c>
      <c r="BA1112" s="347" t="str">
        <f t="shared" si="224"/>
        <v>Bag</v>
      </c>
      <c r="BB1112" s="1008"/>
      <c r="BC1112" s="1009"/>
      <c r="BD1112" s="1009"/>
    </row>
    <row r="1113" spans="1:56" s="1010" customFormat="1" ht="36.75" customHeight="1">
      <c r="A1113" s="661">
        <f>SUBTOTAL(3,B$6:B1113)</f>
        <v>1108</v>
      </c>
      <c r="B1113" s="661" t="s">
        <v>3013</v>
      </c>
      <c r="C1113" s="662" t="s">
        <v>3014</v>
      </c>
      <c r="D1113" s="1011">
        <v>43676</v>
      </c>
      <c r="E1113" s="1011" t="s">
        <v>221</v>
      </c>
      <c r="F1113" s="787" t="s">
        <v>256</v>
      </c>
      <c r="G1113" s="996" t="s">
        <v>797</v>
      </c>
      <c r="H1113" s="1012">
        <v>5931000</v>
      </c>
      <c r="I1113" s="1012">
        <v>0</v>
      </c>
      <c r="J1113" s="1012">
        <v>0</v>
      </c>
      <c r="K1113" s="1012">
        <v>0</v>
      </c>
      <c r="L1113" s="1013">
        <f t="shared" si="218"/>
        <v>5931000</v>
      </c>
      <c r="M1113" s="1014">
        <v>23</v>
      </c>
      <c r="N1113" s="1013">
        <f t="shared" si="219"/>
        <v>5246654</v>
      </c>
      <c r="O1113" s="1015">
        <v>3</v>
      </c>
      <c r="P1113" s="1013">
        <f t="shared" si="220"/>
        <v>684346</v>
      </c>
      <c r="Q1113" s="1016">
        <v>0</v>
      </c>
      <c r="R1113" s="1013">
        <f t="shared" si="221"/>
        <v>0</v>
      </c>
      <c r="S1113" s="1013">
        <f t="shared" si="222"/>
        <v>5931000</v>
      </c>
      <c r="T1113" s="1017">
        <v>0</v>
      </c>
      <c r="U1113" s="785">
        <v>0</v>
      </c>
      <c r="V1113" s="785">
        <v>200000</v>
      </c>
      <c r="W1113" s="1017">
        <v>500000</v>
      </c>
      <c r="X1113" s="1017">
        <v>0</v>
      </c>
      <c r="Y1113" s="1017">
        <v>400000</v>
      </c>
      <c r="Z1113" s="1017">
        <v>640869</v>
      </c>
      <c r="AA1113" s="1018"/>
      <c r="AB1113" s="1013"/>
      <c r="AC1113" s="1017">
        <v>0</v>
      </c>
      <c r="AD1113" s="1017">
        <v>0</v>
      </c>
      <c r="AE1113" s="1013">
        <v>42771.635869565216</v>
      </c>
      <c r="AF1113" s="1019"/>
      <c r="AG1113" s="1019">
        <f t="shared" si="226"/>
        <v>7714641</v>
      </c>
      <c r="AH1113" s="1014">
        <v>52</v>
      </c>
      <c r="AI1113" s="1014">
        <v>0</v>
      </c>
      <c r="AJ1113" s="1014">
        <v>0</v>
      </c>
      <c r="AK1113" s="1018">
        <v>0</v>
      </c>
      <c r="AL1113" s="1020">
        <v>0</v>
      </c>
      <c r="AM1113" s="1013">
        <f t="shared" si="225"/>
        <v>2224125</v>
      </c>
      <c r="AN1113" s="1045">
        <f t="shared" si="217"/>
        <v>9938766</v>
      </c>
      <c r="AO1113" s="1013">
        <v>622755</v>
      </c>
      <c r="AP1113" s="1013">
        <v>44100</v>
      </c>
      <c r="AQ1113" s="1013">
        <v>0</v>
      </c>
      <c r="AR1113" s="1013">
        <v>0</v>
      </c>
      <c r="AS1113" s="1013">
        <v>0</v>
      </c>
      <c r="AT1113" s="1045">
        <f t="shared" si="223"/>
        <v>9271911</v>
      </c>
      <c r="AU1113" s="1004"/>
      <c r="AV1113" s="870"/>
      <c r="AW1113" s="782" t="s">
        <v>5406</v>
      </c>
      <c r="AX1113" s="782" t="s">
        <v>5407</v>
      </c>
      <c r="AY1113" s="1007" t="s">
        <v>221</v>
      </c>
      <c r="AZ1113" s="1007">
        <v>622</v>
      </c>
      <c r="BA1113" s="347" t="str">
        <f t="shared" si="224"/>
        <v>Bag</v>
      </c>
      <c r="BB1113" s="1008"/>
      <c r="BC1113" s="1009"/>
      <c r="BD1113" s="1009"/>
    </row>
    <row r="1114" spans="1:56" s="1010" customFormat="1" ht="36.75" customHeight="1">
      <c r="A1114" s="661">
        <f>SUBTOTAL(3,B$6:B1114)</f>
        <v>1109</v>
      </c>
      <c r="B1114" s="661" t="s">
        <v>3015</v>
      </c>
      <c r="C1114" s="662" t="s">
        <v>3016</v>
      </c>
      <c r="D1114" s="1011">
        <v>43687</v>
      </c>
      <c r="E1114" s="1011" t="s">
        <v>221</v>
      </c>
      <c r="F1114" s="787" t="s">
        <v>256</v>
      </c>
      <c r="G1114" s="996" t="s">
        <v>1232</v>
      </c>
      <c r="H1114" s="1012">
        <v>5931000</v>
      </c>
      <c r="I1114" s="1012">
        <v>200000</v>
      </c>
      <c r="J1114" s="1012">
        <v>0</v>
      </c>
      <c r="K1114" s="1012">
        <v>0</v>
      </c>
      <c r="L1114" s="1013">
        <f t="shared" si="218"/>
        <v>6131000</v>
      </c>
      <c r="M1114" s="1014">
        <v>22.6</v>
      </c>
      <c r="N1114" s="1013">
        <f t="shared" si="219"/>
        <v>5329254</v>
      </c>
      <c r="O1114" s="1015">
        <v>3</v>
      </c>
      <c r="P1114" s="1013">
        <f t="shared" si="220"/>
        <v>707423</v>
      </c>
      <c r="Q1114" s="1016">
        <v>0</v>
      </c>
      <c r="R1114" s="1013">
        <f t="shared" si="221"/>
        <v>0</v>
      </c>
      <c r="S1114" s="1013">
        <f t="shared" si="222"/>
        <v>6036677</v>
      </c>
      <c r="T1114" s="1017">
        <v>0</v>
      </c>
      <c r="U1114" s="785">
        <v>0</v>
      </c>
      <c r="V1114" s="785">
        <v>200000</v>
      </c>
      <c r="W1114" s="1017">
        <v>500000</v>
      </c>
      <c r="X1114" s="1017">
        <v>0</v>
      </c>
      <c r="Y1114" s="1017">
        <v>400000</v>
      </c>
      <c r="Z1114" s="1017">
        <v>660719</v>
      </c>
      <c r="AA1114" s="1018"/>
      <c r="AB1114" s="1013"/>
      <c r="AC1114" s="1017">
        <v>0</v>
      </c>
      <c r="AD1114" s="1017">
        <v>0</v>
      </c>
      <c r="AE1114" s="1013">
        <v>0</v>
      </c>
      <c r="AF1114" s="1019"/>
      <c r="AG1114" s="1019">
        <f t="shared" si="226"/>
        <v>7797396</v>
      </c>
      <c r="AH1114" s="1014">
        <v>52</v>
      </c>
      <c r="AI1114" s="1014">
        <v>0</v>
      </c>
      <c r="AJ1114" s="1014">
        <v>0</v>
      </c>
      <c r="AK1114" s="1018">
        <v>0</v>
      </c>
      <c r="AL1114" s="1020">
        <v>0</v>
      </c>
      <c r="AM1114" s="1013">
        <f t="shared" si="225"/>
        <v>2299125</v>
      </c>
      <c r="AN1114" s="1045">
        <f t="shared" si="217"/>
        <v>10096521</v>
      </c>
      <c r="AO1114" s="1013">
        <v>643755</v>
      </c>
      <c r="AP1114" s="1013">
        <v>44100</v>
      </c>
      <c r="AQ1114" s="1013">
        <v>0</v>
      </c>
      <c r="AR1114" s="1013">
        <v>0</v>
      </c>
      <c r="AS1114" s="1013">
        <v>0</v>
      </c>
      <c r="AT1114" s="1045">
        <f t="shared" si="223"/>
        <v>9408666</v>
      </c>
      <c r="AU1114" s="1004"/>
      <c r="AV1114" s="870"/>
      <c r="AW1114" s="782" t="s">
        <v>5408</v>
      </c>
      <c r="AX1114" s="782" t="s">
        <v>5409</v>
      </c>
      <c r="AY1114" s="1007" t="s">
        <v>221</v>
      </c>
      <c r="AZ1114" s="1007">
        <v>622</v>
      </c>
      <c r="BA1114" s="347" t="str">
        <f t="shared" si="224"/>
        <v>Bag</v>
      </c>
      <c r="BB1114" s="1008"/>
      <c r="BC1114" s="1009"/>
      <c r="BD1114" s="1009"/>
    </row>
    <row r="1115" spans="1:56" s="1010" customFormat="1" ht="36.75" customHeight="1">
      <c r="A1115" s="661">
        <f>SUBTOTAL(3,B$6:B1115)</f>
        <v>1110</v>
      </c>
      <c r="B1115" s="661" t="s">
        <v>3017</v>
      </c>
      <c r="C1115" s="662" t="s">
        <v>3018</v>
      </c>
      <c r="D1115" s="1011">
        <v>43691</v>
      </c>
      <c r="E1115" s="1011" t="s">
        <v>221</v>
      </c>
      <c r="F1115" s="787" t="s">
        <v>256</v>
      </c>
      <c r="G1115" s="996" t="s">
        <v>797</v>
      </c>
      <c r="H1115" s="1012">
        <v>5931000</v>
      </c>
      <c r="I1115" s="1012">
        <v>0</v>
      </c>
      <c r="J1115" s="1012">
        <v>0</v>
      </c>
      <c r="K1115" s="1012">
        <v>0</v>
      </c>
      <c r="L1115" s="1013">
        <f t="shared" si="218"/>
        <v>5931000</v>
      </c>
      <c r="M1115" s="1014">
        <v>22.6</v>
      </c>
      <c r="N1115" s="1013">
        <f t="shared" si="219"/>
        <v>5155408</v>
      </c>
      <c r="O1115" s="1015">
        <v>3</v>
      </c>
      <c r="P1115" s="1013">
        <f t="shared" si="220"/>
        <v>684346</v>
      </c>
      <c r="Q1115" s="1016">
        <v>0</v>
      </c>
      <c r="R1115" s="1013">
        <f t="shared" si="221"/>
        <v>0</v>
      </c>
      <c r="S1115" s="1013">
        <f t="shared" si="222"/>
        <v>5839754</v>
      </c>
      <c r="T1115" s="1017">
        <v>0</v>
      </c>
      <c r="U1115" s="785">
        <v>0</v>
      </c>
      <c r="V1115" s="785">
        <v>200000</v>
      </c>
      <c r="W1115" s="1017">
        <v>500000</v>
      </c>
      <c r="X1115" s="1017">
        <v>0</v>
      </c>
      <c r="Y1115" s="1017">
        <v>400000</v>
      </c>
      <c r="Z1115" s="1017">
        <v>653377</v>
      </c>
      <c r="AA1115" s="1018"/>
      <c r="AB1115" s="1013"/>
      <c r="AC1115" s="1017">
        <v>100000</v>
      </c>
      <c r="AD1115" s="1017">
        <v>0</v>
      </c>
      <c r="AE1115" s="1013">
        <v>0</v>
      </c>
      <c r="AF1115" s="1019"/>
      <c r="AG1115" s="1019">
        <f t="shared" si="226"/>
        <v>7693131</v>
      </c>
      <c r="AH1115" s="1014">
        <v>49</v>
      </c>
      <c r="AI1115" s="1014">
        <v>0</v>
      </c>
      <c r="AJ1115" s="1014">
        <v>0</v>
      </c>
      <c r="AK1115" s="1018">
        <v>0</v>
      </c>
      <c r="AL1115" s="1020">
        <v>0</v>
      </c>
      <c r="AM1115" s="1013">
        <f t="shared" si="225"/>
        <v>2095810</v>
      </c>
      <c r="AN1115" s="1045">
        <f t="shared" si="217"/>
        <v>9788941</v>
      </c>
      <c r="AO1115" s="1013">
        <v>622755</v>
      </c>
      <c r="AP1115" s="1013">
        <v>44100</v>
      </c>
      <c r="AQ1115" s="1013">
        <v>0</v>
      </c>
      <c r="AR1115" s="1013">
        <v>0</v>
      </c>
      <c r="AS1115" s="1013">
        <v>0</v>
      </c>
      <c r="AT1115" s="1045">
        <f t="shared" si="223"/>
        <v>9122086</v>
      </c>
      <c r="AU1115" s="1004"/>
      <c r="AV1115" s="870"/>
      <c r="AW1115" s="782" t="s">
        <v>5410</v>
      </c>
      <c r="AX1115" s="782" t="s">
        <v>5411</v>
      </c>
      <c r="AY1115" s="1007" t="s">
        <v>221</v>
      </c>
      <c r="AZ1115" s="1007">
        <v>622</v>
      </c>
      <c r="BA1115" s="347" t="str">
        <f t="shared" si="224"/>
        <v>Bag</v>
      </c>
      <c r="BB1115" s="1008"/>
      <c r="BC1115" s="1009"/>
      <c r="BD1115" s="1009"/>
    </row>
    <row r="1116" spans="1:56" s="1010" customFormat="1" ht="36.75" customHeight="1">
      <c r="A1116" s="661">
        <f>SUBTOTAL(3,B$6:B1116)</f>
        <v>1111</v>
      </c>
      <c r="B1116" s="661" t="s">
        <v>3019</v>
      </c>
      <c r="C1116" s="662" t="s">
        <v>3020</v>
      </c>
      <c r="D1116" s="1011">
        <v>43691</v>
      </c>
      <c r="E1116" s="1011" t="s">
        <v>221</v>
      </c>
      <c r="F1116" s="787" t="s">
        <v>256</v>
      </c>
      <c r="G1116" s="996" t="s">
        <v>1232</v>
      </c>
      <c r="H1116" s="1012">
        <v>5931000</v>
      </c>
      <c r="I1116" s="1012">
        <v>200000</v>
      </c>
      <c r="J1116" s="1012">
        <v>0</v>
      </c>
      <c r="K1116" s="1012">
        <v>0</v>
      </c>
      <c r="L1116" s="1013">
        <f t="shared" si="218"/>
        <v>6131000</v>
      </c>
      <c r="M1116" s="1014">
        <v>20.6</v>
      </c>
      <c r="N1116" s="1013">
        <f t="shared" si="219"/>
        <v>4857638</v>
      </c>
      <c r="O1116" s="1015">
        <v>2</v>
      </c>
      <c r="P1116" s="1013">
        <f t="shared" si="220"/>
        <v>471615</v>
      </c>
      <c r="Q1116" s="1016">
        <v>0</v>
      </c>
      <c r="R1116" s="1013">
        <f t="shared" si="221"/>
        <v>0</v>
      </c>
      <c r="S1116" s="1013">
        <f t="shared" si="222"/>
        <v>5329253</v>
      </c>
      <c r="T1116" s="1017">
        <v>0</v>
      </c>
      <c r="U1116" s="785">
        <v>0</v>
      </c>
      <c r="V1116" s="785">
        <v>200000</v>
      </c>
      <c r="W1116" s="1017">
        <v>500000</v>
      </c>
      <c r="X1116" s="1017">
        <v>0</v>
      </c>
      <c r="Y1116" s="1017">
        <v>400000</v>
      </c>
      <c r="Z1116" s="1017">
        <v>622210</v>
      </c>
      <c r="AA1116" s="1018"/>
      <c r="AB1116" s="1013"/>
      <c r="AC1116" s="1017">
        <v>0</v>
      </c>
      <c r="AD1116" s="1017">
        <v>0</v>
      </c>
      <c r="AE1116" s="1013">
        <v>0</v>
      </c>
      <c r="AF1116" s="1019"/>
      <c r="AG1116" s="1019">
        <f t="shared" si="226"/>
        <v>7051463</v>
      </c>
      <c r="AH1116" s="1014">
        <v>52</v>
      </c>
      <c r="AI1116" s="1014">
        <v>0</v>
      </c>
      <c r="AJ1116" s="1014">
        <v>0</v>
      </c>
      <c r="AK1116" s="1018">
        <v>0</v>
      </c>
      <c r="AL1116" s="1020">
        <v>0</v>
      </c>
      <c r="AM1116" s="1013">
        <f t="shared" si="225"/>
        <v>2299125</v>
      </c>
      <c r="AN1116" s="1045">
        <f t="shared" si="217"/>
        <v>9350588</v>
      </c>
      <c r="AO1116" s="1013">
        <v>643755</v>
      </c>
      <c r="AP1116" s="1013">
        <v>44100</v>
      </c>
      <c r="AQ1116" s="1013">
        <v>0</v>
      </c>
      <c r="AR1116" s="1013">
        <v>0</v>
      </c>
      <c r="AS1116" s="1013">
        <v>0</v>
      </c>
      <c r="AT1116" s="1045">
        <f t="shared" si="223"/>
        <v>8662733</v>
      </c>
      <c r="AU1116" s="1004"/>
      <c r="AV1116" s="870"/>
      <c r="AW1116" s="782" t="s">
        <v>5412</v>
      </c>
      <c r="AX1116" s="782" t="s">
        <v>5413</v>
      </c>
      <c r="AY1116" s="1007" t="s">
        <v>221</v>
      </c>
      <c r="AZ1116" s="1007">
        <v>622</v>
      </c>
      <c r="BA1116" s="347" t="str">
        <f t="shared" si="224"/>
        <v>Bag</v>
      </c>
      <c r="BB1116" s="1008"/>
      <c r="BC1116" s="1009"/>
      <c r="BD1116" s="1009"/>
    </row>
    <row r="1117" spans="1:56" s="1010" customFormat="1" ht="36.75" customHeight="1">
      <c r="A1117" s="661">
        <f>SUBTOTAL(3,B$6:B1117)</f>
        <v>1112</v>
      </c>
      <c r="B1117" s="661" t="s">
        <v>3021</v>
      </c>
      <c r="C1117" s="662" t="s">
        <v>3022</v>
      </c>
      <c r="D1117" s="1011">
        <v>43749</v>
      </c>
      <c r="E1117" s="1011" t="s">
        <v>221</v>
      </c>
      <c r="F1117" s="787" t="s">
        <v>256</v>
      </c>
      <c r="G1117" s="996" t="s">
        <v>797</v>
      </c>
      <c r="H1117" s="1012">
        <v>5931000</v>
      </c>
      <c r="I1117" s="1012">
        <v>0</v>
      </c>
      <c r="J1117" s="1012">
        <v>0</v>
      </c>
      <c r="K1117" s="1012">
        <v>0</v>
      </c>
      <c r="L1117" s="1013">
        <f t="shared" si="218"/>
        <v>5931000</v>
      </c>
      <c r="M1117" s="1014">
        <v>24</v>
      </c>
      <c r="N1117" s="1013">
        <f t="shared" si="219"/>
        <v>5474769</v>
      </c>
      <c r="O1117" s="1015">
        <v>2</v>
      </c>
      <c r="P1117" s="1013">
        <f t="shared" si="220"/>
        <v>456231</v>
      </c>
      <c r="Q1117" s="1016">
        <v>0</v>
      </c>
      <c r="R1117" s="1013">
        <f t="shared" si="221"/>
        <v>0</v>
      </c>
      <c r="S1117" s="1013">
        <f t="shared" si="222"/>
        <v>5931000</v>
      </c>
      <c r="T1117" s="1017">
        <v>0</v>
      </c>
      <c r="U1117" s="785">
        <v>0</v>
      </c>
      <c r="V1117" s="785">
        <v>200000</v>
      </c>
      <c r="W1117" s="1017">
        <v>500000</v>
      </c>
      <c r="X1117" s="1017">
        <v>0</v>
      </c>
      <c r="Y1117" s="1017">
        <v>400000</v>
      </c>
      <c r="Z1117" s="1017">
        <v>614300</v>
      </c>
      <c r="AA1117" s="1018"/>
      <c r="AB1117" s="1013"/>
      <c r="AC1117" s="1017">
        <v>0</v>
      </c>
      <c r="AD1117" s="1017">
        <v>0</v>
      </c>
      <c r="AE1117" s="1013">
        <v>42771.6328125</v>
      </c>
      <c r="AF1117" s="1019"/>
      <c r="AG1117" s="1019">
        <f t="shared" si="226"/>
        <v>7688072</v>
      </c>
      <c r="AH1117" s="1014">
        <v>56</v>
      </c>
      <c r="AI1117" s="1014">
        <v>0</v>
      </c>
      <c r="AJ1117" s="1014">
        <v>0</v>
      </c>
      <c r="AK1117" s="1018">
        <v>0</v>
      </c>
      <c r="AL1117" s="1020">
        <v>0</v>
      </c>
      <c r="AM1117" s="1013">
        <f t="shared" si="225"/>
        <v>2395211</v>
      </c>
      <c r="AN1117" s="1045">
        <f t="shared" ref="AN1117:AN1180" si="227">ROUND(AG1117+AM1117,0)</f>
        <v>10083283</v>
      </c>
      <c r="AO1117" s="1013">
        <v>622755</v>
      </c>
      <c r="AP1117" s="1013">
        <v>44100</v>
      </c>
      <c r="AQ1117" s="1013">
        <v>0</v>
      </c>
      <c r="AR1117" s="1013">
        <v>0</v>
      </c>
      <c r="AS1117" s="1013">
        <v>0</v>
      </c>
      <c r="AT1117" s="1045">
        <f t="shared" si="223"/>
        <v>9416428</v>
      </c>
      <c r="AU1117" s="1004"/>
      <c r="AV1117" s="870"/>
      <c r="AW1117" s="782" t="s">
        <v>5414</v>
      </c>
      <c r="AX1117" s="782" t="s">
        <v>5415</v>
      </c>
      <c r="AY1117" s="1007" t="s">
        <v>221</v>
      </c>
      <c r="AZ1117" s="1007">
        <v>622</v>
      </c>
      <c r="BA1117" s="347" t="str">
        <f t="shared" si="224"/>
        <v>Bag</v>
      </c>
      <c r="BB1117" s="1008"/>
      <c r="BC1117" s="1009"/>
      <c r="BD1117" s="1009"/>
    </row>
    <row r="1118" spans="1:56" s="1010" customFormat="1" ht="36.75" customHeight="1">
      <c r="A1118" s="661">
        <f>SUBTOTAL(3,B$6:B1118)</f>
        <v>1113</v>
      </c>
      <c r="B1118" s="661" t="s">
        <v>3023</v>
      </c>
      <c r="C1118" s="662" t="s">
        <v>3024</v>
      </c>
      <c r="D1118" s="1011">
        <v>43866</v>
      </c>
      <c r="E1118" s="1011" t="s">
        <v>221</v>
      </c>
      <c r="F1118" s="787" t="s">
        <v>256</v>
      </c>
      <c r="G1118" s="996" t="s">
        <v>797</v>
      </c>
      <c r="H1118" s="1012">
        <v>5931000</v>
      </c>
      <c r="I1118" s="1012">
        <v>0</v>
      </c>
      <c r="J1118" s="1012">
        <v>0</v>
      </c>
      <c r="K1118" s="1012">
        <v>0</v>
      </c>
      <c r="L1118" s="1013">
        <f t="shared" si="218"/>
        <v>5931000</v>
      </c>
      <c r="M1118" s="1014">
        <v>19</v>
      </c>
      <c r="N1118" s="1013">
        <f t="shared" si="219"/>
        <v>4334192</v>
      </c>
      <c r="O1118" s="1015">
        <v>3</v>
      </c>
      <c r="P1118" s="1013">
        <f t="shared" si="220"/>
        <v>684346</v>
      </c>
      <c r="Q1118" s="1016">
        <v>0</v>
      </c>
      <c r="R1118" s="1013">
        <f t="shared" si="221"/>
        <v>0</v>
      </c>
      <c r="S1118" s="1013">
        <f t="shared" si="222"/>
        <v>5018538</v>
      </c>
      <c r="T1118" s="1017">
        <v>0</v>
      </c>
      <c r="U1118" s="785">
        <v>0</v>
      </c>
      <c r="V1118" s="785">
        <v>200000</v>
      </c>
      <c r="W1118" s="1017">
        <v>0</v>
      </c>
      <c r="X1118" s="1017">
        <v>0</v>
      </c>
      <c r="Y1118" s="1017">
        <v>0</v>
      </c>
      <c r="Z1118" s="1017">
        <v>442457</v>
      </c>
      <c r="AA1118" s="1018"/>
      <c r="AB1118" s="1013"/>
      <c r="AC1118" s="1017">
        <v>0</v>
      </c>
      <c r="AD1118" s="1017">
        <v>0</v>
      </c>
      <c r="AE1118" s="1013">
        <v>0</v>
      </c>
      <c r="AF1118" s="1019"/>
      <c r="AG1118" s="1019">
        <f t="shared" si="226"/>
        <v>5660995</v>
      </c>
      <c r="AH1118" s="1014">
        <v>44</v>
      </c>
      <c r="AI1118" s="1014">
        <v>0</v>
      </c>
      <c r="AJ1118" s="1014">
        <v>0</v>
      </c>
      <c r="AK1118" s="1018">
        <v>0</v>
      </c>
      <c r="AL1118" s="1020">
        <v>0</v>
      </c>
      <c r="AM1118" s="1013">
        <f t="shared" si="225"/>
        <v>1881952</v>
      </c>
      <c r="AN1118" s="1045">
        <f t="shared" si="227"/>
        <v>7542947</v>
      </c>
      <c r="AO1118" s="1013">
        <v>622755</v>
      </c>
      <c r="AP1118" s="1013">
        <v>44100</v>
      </c>
      <c r="AQ1118" s="1013">
        <v>0</v>
      </c>
      <c r="AR1118" s="1013">
        <v>0</v>
      </c>
      <c r="AS1118" s="1013">
        <v>0</v>
      </c>
      <c r="AT1118" s="1045">
        <f t="shared" si="223"/>
        <v>6876092</v>
      </c>
      <c r="AU1118" s="1004"/>
      <c r="AV1118" s="870"/>
      <c r="AW1118" s="782" t="s">
        <v>5416</v>
      </c>
      <c r="AX1118" s="782" t="s">
        <v>5417</v>
      </c>
      <c r="AY1118" s="1007" t="s">
        <v>221</v>
      </c>
      <c r="AZ1118" s="1007">
        <v>622</v>
      </c>
      <c r="BA1118" s="347" t="str">
        <f t="shared" si="224"/>
        <v>Bag</v>
      </c>
      <c r="BB1118" s="1008"/>
      <c r="BC1118" s="1009"/>
      <c r="BD1118" s="1009"/>
    </row>
    <row r="1119" spans="1:56" s="1010" customFormat="1" ht="36.75" customHeight="1">
      <c r="A1119" s="661">
        <f>SUBTOTAL(3,B$6:B1119)</f>
        <v>1114</v>
      </c>
      <c r="B1119" s="661" t="s">
        <v>3025</v>
      </c>
      <c r="C1119" s="662" t="s">
        <v>3026</v>
      </c>
      <c r="D1119" s="1011">
        <v>43866</v>
      </c>
      <c r="E1119" s="1011" t="s">
        <v>221</v>
      </c>
      <c r="F1119" s="787" t="s">
        <v>256</v>
      </c>
      <c r="G1119" s="996" t="s">
        <v>797</v>
      </c>
      <c r="H1119" s="1012">
        <v>5931000</v>
      </c>
      <c r="I1119" s="1012">
        <v>0</v>
      </c>
      <c r="J1119" s="1012">
        <v>0</v>
      </c>
      <c r="K1119" s="1012">
        <v>0</v>
      </c>
      <c r="L1119" s="1013">
        <f t="shared" si="218"/>
        <v>5931000</v>
      </c>
      <c r="M1119" s="1014">
        <v>23.8</v>
      </c>
      <c r="N1119" s="1013">
        <f t="shared" si="219"/>
        <v>5429146</v>
      </c>
      <c r="O1119" s="1015">
        <v>2</v>
      </c>
      <c r="P1119" s="1013">
        <f t="shared" si="220"/>
        <v>456231</v>
      </c>
      <c r="Q1119" s="1016">
        <v>0</v>
      </c>
      <c r="R1119" s="1013">
        <f t="shared" si="221"/>
        <v>0</v>
      </c>
      <c r="S1119" s="1013">
        <f t="shared" si="222"/>
        <v>5885377</v>
      </c>
      <c r="T1119" s="1017">
        <v>0</v>
      </c>
      <c r="U1119" s="785">
        <v>0</v>
      </c>
      <c r="V1119" s="785">
        <v>200000</v>
      </c>
      <c r="W1119" s="1017">
        <v>500000</v>
      </c>
      <c r="X1119" s="1017">
        <v>0</v>
      </c>
      <c r="Y1119" s="1017">
        <v>400000</v>
      </c>
      <c r="Z1119" s="1017">
        <v>619416</v>
      </c>
      <c r="AA1119" s="1018"/>
      <c r="AB1119" s="1013"/>
      <c r="AC1119" s="1017">
        <v>0</v>
      </c>
      <c r="AD1119" s="1017">
        <v>0</v>
      </c>
      <c r="AE1119" s="1013">
        <v>0</v>
      </c>
      <c r="AF1119" s="1019"/>
      <c r="AG1119" s="1019">
        <f t="shared" si="226"/>
        <v>7604793</v>
      </c>
      <c r="AH1119" s="1014">
        <v>56</v>
      </c>
      <c r="AI1119" s="1014">
        <v>0</v>
      </c>
      <c r="AJ1119" s="1014">
        <v>0</v>
      </c>
      <c r="AK1119" s="1018">
        <v>0</v>
      </c>
      <c r="AL1119" s="1020">
        <v>0</v>
      </c>
      <c r="AM1119" s="1013">
        <f t="shared" si="225"/>
        <v>2395211</v>
      </c>
      <c r="AN1119" s="1045">
        <f t="shared" si="227"/>
        <v>10000004</v>
      </c>
      <c r="AO1119" s="1013">
        <v>622755</v>
      </c>
      <c r="AP1119" s="1013">
        <v>44100</v>
      </c>
      <c r="AQ1119" s="1013">
        <v>0</v>
      </c>
      <c r="AR1119" s="1013">
        <v>0</v>
      </c>
      <c r="AS1119" s="1013">
        <v>0</v>
      </c>
      <c r="AT1119" s="1045">
        <f t="shared" si="223"/>
        <v>9333149</v>
      </c>
      <c r="AU1119" s="1004"/>
      <c r="AV1119" s="870"/>
      <c r="AW1119" s="782" t="s">
        <v>5418</v>
      </c>
      <c r="AX1119" s="782" t="s">
        <v>5419</v>
      </c>
      <c r="AY1119" s="1007" t="s">
        <v>221</v>
      </c>
      <c r="AZ1119" s="1007">
        <v>622</v>
      </c>
      <c r="BA1119" s="347" t="str">
        <f t="shared" si="224"/>
        <v>Bag</v>
      </c>
      <c r="BB1119" s="1008"/>
      <c r="BC1119" s="1009"/>
      <c r="BD1119" s="1009"/>
    </row>
    <row r="1120" spans="1:56" s="1010" customFormat="1" ht="36.75" customHeight="1">
      <c r="A1120" s="661">
        <f>SUBTOTAL(3,B$6:B1120)</f>
        <v>1115</v>
      </c>
      <c r="B1120" s="661" t="s">
        <v>3027</v>
      </c>
      <c r="C1120" s="662" t="s">
        <v>3028</v>
      </c>
      <c r="D1120" s="1011">
        <v>43868</v>
      </c>
      <c r="E1120" s="1011" t="s">
        <v>221</v>
      </c>
      <c r="F1120" s="787" t="s">
        <v>256</v>
      </c>
      <c r="G1120" s="996" t="s">
        <v>797</v>
      </c>
      <c r="H1120" s="1012">
        <v>5931000</v>
      </c>
      <c r="I1120" s="1012">
        <v>0</v>
      </c>
      <c r="J1120" s="1012">
        <v>0</v>
      </c>
      <c r="K1120" s="1012">
        <v>0</v>
      </c>
      <c r="L1120" s="1013">
        <f t="shared" si="218"/>
        <v>5931000</v>
      </c>
      <c r="M1120" s="1014">
        <v>22.8</v>
      </c>
      <c r="N1120" s="1013">
        <f t="shared" si="219"/>
        <v>5201031</v>
      </c>
      <c r="O1120" s="1015">
        <v>3</v>
      </c>
      <c r="P1120" s="1013">
        <f t="shared" si="220"/>
        <v>684346</v>
      </c>
      <c r="Q1120" s="1016">
        <v>0</v>
      </c>
      <c r="R1120" s="1013">
        <f t="shared" si="221"/>
        <v>0</v>
      </c>
      <c r="S1120" s="1013">
        <f t="shared" si="222"/>
        <v>5885377</v>
      </c>
      <c r="T1120" s="1017">
        <v>0</v>
      </c>
      <c r="U1120" s="785">
        <v>0</v>
      </c>
      <c r="V1120" s="785">
        <v>200000</v>
      </c>
      <c r="W1120" s="1017">
        <v>500000</v>
      </c>
      <c r="X1120" s="1017">
        <v>0</v>
      </c>
      <c r="Y1120" s="1017">
        <v>400000</v>
      </c>
      <c r="Z1120" s="1017">
        <v>533777</v>
      </c>
      <c r="AA1120" s="1018"/>
      <c r="AB1120" s="1013"/>
      <c r="AC1120" s="1017">
        <v>0</v>
      </c>
      <c r="AD1120" s="1017">
        <v>0</v>
      </c>
      <c r="AE1120" s="1013">
        <v>42771.636513157893</v>
      </c>
      <c r="AF1120" s="1019"/>
      <c r="AG1120" s="1019">
        <f t="shared" si="226"/>
        <v>7561926</v>
      </c>
      <c r="AH1120" s="1014">
        <v>56</v>
      </c>
      <c r="AI1120" s="1014">
        <v>0</v>
      </c>
      <c r="AJ1120" s="1014">
        <v>0</v>
      </c>
      <c r="AK1120" s="1018">
        <v>0</v>
      </c>
      <c r="AL1120" s="1020">
        <v>0</v>
      </c>
      <c r="AM1120" s="1013">
        <f t="shared" si="225"/>
        <v>2395212</v>
      </c>
      <c r="AN1120" s="1045">
        <f t="shared" si="227"/>
        <v>9957138</v>
      </c>
      <c r="AO1120" s="1013">
        <v>622755</v>
      </c>
      <c r="AP1120" s="1013">
        <v>44100</v>
      </c>
      <c r="AQ1120" s="1013">
        <v>0</v>
      </c>
      <c r="AR1120" s="1013">
        <v>0</v>
      </c>
      <c r="AS1120" s="1013">
        <v>0</v>
      </c>
      <c r="AT1120" s="1045">
        <f t="shared" si="223"/>
        <v>9290283</v>
      </c>
      <c r="AU1120" s="1004"/>
      <c r="AV1120" s="870"/>
      <c r="AW1120" s="782" t="s">
        <v>5420</v>
      </c>
      <c r="AX1120" s="782" t="s">
        <v>5421</v>
      </c>
      <c r="AY1120" s="1007" t="s">
        <v>221</v>
      </c>
      <c r="AZ1120" s="1007">
        <v>622</v>
      </c>
      <c r="BA1120" s="347" t="str">
        <f t="shared" si="224"/>
        <v>Bag</v>
      </c>
      <c r="BB1120" s="1008"/>
      <c r="BC1120" s="1009"/>
      <c r="BD1120" s="1009"/>
    </row>
    <row r="1121" spans="1:56" s="1010" customFormat="1" ht="36.75" customHeight="1">
      <c r="A1121" s="661">
        <f>SUBTOTAL(3,B$6:B1121)</f>
        <v>1116</v>
      </c>
      <c r="B1121" s="661" t="s">
        <v>3029</v>
      </c>
      <c r="C1121" s="662" t="s">
        <v>1556</v>
      </c>
      <c r="D1121" s="1011">
        <v>43880</v>
      </c>
      <c r="E1121" s="1011" t="s">
        <v>221</v>
      </c>
      <c r="F1121" s="787" t="s">
        <v>256</v>
      </c>
      <c r="G1121" s="996" t="s">
        <v>797</v>
      </c>
      <c r="H1121" s="1012">
        <v>5931000</v>
      </c>
      <c r="I1121" s="1012">
        <v>0</v>
      </c>
      <c r="J1121" s="1012">
        <v>0</v>
      </c>
      <c r="K1121" s="1012">
        <v>0</v>
      </c>
      <c r="L1121" s="1013">
        <f t="shared" si="218"/>
        <v>5931000</v>
      </c>
      <c r="M1121" s="1014">
        <v>24</v>
      </c>
      <c r="N1121" s="1013">
        <f t="shared" si="219"/>
        <v>5474769</v>
      </c>
      <c r="O1121" s="1015">
        <v>2</v>
      </c>
      <c r="P1121" s="1013">
        <f t="shared" si="220"/>
        <v>456231</v>
      </c>
      <c r="Q1121" s="1016">
        <v>0</v>
      </c>
      <c r="R1121" s="1013">
        <f t="shared" si="221"/>
        <v>0</v>
      </c>
      <c r="S1121" s="1013">
        <f t="shared" si="222"/>
        <v>5931000</v>
      </c>
      <c r="T1121" s="1017">
        <v>0</v>
      </c>
      <c r="U1121" s="785">
        <v>0</v>
      </c>
      <c r="V1121" s="785">
        <v>200000</v>
      </c>
      <c r="W1121" s="1017">
        <v>500000</v>
      </c>
      <c r="X1121" s="1017">
        <v>0</v>
      </c>
      <c r="Y1121" s="1017">
        <v>400000</v>
      </c>
      <c r="Z1121" s="1017">
        <v>569778</v>
      </c>
      <c r="AA1121" s="1018"/>
      <c r="AB1121" s="1013"/>
      <c r="AC1121" s="1017">
        <v>0</v>
      </c>
      <c r="AD1121" s="1017">
        <v>0</v>
      </c>
      <c r="AE1121" s="1013">
        <v>0</v>
      </c>
      <c r="AF1121" s="1019"/>
      <c r="AG1121" s="1019">
        <f t="shared" si="226"/>
        <v>7600778</v>
      </c>
      <c r="AH1121" s="1014">
        <v>56</v>
      </c>
      <c r="AI1121" s="1014">
        <v>0</v>
      </c>
      <c r="AJ1121" s="1014">
        <v>0</v>
      </c>
      <c r="AK1121" s="1018">
        <v>0</v>
      </c>
      <c r="AL1121" s="1020">
        <v>0</v>
      </c>
      <c r="AM1121" s="1013">
        <f t="shared" si="225"/>
        <v>2395211</v>
      </c>
      <c r="AN1121" s="1045">
        <f t="shared" si="227"/>
        <v>9995989</v>
      </c>
      <c r="AO1121" s="1013">
        <v>622755</v>
      </c>
      <c r="AP1121" s="1013">
        <v>44100</v>
      </c>
      <c r="AQ1121" s="1013">
        <v>0</v>
      </c>
      <c r="AR1121" s="1013">
        <v>0</v>
      </c>
      <c r="AS1121" s="1013">
        <v>0</v>
      </c>
      <c r="AT1121" s="1045">
        <f t="shared" si="223"/>
        <v>9329134</v>
      </c>
      <c r="AU1121" s="1004"/>
      <c r="AV1121" s="870"/>
      <c r="AW1121" s="782" t="s">
        <v>4049</v>
      </c>
      <c r="AX1121" s="782" t="s">
        <v>5422</v>
      </c>
      <c r="AY1121" s="1007" t="s">
        <v>221</v>
      </c>
      <c r="AZ1121" s="1007">
        <v>622</v>
      </c>
      <c r="BA1121" s="347" t="str">
        <f t="shared" si="224"/>
        <v>Bag</v>
      </c>
      <c r="BB1121" s="1008"/>
      <c r="BC1121" s="1009"/>
      <c r="BD1121" s="1009"/>
    </row>
    <row r="1122" spans="1:56" s="1010" customFormat="1" ht="36.75" customHeight="1">
      <c r="A1122" s="661">
        <f>SUBTOTAL(3,B$6:B1122)</f>
        <v>1117</v>
      </c>
      <c r="B1122" s="661" t="s">
        <v>3030</v>
      </c>
      <c r="C1122" s="662" t="s">
        <v>3031</v>
      </c>
      <c r="D1122" s="1011">
        <v>43882</v>
      </c>
      <c r="E1122" s="1011" t="s">
        <v>221</v>
      </c>
      <c r="F1122" s="787" t="s">
        <v>256</v>
      </c>
      <c r="G1122" s="996" t="s">
        <v>797</v>
      </c>
      <c r="H1122" s="1012">
        <v>5931000</v>
      </c>
      <c r="I1122" s="1012">
        <v>0</v>
      </c>
      <c r="J1122" s="1012">
        <v>0</v>
      </c>
      <c r="K1122" s="1012">
        <v>0</v>
      </c>
      <c r="L1122" s="1013">
        <f t="shared" si="218"/>
        <v>5931000</v>
      </c>
      <c r="M1122" s="1014">
        <v>24</v>
      </c>
      <c r="N1122" s="1013">
        <f t="shared" si="219"/>
        <v>5474769</v>
      </c>
      <c r="O1122" s="1015">
        <v>2</v>
      </c>
      <c r="P1122" s="1013">
        <f t="shared" si="220"/>
        <v>456231</v>
      </c>
      <c r="Q1122" s="1016">
        <v>0</v>
      </c>
      <c r="R1122" s="1013">
        <f t="shared" si="221"/>
        <v>0</v>
      </c>
      <c r="S1122" s="1013">
        <f t="shared" si="222"/>
        <v>5931000</v>
      </c>
      <c r="T1122" s="1017">
        <v>0</v>
      </c>
      <c r="U1122" s="785">
        <v>0</v>
      </c>
      <c r="V1122" s="785">
        <v>200000</v>
      </c>
      <c r="W1122" s="1017">
        <v>500000</v>
      </c>
      <c r="X1122" s="1017">
        <v>0</v>
      </c>
      <c r="Y1122" s="1017">
        <v>400000</v>
      </c>
      <c r="Z1122" s="1017">
        <v>668769</v>
      </c>
      <c r="AA1122" s="1018"/>
      <c r="AB1122" s="1013"/>
      <c r="AC1122" s="1017">
        <v>0</v>
      </c>
      <c r="AD1122" s="1017">
        <v>0</v>
      </c>
      <c r="AE1122" s="1013">
        <v>42771.6328125</v>
      </c>
      <c r="AF1122" s="1019"/>
      <c r="AG1122" s="1019">
        <f t="shared" si="226"/>
        <v>7742541</v>
      </c>
      <c r="AH1122" s="1014">
        <v>56</v>
      </c>
      <c r="AI1122" s="1014">
        <v>0</v>
      </c>
      <c r="AJ1122" s="1014">
        <v>0</v>
      </c>
      <c r="AK1122" s="1018">
        <v>0</v>
      </c>
      <c r="AL1122" s="1020">
        <v>0</v>
      </c>
      <c r="AM1122" s="1013">
        <f t="shared" si="225"/>
        <v>2395211</v>
      </c>
      <c r="AN1122" s="1045">
        <f t="shared" si="227"/>
        <v>10137752</v>
      </c>
      <c r="AO1122" s="1013">
        <v>622755</v>
      </c>
      <c r="AP1122" s="1013">
        <v>44100</v>
      </c>
      <c r="AQ1122" s="1013">
        <v>0</v>
      </c>
      <c r="AR1122" s="1013">
        <v>0</v>
      </c>
      <c r="AS1122" s="1013">
        <v>0</v>
      </c>
      <c r="AT1122" s="1045">
        <f t="shared" si="223"/>
        <v>9470897</v>
      </c>
      <c r="AU1122" s="1004"/>
      <c r="AV1122" s="870"/>
      <c r="AW1122" s="782" t="s">
        <v>5423</v>
      </c>
      <c r="AX1122" s="782" t="s">
        <v>5424</v>
      </c>
      <c r="AY1122" s="1007" t="s">
        <v>221</v>
      </c>
      <c r="AZ1122" s="1007">
        <v>622</v>
      </c>
      <c r="BA1122" s="347" t="str">
        <f t="shared" si="224"/>
        <v>Bag</v>
      </c>
      <c r="BB1122" s="1008"/>
      <c r="BC1122" s="1009"/>
      <c r="BD1122" s="1009"/>
    </row>
    <row r="1123" spans="1:56" s="1010" customFormat="1" ht="36.75" customHeight="1">
      <c r="A1123" s="661">
        <f>SUBTOTAL(3,B$6:B1123)</f>
        <v>1118</v>
      </c>
      <c r="B1123" s="661" t="s">
        <v>3032</v>
      </c>
      <c r="C1123" s="662" t="s">
        <v>3033</v>
      </c>
      <c r="D1123" s="1011">
        <v>43882</v>
      </c>
      <c r="E1123" s="1011" t="s">
        <v>221</v>
      </c>
      <c r="F1123" s="787" t="s">
        <v>256</v>
      </c>
      <c r="G1123" s="996" t="s">
        <v>797</v>
      </c>
      <c r="H1123" s="1012">
        <v>5931000</v>
      </c>
      <c r="I1123" s="1012">
        <v>0</v>
      </c>
      <c r="J1123" s="1012">
        <v>0</v>
      </c>
      <c r="K1123" s="1012">
        <v>0</v>
      </c>
      <c r="L1123" s="1013">
        <f t="shared" si="218"/>
        <v>5931000</v>
      </c>
      <c r="M1123" s="1014">
        <v>24</v>
      </c>
      <c r="N1123" s="1013">
        <f t="shared" si="219"/>
        <v>5474769</v>
      </c>
      <c r="O1123" s="1015">
        <v>2</v>
      </c>
      <c r="P1123" s="1013">
        <f t="shared" si="220"/>
        <v>456231</v>
      </c>
      <c r="Q1123" s="1016">
        <v>0</v>
      </c>
      <c r="R1123" s="1013">
        <f t="shared" si="221"/>
        <v>0</v>
      </c>
      <c r="S1123" s="1013">
        <f t="shared" si="222"/>
        <v>5931000</v>
      </c>
      <c r="T1123" s="1017">
        <v>0</v>
      </c>
      <c r="U1123" s="785">
        <v>0</v>
      </c>
      <c r="V1123" s="785">
        <v>200000</v>
      </c>
      <c r="W1123" s="1017">
        <v>500000</v>
      </c>
      <c r="X1123" s="1017">
        <v>0</v>
      </c>
      <c r="Y1123" s="1017">
        <v>400000</v>
      </c>
      <c r="Z1123" s="1017">
        <v>670698</v>
      </c>
      <c r="AA1123" s="1018"/>
      <c r="AB1123" s="1013"/>
      <c r="AC1123" s="1017">
        <v>0</v>
      </c>
      <c r="AD1123" s="1017">
        <v>0</v>
      </c>
      <c r="AE1123" s="1013">
        <v>0</v>
      </c>
      <c r="AF1123" s="1019"/>
      <c r="AG1123" s="1019">
        <f t="shared" si="226"/>
        <v>7701698</v>
      </c>
      <c r="AH1123" s="1014">
        <v>56</v>
      </c>
      <c r="AI1123" s="1014">
        <v>0</v>
      </c>
      <c r="AJ1123" s="1014">
        <v>0</v>
      </c>
      <c r="AK1123" s="1018">
        <v>0</v>
      </c>
      <c r="AL1123" s="1020">
        <v>0</v>
      </c>
      <c r="AM1123" s="1013">
        <f t="shared" si="225"/>
        <v>2395211</v>
      </c>
      <c r="AN1123" s="1045">
        <f t="shared" si="227"/>
        <v>10096909</v>
      </c>
      <c r="AO1123" s="1013">
        <v>622755</v>
      </c>
      <c r="AP1123" s="1013">
        <v>44100</v>
      </c>
      <c r="AQ1123" s="1013">
        <v>0</v>
      </c>
      <c r="AR1123" s="1013">
        <v>0</v>
      </c>
      <c r="AS1123" s="1013">
        <v>0</v>
      </c>
      <c r="AT1123" s="1045">
        <f t="shared" si="223"/>
        <v>9430054</v>
      </c>
      <c r="AU1123" s="1004"/>
      <c r="AV1123" s="870"/>
      <c r="AW1123" s="782" t="s">
        <v>5425</v>
      </c>
      <c r="AX1123" s="782" t="s">
        <v>5426</v>
      </c>
      <c r="AY1123" s="1007" t="s">
        <v>221</v>
      </c>
      <c r="AZ1123" s="1007">
        <v>622</v>
      </c>
      <c r="BA1123" s="347" t="str">
        <f t="shared" si="224"/>
        <v>Bag</v>
      </c>
      <c r="BB1123" s="1008"/>
      <c r="BC1123" s="1009"/>
      <c r="BD1123" s="1009"/>
    </row>
    <row r="1124" spans="1:56" s="1010" customFormat="1" ht="36.75" customHeight="1">
      <c r="A1124" s="661">
        <f>SUBTOTAL(3,B$6:B1124)</f>
        <v>1119</v>
      </c>
      <c r="B1124" s="661" t="s">
        <v>3034</v>
      </c>
      <c r="C1124" s="662" t="s">
        <v>3035</v>
      </c>
      <c r="D1124" s="1011">
        <v>43887</v>
      </c>
      <c r="E1124" s="1011" t="s">
        <v>221</v>
      </c>
      <c r="F1124" s="787" t="s">
        <v>256</v>
      </c>
      <c r="G1124" s="996" t="s">
        <v>797</v>
      </c>
      <c r="H1124" s="1012">
        <v>5931000</v>
      </c>
      <c r="I1124" s="1012">
        <v>0</v>
      </c>
      <c r="J1124" s="1012">
        <v>0</v>
      </c>
      <c r="K1124" s="1012">
        <v>0</v>
      </c>
      <c r="L1124" s="1013">
        <f t="shared" si="218"/>
        <v>5931000</v>
      </c>
      <c r="M1124" s="1014">
        <v>24</v>
      </c>
      <c r="N1124" s="1013">
        <f t="shared" si="219"/>
        <v>5474769</v>
      </c>
      <c r="O1124" s="1015">
        <v>2</v>
      </c>
      <c r="P1124" s="1013">
        <f t="shared" si="220"/>
        <v>456231</v>
      </c>
      <c r="Q1124" s="1016">
        <v>0</v>
      </c>
      <c r="R1124" s="1013">
        <f t="shared" si="221"/>
        <v>0</v>
      </c>
      <c r="S1124" s="1013">
        <f t="shared" si="222"/>
        <v>5931000</v>
      </c>
      <c r="T1124" s="1017">
        <v>0</v>
      </c>
      <c r="U1124" s="785">
        <v>0</v>
      </c>
      <c r="V1124" s="785">
        <v>200000</v>
      </c>
      <c r="W1124" s="1017">
        <v>500000</v>
      </c>
      <c r="X1124" s="1017">
        <v>0</v>
      </c>
      <c r="Y1124" s="1017">
        <v>400000</v>
      </c>
      <c r="Z1124" s="1017">
        <v>571613</v>
      </c>
      <c r="AA1124" s="1018"/>
      <c r="AB1124" s="1013"/>
      <c r="AC1124" s="1017">
        <v>0</v>
      </c>
      <c r="AD1124" s="1017">
        <v>0</v>
      </c>
      <c r="AE1124" s="1013">
        <v>42771.6328125</v>
      </c>
      <c r="AF1124" s="1019"/>
      <c r="AG1124" s="1019">
        <f t="shared" si="226"/>
        <v>7645385</v>
      </c>
      <c r="AH1124" s="1014">
        <v>52</v>
      </c>
      <c r="AI1124" s="1014">
        <v>0</v>
      </c>
      <c r="AJ1124" s="1014">
        <v>0</v>
      </c>
      <c r="AK1124" s="1018">
        <v>0</v>
      </c>
      <c r="AL1124" s="1020">
        <v>0</v>
      </c>
      <c r="AM1124" s="1013">
        <f t="shared" si="225"/>
        <v>2224125</v>
      </c>
      <c r="AN1124" s="1045">
        <f t="shared" si="227"/>
        <v>9869510</v>
      </c>
      <c r="AO1124" s="1013">
        <v>622755</v>
      </c>
      <c r="AP1124" s="1013">
        <v>44100</v>
      </c>
      <c r="AQ1124" s="1013">
        <v>0</v>
      </c>
      <c r="AR1124" s="1013">
        <v>0</v>
      </c>
      <c r="AS1124" s="1013">
        <v>0</v>
      </c>
      <c r="AT1124" s="1045">
        <f t="shared" si="223"/>
        <v>9202655</v>
      </c>
      <c r="AU1124" s="1004"/>
      <c r="AV1124" s="870"/>
      <c r="AW1124" s="782" t="s">
        <v>5427</v>
      </c>
      <c r="AX1124" s="782" t="s">
        <v>5428</v>
      </c>
      <c r="AY1124" s="1007" t="s">
        <v>221</v>
      </c>
      <c r="AZ1124" s="1007">
        <v>622</v>
      </c>
      <c r="BA1124" s="347" t="str">
        <f t="shared" si="224"/>
        <v>Bag</v>
      </c>
      <c r="BB1124" s="1008"/>
      <c r="BC1124" s="1009"/>
      <c r="BD1124" s="1009"/>
    </row>
    <row r="1125" spans="1:56" s="1010" customFormat="1" ht="36.75" customHeight="1">
      <c r="A1125" s="661">
        <f>SUBTOTAL(3,B$6:B1125)</f>
        <v>1120</v>
      </c>
      <c r="B1125" s="661" t="s">
        <v>3036</v>
      </c>
      <c r="C1125" s="662" t="s">
        <v>3037</v>
      </c>
      <c r="D1125" s="1011">
        <v>44254</v>
      </c>
      <c r="E1125" s="1011" t="s">
        <v>221</v>
      </c>
      <c r="F1125" s="787" t="s">
        <v>256</v>
      </c>
      <c r="G1125" s="996" t="s">
        <v>797</v>
      </c>
      <c r="H1125" s="1012">
        <v>5931000</v>
      </c>
      <c r="I1125" s="1012">
        <v>0</v>
      </c>
      <c r="J1125" s="1012">
        <v>0</v>
      </c>
      <c r="K1125" s="1012">
        <v>0</v>
      </c>
      <c r="L1125" s="1013">
        <f t="shared" si="218"/>
        <v>5931000</v>
      </c>
      <c r="M1125" s="1014">
        <v>23</v>
      </c>
      <c r="N1125" s="1013">
        <f t="shared" si="219"/>
        <v>5246654</v>
      </c>
      <c r="O1125" s="1015">
        <v>3</v>
      </c>
      <c r="P1125" s="1013">
        <f t="shared" si="220"/>
        <v>684346</v>
      </c>
      <c r="Q1125" s="1016">
        <v>0</v>
      </c>
      <c r="R1125" s="1013">
        <f t="shared" si="221"/>
        <v>0</v>
      </c>
      <c r="S1125" s="1013">
        <f t="shared" si="222"/>
        <v>5931000</v>
      </c>
      <c r="T1125" s="1017">
        <v>0</v>
      </c>
      <c r="U1125" s="785">
        <v>0</v>
      </c>
      <c r="V1125" s="785">
        <v>200000</v>
      </c>
      <c r="W1125" s="1017">
        <v>500000</v>
      </c>
      <c r="X1125" s="1017">
        <v>0</v>
      </c>
      <c r="Y1125" s="1017">
        <v>400000</v>
      </c>
      <c r="Z1125" s="1017">
        <v>530750</v>
      </c>
      <c r="AA1125" s="1018"/>
      <c r="AB1125" s="1013"/>
      <c r="AC1125" s="1017">
        <v>0</v>
      </c>
      <c r="AD1125" s="1017">
        <v>0</v>
      </c>
      <c r="AE1125" s="1013">
        <v>42771.635869565216</v>
      </c>
      <c r="AF1125" s="1019"/>
      <c r="AG1125" s="1019">
        <f t="shared" si="226"/>
        <v>7604522</v>
      </c>
      <c r="AH1125" s="1014">
        <v>52</v>
      </c>
      <c r="AI1125" s="1014">
        <v>0</v>
      </c>
      <c r="AJ1125" s="1014">
        <v>0</v>
      </c>
      <c r="AK1125" s="1018">
        <v>0</v>
      </c>
      <c r="AL1125" s="1020">
        <v>0</v>
      </c>
      <c r="AM1125" s="1013">
        <f t="shared" si="225"/>
        <v>2224125</v>
      </c>
      <c r="AN1125" s="1045">
        <f t="shared" si="227"/>
        <v>9828647</v>
      </c>
      <c r="AO1125" s="1013">
        <v>622755</v>
      </c>
      <c r="AP1125" s="1013">
        <v>44100</v>
      </c>
      <c r="AQ1125" s="1013">
        <v>0</v>
      </c>
      <c r="AR1125" s="1013">
        <v>0</v>
      </c>
      <c r="AS1125" s="1013">
        <v>0</v>
      </c>
      <c r="AT1125" s="1045">
        <f t="shared" si="223"/>
        <v>9161792</v>
      </c>
      <c r="AU1125" s="1004"/>
      <c r="AV1125" s="870"/>
      <c r="AW1125" s="782" t="s">
        <v>5429</v>
      </c>
      <c r="AX1125" s="782" t="s">
        <v>5430</v>
      </c>
      <c r="AY1125" s="1007" t="s">
        <v>221</v>
      </c>
      <c r="AZ1125" s="1007">
        <v>622</v>
      </c>
      <c r="BA1125" s="347" t="str">
        <f t="shared" si="224"/>
        <v>Bag</v>
      </c>
      <c r="BB1125" s="1008"/>
      <c r="BC1125" s="1009"/>
      <c r="BD1125" s="1009"/>
    </row>
    <row r="1126" spans="1:56" s="1010" customFormat="1" ht="36.75" customHeight="1">
      <c r="A1126" s="661">
        <f>SUBTOTAL(3,B$6:B1126)</f>
        <v>1121</v>
      </c>
      <c r="B1126" s="661" t="s">
        <v>3038</v>
      </c>
      <c r="C1126" s="662" t="s">
        <v>3039</v>
      </c>
      <c r="D1126" s="1011">
        <v>44260</v>
      </c>
      <c r="E1126" s="1011" t="s">
        <v>221</v>
      </c>
      <c r="F1126" s="787" t="s">
        <v>256</v>
      </c>
      <c r="G1126" s="996" t="s">
        <v>797</v>
      </c>
      <c r="H1126" s="1012">
        <v>5931000</v>
      </c>
      <c r="I1126" s="1012">
        <v>0</v>
      </c>
      <c r="J1126" s="1012">
        <v>0</v>
      </c>
      <c r="K1126" s="1012">
        <v>0</v>
      </c>
      <c r="L1126" s="1013">
        <f t="shared" si="218"/>
        <v>5931000</v>
      </c>
      <c r="M1126" s="1014">
        <v>24</v>
      </c>
      <c r="N1126" s="1013">
        <f t="shared" si="219"/>
        <v>5474769</v>
      </c>
      <c r="O1126" s="1015">
        <v>2</v>
      </c>
      <c r="P1126" s="1013">
        <f t="shared" si="220"/>
        <v>456231</v>
      </c>
      <c r="Q1126" s="1016">
        <v>0</v>
      </c>
      <c r="R1126" s="1013">
        <f t="shared" si="221"/>
        <v>0</v>
      </c>
      <c r="S1126" s="1013">
        <f t="shared" si="222"/>
        <v>5931000</v>
      </c>
      <c r="T1126" s="1017">
        <v>0</v>
      </c>
      <c r="U1126" s="785">
        <v>0</v>
      </c>
      <c r="V1126" s="785">
        <v>200000</v>
      </c>
      <c r="W1126" s="1017">
        <v>500000</v>
      </c>
      <c r="X1126" s="1017">
        <v>0</v>
      </c>
      <c r="Y1126" s="1017">
        <v>400000</v>
      </c>
      <c r="Z1126" s="1017">
        <v>930500</v>
      </c>
      <c r="AA1126" s="1018"/>
      <c r="AB1126" s="1013"/>
      <c r="AC1126" s="1017">
        <v>0</v>
      </c>
      <c r="AD1126" s="1017">
        <v>0</v>
      </c>
      <c r="AE1126" s="1013">
        <v>42771.6328125</v>
      </c>
      <c r="AF1126" s="1019"/>
      <c r="AG1126" s="1019">
        <f t="shared" si="226"/>
        <v>8004272</v>
      </c>
      <c r="AH1126" s="1014">
        <v>56</v>
      </c>
      <c r="AI1126" s="1014">
        <v>0</v>
      </c>
      <c r="AJ1126" s="1014">
        <v>0</v>
      </c>
      <c r="AK1126" s="1018">
        <v>0</v>
      </c>
      <c r="AL1126" s="1020">
        <v>0</v>
      </c>
      <c r="AM1126" s="1013">
        <f t="shared" si="225"/>
        <v>2395211</v>
      </c>
      <c r="AN1126" s="1045">
        <f t="shared" si="227"/>
        <v>10399483</v>
      </c>
      <c r="AO1126" s="1013">
        <v>622755</v>
      </c>
      <c r="AP1126" s="1013">
        <v>44100</v>
      </c>
      <c r="AQ1126" s="1013">
        <v>0</v>
      </c>
      <c r="AR1126" s="1013">
        <v>0</v>
      </c>
      <c r="AS1126" s="1013">
        <v>0</v>
      </c>
      <c r="AT1126" s="1045">
        <f t="shared" si="223"/>
        <v>9732628</v>
      </c>
      <c r="AU1126" s="1004"/>
      <c r="AV1126" s="870"/>
      <c r="AW1126" s="782" t="s">
        <v>5431</v>
      </c>
      <c r="AX1126" s="782" t="s">
        <v>5432</v>
      </c>
      <c r="AY1126" s="1007" t="s">
        <v>221</v>
      </c>
      <c r="AZ1126" s="1007">
        <v>622</v>
      </c>
      <c r="BA1126" s="347" t="str">
        <f t="shared" si="224"/>
        <v>Bag</v>
      </c>
      <c r="BB1126" s="1008"/>
      <c r="BC1126" s="1009"/>
      <c r="BD1126" s="1009"/>
    </row>
    <row r="1127" spans="1:56" s="1010" customFormat="1" ht="36.75" customHeight="1">
      <c r="A1127" s="661">
        <f>SUBTOTAL(3,B$6:B1127)</f>
        <v>1122</v>
      </c>
      <c r="B1127" s="661" t="s">
        <v>3040</v>
      </c>
      <c r="C1127" s="662" t="s">
        <v>3041</v>
      </c>
      <c r="D1127" s="1011">
        <v>44260</v>
      </c>
      <c r="E1127" s="1011" t="s">
        <v>221</v>
      </c>
      <c r="F1127" s="787" t="s">
        <v>256</v>
      </c>
      <c r="G1127" s="996" t="s">
        <v>1232</v>
      </c>
      <c r="H1127" s="1012">
        <v>5931000</v>
      </c>
      <c r="I1127" s="1012">
        <v>200000</v>
      </c>
      <c r="J1127" s="1012">
        <v>0</v>
      </c>
      <c r="K1127" s="1012">
        <v>0</v>
      </c>
      <c r="L1127" s="1013">
        <f t="shared" ref="L1127:L1190" si="228">SUM(H1127:K1127)</f>
        <v>6131000</v>
      </c>
      <c r="M1127" s="1014">
        <v>23</v>
      </c>
      <c r="N1127" s="1013">
        <f t="shared" si="219"/>
        <v>5423577</v>
      </c>
      <c r="O1127" s="1015">
        <v>3</v>
      </c>
      <c r="P1127" s="1013">
        <f t="shared" si="220"/>
        <v>707423</v>
      </c>
      <c r="Q1127" s="1016">
        <v>0</v>
      </c>
      <c r="R1127" s="1013">
        <f t="shared" si="221"/>
        <v>0</v>
      </c>
      <c r="S1127" s="1013">
        <f t="shared" si="222"/>
        <v>6131000</v>
      </c>
      <c r="T1127" s="1017">
        <v>0</v>
      </c>
      <c r="U1127" s="785">
        <v>0</v>
      </c>
      <c r="V1127" s="785">
        <v>200000</v>
      </c>
      <c r="W1127" s="1017">
        <v>500000</v>
      </c>
      <c r="X1127" s="1017">
        <v>0</v>
      </c>
      <c r="Y1127" s="1017">
        <v>400000</v>
      </c>
      <c r="Z1127" s="1017">
        <v>646048</v>
      </c>
      <c r="AA1127" s="1018"/>
      <c r="AB1127" s="1013"/>
      <c r="AC1127" s="1017">
        <v>0</v>
      </c>
      <c r="AD1127" s="1017">
        <v>0</v>
      </c>
      <c r="AE1127" s="1013">
        <v>0</v>
      </c>
      <c r="AF1127" s="1019"/>
      <c r="AG1127" s="1019">
        <f t="shared" si="226"/>
        <v>7877048</v>
      </c>
      <c r="AH1127" s="1014">
        <v>56</v>
      </c>
      <c r="AI1127" s="1014">
        <v>0</v>
      </c>
      <c r="AJ1127" s="1014">
        <v>0</v>
      </c>
      <c r="AK1127" s="1018">
        <v>0</v>
      </c>
      <c r="AL1127" s="1020">
        <v>0</v>
      </c>
      <c r="AM1127" s="1013">
        <f t="shared" si="225"/>
        <v>2475981</v>
      </c>
      <c r="AN1127" s="1045">
        <f t="shared" si="227"/>
        <v>10353029</v>
      </c>
      <c r="AO1127" s="1013">
        <v>643755</v>
      </c>
      <c r="AP1127" s="1013">
        <v>44100</v>
      </c>
      <c r="AQ1127" s="1013">
        <v>0</v>
      </c>
      <c r="AR1127" s="1013">
        <v>0</v>
      </c>
      <c r="AS1127" s="1013">
        <v>0</v>
      </c>
      <c r="AT1127" s="1045">
        <f t="shared" si="223"/>
        <v>9665174</v>
      </c>
      <c r="AU1127" s="1004"/>
      <c r="AV1127" s="870"/>
      <c r="AW1127" s="782" t="s">
        <v>5433</v>
      </c>
      <c r="AX1127" s="782" t="s">
        <v>5434</v>
      </c>
      <c r="AY1127" s="1007" t="s">
        <v>221</v>
      </c>
      <c r="AZ1127" s="1007">
        <v>622</v>
      </c>
      <c r="BA1127" s="347" t="str">
        <f t="shared" si="224"/>
        <v>Bag</v>
      </c>
      <c r="BB1127" s="1008"/>
      <c r="BC1127" s="1009"/>
      <c r="BD1127" s="1009"/>
    </row>
    <row r="1128" spans="1:56" s="1010" customFormat="1" ht="36.75" customHeight="1">
      <c r="A1128" s="661">
        <f>SUBTOTAL(3,B$6:B1128)</f>
        <v>1123</v>
      </c>
      <c r="B1128" s="661" t="s">
        <v>3042</v>
      </c>
      <c r="C1128" s="662" t="s">
        <v>3043</v>
      </c>
      <c r="D1128" s="1011">
        <v>44289</v>
      </c>
      <c r="E1128" s="1011" t="s">
        <v>221</v>
      </c>
      <c r="F1128" s="787" t="s">
        <v>256</v>
      </c>
      <c r="G1128" s="996" t="s">
        <v>797</v>
      </c>
      <c r="H1128" s="1012">
        <v>5931000</v>
      </c>
      <c r="I1128" s="1012">
        <v>0</v>
      </c>
      <c r="J1128" s="1012">
        <v>0</v>
      </c>
      <c r="K1128" s="1012">
        <v>0</v>
      </c>
      <c r="L1128" s="1013">
        <f t="shared" si="228"/>
        <v>5931000</v>
      </c>
      <c r="M1128" s="1014">
        <v>21</v>
      </c>
      <c r="N1128" s="1013">
        <f t="shared" ref="N1128:N1191" si="229">ROUND((H1128+I1128+J1128+K1128)/IF($M$2&gt;26,26,$M$2)*M1128,0)</f>
        <v>4790423</v>
      </c>
      <c r="O1128" s="1015">
        <v>2</v>
      </c>
      <c r="P1128" s="1013">
        <f t="shared" ref="P1128:P1191" si="230">ROUND((H1128+I1128+J1128+K1128)/IF($M$2&gt;26,26,$M$2)*O1128,0)</f>
        <v>456231</v>
      </c>
      <c r="Q1128" s="1016">
        <v>0</v>
      </c>
      <c r="R1128" s="1013">
        <f t="shared" ref="R1128:R1191" si="231">IF(M1128&gt;0,ROUND(N1128/IF(M1128&gt;26,26,M1128)/8*Q1128*30%,0),0)</f>
        <v>0</v>
      </c>
      <c r="S1128" s="1013">
        <f t="shared" ref="S1128:S1191" si="232">N1128+P1128+R1128</f>
        <v>5246654</v>
      </c>
      <c r="T1128" s="1017">
        <v>0</v>
      </c>
      <c r="U1128" s="785">
        <v>0</v>
      </c>
      <c r="V1128" s="785">
        <v>200000</v>
      </c>
      <c r="W1128" s="1017">
        <v>0</v>
      </c>
      <c r="X1128" s="1017">
        <v>0</v>
      </c>
      <c r="Y1128" s="1017">
        <v>150000</v>
      </c>
      <c r="Z1128" s="1017">
        <v>598674</v>
      </c>
      <c r="AA1128" s="1018"/>
      <c r="AB1128" s="1013"/>
      <c r="AC1128" s="1017">
        <v>0</v>
      </c>
      <c r="AD1128" s="1017">
        <v>0</v>
      </c>
      <c r="AE1128" s="1013">
        <v>0</v>
      </c>
      <c r="AF1128" s="1019"/>
      <c r="AG1128" s="1019">
        <f t="shared" si="226"/>
        <v>6195328</v>
      </c>
      <c r="AH1128" s="1014">
        <v>52</v>
      </c>
      <c r="AI1128" s="1014">
        <v>0</v>
      </c>
      <c r="AJ1128" s="1014">
        <v>0</v>
      </c>
      <c r="AK1128" s="1018">
        <v>0</v>
      </c>
      <c r="AL1128" s="1020">
        <v>0</v>
      </c>
      <c r="AM1128" s="1013">
        <f t="shared" si="225"/>
        <v>2224125</v>
      </c>
      <c r="AN1128" s="1045">
        <f t="shared" si="227"/>
        <v>8419453</v>
      </c>
      <c r="AO1128" s="1013">
        <v>622755</v>
      </c>
      <c r="AP1128" s="1013">
        <v>44100</v>
      </c>
      <c r="AQ1128" s="1013">
        <v>0</v>
      </c>
      <c r="AR1128" s="1013">
        <v>0</v>
      </c>
      <c r="AS1128" s="1013">
        <v>0</v>
      </c>
      <c r="AT1128" s="1045">
        <f t="shared" si="223"/>
        <v>7752598</v>
      </c>
      <c r="AU1128" s="1004"/>
      <c r="AV1128" s="870"/>
      <c r="AW1128" s="782" t="s">
        <v>5435</v>
      </c>
      <c r="AX1128" s="782" t="s">
        <v>5436</v>
      </c>
      <c r="AY1128" s="1007" t="s">
        <v>221</v>
      </c>
      <c r="AZ1128" s="1007">
        <v>622</v>
      </c>
      <c r="BA1128" s="347" t="str">
        <f t="shared" si="224"/>
        <v>Bag</v>
      </c>
      <c r="BB1128" s="1008"/>
      <c r="BC1128" s="1009"/>
      <c r="BD1128" s="1009"/>
    </row>
    <row r="1129" spans="1:56" s="1010" customFormat="1" ht="36.75" customHeight="1">
      <c r="A1129" s="661">
        <f>SUBTOTAL(3,B$6:B1129)</f>
        <v>1124</v>
      </c>
      <c r="B1129" s="661" t="s">
        <v>3044</v>
      </c>
      <c r="C1129" s="662" t="s">
        <v>3045</v>
      </c>
      <c r="D1129" s="1011">
        <v>44328</v>
      </c>
      <c r="E1129" s="1011" t="s">
        <v>221</v>
      </c>
      <c r="F1129" s="787" t="s">
        <v>256</v>
      </c>
      <c r="G1129" s="996" t="s">
        <v>797</v>
      </c>
      <c r="H1129" s="1012">
        <v>5931000</v>
      </c>
      <c r="I1129" s="1012">
        <v>0</v>
      </c>
      <c r="J1129" s="1012">
        <v>0</v>
      </c>
      <c r="K1129" s="1012">
        <v>0</v>
      </c>
      <c r="L1129" s="1013">
        <f t="shared" si="228"/>
        <v>5931000</v>
      </c>
      <c r="M1129" s="1014">
        <v>24</v>
      </c>
      <c r="N1129" s="1013">
        <f t="shared" si="229"/>
        <v>5474769</v>
      </c>
      <c r="O1129" s="1015">
        <v>2</v>
      </c>
      <c r="P1129" s="1013">
        <f t="shared" si="230"/>
        <v>456231</v>
      </c>
      <c r="Q1129" s="1016">
        <v>0</v>
      </c>
      <c r="R1129" s="1013">
        <f t="shared" si="231"/>
        <v>0</v>
      </c>
      <c r="S1129" s="1013">
        <f t="shared" si="232"/>
        <v>5931000</v>
      </c>
      <c r="T1129" s="1017">
        <v>0</v>
      </c>
      <c r="U1129" s="785">
        <v>0</v>
      </c>
      <c r="V1129" s="785">
        <v>200000</v>
      </c>
      <c r="W1129" s="1017">
        <v>500000</v>
      </c>
      <c r="X1129" s="1017">
        <v>0</v>
      </c>
      <c r="Y1129" s="1017">
        <v>400000</v>
      </c>
      <c r="Z1129" s="1017">
        <v>780582</v>
      </c>
      <c r="AA1129" s="1018"/>
      <c r="AB1129" s="1013"/>
      <c r="AC1129" s="1017">
        <v>0</v>
      </c>
      <c r="AD1129" s="1017">
        <v>0</v>
      </c>
      <c r="AE1129" s="1013">
        <v>42771.6328125</v>
      </c>
      <c r="AF1129" s="1019"/>
      <c r="AG1129" s="1019">
        <f t="shared" si="226"/>
        <v>7854354</v>
      </c>
      <c r="AH1129" s="1014">
        <v>56</v>
      </c>
      <c r="AI1129" s="1014">
        <v>0</v>
      </c>
      <c r="AJ1129" s="1014">
        <v>0</v>
      </c>
      <c r="AK1129" s="1018">
        <v>0</v>
      </c>
      <c r="AL1129" s="1020">
        <v>0</v>
      </c>
      <c r="AM1129" s="1013">
        <f t="shared" si="225"/>
        <v>2395211</v>
      </c>
      <c r="AN1129" s="1045">
        <f t="shared" si="227"/>
        <v>10249565</v>
      </c>
      <c r="AO1129" s="1013">
        <v>622755</v>
      </c>
      <c r="AP1129" s="1013">
        <v>44100</v>
      </c>
      <c r="AQ1129" s="1013">
        <v>0</v>
      </c>
      <c r="AR1129" s="1013">
        <v>0</v>
      </c>
      <c r="AS1129" s="1013">
        <v>0</v>
      </c>
      <c r="AT1129" s="1045">
        <f t="shared" si="223"/>
        <v>9582710</v>
      </c>
      <c r="AU1129" s="1004"/>
      <c r="AV1129" s="870"/>
      <c r="AW1129" s="782" t="s">
        <v>5437</v>
      </c>
      <c r="AX1129" s="782" t="s">
        <v>5438</v>
      </c>
      <c r="AY1129" s="1007" t="s">
        <v>221</v>
      </c>
      <c r="AZ1129" s="1007">
        <v>622</v>
      </c>
      <c r="BA1129" s="347" t="str">
        <f t="shared" si="224"/>
        <v>Bag</v>
      </c>
      <c r="BB1129" s="1008"/>
      <c r="BC1129" s="1009"/>
      <c r="BD1129" s="1009"/>
    </row>
    <row r="1130" spans="1:56" s="1010" customFormat="1" ht="36.75" customHeight="1">
      <c r="A1130" s="661">
        <f>SUBTOTAL(3,B$6:B1130)</f>
        <v>1125</v>
      </c>
      <c r="B1130" s="661" t="s">
        <v>3046</v>
      </c>
      <c r="C1130" s="662" t="s">
        <v>3047</v>
      </c>
      <c r="D1130" s="1011">
        <v>44361</v>
      </c>
      <c r="E1130" s="1011" t="s">
        <v>221</v>
      </c>
      <c r="F1130" s="787" t="s">
        <v>256</v>
      </c>
      <c r="G1130" s="996" t="s">
        <v>797</v>
      </c>
      <c r="H1130" s="1012">
        <v>5931000</v>
      </c>
      <c r="I1130" s="1012">
        <v>0</v>
      </c>
      <c r="J1130" s="1012">
        <v>0</v>
      </c>
      <c r="K1130" s="1012">
        <v>0</v>
      </c>
      <c r="L1130" s="1013">
        <f t="shared" si="228"/>
        <v>5931000</v>
      </c>
      <c r="M1130" s="1014">
        <v>24</v>
      </c>
      <c r="N1130" s="1013">
        <f t="shared" si="229"/>
        <v>5474769</v>
      </c>
      <c r="O1130" s="1015">
        <v>2</v>
      </c>
      <c r="P1130" s="1013">
        <f t="shared" si="230"/>
        <v>456231</v>
      </c>
      <c r="Q1130" s="1016">
        <v>0</v>
      </c>
      <c r="R1130" s="1013">
        <f t="shared" si="231"/>
        <v>0</v>
      </c>
      <c r="S1130" s="1013">
        <f t="shared" si="232"/>
        <v>5931000</v>
      </c>
      <c r="T1130" s="1017">
        <v>0</v>
      </c>
      <c r="U1130" s="785">
        <v>0</v>
      </c>
      <c r="V1130" s="785">
        <v>200000</v>
      </c>
      <c r="W1130" s="1017">
        <v>500000</v>
      </c>
      <c r="X1130" s="1017">
        <v>0</v>
      </c>
      <c r="Y1130" s="1017">
        <v>400000</v>
      </c>
      <c r="Z1130" s="1017">
        <v>616747</v>
      </c>
      <c r="AA1130" s="1018"/>
      <c r="AB1130" s="1013"/>
      <c r="AC1130" s="1017">
        <v>0</v>
      </c>
      <c r="AD1130" s="1017">
        <v>0</v>
      </c>
      <c r="AE1130" s="1013">
        <v>42771.6328125</v>
      </c>
      <c r="AF1130" s="1019"/>
      <c r="AG1130" s="1019">
        <f t="shared" si="226"/>
        <v>7690519</v>
      </c>
      <c r="AH1130" s="1014">
        <v>56</v>
      </c>
      <c r="AI1130" s="1014">
        <v>0</v>
      </c>
      <c r="AJ1130" s="1014">
        <v>0</v>
      </c>
      <c r="AK1130" s="1018">
        <v>0</v>
      </c>
      <c r="AL1130" s="1020">
        <v>0</v>
      </c>
      <c r="AM1130" s="1013">
        <f t="shared" si="225"/>
        <v>2395211</v>
      </c>
      <c r="AN1130" s="1045">
        <f t="shared" si="227"/>
        <v>10085730</v>
      </c>
      <c r="AO1130" s="1013">
        <v>622755</v>
      </c>
      <c r="AP1130" s="1013">
        <v>44100</v>
      </c>
      <c r="AQ1130" s="1013">
        <v>0</v>
      </c>
      <c r="AR1130" s="1013">
        <v>0</v>
      </c>
      <c r="AS1130" s="1013">
        <v>0</v>
      </c>
      <c r="AT1130" s="1045">
        <f t="shared" si="223"/>
        <v>9418875</v>
      </c>
      <c r="AU1130" s="1004"/>
      <c r="AV1130" s="870"/>
      <c r="AW1130" s="782" t="s">
        <v>5439</v>
      </c>
      <c r="AX1130" s="782" t="s">
        <v>5440</v>
      </c>
      <c r="AY1130" s="1007" t="s">
        <v>221</v>
      </c>
      <c r="AZ1130" s="1007">
        <v>622</v>
      </c>
      <c r="BA1130" s="347" t="str">
        <f t="shared" si="224"/>
        <v>Bag</v>
      </c>
      <c r="BB1130" s="1008"/>
      <c r="BC1130" s="1009"/>
      <c r="BD1130" s="1009"/>
    </row>
    <row r="1131" spans="1:56" s="1010" customFormat="1" ht="36.75" customHeight="1">
      <c r="A1131" s="661">
        <f>SUBTOTAL(3,B$6:B1131)</f>
        <v>1126</v>
      </c>
      <c r="B1131" s="661" t="s">
        <v>3048</v>
      </c>
      <c r="C1131" s="662" t="s">
        <v>1318</v>
      </c>
      <c r="D1131" s="1011">
        <v>44603</v>
      </c>
      <c r="E1131" s="1011" t="s">
        <v>221</v>
      </c>
      <c r="F1131" s="787" t="s">
        <v>256</v>
      </c>
      <c r="G1131" s="996" t="s">
        <v>797</v>
      </c>
      <c r="H1131" s="1012">
        <v>5931000</v>
      </c>
      <c r="I1131" s="1012">
        <v>0</v>
      </c>
      <c r="J1131" s="1012">
        <v>0</v>
      </c>
      <c r="K1131" s="1012">
        <v>0</v>
      </c>
      <c r="L1131" s="1013">
        <f t="shared" si="228"/>
        <v>5931000</v>
      </c>
      <c r="M1131" s="1014">
        <v>23</v>
      </c>
      <c r="N1131" s="1013">
        <f t="shared" si="229"/>
        <v>5246654</v>
      </c>
      <c r="O1131" s="1015">
        <v>3</v>
      </c>
      <c r="P1131" s="1013">
        <f t="shared" si="230"/>
        <v>684346</v>
      </c>
      <c r="Q1131" s="1016">
        <v>0</v>
      </c>
      <c r="R1131" s="1013">
        <f t="shared" si="231"/>
        <v>0</v>
      </c>
      <c r="S1131" s="1013">
        <f t="shared" si="232"/>
        <v>5931000</v>
      </c>
      <c r="T1131" s="1017">
        <v>0</v>
      </c>
      <c r="U1131" s="785">
        <v>0</v>
      </c>
      <c r="V1131" s="785">
        <v>200000</v>
      </c>
      <c r="W1131" s="1017">
        <v>500000</v>
      </c>
      <c r="X1131" s="1017">
        <v>0</v>
      </c>
      <c r="Y1131" s="1017">
        <v>400000</v>
      </c>
      <c r="Z1131" s="1017">
        <v>451324</v>
      </c>
      <c r="AA1131" s="1018"/>
      <c r="AB1131" s="1013"/>
      <c r="AC1131" s="1017">
        <v>0</v>
      </c>
      <c r="AD1131" s="1017">
        <v>0</v>
      </c>
      <c r="AE1131" s="1013">
        <v>42771.635869565216</v>
      </c>
      <c r="AF1131" s="1019"/>
      <c r="AG1131" s="1019">
        <f t="shared" si="226"/>
        <v>7525096</v>
      </c>
      <c r="AH1131" s="1014">
        <v>24</v>
      </c>
      <c r="AI1131" s="1014">
        <v>0</v>
      </c>
      <c r="AJ1131" s="1014">
        <v>0</v>
      </c>
      <c r="AK1131" s="1018">
        <v>0</v>
      </c>
      <c r="AL1131" s="1020">
        <v>0</v>
      </c>
      <c r="AM1131" s="1013">
        <f t="shared" si="225"/>
        <v>1026519</v>
      </c>
      <c r="AN1131" s="1045">
        <f t="shared" si="227"/>
        <v>8551615</v>
      </c>
      <c r="AO1131" s="1013">
        <v>622755</v>
      </c>
      <c r="AP1131" s="1013">
        <v>44100</v>
      </c>
      <c r="AQ1131" s="1013">
        <v>0</v>
      </c>
      <c r="AR1131" s="1013">
        <v>0</v>
      </c>
      <c r="AS1131" s="1013">
        <v>0</v>
      </c>
      <c r="AT1131" s="1045">
        <f t="shared" si="223"/>
        <v>7884760</v>
      </c>
      <c r="AU1131" s="1004"/>
      <c r="AV1131" s="870"/>
      <c r="AW1131" s="782" t="s">
        <v>3831</v>
      </c>
      <c r="AX1131" s="782" t="s">
        <v>5441</v>
      </c>
      <c r="AY1131" s="1007" t="s">
        <v>221</v>
      </c>
      <c r="AZ1131" s="1007">
        <v>622</v>
      </c>
      <c r="BA1131" s="347" t="str">
        <f t="shared" si="224"/>
        <v>Bag</v>
      </c>
      <c r="BB1131" s="1008"/>
      <c r="BC1131" s="1009"/>
      <c r="BD1131" s="1009"/>
    </row>
    <row r="1132" spans="1:56" s="1010" customFormat="1" ht="36.75" customHeight="1">
      <c r="A1132" s="661">
        <f>SUBTOTAL(3,B$6:B1132)</f>
        <v>1127</v>
      </c>
      <c r="B1132" s="661" t="s">
        <v>5793</v>
      </c>
      <c r="C1132" s="662" t="s">
        <v>5794</v>
      </c>
      <c r="D1132" s="1011">
        <v>44608</v>
      </c>
      <c r="E1132" s="1011" t="s">
        <v>221</v>
      </c>
      <c r="F1132" s="787" t="s">
        <v>256</v>
      </c>
      <c r="G1132" s="996" t="s">
        <v>797</v>
      </c>
      <c r="H1132" s="1012">
        <v>5931000</v>
      </c>
      <c r="I1132" s="1012">
        <v>0</v>
      </c>
      <c r="J1132" s="1012">
        <v>0</v>
      </c>
      <c r="K1132" s="1012">
        <v>0</v>
      </c>
      <c r="L1132" s="1013">
        <f t="shared" si="228"/>
        <v>5931000</v>
      </c>
      <c r="M1132" s="1014">
        <v>13.7</v>
      </c>
      <c r="N1132" s="1013">
        <f t="shared" si="229"/>
        <v>3125181</v>
      </c>
      <c r="O1132" s="1015">
        <v>1</v>
      </c>
      <c r="P1132" s="1013">
        <f t="shared" si="230"/>
        <v>228115</v>
      </c>
      <c r="Q1132" s="1016">
        <v>0</v>
      </c>
      <c r="R1132" s="1013">
        <f t="shared" si="231"/>
        <v>0</v>
      </c>
      <c r="S1132" s="1013">
        <f t="shared" si="232"/>
        <v>3353296</v>
      </c>
      <c r="T1132" s="1017">
        <v>0</v>
      </c>
      <c r="U1132" s="785">
        <v>0</v>
      </c>
      <c r="V1132" s="785">
        <v>200000</v>
      </c>
      <c r="W1132" s="1017">
        <v>0</v>
      </c>
      <c r="X1132" s="1017">
        <v>0</v>
      </c>
      <c r="Y1132" s="1017">
        <v>0</v>
      </c>
      <c r="Z1132" s="1017">
        <v>207115</v>
      </c>
      <c r="AA1132" s="1018"/>
      <c r="AB1132" s="1013"/>
      <c r="AC1132" s="1017">
        <v>0</v>
      </c>
      <c r="AD1132" s="1017">
        <v>0</v>
      </c>
      <c r="AE1132" s="1013">
        <v>42771.637773722628</v>
      </c>
      <c r="AF1132" s="1019"/>
      <c r="AG1132" s="1019">
        <f t="shared" si="226"/>
        <v>3803183</v>
      </c>
      <c r="AH1132" s="1014">
        <v>0</v>
      </c>
      <c r="AI1132" s="1014">
        <v>0</v>
      </c>
      <c r="AJ1132" s="1014">
        <v>0</v>
      </c>
      <c r="AK1132" s="1018">
        <v>0</v>
      </c>
      <c r="AL1132" s="1020">
        <v>0</v>
      </c>
      <c r="AM1132" s="1013">
        <f t="shared" si="225"/>
        <v>0</v>
      </c>
      <c r="AN1132" s="1045">
        <f t="shared" si="227"/>
        <v>3803183</v>
      </c>
      <c r="AO1132" s="1013">
        <v>622755</v>
      </c>
      <c r="AP1132" s="1013">
        <v>44100</v>
      </c>
      <c r="AQ1132" s="1013">
        <v>0</v>
      </c>
      <c r="AR1132" s="1013">
        <v>0</v>
      </c>
      <c r="AS1132" s="1013">
        <v>0</v>
      </c>
      <c r="AT1132" s="1045">
        <f t="shared" si="223"/>
        <v>3136328</v>
      </c>
      <c r="AU1132" s="1004"/>
      <c r="AV1132" s="870"/>
      <c r="AW1132" s="782" t="s">
        <v>5893</v>
      </c>
      <c r="AX1132" s="782" t="s">
        <v>5894</v>
      </c>
      <c r="AY1132" s="1007" t="s">
        <v>221</v>
      </c>
      <c r="AZ1132" s="1007">
        <v>622</v>
      </c>
      <c r="BA1132" s="347" t="str">
        <f t="shared" si="224"/>
        <v>Bag</v>
      </c>
      <c r="BB1132" s="1008"/>
      <c r="BC1132" s="1009"/>
      <c r="BD1132" s="1009"/>
    </row>
    <row r="1133" spans="1:56" s="1010" customFormat="1" ht="36.75" customHeight="1">
      <c r="A1133" s="661">
        <f>SUBTOTAL(3,B$6:B1133)</f>
        <v>1128</v>
      </c>
      <c r="B1133" s="661" t="s">
        <v>3049</v>
      </c>
      <c r="C1133" s="662" t="s">
        <v>3050</v>
      </c>
      <c r="D1133" s="1011">
        <v>44694</v>
      </c>
      <c r="E1133" s="1011" t="s">
        <v>221</v>
      </c>
      <c r="F1133" s="787" t="s">
        <v>256</v>
      </c>
      <c r="G1133" s="996" t="s">
        <v>1232</v>
      </c>
      <c r="H1133" s="1012">
        <v>5815000</v>
      </c>
      <c r="I1133" s="1012">
        <v>200000</v>
      </c>
      <c r="J1133" s="1012">
        <v>0</v>
      </c>
      <c r="K1133" s="1012">
        <v>0</v>
      </c>
      <c r="L1133" s="1013">
        <f t="shared" si="228"/>
        <v>6015000</v>
      </c>
      <c r="M1133" s="1014">
        <v>24</v>
      </c>
      <c r="N1133" s="1013">
        <f t="shared" si="229"/>
        <v>5552308</v>
      </c>
      <c r="O1133" s="1015">
        <v>2</v>
      </c>
      <c r="P1133" s="1013">
        <f t="shared" si="230"/>
        <v>462692</v>
      </c>
      <c r="Q1133" s="1016">
        <v>0</v>
      </c>
      <c r="R1133" s="1013">
        <f t="shared" si="231"/>
        <v>0</v>
      </c>
      <c r="S1133" s="1013">
        <f t="shared" si="232"/>
        <v>6015000</v>
      </c>
      <c r="T1133" s="1017">
        <v>0</v>
      </c>
      <c r="U1133" s="785">
        <v>0</v>
      </c>
      <c r="V1133" s="785">
        <v>200000</v>
      </c>
      <c r="W1133" s="1017">
        <v>500000</v>
      </c>
      <c r="X1133" s="1017">
        <v>0</v>
      </c>
      <c r="Y1133" s="1017">
        <v>400000</v>
      </c>
      <c r="Z1133" s="1017">
        <v>569778</v>
      </c>
      <c r="AA1133" s="1018"/>
      <c r="AB1133" s="1013"/>
      <c r="AC1133" s="1017">
        <v>0</v>
      </c>
      <c r="AD1133" s="1017">
        <v>0</v>
      </c>
      <c r="AE1133" s="1013">
        <v>0</v>
      </c>
      <c r="AF1133" s="1019"/>
      <c r="AG1133" s="1019">
        <f t="shared" si="226"/>
        <v>7684778</v>
      </c>
      <c r="AH1133" s="1014">
        <v>56</v>
      </c>
      <c r="AI1133" s="1014">
        <v>0</v>
      </c>
      <c r="AJ1133" s="1014">
        <v>0</v>
      </c>
      <c r="AK1133" s="1018">
        <v>0</v>
      </c>
      <c r="AL1133" s="1020">
        <v>0</v>
      </c>
      <c r="AM1133" s="1013">
        <f t="shared" si="225"/>
        <v>2429135</v>
      </c>
      <c r="AN1133" s="1045">
        <f t="shared" si="227"/>
        <v>10113913</v>
      </c>
      <c r="AO1133" s="1013">
        <v>631575</v>
      </c>
      <c r="AP1133" s="1013">
        <v>44100</v>
      </c>
      <c r="AQ1133" s="1013">
        <v>0</v>
      </c>
      <c r="AR1133" s="1013">
        <v>0</v>
      </c>
      <c r="AS1133" s="1013">
        <v>0</v>
      </c>
      <c r="AT1133" s="1045">
        <f t="shared" ref="AT1133:AT1196" si="233">+ROUND(SUM(AN1133:AN1133)-SUM(AO1133:AS1133),0)</f>
        <v>9438238</v>
      </c>
      <c r="AU1133" s="1004"/>
      <c r="AV1133" s="870"/>
      <c r="AW1133" s="782" t="s">
        <v>5442</v>
      </c>
      <c r="AX1133" s="782" t="s">
        <v>5443</v>
      </c>
      <c r="AY1133" s="1007" t="s">
        <v>221</v>
      </c>
      <c r="AZ1133" s="1007">
        <v>622</v>
      </c>
      <c r="BA1133" s="347" t="str">
        <f t="shared" si="224"/>
        <v>Bag</v>
      </c>
      <c r="BB1133" s="1008"/>
      <c r="BC1133" s="1009"/>
      <c r="BD1133" s="1009"/>
    </row>
    <row r="1134" spans="1:56" s="1010" customFormat="1" ht="36.75" customHeight="1">
      <c r="A1134" s="661">
        <f>SUBTOTAL(3,B$6:B1134)</f>
        <v>1129</v>
      </c>
      <c r="B1134" s="661" t="s">
        <v>3051</v>
      </c>
      <c r="C1134" s="662" t="s">
        <v>3052</v>
      </c>
      <c r="D1134" s="1011">
        <v>44701</v>
      </c>
      <c r="E1134" s="1011" t="s">
        <v>221</v>
      </c>
      <c r="F1134" s="787" t="s">
        <v>256</v>
      </c>
      <c r="G1134" s="996" t="s">
        <v>797</v>
      </c>
      <c r="H1134" s="1012">
        <v>5815000</v>
      </c>
      <c r="I1134" s="1012">
        <v>0</v>
      </c>
      <c r="J1134" s="1012">
        <v>0</v>
      </c>
      <c r="K1134" s="1012">
        <v>0</v>
      </c>
      <c r="L1134" s="1013">
        <f t="shared" si="228"/>
        <v>5815000</v>
      </c>
      <c r="M1134" s="1014">
        <v>22</v>
      </c>
      <c r="N1134" s="1013">
        <f t="shared" si="229"/>
        <v>4920385</v>
      </c>
      <c r="O1134" s="1015">
        <v>2</v>
      </c>
      <c r="P1134" s="1013">
        <f t="shared" si="230"/>
        <v>447308</v>
      </c>
      <c r="Q1134" s="1016">
        <v>0</v>
      </c>
      <c r="R1134" s="1013">
        <f t="shared" si="231"/>
        <v>0</v>
      </c>
      <c r="S1134" s="1013">
        <f t="shared" si="232"/>
        <v>5367693</v>
      </c>
      <c r="T1134" s="1017">
        <v>0</v>
      </c>
      <c r="U1134" s="785">
        <v>0</v>
      </c>
      <c r="V1134" s="785">
        <v>200000</v>
      </c>
      <c r="W1134" s="1017">
        <v>0</v>
      </c>
      <c r="X1134" s="1017">
        <v>0</v>
      </c>
      <c r="Y1134" s="1017">
        <v>0</v>
      </c>
      <c r="Z1134" s="1017">
        <v>505436</v>
      </c>
      <c r="AA1134" s="1018"/>
      <c r="AB1134" s="1013"/>
      <c r="AC1134" s="1017">
        <v>0</v>
      </c>
      <c r="AD1134" s="1017">
        <v>0</v>
      </c>
      <c r="AE1134" s="1013">
        <v>41935.099431818184</v>
      </c>
      <c r="AF1134" s="1019"/>
      <c r="AG1134" s="1019">
        <f t="shared" si="226"/>
        <v>6115064</v>
      </c>
      <c r="AH1134" s="1014">
        <v>49.5</v>
      </c>
      <c r="AI1134" s="1014">
        <v>0</v>
      </c>
      <c r="AJ1134" s="1014">
        <v>0</v>
      </c>
      <c r="AK1134" s="1018">
        <v>0</v>
      </c>
      <c r="AL1134" s="1020">
        <v>0</v>
      </c>
      <c r="AM1134" s="1013">
        <f t="shared" si="225"/>
        <v>2075787</v>
      </c>
      <c r="AN1134" s="1045">
        <f t="shared" si="227"/>
        <v>8190851</v>
      </c>
      <c r="AO1134" s="1013">
        <v>610575</v>
      </c>
      <c r="AP1134" s="1013">
        <v>44100</v>
      </c>
      <c r="AQ1134" s="1013">
        <v>0</v>
      </c>
      <c r="AR1134" s="1013">
        <v>0</v>
      </c>
      <c r="AS1134" s="1013">
        <v>0</v>
      </c>
      <c r="AT1134" s="1045">
        <f t="shared" si="233"/>
        <v>7536176</v>
      </c>
      <c r="AU1134" s="1004"/>
      <c r="AV1134" s="870"/>
      <c r="AW1134" s="782" t="s">
        <v>5444</v>
      </c>
      <c r="AX1134" s="782" t="s">
        <v>5445</v>
      </c>
      <c r="AY1134" s="1007" t="s">
        <v>221</v>
      </c>
      <c r="AZ1134" s="1007">
        <v>622</v>
      </c>
      <c r="BA1134" s="347" t="str">
        <f t="shared" si="224"/>
        <v>Bag</v>
      </c>
      <c r="BB1134" s="1008"/>
      <c r="BC1134" s="1009"/>
      <c r="BD1134" s="1009"/>
    </row>
    <row r="1135" spans="1:56" s="1010" customFormat="1" ht="36.75" customHeight="1">
      <c r="A1135" s="661">
        <f>SUBTOTAL(3,B$6:B1135)</f>
        <v>1130</v>
      </c>
      <c r="B1135" s="661" t="s">
        <v>3053</v>
      </c>
      <c r="C1135" s="662" t="s">
        <v>3054</v>
      </c>
      <c r="D1135" s="1011">
        <v>44713</v>
      </c>
      <c r="E1135" s="1011" t="s">
        <v>221</v>
      </c>
      <c r="F1135" s="787" t="s">
        <v>256</v>
      </c>
      <c r="G1135" s="996" t="s">
        <v>797</v>
      </c>
      <c r="H1135" s="1012">
        <v>5815000</v>
      </c>
      <c r="I1135" s="1012">
        <v>0</v>
      </c>
      <c r="J1135" s="1012">
        <v>0</v>
      </c>
      <c r="K1135" s="1012">
        <v>0</v>
      </c>
      <c r="L1135" s="1013">
        <f t="shared" si="228"/>
        <v>5815000</v>
      </c>
      <c r="M1135" s="1014">
        <v>24</v>
      </c>
      <c r="N1135" s="1013">
        <f t="shared" si="229"/>
        <v>5367692</v>
      </c>
      <c r="O1135" s="1015">
        <v>2</v>
      </c>
      <c r="P1135" s="1013">
        <f t="shared" si="230"/>
        <v>447308</v>
      </c>
      <c r="Q1135" s="1016">
        <v>0</v>
      </c>
      <c r="R1135" s="1013">
        <f t="shared" si="231"/>
        <v>0</v>
      </c>
      <c r="S1135" s="1013">
        <f t="shared" si="232"/>
        <v>5815000</v>
      </c>
      <c r="T1135" s="1017">
        <v>0</v>
      </c>
      <c r="U1135" s="785">
        <v>0</v>
      </c>
      <c r="V1135" s="785">
        <v>200000</v>
      </c>
      <c r="W1135" s="1017">
        <v>500000</v>
      </c>
      <c r="X1135" s="1017">
        <v>0</v>
      </c>
      <c r="Y1135" s="1017">
        <v>400000</v>
      </c>
      <c r="Z1135" s="1017">
        <v>664417</v>
      </c>
      <c r="AA1135" s="1018"/>
      <c r="AB1135" s="1013"/>
      <c r="AC1135" s="1017">
        <v>0</v>
      </c>
      <c r="AD1135" s="1017">
        <v>0</v>
      </c>
      <c r="AE1135" s="1013">
        <v>0</v>
      </c>
      <c r="AF1135" s="1019"/>
      <c r="AG1135" s="1019">
        <f t="shared" si="226"/>
        <v>7579417</v>
      </c>
      <c r="AH1135" s="1014">
        <v>52</v>
      </c>
      <c r="AI1135" s="1014">
        <v>0</v>
      </c>
      <c r="AJ1135" s="1014">
        <v>0</v>
      </c>
      <c r="AK1135" s="1018">
        <v>0</v>
      </c>
      <c r="AL1135" s="1020">
        <v>0</v>
      </c>
      <c r="AM1135" s="1013">
        <f t="shared" si="225"/>
        <v>2180625</v>
      </c>
      <c r="AN1135" s="1045">
        <f t="shared" si="227"/>
        <v>9760042</v>
      </c>
      <c r="AO1135" s="1013">
        <v>610575</v>
      </c>
      <c r="AP1135" s="1013">
        <v>44100</v>
      </c>
      <c r="AQ1135" s="1013">
        <v>0</v>
      </c>
      <c r="AR1135" s="1013">
        <v>0</v>
      </c>
      <c r="AS1135" s="1013">
        <v>0</v>
      </c>
      <c r="AT1135" s="1045">
        <f t="shared" si="233"/>
        <v>9105367</v>
      </c>
      <c r="AU1135" s="1004"/>
      <c r="AV1135" s="870"/>
      <c r="AW1135" s="782" t="s">
        <v>5446</v>
      </c>
      <c r="AX1135" s="782" t="s">
        <v>5447</v>
      </c>
      <c r="AY1135" s="1007" t="s">
        <v>221</v>
      </c>
      <c r="AZ1135" s="1007">
        <v>622</v>
      </c>
      <c r="BA1135" s="347" t="str">
        <f t="shared" si="224"/>
        <v>Bag</v>
      </c>
      <c r="BB1135" s="1008"/>
      <c r="BC1135" s="1009"/>
      <c r="BD1135" s="1009"/>
    </row>
    <row r="1136" spans="1:56" s="1010" customFormat="1" ht="36.75" customHeight="1">
      <c r="A1136" s="661">
        <f>SUBTOTAL(3,B$6:B1136)</f>
        <v>1131</v>
      </c>
      <c r="B1136" s="661" t="s">
        <v>3055</v>
      </c>
      <c r="C1136" s="662" t="s">
        <v>3056</v>
      </c>
      <c r="D1136" s="1011">
        <v>44728</v>
      </c>
      <c r="E1136" s="1011" t="s">
        <v>221</v>
      </c>
      <c r="F1136" s="787" t="s">
        <v>256</v>
      </c>
      <c r="G1136" s="996" t="s">
        <v>1232</v>
      </c>
      <c r="H1136" s="1012">
        <v>5815000</v>
      </c>
      <c r="I1136" s="1012">
        <v>200000</v>
      </c>
      <c r="J1136" s="1012">
        <v>0</v>
      </c>
      <c r="K1136" s="1012">
        <v>0</v>
      </c>
      <c r="L1136" s="1013">
        <f t="shared" si="228"/>
        <v>6015000</v>
      </c>
      <c r="M1136" s="1014">
        <v>18.399999999999999</v>
      </c>
      <c r="N1136" s="1013">
        <f t="shared" si="229"/>
        <v>4256769</v>
      </c>
      <c r="O1136" s="1015">
        <v>2</v>
      </c>
      <c r="P1136" s="1013">
        <f t="shared" si="230"/>
        <v>462692</v>
      </c>
      <c r="Q1136" s="1016">
        <v>0</v>
      </c>
      <c r="R1136" s="1013">
        <f t="shared" si="231"/>
        <v>0</v>
      </c>
      <c r="S1136" s="1013">
        <f t="shared" si="232"/>
        <v>4719461</v>
      </c>
      <c r="T1136" s="1017">
        <v>0</v>
      </c>
      <c r="U1136" s="785">
        <v>0</v>
      </c>
      <c r="V1136" s="785">
        <v>200000</v>
      </c>
      <c r="W1136" s="1017">
        <v>0</v>
      </c>
      <c r="X1136" s="1017">
        <v>0</v>
      </c>
      <c r="Y1136" s="1017">
        <v>0</v>
      </c>
      <c r="Z1136" s="1017">
        <v>493764</v>
      </c>
      <c r="AA1136" s="1018"/>
      <c r="AB1136" s="1013"/>
      <c r="AC1136" s="1017">
        <v>0</v>
      </c>
      <c r="AD1136" s="1017">
        <v>0</v>
      </c>
      <c r="AE1136" s="1013">
        <v>0</v>
      </c>
      <c r="AF1136" s="1019"/>
      <c r="AG1136" s="1019">
        <f t="shared" si="226"/>
        <v>5413225</v>
      </c>
      <c r="AH1136" s="1014">
        <v>36</v>
      </c>
      <c r="AI1136" s="1014">
        <v>0</v>
      </c>
      <c r="AJ1136" s="1014">
        <v>0</v>
      </c>
      <c r="AK1136" s="1018">
        <v>0</v>
      </c>
      <c r="AL1136" s="1020">
        <v>0</v>
      </c>
      <c r="AM1136" s="1013">
        <f t="shared" si="225"/>
        <v>1561586</v>
      </c>
      <c r="AN1136" s="1045">
        <f t="shared" si="227"/>
        <v>6974811</v>
      </c>
      <c r="AO1136" s="1013">
        <v>631575</v>
      </c>
      <c r="AP1136" s="1013">
        <v>44100</v>
      </c>
      <c r="AQ1136" s="1013">
        <v>0</v>
      </c>
      <c r="AR1136" s="1013">
        <v>0</v>
      </c>
      <c r="AS1136" s="1013">
        <v>0</v>
      </c>
      <c r="AT1136" s="1045">
        <f t="shared" si="233"/>
        <v>6299136</v>
      </c>
      <c r="AU1136" s="1004"/>
      <c r="AV1136" s="870"/>
      <c r="AW1136" s="782" t="s">
        <v>5448</v>
      </c>
      <c r="AX1136" s="782" t="s">
        <v>5449</v>
      </c>
      <c r="AY1136" s="1007" t="s">
        <v>221</v>
      </c>
      <c r="AZ1136" s="1007">
        <v>622</v>
      </c>
      <c r="BA1136" s="347" t="str">
        <f t="shared" si="224"/>
        <v>Bag</v>
      </c>
      <c r="BB1136" s="1008"/>
      <c r="BC1136" s="1009"/>
      <c r="BD1136" s="1009"/>
    </row>
    <row r="1137" spans="1:56" s="1010" customFormat="1" ht="36.75" customHeight="1">
      <c r="A1137" s="661">
        <f>SUBTOTAL(3,B$6:B1137)</f>
        <v>1132</v>
      </c>
      <c r="B1137" s="661" t="s">
        <v>3057</v>
      </c>
      <c r="C1137" s="662" t="s">
        <v>3058</v>
      </c>
      <c r="D1137" s="1011">
        <v>44784</v>
      </c>
      <c r="E1137" s="1011" t="s">
        <v>221</v>
      </c>
      <c r="F1137" s="787" t="s">
        <v>256</v>
      </c>
      <c r="G1137" s="996" t="s">
        <v>797</v>
      </c>
      <c r="H1137" s="1012">
        <v>5815000</v>
      </c>
      <c r="I1137" s="1012">
        <v>0</v>
      </c>
      <c r="J1137" s="1012">
        <v>0</v>
      </c>
      <c r="K1137" s="1012">
        <v>0</v>
      </c>
      <c r="L1137" s="1013">
        <f t="shared" si="228"/>
        <v>5815000</v>
      </c>
      <c r="M1137" s="1014">
        <v>14</v>
      </c>
      <c r="N1137" s="1013">
        <f t="shared" si="229"/>
        <v>3131154</v>
      </c>
      <c r="O1137" s="1015">
        <v>3</v>
      </c>
      <c r="P1137" s="1013">
        <f t="shared" si="230"/>
        <v>670962</v>
      </c>
      <c r="Q1137" s="1016">
        <v>0</v>
      </c>
      <c r="R1137" s="1013">
        <f t="shared" si="231"/>
        <v>0</v>
      </c>
      <c r="S1137" s="1013">
        <f t="shared" si="232"/>
        <v>3802116</v>
      </c>
      <c r="T1137" s="1017">
        <v>0</v>
      </c>
      <c r="U1137" s="785">
        <v>0</v>
      </c>
      <c r="V1137" s="785">
        <v>200000</v>
      </c>
      <c r="W1137" s="1017">
        <v>0</v>
      </c>
      <c r="X1137" s="1017">
        <v>0</v>
      </c>
      <c r="Y1137" s="1017">
        <v>0</v>
      </c>
      <c r="Z1137" s="1017">
        <v>421822</v>
      </c>
      <c r="AA1137" s="1018"/>
      <c r="AB1137" s="1013"/>
      <c r="AC1137" s="1017">
        <v>100000</v>
      </c>
      <c r="AD1137" s="1017">
        <v>0</v>
      </c>
      <c r="AE1137" s="1013">
        <v>41935.09821428571</v>
      </c>
      <c r="AF1137" s="1019"/>
      <c r="AG1137" s="1019">
        <f t="shared" si="226"/>
        <v>4565873</v>
      </c>
      <c r="AH1137" s="1014">
        <v>36</v>
      </c>
      <c r="AI1137" s="1014">
        <v>0</v>
      </c>
      <c r="AJ1137" s="1014">
        <v>0</v>
      </c>
      <c r="AK1137" s="1018">
        <v>0</v>
      </c>
      <c r="AL1137" s="1020">
        <v>0</v>
      </c>
      <c r="AM1137" s="1013">
        <f t="shared" si="225"/>
        <v>1509664</v>
      </c>
      <c r="AN1137" s="1045">
        <f t="shared" si="227"/>
        <v>6075537</v>
      </c>
      <c r="AO1137" s="1013">
        <v>610575</v>
      </c>
      <c r="AP1137" s="1013">
        <v>44100</v>
      </c>
      <c r="AQ1137" s="1013">
        <v>0</v>
      </c>
      <c r="AR1137" s="1013">
        <v>0</v>
      </c>
      <c r="AS1137" s="1013">
        <v>0</v>
      </c>
      <c r="AT1137" s="1045">
        <f t="shared" si="233"/>
        <v>5420862</v>
      </c>
      <c r="AU1137" s="1004"/>
      <c r="AV1137" s="870"/>
      <c r="AW1137" s="782" t="s">
        <v>5450</v>
      </c>
      <c r="AX1137" s="782" t="s">
        <v>5451</v>
      </c>
      <c r="AY1137" s="1007" t="s">
        <v>221</v>
      </c>
      <c r="AZ1137" s="1007">
        <v>622</v>
      </c>
      <c r="BA1137" s="347" t="str">
        <f t="shared" si="224"/>
        <v>Bag</v>
      </c>
      <c r="BB1137" s="1008"/>
      <c r="BC1137" s="1009"/>
      <c r="BD1137" s="1009"/>
    </row>
    <row r="1138" spans="1:56" s="1010" customFormat="1" ht="36.75" customHeight="1">
      <c r="A1138" s="661">
        <f>SUBTOTAL(3,B$6:B1138)</f>
        <v>1133</v>
      </c>
      <c r="B1138" s="661" t="s">
        <v>3059</v>
      </c>
      <c r="C1138" s="662" t="s">
        <v>1556</v>
      </c>
      <c r="D1138" s="1011">
        <v>45296</v>
      </c>
      <c r="E1138" s="1011" t="s">
        <v>221</v>
      </c>
      <c r="F1138" s="787" t="s">
        <v>256</v>
      </c>
      <c r="G1138" s="996" t="s">
        <v>1232</v>
      </c>
      <c r="H1138" s="1012">
        <v>5538000</v>
      </c>
      <c r="I1138" s="1012">
        <v>200000</v>
      </c>
      <c r="J1138" s="1012">
        <v>0</v>
      </c>
      <c r="K1138" s="1012">
        <v>0</v>
      </c>
      <c r="L1138" s="1013">
        <f t="shared" si="228"/>
        <v>5738000</v>
      </c>
      <c r="M1138" s="1014">
        <v>22.5</v>
      </c>
      <c r="N1138" s="1013">
        <f t="shared" si="229"/>
        <v>4965577</v>
      </c>
      <c r="O1138" s="1015">
        <v>3</v>
      </c>
      <c r="P1138" s="1013">
        <f t="shared" si="230"/>
        <v>662077</v>
      </c>
      <c r="Q1138" s="1016">
        <v>0</v>
      </c>
      <c r="R1138" s="1013">
        <f t="shared" si="231"/>
        <v>0</v>
      </c>
      <c r="S1138" s="1013">
        <f t="shared" si="232"/>
        <v>5627654</v>
      </c>
      <c r="T1138" s="1017">
        <v>0</v>
      </c>
      <c r="U1138" s="785">
        <v>0</v>
      </c>
      <c r="V1138" s="785">
        <v>200000</v>
      </c>
      <c r="W1138" s="1017">
        <v>500000</v>
      </c>
      <c r="X1138" s="1017">
        <v>0</v>
      </c>
      <c r="Y1138" s="1017">
        <v>400000</v>
      </c>
      <c r="Z1138" s="1017">
        <v>643397</v>
      </c>
      <c r="AA1138" s="1018"/>
      <c r="AB1138" s="1013"/>
      <c r="AC1138" s="1017">
        <v>0</v>
      </c>
      <c r="AD1138" s="1017">
        <v>0</v>
      </c>
      <c r="AE1138" s="1013">
        <v>0</v>
      </c>
      <c r="AF1138" s="1019"/>
      <c r="AG1138" s="1019">
        <f t="shared" si="226"/>
        <v>7371051</v>
      </c>
      <c r="AH1138" s="1014">
        <v>52</v>
      </c>
      <c r="AI1138" s="1014">
        <v>0</v>
      </c>
      <c r="AJ1138" s="1014">
        <v>0</v>
      </c>
      <c r="AK1138" s="1018">
        <v>0</v>
      </c>
      <c r="AL1138" s="1020">
        <v>0</v>
      </c>
      <c r="AM1138" s="1013">
        <f t="shared" si="225"/>
        <v>2151750</v>
      </c>
      <c r="AN1138" s="1045">
        <f t="shared" si="227"/>
        <v>9522801</v>
      </c>
      <c r="AO1138" s="1013">
        <v>602490</v>
      </c>
      <c r="AP1138" s="1013">
        <v>44100</v>
      </c>
      <c r="AQ1138" s="1013">
        <v>0</v>
      </c>
      <c r="AR1138" s="1013">
        <v>0</v>
      </c>
      <c r="AS1138" s="1013">
        <v>0</v>
      </c>
      <c r="AT1138" s="1045">
        <f t="shared" si="233"/>
        <v>8876211</v>
      </c>
      <c r="AU1138" s="1004"/>
      <c r="AV1138" s="870"/>
      <c r="AW1138" s="782" t="s">
        <v>4049</v>
      </c>
      <c r="AX1138" s="782" t="s">
        <v>5452</v>
      </c>
      <c r="AY1138" s="1007" t="s">
        <v>221</v>
      </c>
      <c r="AZ1138" s="1007">
        <v>622</v>
      </c>
      <c r="BA1138" s="347" t="str">
        <f t="shared" si="224"/>
        <v>Bag</v>
      </c>
      <c r="BB1138" s="1008"/>
      <c r="BC1138" s="1009"/>
      <c r="BD1138" s="1009"/>
    </row>
    <row r="1139" spans="1:56" s="1010" customFormat="1" ht="36.75" customHeight="1">
      <c r="A1139" s="661">
        <f>SUBTOTAL(3,B$6:B1139)</f>
        <v>1134</v>
      </c>
      <c r="B1139" s="661" t="s">
        <v>3060</v>
      </c>
      <c r="C1139" s="662" t="s">
        <v>1022</v>
      </c>
      <c r="D1139" s="1011">
        <v>45345</v>
      </c>
      <c r="E1139" s="1011" t="s">
        <v>221</v>
      </c>
      <c r="F1139" s="787" t="s">
        <v>256</v>
      </c>
      <c r="G1139" s="996" t="s">
        <v>797</v>
      </c>
      <c r="H1139" s="1012">
        <v>5538000</v>
      </c>
      <c r="I1139" s="1012">
        <v>0</v>
      </c>
      <c r="J1139" s="1012">
        <v>0</v>
      </c>
      <c r="K1139" s="1012">
        <v>0</v>
      </c>
      <c r="L1139" s="1013">
        <f t="shared" si="228"/>
        <v>5538000</v>
      </c>
      <c r="M1139" s="1014">
        <v>21.8</v>
      </c>
      <c r="N1139" s="1013">
        <f t="shared" si="229"/>
        <v>4643400</v>
      </c>
      <c r="O1139" s="1015">
        <v>3</v>
      </c>
      <c r="P1139" s="1013">
        <f t="shared" si="230"/>
        <v>639000</v>
      </c>
      <c r="Q1139" s="1016">
        <v>0</v>
      </c>
      <c r="R1139" s="1013">
        <f t="shared" si="231"/>
        <v>0</v>
      </c>
      <c r="S1139" s="1013">
        <f t="shared" si="232"/>
        <v>5282400</v>
      </c>
      <c r="T1139" s="1017">
        <v>0</v>
      </c>
      <c r="U1139" s="785">
        <v>0</v>
      </c>
      <c r="V1139" s="785">
        <v>200000</v>
      </c>
      <c r="W1139" s="1017">
        <v>0</v>
      </c>
      <c r="X1139" s="1017">
        <v>0</v>
      </c>
      <c r="Y1139" s="1017">
        <v>300000</v>
      </c>
      <c r="Z1139" s="1017">
        <v>494188</v>
      </c>
      <c r="AA1139" s="1018"/>
      <c r="AB1139" s="1013"/>
      <c r="AC1139" s="1017">
        <v>0</v>
      </c>
      <c r="AD1139" s="1017">
        <v>0</v>
      </c>
      <c r="AE1139" s="1013">
        <v>39937.5</v>
      </c>
      <c r="AF1139" s="1019"/>
      <c r="AG1139" s="1019">
        <f t="shared" si="226"/>
        <v>6316526</v>
      </c>
      <c r="AH1139" s="1014">
        <v>52</v>
      </c>
      <c r="AI1139" s="1014">
        <v>0</v>
      </c>
      <c r="AJ1139" s="1014">
        <v>0</v>
      </c>
      <c r="AK1139" s="1018">
        <v>0</v>
      </c>
      <c r="AL1139" s="1020">
        <v>0</v>
      </c>
      <c r="AM1139" s="1013">
        <f t="shared" si="225"/>
        <v>2076750</v>
      </c>
      <c r="AN1139" s="1045">
        <f t="shared" si="227"/>
        <v>8393276</v>
      </c>
      <c r="AO1139" s="1013">
        <v>581490</v>
      </c>
      <c r="AP1139" s="1013">
        <v>44100</v>
      </c>
      <c r="AQ1139" s="1013">
        <v>0</v>
      </c>
      <c r="AR1139" s="1013">
        <v>0</v>
      </c>
      <c r="AS1139" s="1013">
        <v>0</v>
      </c>
      <c r="AT1139" s="1045">
        <f t="shared" si="233"/>
        <v>7767686</v>
      </c>
      <c r="AU1139" s="1004"/>
      <c r="AV1139" s="870"/>
      <c r="AW1139" s="782" t="s">
        <v>3548</v>
      </c>
      <c r="AX1139" s="782" t="s">
        <v>5453</v>
      </c>
      <c r="AY1139" s="1007" t="s">
        <v>221</v>
      </c>
      <c r="AZ1139" s="1007">
        <v>622</v>
      </c>
      <c r="BA1139" s="347" t="str">
        <f t="shared" ref="BA1139:BA1202" si="234">+IF(AY1139="SK1 Box","Box",IF(AY1139="Seaman","Seaman","Bag"))</f>
        <v>Bag</v>
      </c>
      <c r="BB1139" s="1008"/>
      <c r="BC1139" s="1009"/>
      <c r="BD1139" s="1009"/>
    </row>
    <row r="1140" spans="1:56" s="1010" customFormat="1" ht="36.75" customHeight="1">
      <c r="A1140" s="661">
        <f>SUBTOTAL(3,B$6:B1140)</f>
        <v>1135</v>
      </c>
      <c r="B1140" s="661" t="s">
        <v>3061</v>
      </c>
      <c r="C1140" s="662" t="s">
        <v>3062</v>
      </c>
      <c r="D1140" s="1011">
        <v>45352</v>
      </c>
      <c r="E1140" s="1011" t="s">
        <v>221</v>
      </c>
      <c r="F1140" s="787" t="s">
        <v>256</v>
      </c>
      <c r="G1140" s="996" t="s">
        <v>797</v>
      </c>
      <c r="H1140" s="1012">
        <v>5538000</v>
      </c>
      <c r="I1140" s="1012">
        <v>0</v>
      </c>
      <c r="J1140" s="1012">
        <v>0</v>
      </c>
      <c r="K1140" s="1012">
        <v>0</v>
      </c>
      <c r="L1140" s="1013">
        <f t="shared" si="228"/>
        <v>5538000</v>
      </c>
      <c r="M1140" s="1014">
        <v>20.6</v>
      </c>
      <c r="N1140" s="1013">
        <f t="shared" si="229"/>
        <v>4387800</v>
      </c>
      <c r="O1140" s="1015">
        <v>3</v>
      </c>
      <c r="P1140" s="1013">
        <f t="shared" si="230"/>
        <v>639000</v>
      </c>
      <c r="Q1140" s="1016">
        <v>0</v>
      </c>
      <c r="R1140" s="1013">
        <f t="shared" si="231"/>
        <v>0</v>
      </c>
      <c r="S1140" s="1013">
        <f t="shared" si="232"/>
        <v>5026800</v>
      </c>
      <c r="T1140" s="1017">
        <v>0</v>
      </c>
      <c r="U1140" s="785">
        <v>0</v>
      </c>
      <c r="V1140" s="785">
        <v>200000</v>
      </c>
      <c r="W1140" s="1017">
        <v>0</v>
      </c>
      <c r="X1140" s="1017">
        <v>0</v>
      </c>
      <c r="Y1140" s="1017">
        <v>300000</v>
      </c>
      <c r="Z1140" s="1017">
        <v>351461</v>
      </c>
      <c r="AA1140" s="1018"/>
      <c r="AB1140" s="1013"/>
      <c r="AC1140" s="1017">
        <v>100000</v>
      </c>
      <c r="AD1140" s="1017">
        <v>0</v>
      </c>
      <c r="AE1140" s="1013">
        <v>39937.499999999993</v>
      </c>
      <c r="AF1140" s="1019"/>
      <c r="AG1140" s="1019">
        <f t="shared" si="226"/>
        <v>6018199</v>
      </c>
      <c r="AH1140" s="1014">
        <v>0</v>
      </c>
      <c r="AI1140" s="1014">
        <v>0</v>
      </c>
      <c r="AJ1140" s="1014">
        <v>0</v>
      </c>
      <c r="AK1140" s="1018">
        <v>0</v>
      </c>
      <c r="AL1140" s="1020">
        <v>0</v>
      </c>
      <c r="AM1140" s="1013">
        <f t="shared" si="225"/>
        <v>0</v>
      </c>
      <c r="AN1140" s="1045">
        <f t="shared" si="227"/>
        <v>6018199</v>
      </c>
      <c r="AO1140" s="1013">
        <v>581490</v>
      </c>
      <c r="AP1140" s="1013">
        <v>44100</v>
      </c>
      <c r="AQ1140" s="1013">
        <v>0</v>
      </c>
      <c r="AR1140" s="1013">
        <v>0</v>
      </c>
      <c r="AS1140" s="1013">
        <v>0</v>
      </c>
      <c r="AT1140" s="1045">
        <f t="shared" si="233"/>
        <v>5392609</v>
      </c>
      <c r="AU1140" s="1004"/>
      <c r="AV1140" s="870"/>
      <c r="AW1140" s="782" t="s">
        <v>5454</v>
      </c>
      <c r="AX1140" s="782" t="s">
        <v>5455</v>
      </c>
      <c r="AY1140" s="1007" t="s">
        <v>221</v>
      </c>
      <c r="AZ1140" s="1007">
        <v>622</v>
      </c>
      <c r="BA1140" s="347" t="str">
        <f t="shared" si="234"/>
        <v>Bag</v>
      </c>
      <c r="BB1140" s="1008"/>
      <c r="BC1140" s="1009"/>
      <c r="BD1140" s="1009"/>
    </row>
    <row r="1141" spans="1:56" s="1010" customFormat="1" ht="36.75" customHeight="1">
      <c r="A1141" s="661">
        <f>SUBTOTAL(3,B$6:B1141)</f>
        <v>1136</v>
      </c>
      <c r="B1141" s="661" t="s">
        <v>3063</v>
      </c>
      <c r="C1141" s="662" t="s">
        <v>3064</v>
      </c>
      <c r="D1141" s="1011">
        <v>45352</v>
      </c>
      <c r="E1141" s="1011" t="s">
        <v>221</v>
      </c>
      <c r="F1141" s="787" t="s">
        <v>256</v>
      </c>
      <c r="G1141" s="996" t="s">
        <v>797</v>
      </c>
      <c r="H1141" s="1012">
        <v>5538000</v>
      </c>
      <c r="I1141" s="1012">
        <v>0</v>
      </c>
      <c r="J1141" s="1012">
        <v>0</v>
      </c>
      <c r="K1141" s="1012">
        <v>0</v>
      </c>
      <c r="L1141" s="1013">
        <f t="shared" si="228"/>
        <v>5538000</v>
      </c>
      <c r="M1141" s="1014">
        <v>24</v>
      </c>
      <c r="N1141" s="1013">
        <f t="shared" si="229"/>
        <v>5112000</v>
      </c>
      <c r="O1141" s="1015">
        <v>2</v>
      </c>
      <c r="P1141" s="1013">
        <f t="shared" si="230"/>
        <v>426000</v>
      </c>
      <c r="Q1141" s="1016">
        <v>0</v>
      </c>
      <c r="R1141" s="1013">
        <f t="shared" si="231"/>
        <v>0</v>
      </c>
      <c r="S1141" s="1013">
        <f t="shared" si="232"/>
        <v>5538000</v>
      </c>
      <c r="T1141" s="1017">
        <v>0</v>
      </c>
      <c r="U1141" s="785">
        <v>0</v>
      </c>
      <c r="V1141" s="785">
        <v>200000</v>
      </c>
      <c r="W1141" s="1017">
        <v>500000</v>
      </c>
      <c r="X1141" s="1017">
        <v>0</v>
      </c>
      <c r="Y1141" s="1017">
        <v>400000</v>
      </c>
      <c r="Z1141" s="1017">
        <v>649403</v>
      </c>
      <c r="AA1141" s="1018"/>
      <c r="AB1141" s="1013"/>
      <c r="AC1141" s="1017">
        <v>0</v>
      </c>
      <c r="AD1141" s="1017">
        <v>0</v>
      </c>
      <c r="AE1141" s="1013">
        <v>39937.5</v>
      </c>
      <c r="AF1141" s="1019"/>
      <c r="AG1141" s="1019">
        <f t="shared" si="226"/>
        <v>7327341</v>
      </c>
      <c r="AH1141" s="1014">
        <v>52</v>
      </c>
      <c r="AI1141" s="1014">
        <v>0</v>
      </c>
      <c r="AJ1141" s="1014">
        <v>0</v>
      </c>
      <c r="AK1141" s="1018">
        <v>0</v>
      </c>
      <c r="AL1141" s="1020">
        <v>0</v>
      </c>
      <c r="AM1141" s="1013">
        <f t="shared" si="225"/>
        <v>2076750</v>
      </c>
      <c r="AN1141" s="1045">
        <f t="shared" si="227"/>
        <v>9404091</v>
      </c>
      <c r="AO1141" s="1013">
        <v>581490</v>
      </c>
      <c r="AP1141" s="1013">
        <v>44100</v>
      </c>
      <c r="AQ1141" s="1013">
        <v>0</v>
      </c>
      <c r="AR1141" s="1013">
        <v>0</v>
      </c>
      <c r="AS1141" s="1013">
        <v>0</v>
      </c>
      <c r="AT1141" s="1045">
        <f t="shared" si="233"/>
        <v>8778501</v>
      </c>
      <c r="AU1141" s="1004"/>
      <c r="AV1141" s="870"/>
      <c r="AW1141" s="782" t="s">
        <v>5456</v>
      </c>
      <c r="AX1141" s="782" t="s">
        <v>5457</v>
      </c>
      <c r="AY1141" s="1007" t="s">
        <v>221</v>
      </c>
      <c r="AZ1141" s="1007">
        <v>622</v>
      </c>
      <c r="BA1141" s="347" t="str">
        <f t="shared" si="234"/>
        <v>Bag</v>
      </c>
      <c r="BB1141" s="1008"/>
      <c r="BC1141" s="1009"/>
      <c r="BD1141" s="1009"/>
    </row>
    <row r="1142" spans="1:56" s="1010" customFormat="1" ht="36.75" customHeight="1">
      <c r="A1142" s="661">
        <f>SUBTOTAL(3,B$6:B1142)</f>
        <v>1137</v>
      </c>
      <c r="B1142" s="661" t="s">
        <v>3065</v>
      </c>
      <c r="C1142" s="662" t="s">
        <v>3066</v>
      </c>
      <c r="D1142" s="1011">
        <v>45390</v>
      </c>
      <c r="E1142" s="1011" t="s">
        <v>221</v>
      </c>
      <c r="F1142" s="787" t="s">
        <v>256</v>
      </c>
      <c r="G1142" s="996" t="s">
        <v>797</v>
      </c>
      <c r="H1142" s="1012">
        <v>5538000</v>
      </c>
      <c r="I1142" s="1012">
        <v>0</v>
      </c>
      <c r="J1142" s="1012">
        <v>0</v>
      </c>
      <c r="K1142" s="1012">
        <v>0</v>
      </c>
      <c r="L1142" s="1013">
        <f t="shared" si="228"/>
        <v>5538000</v>
      </c>
      <c r="M1142" s="1014">
        <v>24</v>
      </c>
      <c r="N1142" s="1013">
        <f t="shared" si="229"/>
        <v>5112000</v>
      </c>
      <c r="O1142" s="1015">
        <v>2</v>
      </c>
      <c r="P1142" s="1013">
        <f t="shared" si="230"/>
        <v>426000</v>
      </c>
      <c r="Q1142" s="1016">
        <v>0</v>
      </c>
      <c r="R1142" s="1013">
        <f t="shared" si="231"/>
        <v>0</v>
      </c>
      <c r="S1142" s="1013">
        <f t="shared" si="232"/>
        <v>5538000</v>
      </c>
      <c r="T1142" s="1017">
        <v>0</v>
      </c>
      <c r="U1142" s="785">
        <v>0</v>
      </c>
      <c r="V1142" s="785">
        <v>200000</v>
      </c>
      <c r="W1142" s="1017">
        <v>500000</v>
      </c>
      <c r="X1142" s="1017">
        <v>0</v>
      </c>
      <c r="Y1142" s="1017">
        <v>400000</v>
      </c>
      <c r="Z1142" s="1017">
        <v>1080500</v>
      </c>
      <c r="AA1142" s="1018"/>
      <c r="AB1142" s="1013"/>
      <c r="AC1142" s="1017">
        <v>0</v>
      </c>
      <c r="AD1142" s="1017">
        <v>0</v>
      </c>
      <c r="AE1142" s="1013">
        <v>39937.5</v>
      </c>
      <c r="AF1142" s="1019"/>
      <c r="AG1142" s="1019">
        <f t="shared" si="226"/>
        <v>7758438</v>
      </c>
      <c r="AH1142" s="1014">
        <v>56</v>
      </c>
      <c r="AI1142" s="1014">
        <v>0</v>
      </c>
      <c r="AJ1142" s="1014">
        <v>0</v>
      </c>
      <c r="AK1142" s="1018">
        <v>0</v>
      </c>
      <c r="AL1142" s="1020">
        <v>0</v>
      </c>
      <c r="AM1142" s="1013">
        <f t="shared" si="225"/>
        <v>2236500</v>
      </c>
      <c r="AN1142" s="1045">
        <f t="shared" si="227"/>
        <v>9994938</v>
      </c>
      <c r="AO1142" s="1013">
        <v>581490</v>
      </c>
      <c r="AP1142" s="1013">
        <v>44100</v>
      </c>
      <c r="AQ1142" s="1013">
        <v>0</v>
      </c>
      <c r="AR1142" s="1013">
        <v>0</v>
      </c>
      <c r="AS1142" s="1013">
        <v>0</v>
      </c>
      <c r="AT1142" s="1045">
        <f t="shared" si="233"/>
        <v>9369348</v>
      </c>
      <c r="AU1142" s="1004"/>
      <c r="AV1142" s="870"/>
      <c r="AW1142" s="782" t="s">
        <v>5458</v>
      </c>
      <c r="AX1142" s="782" t="s">
        <v>5459</v>
      </c>
      <c r="AY1142" s="1007" t="s">
        <v>221</v>
      </c>
      <c r="AZ1142" s="1007">
        <v>622</v>
      </c>
      <c r="BA1142" s="347" t="str">
        <f t="shared" si="234"/>
        <v>Bag</v>
      </c>
      <c r="BB1142" s="1008"/>
      <c r="BC1142" s="1009"/>
      <c r="BD1142" s="1009"/>
    </row>
    <row r="1143" spans="1:56" s="1010" customFormat="1" ht="36.75" customHeight="1">
      <c r="A1143" s="661">
        <f>SUBTOTAL(3,B$6:B1143)</f>
        <v>1138</v>
      </c>
      <c r="B1143" s="661" t="s">
        <v>3067</v>
      </c>
      <c r="C1143" s="662" t="s">
        <v>3068</v>
      </c>
      <c r="D1143" s="1011">
        <v>45390</v>
      </c>
      <c r="E1143" s="1011" t="s">
        <v>221</v>
      </c>
      <c r="F1143" s="787" t="s">
        <v>256</v>
      </c>
      <c r="G1143" s="996" t="s">
        <v>797</v>
      </c>
      <c r="H1143" s="1012">
        <v>5538000</v>
      </c>
      <c r="I1143" s="1012">
        <v>0</v>
      </c>
      <c r="J1143" s="1012">
        <v>0</v>
      </c>
      <c r="K1143" s="1012">
        <v>0</v>
      </c>
      <c r="L1143" s="1013">
        <f t="shared" si="228"/>
        <v>5538000</v>
      </c>
      <c r="M1143" s="1014">
        <v>23</v>
      </c>
      <c r="N1143" s="1013">
        <f t="shared" si="229"/>
        <v>4899000</v>
      </c>
      <c r="O1143" s="1015">
        <v>3</v>
      </c>
      <c r="P1143" s="1013">
        <f t="shared" si="230"/>
        <v>639000</v>
      </c>
      <c r="Q1143" s="1016">
        <v>0</v>
      </c>
      <c r="R1143" s="1013">
        <f t="shared" si="231"/>
        <v>0</v>
      </c>
      <c r="S1143" s="1013">
        <f t="shared" si="232"/>
        <v>5538000</v>
      </c>
      <c r="T1143" s="1017">
        <v>0</v>
      </c>
      <c r="U1143" s="785">
        <v>0</v>
      </c>
      <c r="V1143" s="785">
        <v>200000</v>
      </c>
      <c r="W1143" s="1017">
        <v>500000</v>
      </c>
      <c r="X1143" s="1017">
        <v>0</v>
      </c>
      <c r="Y1143" s="1017">
        <v>400000</v>
      </c>
      <c r="Z1143" s="1017">
        <v>665894</v>
      </c>
      <c r="AA1143" s="1018"/>
      <c r="AB1143" s="1013"/>
      <c r="AC1143" s="1017">
        <v>0</v>
      </c>
      <c r="AD1143" s="1017">
        <v>0</v>
      </c>
      <c r="AE1143" s="1013">
        <v>39937.5</v>
      </c>
      <c r="AF1143" s="1019"/>
      <c r="AG1143" s="1019">
        <f t="shared" si="226"/>
        <v>7343832</v>
      </c>
      <c r="AH1143" s="1014">
        <v>48</v>
      </c>
      <c r="AI1143" s="1014">
        <v>0</v>
      </c>
      <c r="AJ1143" s="1014">
        <v>0</v>
      </c>
      <c r="AK1143" s="1018">
        <v>0</v>
      </c>
      <c r="AL1143" s="1020">
        <v>0</v>
      </c>
      <c r="AM1143" s="1013">
        <f t="shared" si="225"/>
        <v>1917000</v>
      </c>
      <c r="AN1143" s="1045">
        <f t="shared" si="227"/>
        <v>9260832</v>
      </c>
      <c r="AO1143" s="1013">
        <v>581490</v>
      </c>
      <c r="AP1143" s="1013">
        <v>44100</v>
      </c>
      <c r="AQ1143" s="1013">
        <v>0</v>
      </c>
      <c r="AR1143" s="1013">
        <v>0</v>
      </c>
      <c r="AS1143" s="1013">
        <v>0</v>
      </c>
      <c r="AT1143" s="1045">
        <f t="shared" si="233"/>
        <v>8635242</v>
      </c>
      <c r="AU1143" s="1004"/>
      <c r="AV1143" s="870"/>
      <c r="AW1143" s="782" t="s">
        <v>5460</v>
      </c>
      <c r="AX1143" s="782" t="s">
        <v>5461</v>
      </c>
      <c r="AY1143" s="1007" t="s">
        <v>221</v>
      </c>
      <c r="AZ1143" s="1007">
        <v>622</v>
      </c>
      <c r="BA1143" s="347" t="str">
        <f t="shared" si="234"/>
        <v>Bag</v>
      </c>
      <c r="BB1143" s="1008"/>
      <c r="BC1143" s="1009"/>
      <c r="BD1143" s="1009"/>
    </row>
    <row r="1144" spans="1:56" s="1010" customFormat="1" ht="36.75" customHeight="1">
      <c r="A1144" s="661">
        <f>SUBTOTAL(3,B$6:B1144)</f>
        <v>1139</v>
      </c>
      <c r="B1144" s="661" t="s">
        <v>3069</v>
      </c>
      <c r="C1144" s="662" t="s">
        <v>3070</v>
      </c>
      <c r="D1144" s="1011">
        <v>45435</v>
      </c>
      <c r="E1144" s="1011" t="s">
        <v>221</v>
      </c>
      <c r="F1144" s="787" t="s">
        <v>256</v>
      </c>
      <c r="G1144" s="996" t="s">
        <v>1232</v>
      </c>
      <c r="H1144" s="1012">
        <v>5274000</v>
      </c>
      <c r="I1144" s="1012">
        <v>200000</v>
      </c>
      <c r="J1144" s="1012">
        <v>0</v>
      </c>
      <c r="K1144" s="1012">
        <v>0</v>
      </c>
      <c r="L1144" s="1013">
        <f t="shared" si="228"/>
        <v>5474000</v>
      </c>
      <c r="M1144" s="1014">
        <v>20.9</v>
      </c>
      <c r="N1144" s="1013">
        <f t="shared" si="229"/>
        <v>4400254</v>
      </c>
      <c r="O1144" s="1015">
        <v>2</v>
      </c>
      <c r="P1144" s="1013">
        <f t="shared" si="230"/>
        <v>421077</v>
      </c>
      <c r="Q1144" s="1016">
        <v>0</v>
      </c>
      <c r="R1144" s="1013">
        <f t="shared" si="231"/>
        <v>0</v>
      </c>
      <c r="S1144" s="1013">
        <f t="shared" si="232"/>
        <v>4821331</v>
      </c>
      <c r="T1144" s="1017">
        <v>0</v>
      </c>
      <c r="U1144" s="785">
        <v>0</v>
      </c>
      <c r="V1144" s="785">
        <v>200000</v>
      </c>
      <c r="W1144" s="1017">
        <v>500000</v>
      </c>
      <c r="X1144" s="1017">
        <v>0</v>
      </c>
      <c r="Y1144" s="1017">
        <v>400000</v>
      </c>
      <c r="Z1144" s="1017">
        <v>558246</v>
      </c>
      <c r="AA1144" s="1018"/>
      <c r="AB1144" s="1013"/>
      <c r="AC1144" s="1017">
        <v>100000</v>
      </c>
      <c r="AD1144" s="1017">
        <v>0</v>
      </c>
      <c r="AE1144" s="1013">
        <v>0</v>
      </c>
      <c r="AF1144" s="1019"/>
      <c r="AG1144" s="1019">
        <f t="shared" si="226"/>
        <v>6579577</v>
      </c>
      <c r="AH1144" s="1014">
        <v>52</v>
      </c>
      <c r="AI1144" s="1014">
        <v>0</v>
      </c>
      <c r="AJ1144" s="1014">
        <v>0</v>
      </c>
      <c r="AK1144" s="1018">
        <v>0</v>
      </c>
      <c r="AL1144" s="1020">
        <v>0</v>
      </c>
      <c r="AM1144" s="1013">
        <f t="shared" si="225"/>
        <v>2052750</v>
      </c>
      <c r="AN1144" s="1045">
        <f t="shared" si="227"/>
        <v>8632327</v>
      </c>
      <c r="AO1144" s="1013">
        <v>574770</v>
      </c>
      <c r="AP1144" s="1013">
        <v>44100</v>
      </c>
      <c r="AQ1144" s="1013">
        <v>0</v>
      </c>
      <c r="AR1144" s="1013">
        <v>0</v>
      </c>
      <c r="AS1144" s="1013">
        <v>0</v>
      </c>
      <c r="AT1144" s="1045">
        <f t="shared" si="233"/>
        <v>8013457</v>
      </c>
      <c r="AU1144" s="1004"/>
      <c r="AV1144" s="870"/>
      <c r="AW1144" s="782" t="s">
        <v>5462</v>
      </c>
      <c r="AX1144" s="782" t="s">
        <v>5463</v>
      </c>
      <c r="AY1144" s="1007" t="s">
        <v>221</v>
      </c>
      <c r="AZ1144" s="1007">
        <v>622</v>
      </c>
      <c r="BA1144" s="347" t="str">
        <f t="shared" si="234"/>
        <v>Bag</v>
      </c>
      <c r="BB1144" s="1008"/>
      <c r="BC1144" s="1009"/>
      <c r="BD1144" s="1009"/>
    </row>
    <row r="1145" spans="1:56" s="1010" customFormat="1" ht="36.75" customHeight="1">
      <c r="A1145" s="661">
        <f>SUBTOTAL(3,B$6:B1145)</f>
        <v>1140</v>
      </c>
      <c r="B1145" s="661" t="s">
        <v>3071</v>
      </c>
      <c r="C1145" s="662" t="s">
        <v>3072</v>
      </c>
      <c r="D1145" s="1011">
        <v>45474</v>
      </c>
      <c r="E1145" s="1011" t="s">
        <v>221</v>
      </c>
      <c r="F1145" s="787" t="s">
        <v>256</v>
      </c>
      <c r="G1145" s="996" t="s">
        <v>797</v>
      </c>
      <c r="H1145" s="1012">
        <v>5274000</v>
      </c>
      <c r="I1145" s="1012">
        <v>0</v>
      </c>
      <c r="J1145" s="1012">
        <v>0</v>
      </c>
      <c r="K1145" s="1012">
        <v>0</v>
      </c>
      <c r="L1145" s="1013">
        <f t="shared" si="228"/>
        <v>5274000</v>
      </c>
      <c r="M1145" s="1014">
        <v>23</v>
      </c>
      <c r="N1145" s="1013">
        <f t="shared" si="229"/>
        <v>4665462</v>
      </c>
      <c r="O1145" s="1015">
        <v>3</v>
      </c>
      <c r="P1145" s="1013">
        <f t="shared" si="230"/>
        <v>608538</v>
      </c>
      <c r="Q1145" s="1016">
        <v>0</v>
      </c>
      <c r="R1145" s="1013">
        <f t="shared" si="231"/>
        <v>0</v>
      </c>
      <c r="S1145" s="1013">
        <f t="shared" si="232"/>
        <v>5274000</v>
      </c>
      <c r="T1145" s="1017">
        <v>0</v>
      </c>
      <c r="U1145" s="785">
        <v>0</v>
      </c>
      <c r="V1145" s="785">
        <v>200000</v>
      </c>
      <c r="W1145" s="1017">
        <v>500000</v>
      </c>
      <c r="X1145" s="1017">
        <v>0</v>
      </c>
      <c r="Y1145" s="1017">
        <v>400000</v>
      </c>
      <c r="Z1145" s="1017">
        <v>612241</v>
      </c>
      <c r="AA1145" s="1018"/>
      <c r="AB1145" s="1013"/>
      <c r="AC1145" s="1017">
        <v>0</v>
      </c>
      <c r="AD1145" s="1017">
        <v>0</v>
      </c>
      <c r="AE1145" s="1013">
        <v>38033.657608695656</v>
      </c>
      <c r="AF1145" s="1019"/>
      <c r="AG1145" s="1019">
        <f t="shared" si="226"/>
        <v>7024275</v>
      </c>
      <c r="AH1145" s="1014">
        <v>56</v>
      </c>
      <c r="AI1145" s="1014">
        <v>0</v>
      </c>
      <c r="AJ1145" s="1014">
        <v>0</v>
      </c>
      <c r="AK1145" s="1018">
        <v>0</v>
      </c>
      <c r="AL1145" s="1020">
        <v>0</v>
      </c>
      <c r="AM1145" s="1013">
        <f t="shared" si="225"/>
        <v>2129885</v>
      </c>
      <c r="AN1145" s="1045">
        <f t="shared" si="227"/>
        <v>9154160</v>
      </c>
      <c r="AO1145" s="1013">
        <v>553770</v>
      </c>
      <c r="AP1145" s="1013">
        <v>44100</v>
      </c>
      <c r="AQ1145" s="1013">
        <v>0</v>
      </c>
      <c r="AR1145" s="1013">
        <v>0</v>
      </c>
      <c r="AS1145" s="1013">
        <v>0</v>
      </c>
      <c r="AT1145" s="1045">
        <f t="shared" si="233"/>
        <v>8556290</v>
      </c>
      <c r="AU1145" s="1004"/>
      <c r="AV1145" s="870"/>
      <c r="AW1145" s="782" t="s">
        <v>5464</v>
      </c>
      <c r="AX1145" s="782" t="s">
        <v>5465</v>
      </c>
      <c r="AY1145" s="1007" t="s">
        <v>221</v>
      </c>
      <c r="AZ1145" s="1007">
        <v>622</v>
      </c>
      <c r="BA1145" s="347" t="str">
        <f t="shared" si="234"/>
        <v>Bag</v>
      </c>
      <c r="BB1145" s="1008"/>
      <c r="BC1145" s="1009"/>
      <c r="BD1145" s="1009"/>
    </row>
    <row r="1146" spans="1:56" s="1010" customFormat="1" ht="36.75" customHeight="1">
      <c r="A1146" s="661">
        <f>SUBTOTAL(3,B$6:B1146)</f>
        <v>1141</v>
      </c>
      <c r="B1146" s="661" t="s">
        <v>3073</v>
      </c>
      <c r="C1146" s="662" t="s">
        <v>3074</v>
      </c>
      <c r="D1146" s="1011">
        <v>45479</v>
      </c>
      <c r="E1146" s="1011" t="s">
        <v>221</v>
      </c>
      <c r="F1146" s="787" t="s">
        <v>256</v>
      </c>
      <c r="G1146" s="996" t="s">
        <v>797</v>
      </c>
      <c r="H1146" s="1012">
        <v>5274000</v>
      </c>
      <c r="I1146" s="1012">
        <v>0</v>
      </c>
      <c r="J1146" s="1012">
        <v>0</v>
      </c>
      <c r="K1146" s="1012">
        <v>0</v>
      </c>
      <c r="L1146" s="1013">
        <f t="shared" si="228"/>
        <v>5274000</v>
      </c>
      <c r="M1146" s="1014">
        <v>17.5</v>
      </c>
      <c r="N1146" s="1013">
        <f t="shared" si="229"/>
        <v>3549808</v>
      </c>
      <c r="O1146" s="1015">
        <v>2</v>
      </c>
      <c r="P1146" s="1013">
        <f t="shared" si="230"/>
        <v>405692</v>
      </c>
      <c r="Q1146" s="1016">
        <v>0</v>
      </c>
      <c r="R1146" s="1013">
        <f t="shared" si="231"/>
        <v>0</v>
      </c>
      <c r="S1146" s="1013">
        <f t="shared" si="232"/>
        <v>3955500</v>
      </c>
      <c r="T1146" s="1017">
        <v>0</v>
      </c>
      <c r="U1146" s="785">
        <v>0</v>
      </c>
      <c r="V1146" s="785">
        <v>200000</v>
      </c>
      <c r="W1146" s="1017">
        <v>0</v>
      </c>
      <c r="X1146" s="1017">
        <v>0</v>
      </c>
      <c r="Y1146" s="1017">
        <v>0</v>
      </c>
      <c r="Z1146" s="1017">
        <v>0</v>
      </c>
      <c r="AA1146" s="1018"/>
      <c r="AB1146" s="1013"/>
      <c r="AC1146" s="1017">
        <v>0</v>
      </c>
      <c r="AD1146" s="1017">
        <v>0</v>
      </c>
      <c r="AE1146" s="1013">
        <v>0</v>
      </c>
      <c r="AF1146" s="1019"/>
      <c r="AG1146" s="1019">
        <f t="shared" si="226"/>
        <v>4155500</v>
      </c>
      <c r="AH1146" s="1014">
        <v>40</v>
      </c>
      <c r="AI1146" s="1014">
        <v>0</v>
      </c>
      <c r="AJ1146" s="1014">
        <v>0</v>
      </c>
      <c r="AK1146" s="1018">
        <v>0</v>
      </c>
      <c r="AL1146" s="1020">
        <v>0</v>
      </c>
      <c r="AM1146" s="1013">
        <f t="shared" si="225"/>
        <v>1521346</v>
      </c>
      <c r="AN1146" s="1045">
        <f t="shared" si="227"/>
        <v>5676846</v>
      </c>
      <c r="AO1146" s="1013">
        <v>553770</v>
      </c>
      <c r="AP1146" s="1013">
        <v>44100</v>
      </c>
      <c r="AQ1146" s="1013">
        <v>0</v>
      </c>
      <c r="AR1146" s="1013">
        <v>0</v>
      </c>
      <c r="AS1146" s="1013">
        <v>0</v>
      </c>
      <c r="AT1146" s="1045">
        <f t="shared" si="233"/>
        <v>5078976</v>
      </c>
      <c r="AU1146" s="1004"/>
      <c r="AV1146" s="870"/>
      <c r="AW1146" s="782" t="s">
        <v>5466</v>
      </c>
      <c r="AX1146" s="782" t="s">
        <v>5467</v>
      </c>
      <c r="AY1146" s="1007" t="s">
        <v>221</v>
      </c>
      <c r="AZ1146" s="1007">
        <v>622</v>
      </c>
      <c r="BA1146" s="347" t="str">
        <f t="shared" si="234"/>
        <v>Bag</v>
      </c>
      <c r="BB1146" s="1008"/>
      <c r="BC1146" s="1009"/>
      <c r="BD1146" s="1009"/>
    </row>
    <row r="1147" spans="1:56" s="1010" customFormat="1" ht="36.75" customHeight="1">
      <c r="A1147" s="661">
        <f>SUBTOTAL(3,B$6:B1147)</f>
        <v>1142</v>
      </c>
      <c r="B1147" s="661" t="s">
        <v>3075</v>
      </c>
      <c r="C1147" s="662" t="s">
        <v>3076</v>
      </c>
      <c r="D1147" s="1011">
        <v>45514</v>
      </c>
      <c r="E1147" s="1011" t="s">
        <v>221</v>
      </c>
      <c r="F1147" s="787" t="s">
        <v>256</v>
      </c>
      <c r="G1147" s="996" t="s">
        <v>797</v>
      </c>
      <c r="H1147" s="1012">
        <v>5274000</v>
      </c>
      <c r="I1147" s="1012">
        <v>0</v>
      </c>
      <c r="J1147" s="1012">
        <v>0</v>
      </c>
      <c r="K1147" s="1012">
        <v>0</v>
      </c>
      <c r="L1147" s="1013">
        <f t="shared" si="228"/>
        <v>5274000</v>
      </c>
      <c r="M1147" s="1014">
        <v>23</v>
      </c>
      <c r="N1147" s="1013">
        <f t="shared" si="229"/>
        <v>4665462</v>
      </c>
      <c r="O1147" s="1015">
        <v>3</v>
      </c>
      <c r="P1147" s="1013">
        <f t="shared" si="230"/>
        <v>608538</v>
      </c>
      <c r="Q1147" s="1016">
        <v>0</v>
      </c>
      <c r="R1147" s="1013">
        <f t="shared" si="231"/>
        <v>0</v>
      </c>
      <c r="S1147" s="1013">
        <f t="shared" si="232"/>
        <v>5274000</v>
      </c>
      <c r="T1147" s="1017">
        <v>0</v>
      </c>
      <c r="U1147" s="785">
        <v>0</v>
      </c>
      <c r="V1147" s="785">
        <v>200000</v>
      </c>
      <c r="W1147" s="1017">
        <v>500000</v>
      </c>
      <c r="X1147" s="1017">
        <v>0</v>
      </c>
      <c r="Y1147" s="1017">
        <v>400000</v>
      </c>
      <c r="Z1147" s="1017">
        <v>607238</v>
      </c>
      <c r="AA1147" s="1018"/>
      <c r="AB1147" s="1013"/>
      <c r="AC1147" s="1017">
        <v>0</v>
      </c>
      <c r="AD1147" s="1017">
        <v>0</v>
      </c>
      <c r="AE1147" s="1013">
        <v>0</v>
      </c>
      <c r="AF1147" s="1019"/>
      <c r="AG1147" s="1019">
        <f t="shared" si="226"/>
        <v>6981238</v>
      </c>
      <c r="AH1147" s="1014">
        <v>48</v>
      </c>
      <c r="AI1147" s="1014">
        <v>0</v>
      </c>
      <c r="AJ1147" s="1014">
        <v>0</v>
      </c>
      <c r="AK1147" s="1018">
        <v>0</v>
      </c>
      <c r="AL1147" s="1020">
        <v>0</v>
      </c>
      <c r="AM1147" s="1013">
        <f t="shared" si="225"/>
        <v>1825616</v>
      </c>
      <c r="AN1147" s="1045">
        <f t="shared" si="227"/>
        <v>8806854</v>
      </c>
      <c r="AO1147" s="1013">
        <v>553770</v>
      </c>
      <c r="AP1147" s="1013">
        <v>44100</v>
      </c>
      <c r="AQ1147" s="1013">
        <v>0</v>
      </c>
      <c r="AR1147" s="1013">
        <v>0</v>
      </c>
      <c r="AS1147" s="1013">
        <v>0</v>
      </c>
      <c r="AT1147" s="1045">
        <f t="shared" si="233"/>
        <v>8208984</v>
      </c>
      <c r="AU1147" s="1004"/>
      <c r="AV1147" s="870"/>
      <c r="AW1147" s="782" t="s">
        <v>5468</v>
      </c>
      <c r="AX1147" s="782" t="s">
        <v>5469</v>
      </c>
      <c r="AY1147" s="1007" t="s">
        <v>221</v>
      </c>
      <c r="AZ1147" s="1007">
        <v>622</v>
      </c>
      <c r="BA1147" s="347" t="str">
        <f t="shared" si="234"/>
        <v>Bag</v>
      </c>
      <c r="BB1147" s="1008"/>
      <c r="BC1147" s="1009"/>
      <c r="BD1147" s="1009"/>
    </row>
    <row r="1148" spans="1:56" s="1010" customFormat="1" ht="36.75" customHeight="1">
      <c r="A1148" s="661">
        <f>SUBTOTAL(3,B$6:B1148)</f>
        <v>1143</v>
      </c>
      <c r="B1148" s="661" t="s">
        <v>3077</v>
      </c>
      <c r="C1148" s="662" t="s">
        <v>3078</v>
      </c>
      <c r="D1148" s="1011">
        <v>45530</v>
      </c>
      <c r="E1148" s="1011" t="s">
        <v>221</v>
      </c>
      <c r="F1148" s="787" t="s">
        <v>256</v>
      </c>
      <c r="G1148" s="996" t="s">
        <v>797</v>
      </c>
      <c r="H1148" s="1012">
        <v>5274000</v>
      </c>
      <c r="I1148" s="1012">
        <v>0</v>
      </c>
      <c r="J1148" s="1012">
        <v>0</v>
      </c>
      <c r="K1148" s="1012">
        <v>0</v>
      </c>
      <c r="L1148" s="1013">
        <f t="shared" si="228"/>
        <v>5274000</v>
      </c>
      <c r="M1148" s="1014">
        <v>23.9</v>
      </c>
      <c r="N1148" s="1013">
        <f t="shared" si="229"/>
        <v>4848023</v>
      </c>
      <c r="O1148" s="1015">
        <v>2</v>
      </c>
      <c r="P1148" s="1013">
        <f t="shared" si="230"/>
        <v>405692</v>
      </c>
      <c r="Q1148" s="1016">
        <v>0</v>
      </c>
      <c r="R1148" s="1013">
        <f t="shared" si="231"/>
        <v>0</v>
      </c>
      <c r="S1148" s="1013">
        <f t="shared" si="232"/>
        <v>5253715</v>
      </c>
      <c r="T1148" s="1017">
        <v>0</v>
      </c>
      <c r="U1148" s="785">
        <v>0</v>
      </c>
      <c r="V1148" s="785">
        <v>200000</v>
      </c>
      <c r="W1148" s="1017">
        <v>500000</v>
      </c>
      <c r="X1148" s="1017">
        <v>0</v>
      </c>
      <c r="Y1148" s="1017">
        <v>400000</v>
      </c>
      <c r="Z1148" s="1017">
        <v>554888</v>
      </c>
      <c r="AA1148" s="1018"/>
      <c r="AB1148" s="1013"/>
      <c r="AC1148" s="1017">
        <v>0</v>
      </c>
      <c r="AD1148" s="1017">
        <v>0</v>
      </c>
      <c r="AE1148" s="1013">
        <v>38033.653242677829</v>
      </c>
      <c r="AF1148" s="1019"/>
      <c r="AG1148" s="1019">
        <f t="shared" si="226"/>
        <v>6946637</v>
      </c>
      <c r="AH1148" s="1014">
        <v>52</v>
      </c>
      <c r="AI1148" s="1014">
        <v>0</v>
      </c>
      <c r="AJ1148" s="1014">
        <v>0</v>
      </c>
      <c r="AK1148" s="1018">
        <v>0</v>
      </c>
      <c r="AL1148" s="1020">
        <v>0</v>
      </c>
      <c r="AM1148" s="1013">
        <f t="shared" si="225"/>
        <v>1977750</v>
      </c>
      <c r="AN1148" s="1045">
        <f t="shared" si="227"/>
        <v>8924387</v>
      </c>
      <c r="AO1148" s="1013">
        <v>553770</v>
      </c>
      <c r="AP1148" s="1013">
        <v>44100</v>
      </c>
      <c r="AQ1148" s="1013">
        <v>0</v>
      </c>
      <c r="AR1148" s="1013">
        <v>0</v>
      </c>
      <c r="AS1148" s="1013">
        <v>0</v>
      </c>
      <c r="AT1148" s="1045">
        <f t="shared" si="233"/>
        <v>8326517</v>
      </c>
      <c r="AU1148" s="1004"/>
      <c r="AV1148" s="870"/>
      <c r="AW1148" s="782" t="s">
        <v>5470</v>
      </c>
      <c r="AX1148" s="782" t="s">
        <v>5471</v>
      </c>
      <c r="AY1148" s="1007" t="s">
        <v>221</v>
      </c>
      <c r="AZ1148" s="1007">
        <v>622</v>
      </c>
      <c r="BA1148" s="347" t="str">
        <f t="shared" si="234"/>
        <v>Bag</v>
      </c>
      <c r="BB1148" s="1008"/>
      <c r="BC1148" s="1009"/>
      <c r="BD1148" s="1009"/>
    </row>
    <row r="1149" spans="1:56" s="1010" customFormat="1" ht="36.75" customHeight="1">
      <c r="A1149" s="661">
        <f>SUBTOTAL(3,B$6:B1149)</f>
        <v>1144</v>
      </c>
      <c r="B1149" s="661" t="s">
        <v>3079</v>
      </c>
      <c r="C1149" s="662" t="s">
        <v>3080</v>
      </c>
      <c r="D1149" s="1011">
        <v>45533</v>
      </c>
      <c r="E1149" s="1011" t="s">
        <v>221</v>
      </c>
      <c r="F1149" s="787" t="s">
        <v>256</v>
      </c>
      <c r="G1149" s="996" t="s">
        <v>797</v>
      </c>
      <c r="H1149" s="1012">
        <v>5274000</v>
      </c>
      <c r="I1149" s="1012">
        <v>0</v>
      </c>
      <c r="J1149" s="1012">
        <v>0</v>
      </c>
      <c r="K1149" s="1012">
        <v>0</v>
      </c>
      <c r="L1149" s="1013">
        <f t="shared" si="228"/>
        <v>5274000</v>
      </c>
      <c r="M1149" s="1014">
        <v>21.8</v>
      </c>
      <c r="N1149" s="1013">
        <f t="shared" si="229"/>
        <v>4422046</v>
      </c>
      <c r="O1149" s="1015">
        <v>2</v>
      </c>
      <c r="P1149" s="1013">
        <f t="shared" si="230"/>
        <v>405692</v>
      </c>
      <c r="Q1149" s="1016">
        <v>0</v>
      </c>
      <c r="R1149" s="1013">
        <f t="shared" si="231"/>
        <v>0</v>
      </c>
      <c r="S1149" s="1013">
        <f t="shared" si="232"/>
        <v>4827738</v>
      </c>
      <c r="T1149" s="1017">
        <v>0</v>
      </c>
      <c r="U1149" s="785">
        <v>0</v>
      </c>
      <c r="V1149" s="785">
        <v>200000</v>
      </c>
      <c r="W1149" s="1017">
        <v>0</v>
      </c>
      <c r="X1149" s="1017">
        <v>0</v>
      </c>
      <c r="Y1149" s="1017">
        <v>300000</v>
      </c>
      <c r="Z1149" s="1017">
        <v>571038</v>
      </c>
      <c r="AA1149" s="1018"/>
      <c r="AB1149" s="1013"/>
      <c r="AC1149" s="1017">
        <v>0</v>
      </c>
      <c r="AD1149" s="1017">
        <v>0</v>
      </c>
      <c r="AE1149" s="1013">
        <v>38033.652522935779</v>
      </c>
      <c r="AF1149" s="1019"/>
      <c r="AG1149" s="1019">
        <f t="shared" si="226"/>
        <v>5936810</v>
      </c>
      <c r="AH1149" s="1014">
        <v>48</v>
      </c>
      <c r="AI1149" s="1014">
        <v>0</v>
      </c>
      <c r="AJ1149" s="1014">
        <v>0</v>
      </c>
      <c r="AK1149" s="1018">
        <v>0</v>
      </c>
      <c r="AL1149" s="1020">
        <v>0</v>
      </c>
      <c r="AM1149" s="1013">
        <f t="shared" si="225"/>
        <v>1825615</v>
      </c>
      <c r="AN1149" s="1045">
        <f t="shared" si="227"/>
        <v>7762425</v>
      </c>
      <c r="AO1149" s="1013">
        <v>553770</v>
      </c>
      <c r="AP1149" s="1013">
        <v>44100</v>
      </c>
      <c r="AQ1149" s="1013">
        <v>0</v>
      </c>
      <c r="AR1149" s="1013">
        <v>0</v>
      </c>
      <c r="AS1149" s="1013">
        <v>0</v>
      </c>
      <c r="AT1149" s="1045">
        <f t="shared" si="233"/>
        <v>7164555</v>
      </c>
      <c r="AU1149" s="1004"/>
      <c r="AV1149" s="870"/>
      <c r="AW1149" s="782" t="s">
        <v>5472</v>
      </c>
      <c r="AX1149" s="782" t="s">
        <v>5473</v>
      </c>
      <c r="AY1149" s="1007" t="s">
        <v>221</v>
      </c>
      <c r="AZ1149" s="1007">
        <v>622</v>
      </c>
      <c r="BA1149" s="347" t="str">
        <f t="shared" si="234"/>
        <v>Bag</v>
      </c>
      <c r="BB1149" s="1008"/>
      <c r="BC1149" s="1009"/>
      <c r="BD1149" s="1009"/>
    </row>
    <row r="1150" spans="1:56" s="1010" customFormat="1" ht="36.75" customHeight="1">
      <c r="A1150" s="661">
        <f>SUBTOTAL(3,B$6:B1150)</f>
        <v>1145</v>
      </c>
      <c r="B1150" s="661" t="s">
        <v>3081</v>
      </c>
      <c r="C1150" s="662" t="s">
        <v>3082</v>
      </c>
      <c r="D1150" s="1011">
        <v>45553</v>
      </c>
      <c r="E1150" s="1011" t="s">
        <v>221</v>
      </c>
      <c r="F1150" s="787" t="s">
        <v>256</v>
      </c>
      <c r="G1150" s="996" t="s">
        <v>797</v>
      </c>
      <c r="H1150" s="1012">
        <v>5274000</v>
      </c>
      <c r="I1150" s="1012">
        <v>0</v>
      </c>
      <c r="J1150" s="1012">
        <v>0</v>
      </c>
      <c r="K1150" s="1012">
        <v>0</v>
      </c>
      <c r="L1150" s="1013">
        <f t="shared" si="228"/>
        <v>5274000</v>
      </c>
      <c r="M1150" s="1014">
        <v>23.6</v>
      </c>
      <c r="N1150" s="1013">
        <f t="shared" si="229"/>
        <v>4787169</v>
      </c>
      <c r="O1150" s="1015">
        <v>2</v>
      </c>
      <c r="P1150" s="1013">
        <f t="shared" si="230"/>
        <v>405692</v>
      </c>
      <c r="Q1150" s="1016">
        <v>0</v>
      </c>
      <c r="R1150" s="1013">
        <f t="shared" si="231"/>
        <v>0</v>
      </c>
      <c r="S1150" s="1013">
        <f t="shared" si="232"/>
        <v>5192861</v>
      </c>
      <c r="T1150" s="1017">
        <v>0</v>
      </c>
      <c r="U1150" s="785">
        <v>0</v>
      </c>
      <c r="V1150" s="785">
        <v>200000</v>
      </c>
      <c r="W1150" s="1017">
        <v>500000</v>
      </c>
      <c r="X1150" s="1017">
        <v>0</v>
      </c>
      <c r="Y1150" s="1017">
        <v>400000</v>
      </c>
      <c r="Z1150" s="1017">
        <v>622036</v>
      </c>
      <c r="AA1150" s="1018"/>
      <c r="AB1150" s="1013"/>
      <c r="AC1150" s="1017">
        <v>0</v>
      </c>
      <c r="AD1150" s="1017">
        <v>0</v>
      </c>
      <c r="AE1150" s="1013">
        <v>0</v>
      </c>
      <c r="AF1150" s="1019"/>
      <c r="AG1150" s="1019">
        <f t="shared" si="226"/>
        <v>6914897</v>
      </c>
      <c r="AH1150" s="1014">
        <v>56</v>
      </c>
      <c r="AI1150" s="1014">
        <v>0</v>
      </c>
      <c r="AJ1150" s="1014">
        <v>0</v>
      </c>
      <c r="AK1150" s="1018">
        <v>0</v>
      </c>
      <c r="AL1150" s="1020">
        <v>0</v>
      </c>
      <c r="AM1150" s="1013">
        <f t="shared" si="225"/>
        <v>2129885</v>
      </c>
      <c r="AN1150" s="1045">
        <f t="shared" si="227"/>
        <v>9044782</v>
      </c>
      <c r="AO1150" s="1013">
        <v>553770</v>
      </c>
      <c r="AP1150" s="1013">
        <v>44100</v>
      </c>
      <c r="AQ1150" s="1013">
        <v>0</v>
      </c>
      <c r="AR1150" s="1013">
        <v>0</v>
      </c>
      <c r="AS1150" s="1013">
        <v>0</v>
      </c>
      <c r="AT1150" s="1045">
        <f t="shared" si="233"/>
        <v>8446912</v>
      </c>
      <c r="AU1150" s="1004"/>
      <c r="AV1150" s="870"/>
      <c r="AW1150" s="782" t="s">
        <v>5474</v>
      </c>
      <c r="AX1150" s="782" t="s">
        <v>5475</v>
      </c>
      <c r="AY1150" s="1007" t="s">
        <v>221</v>
      </c>
      <c r="AZ1150" s="1007">
        <v>622</v>
      </c>
      <c r="BA1150" s="347" t="str">
        <f t="shared" si="234"/>
        <v>Bag</v>
      </c>
      <c r="BB1150" s="1008"/>
      <c r="BC1150" s="1009"/>
      <c r="BD1150" s="1009"/>
    </row>
    <row r="1151" spans="1:56" s="1010" customFormat="1" ht="36.75" customHeight="1">
      <c r="A1151" s="661">
        <f>SUBTOTAL(3,B$6:B1151)</f>
        <v>1146</v>
      </c>
      <c r="B1151" s="661" t="s">
        <v>3083</v>
      </c>
      <c r="C1151" s="662" t="s">
        <v>3084</v>
      </c>
      <c r="D1151" s="1011">
        <v>45615</v>
      </c>
      <c r="E1151" s="1011" t="s">
        <v>221</v>
      </c>
      <c r="F1151" s="787" t="s">
        <v>256</v>
      </c>
      <c r="G1151" s="996" t="s">
        <v>1232</v>
      </c>
      <c r="H1151" s="1012">
        <v>5023000</v>
      </c>
      <c r="I1151" s="1012">
        <v>200000</v>
      </c>
      <c r="J1151" s="1012">
        <v>0</v>
      </c>
      <c r="K1151" s="1012">
        <v>0</v>
      </c>
      <c r="L1151" s="1013">
        <f t="shared" si="228"/>
        <v>5223000</v>
      </c>
      <c r="M1151" s="1014">
        <v>22.9</v>
      </c>
      <c r="N1151" s="1013">
        <f t="shared" si="229"/>
        <v>4600258</v>
      </c>
      <c r="O1151" s="1015">
        <v>3</v>
      </c>
      <c r="P1151" s="1013">
        <f t="shared" si="230"/>
        <v>602654</v>
      </c>
      <c r="Q1151" s="1016">
        <v>0</v>
      </c>
      <c r="R1151" s="1013">
        <f t="shared" si="231"/>
        <v>0</v>
      </c>
      <c r="S1151" s="1013">
        <f t="shared" si="232"/>
        <v>5202912</v>
      </c>
      <c r="T1151" s="1017">
        <v>0</v>
      </c>
      <c r="U1151" s="785">
        <v>0</v>
      </c>
      <c r="V1151" s="785">
        <v>200000</v>
      </c>
      <c r="W1151" s="1017">
        <v>500000</v>
      </c>
      <c r="X1151" s="1017">
        <v>0</v>
      </c>
      <c r="Y1151" s="1017">
        <v>400000</v>
      </c>
      <c r="Z1151" s="1017">
        <v>536781</v>
      </c>
      <c r="AA1151" s="1018"/>
      <c r="AB1151" s="1013"/>
      <c r="AC1151" s="1017">
        <v>0</v>
      </c>
      <c r="AD1151" s="1017">
        <v>0</v>
      </c>
      <c r="AE1151" s="1013">
        <v>0</v>
      </c>
      <c r="AF1151" s="1019"/>
      <c r="AG1151" s="1019">
        <f t="shared" si="226"/>
        <v>6839693</v>
      </c>
      <c r="AH1151" s="1014">
        <v>52</v>
      </c>
      <c r="AI1151" s="1014">
        <v>0</v>
      </c>
      <c r="AJ1151" s="1014">
        <v>0</v>
      </c>
      <c r="AK1151" s="1018">
        <v>0</v>
      </c>
      <c r="AL1151" s="1020">
        <v>0</v>
      </c>
      <c r="AM1151" s="1013">
        <f t="shared" si="225"/>
        <v>1958625</v>
      </c>
      <c r="AN1151" s="1045">
        <f t="shared" si="227"/>
        <v>8798318</v>
      </c>
      <c r="AO1151" s="1013">
        <v>548415</v>
      </c>
      <c r="AP1151" s="1013">
        <v>44100</v>
      </c>
      <c r="AQ1151" s="1013">
        <v>0</v>
      </c>
      <c r="AR1151" s="1013">
        <v>0</v>
      </c>
      <c r="AS1151" s="1013">
        <v>0</v>
      </c>
      <c r="AT1151" s="1045">
        <f t="shared" si="233"/>
        <v>8205803</v>
      </c>
      <c r="AU1151" s="1004"/>
      <c r="AV1151" s="870"/>
      <c r="AW1151" s="782" t="s">
        <v>5476</v>
      </c>
      <c r="AX1151" s="782" t="s">
        <v>5477</v>
      </c>
      <c r="AY1151" s="1007" t="s">
        <v>221</v>
      </c>
      <c r="AZ1151" s="1007">
        <v>622</v>
      </c>
      <c r="BA1151" s="347" t="str">
        <f t="shared" si="234"/>
        <v>Bag</v>
      </c>
      <c r="BB1151" s="1008"/>
      <c r="BC1151" s="1009"/>
      <c r="BD1151" s="1009"/>
    </row>
    <row r="1152" spans="1:56" s="1010" customFormat="1" ht="36.75" customHeight="1">
      <c r="A1152" s="661">
        <f>SUBTOTAL(3,B$6:B1152)</f>
        <v>1147</v>
      </c>
      <c r="B1152" s="661" t="s">
        <v>3085</v>
      </c>
      <c r="C1152" s="662" t="s">
        <v>2015</v>
      </c>
      <c r="D1152" s="1011">
        <v>45702</v>
      </c>
      <c r="E1152" s="1011" t="s">
        <v>221</v>
      </c>
      <c r="F1152" s="787" t="s">
        <v>256</v>
      </c>
      <c r="G1152" s="996" t="s">
        <v>797</v>
      </c>
      <c r="H1152" s="1012">
        <v>5023000</v>
      </c>
      <c r="I1152" s="1012">
        <v>0</v>
      </c>
      <c r="J1152" s="1012">
        <v>0</v>
      </c>
      <c r="K1152" s="1012">
        <v>0</v>
      </c>
      <c r="L1152" s="1013">
        <f t="shared" si="228"/>
        <v>5023000</v>
      </c>
      <c r="M1152" s="1014">
        <v>20</v>
      </c>
      <c r="N1152" s="1013">
        <f t="shared" si="229"/>
        <v>3863846</v>
      </c>
      <c r="O1152" s="1015">
        <v>2</v>
      </c>
      <c r="P1152" s="1013">
        <f t="shared" si="230"/>
        <v>386385</v>
      </c>
      <c r="Q1152" s="1016">
        <v>0</v>
      </c>
      <c r="R1152" s="1013">
        <f t="shared" si="231"/>
        <v>0</v>
      </c>
      <c r="S1152" s="1013">
        <f t="shared" si="232"/>
        <v>4250231</v>
      </c>
      <c r="T1152" s="1017">
        <v>0</v>
      </c>
      <c r="U1152" s="785">
        <v>0</v>
      </c>
      <c r="V1152" s="785">
        <v>200000</v>
      </c>
      <c r="W1152" s="1017">
        <v>500000</v>
      </c>
      <c r="X1152" s="1017">
        <v>0</v>
      </c>
      <c r="Y1152" s="1017">
        <v>400000</v>
      </c>
      <c r="Z1152" s="1017">
        <v>445711</v>
      </c>
      <c r="AA1152" s="1018"/>
      <c r="AB1152" s="1013"/>
      <c r="AC1152" s="1017">
        <v>0</v>
      </c>
      <c r="AD1152" s="1017">
        <v>0</v>
      </c>
      <c r="AE1152" s="1013">
        <v>36223.556249999994</v>
      </c>
      <c r="AF1152" s="1019"/>
      <c r="AG1152" s="1019">
        <f t="shared" si="226"/>
        <v>5832166</v>
      </c>
      <c r="AH1152" s="1014">
        <v>48</v>
      </c>
      <c r="AI1152" s="1014">
        <v>0</v>
      </c>
      <c r="AJ1152" s="1014">
        <v>0</v>
      </c>
      <c r="AK1152" s="1018">
        <v>0</v>
      </c>
      <c r="AL1152" s="1020">
        <v>0</v>
      </c>
      <c r="AM1152" s="1013">
        <f t="shared" si="225"/>
        <v>1738731</v>
      </c>
      <c r="AN1152" s="1045">
        <f t="shared" si="227"/>
        <v>7570897</v>
      </c>
      <c r="AO1152" s="1013">
        <v>527415</v>
      </c>
      <c r="AP1152" s="1013">
        <v>44100</v>
      </c>
      <c r="AQ1152" s="1013">
        <v>0</v>
      </c>
      <c r="AR1152" s="1013">
        <v>0</v>
      </c>
      <c r="AS1152" s="1013">
        <v>0</v>
      </c>
      <c r="AT1152" s="1045">
        <f t="shared" si="233"/>
        <v>6999382</v>
      </c>
      <c r="AU1152" s="1004"/>
      <c r="AV1152" s="870"/>
      <c r="AW1152" s="782" t="s">
        <v>4493</v>
      </c>
      <c r="AX1152" s="782" t="s">
        <v>5478</v>
      </c>
      <c r="AY1152" s="1007" t="s">
        <v>221</v>
      </c>
      <c r="AZ1152" s="1007">
        <v>622</v>
      </c>
      <c r="BA1152" s="347" t="str">
        <f t="shared" si="234"/>
        <v>Bag</v>
      </c>
      <c r="BB1152" s="1008"/>
      <c r="BC1152" s="1009"/>
      <c r="BD1152" s="1009"/>
    </row>
    <row r="1153" spans="1:56" s="1010" customFormat="1" ht="36.75" customHeight="1">
      <c r="A1153" s="661">
        <f>SUBTOTAL(3,B$6:B1153)</f>
        <v>1148</v>
      </c>
      <c r="B1153" s="661" t="s">
        <v>3086</v>
      </c>
      <c r="C1153" s="662" t="s">
        <v>3087</v>
      </c>
      <c r="D1153" s="1011">
        <v>45722</v>
      </c>
      <c r="E1153" s="1011" t="s">
        <v>221</v>
      </c>
      <c r="F1153" s="787" t="s">
        <v>256</v>
      </c>
      <c r="G1153" s="996" t="s">
        <v>797</v>
      </c>
      <c r="H1153" s="1012">
        <v>5023000</v>
      </c>
      <c r="I1153" s="1012">
        <v>0</v>
      </c>
      <c r="J1153" s="1012">
        <v>0</v>
      </c>
      <c r="K1153" s="1012">
        <v>0</v>
      </c>
      <c r="L1153" s="1013">
        <f t="shared" si="228"/>
        <v>5023000</v>
      </c>
      <c r="M1153" s="1014">
        <v>23.8</v>
      </c>
      <c r="N1153" s="1013">
        <f t="shared" si="229"/>
        <v>4597977</v>
      </c>
      <c r="O1153" s="1015">
        <v>2</v>
      </c>
      <c r="P1153" s="1013">
        <f t="shared" si="230"/>
        <v>386385</v>
      </c>
      <c r="Q1153" s="1016">
        <v>0</v>
      </c>
      <c r="R1153" s="1013">
        <f t="shared" si="231"/>
        <v>0</v>
      </c>
      <c r="S1153" s="1013">
        <f t="shared" si="232"/>
        <v>4984362</v>
      </c>
      <c r="T1153" s="1017">
        <v>0</v>
      </c>
      <c r="U1153" s="785">
        <v>0</v>
      </c>
      <c r="V1153" s="785">
        <v>200000</v>
      </c>
      <c r="W1153" s="1017">
        <v>500000</v>
      </c>
      <c r="X1153" s="1017">
        <v>0</v>
      </c>
      <c r="Y1153" s="1017">
        <v>400000</v>
      </c>
      <c r="Z1153" s="1017">
        <v>413933</v>
      </c>
      <c r="AA1153" s="1018"/>
      <c r="AB1153" s="1013"/>
      <c r="AC1153" s="1017">
        <v>0</v>
      </c>
      <c r="AD1153" s="1017">
        <v>0</v>
      </c>
      <c r="AE1153" s="1013">
        <v>36223.558298319331</v>
      </c>
      <c r="AF1153" s="1019"/>
      <c r="AG1153" s="1019">
        <f t="shared" si="226"/>
        <v>6534519</v>
      </c>
      <c r="AH1153" s="1014">
        <v>56</v>
      </c>
      <c r="AI1153" s="1014">
        <v>0</v>
      </c>
      <c r="AJ1153" s="1014">
        <v>0</v>
      </c>
      <c r="AK1153" s="1018">
        <v>0</v>
      </c>
      <c r="AL1153" s="1020">
        <v>0</v>
      </c>
      <c r="AM1153" s="1013">
        <f t="shared" si="225"/>
        <v>2028519</v>
      </c>
      <c r="AN1153" s="1045">
        <f t="shared" si="227"/>
        <v>8563038</v>
      </c>
      <c r="AO1153" s="1013">
        <v>520771</v>
      </c>
      <c r="AP1153" s="1013">
        <v>44100</v>
      </c>
      <c r="AQ1153" s="1013">
        <v>0</v>
      </c>
      <c r="AR1153" s="1013">
        <v>0</v>
      </c>
      <c r="AS1153" s="1013">
        <v>82250</v>
      </c>
      <c r="AT1153" s="1045">
        <f t="shared" si="233"/>
        <v>7915917</v>
      </c>
      <c r="AU1153" s="1004"/>
      <c r="AV1153" s="870"/>
      <c r="AW1153" s="782" t="s">
        <v>5479</v>
      </c>
      <c r="AX1153" s="782" t="s">
        <v>5480</v>
      </c>
      <c r="AY1153" s="1007" t="s">
        <v>221</v>
      </c>
      <c r="AZ1153" s="1007">
        <v>622</v>
      </c>
      <c r="BA1153" s="347" t="str">
        <f t="shared" si="234"/>
        <v>Bag</v>
      </c>
      <c r="BB1153" s="1008"/>
      <c r="BC1153" s="1009"/>
      <c r="BD1153" s="1009"/>
    </row>
    <row r="1154" spans="1:56" s="1010" customFormat="1" ht="36.75" customHeight="1">
      <c r="A1154" s="661">
        <f>SUBTOTAL(3,B$6:B1154)</f>
        <v>1149</v>
      </c>
      <c r="B1154" s="661" t="s">
        <v>3088</v>
      </c>
      <c r="C1154" s="662" t="s">
        <v>3089</v>
      </c>
      <c r="D1154" s="1011">
        <v>45726</v>
      </c>
      <c r="E1154" s="1011" t="s">
        <v>221</v>
      </c>
      <c r="F1154" s="787" t="s">
        <v>256</v>
      </c>
      <c r="G1154" s="996" t="s">
        <v>797</v>
      </c>
      <c r="H1154" s="1012">
        <v>5023000</v>
      </c>
      <c r="I1154" s="1012">
        <v>0</v>
      </c>
      <c r="J1154" s="1012">
        <v>0</v>
      </c>
      <c r="K1154" s="1012">
        <v>0</v>
      </c>
      <c r="L1154" s="1013">
        <f t="shared" si="228"/>
        <v>5023000</v>
      </c>
      <c r="M1154" s="1014">
        <v>20.9</v>
      </c>
      <c r="N1154" s="1013">
        <f t="shared" si="229"/>
        <v>4037719</v>
      </c>
      <c r="O1154" s="1015">
        <v>3</v>
      </c>
      <c r="P1154" s="1013">
        <f t="shared" si="230"/>
        <v>579577</v>
      </c>
      <c r="Q1154" s="1016">
        <v>0</v>
      </c>
      <c r="R1154" s="1013">
        <f t="shared" si="231"/>
        <v>0</v>
      </c>
      <c r="S1154" s="1013">
        <f t="shared" si="232"/>
        <v>4617296</v>
      </c>
      <c r="T1154" s="1017">
        <v>0</v>
      </c>
      <c r="U1154" s="785">
        <v>0</v>
      </c>
      <c r="V1154" s="785">
        <v>200000</v>
      </c>
      <c r="W1154" s="1017">
        <v>0</v>
      </c>
      <c r="X1154" s="1017">
        <v>0</v>
      </c>
      <c r="Y1154" s="1017">
        <v>300000</v>
      </c>
      <c r="Z1154" s="1017">
        <v>269258</v>
      </c>
      <c r="AA1154" s="1018"/>
      <c r="AB1154" s="1013"/>
      <c r="AC1154" s="1017">
        <v>200000</v>
      </c>
      <c r="AD1154" s="1017">
        <v>0</v>
      </c>
      <c r="AE1154" s="1013">
        <v>36223.555622009568</v>
      </c>
      <c r="AF1154" s="1019"/>
      <c r="AG1154" s="1019">
        <f t="shared" si="226"/>
        <v>5622778</v>
      </c>
      <c r="AH1154" s="1014">
        <v>44</v>
      </c>
      <c r="AI1154" s="1014">
        <v>0</v>
      </c>
      <c r="AJ1154" s="1014">
        <v>0</v>
      </c>
      <c r="AK1154" s="1018">
        <v>0</v>
      </c>
      <c r="AL1154" s="1020">
        <v>0</v>
      </c>
      <c r="AM1154" s="1013">
        <f t="shared" si="225"/>
        <v>1593836</v>
      </c>
      <c r="AN1154" s="1045">
        <f t="shared" si="227"/>
        <v>7216614</v>
      </c>
      <c r="AO1154" s="1013">
        <v>516787</v>
      </c>
      <c r="AP1154" s="1013">
        <v>44100</v>
      </c>
      <c r="AQ1154" s="1013">
        <v>0</v>
      </c>
      <c r="AR1154" s="1013">
        <v>0</v>
      </c>
      <c r="AS1154" s="1013">
        <v>120212</v>
      </c>
      <c r="AT1154" s="1045">
        <f t="shared" si="233"/>
        <v>6535515</v>
      </c>
      <c r="AU1154" s="1004"/>
      <c r="AV1154" s="870"/>
      <c r="AW1154" s="782" t="s">
        <v>5481</v>
      </c>
      <c r="AX1154" s="782" t="s">
        <v>5482</v>
      </c>
      <c r="AY1154" s="1007" t="s">
        <v>221</v>
      </c>
      <c r="AZ1154" s="1007">
        <v>622</v>
      </c>
      <c r="BA1154" s="347" t="str">
        <f t="shared" si="234"/>
        <v>Bag</v>
      </c>
      <c r="BB1154" s="1008"/>
      <c r="BC1154" s="1009"/>
      <c r="BD1154" s="1009"/>
    </row>
    <row r="1155" spans="1:56" s="1010" customFormat="1" ht="36.75" customHeight="1">
      <c r="A1155" s="661">
        <f>SUBTOTAL(3,B$6:B1155)</f>
        <v>1150</v>
      </c>
      <c r="B1155" s="661" t="s">
        <v>5795</v>
      </c>
      <c r="C1155" s="662" t="s">
        <v>5796</v>
      </c>
      <c r="D1155" s="1011">
        <v>45748</v>
      </c>
      <c r="E1155" s="1011" t="s">
        <v>221</v>
      </c>
      <c r="F1155" s="787" t="s">
        <v>256</v>
      </c>
      <c r="G1155" s="996" t="s">
        <v>554</v>
      </c>
      <c r="H1155" s="1012">
        <v>4694000</v>
      </c>
      <c r="I1155" s="1012">
        <v>0</v>
      </c>
      <c r="J1155" s="1012">
        <v>0</v>
      </c>
      <c r="K1155" s="1012">
        <v>0</v>
      </c>
      <c r="L1155" s="1013">
        <f t="shared" si="228"/>
        <v>4694000</v>
      </c>
      <c r="M1155" s="1014">
        <v>23.9</v>
      </c>
      <c r="N1155" s="1013">
        <f t="shared" si="229"/>
        <v>4314869</v>
      </c>
      <c r="O1155" s="1015">
        <v>2</v>
      </c>
      <c r="P1155" s="1013">
        <f t="shared" si="230"/>
        <v>361077</v>
      </c>
      <c r="Q1155" s="1016">
        <v>0</v>
      </c>
      <c r="R1155" s="1013">
        <f t="shared" si="231"/>
        <v>0</v>
      </c>
      <c r="S1155" s="1013">
        <f t="shared" si="232"/>
        <v>4675946</v>
      </c>
      <c r="T1155" s="1017">
        <v>0</v>
      </c>
      <c r="U1155" s="785">
        <v>0</v>
      </c>
      <c r="V1155" s="785">
        <v>199000</v>
      </c>
      <c r="W1155" s="1017">
        <v>498000</v>
      </c>
      <c r="X1155" s="1017">
        <v>0</v>
      </c>
      <c r="Y1155" s="1017">
        <v>149000</v>
      </c>
      <c r="Z1155" s="1017">
        <v>0</v>
      </c>
      <c r="AA1155" s="1018"/>
      <c r="AB1155" s="1013"/>
      <c r="AC1155" s="1017">
        <v>0</v>
      </c>
      <c r="AD1155" s="1017">
        <v>0</v>
      </c>
      <c r="AE1155" s="1013">
        <v>33850.959728033471</v>
      </c>
      <c r="AF1155" s="1019"/>
      <c r="AG1155" s="1019">
        <f t="shared" si="226"/>
        <v>5555797</v>
      </c>
      <c r="AH1155" s="1014">
        <v>48</v>
      </c>
      <c r="AI1155" s="1014">
        <v>0</v>
      </c>
      <c r="AJ1155" s="1014">
        <v>0</v>
      </c>
      <c r="AK1155" s="1018">
        <v>0</v>
      </c>
      <c r="AL1155" s="1020">
        <v>0</v>
      </c>
      <c r="AM1155" s="1013">
        <f t="shared" si="225"/>
        <v>1624846</v>
      </c>
      <c r="AN1155" s="1045">
        <f t="shared" si="227"/>
        <v>7180643</v>
      </c>
      <c r="AO1155" s="1013">
        <v>0</v>
      </c>
      <c r="AP1155" s="1013">
        <v>0</v>
      </c>
      <c r="AQ1155" s="1013">
        <v>0</v>
      </c>
      <c r="AR1155" s="1013">
        <v>0</v>
      </c>
      <c r="AS1155" s="1013">
        <v>0</v>
      </c>
      <c r="AT1155" s="1045">
        <f t="shared" si="233"/>
        <v>7180643</v>
      </c>
      <c r="AU1155" s="1004"/>
      <c r="AV1155" s="870"/>
      <c r="AW1155" s="782" t="s">
        <v>5895</v>
      </c>
      <c r="AX1155" s="782" t="s">
        <v>5896</v>
      </c>
      <c r="AY1155" s="1007" t="s">
        <v>221</v>
      </c>
      <c r="AZ1155" s="1007">
        <v>622</v>
      </c>
      <c r="BA1155" s="347" t="str">
        <f t="shared" si="234"/>
        <v>Bag</v>
      </c>
      <c r="BB1155" s="1008"/>
      <c r="BC1155" s="1009"/>
      <c r="BD1155" s="1009"/>
    </row>
    <row r="1156" spans="1:56" s="1010" customFormat="1" ht="36.75" customHeight="1">
      <c r="A1156" s="661">
        <f>SUBTOTAL(3,B$6:B1156)</f>
        <v>1151</v>
      </c>
      <c r="B1156" s="661" t="s">
        <v>5797</v>
      </c>
      <c r="C1156" s="662" t="s">
        <v>5798</v>
      </c>
      <c r="D1156" s="1011">
        <v>45748</v>
      </c>
      <c r="E1156" s="1011" t="s">
        <v>221</v>
      </c>
      <c r="F1156" s="787" t="s">
        <v>256</v>
      </c>
      <c r="G1156" s="996" t="s">
        <v>554</v>
      </c>
      <c r="H1156" s="1012">
        <v>4694000</v>
      </c>
      <c r="I1156" s="1012">
        <v>0</v>
      </c>
      <c r="J1156" s="1012">
        <v>0</v>
      </c>
      <c r="K1156" s="1012">
        <v>0</v>
      </c>
      <c r="L1156" s="1013">
        <f t="shared" si="228"/>
        <v>4694000</v>
      </c>
      <c r="M1156" s="1014">
        <v>23.8</v>
      </c>
      <c r="N1156" s="1013">
        <f t="shared" si="229"/>
        <v>4296815</v>
      </c>
      <c r="O1156" s="1015">
        <v>2</v>
      </c>
      <c r="P1156" s="1013">
        <f t="shared" si="230"/>
        <v>361077</v>
      </c>
      <c r="Q1156" s="1016">
        <v>0</v>
      </c>
      <c r="R1156" s="1013">
        <f t="shared" si="231"/>
        <v>0</v>
      </c>
      <c r="S1156" s="1013">
        <f t="shared" si="232"/>
        <v>4657892</v>
      </c>
      <c r="T1156" s="1017">
        <v>0</v>
      </c>
      <c r="U1156" s="785">
        <v>0</v>
      </c>
      <c r="V1156" s="785">
        <v>198000</v>
      </c>
      <c r="W1156" s="1017">
        <v>496000</v>
      </c>
      <c r="X1156" s="1017">
        <v>0</v>
      </c>
      <c r="Y1156" s="1017">
        <v>149000</v>
      </c>
      <c r="Z1156" s="1017">
        <v>0</v>
      </c>
      <c r="AA1156" s="1018"/>
      <c r="AB1156" s="1013"/>
      <c r="AC1156" s="1017">
        <v>0</v>
      </c>
      <c r="AD1156" s="1017">
        <v>0</v>
      </c>
      <c r="AE1156" s="1013">
        <v>0</v>
      </c>
      <c r="AF1156" s="1019"/>
      <c r="AG1156" s="1019">
        <f t="shared" si="226"/>
        <v>5500892</v>
      </c>
      <c r="AH1156" s="1014">
        <v>56</v>
      </c>
      <c r="AI1156" s="1014">
        <v>0</v>
      </c>
      <c r="AJ1156" s="1014">
        <v>0</v>
      </c>
      <c r="AK1156" s="1018">
        <v>0</v>
      </c>
      <c r="AL1156" s="1020">
        <v>0</v>
      </c>
      <c r="AM1156" s="1013">
        <f t="shared" si="225"/>
        <v>1895654</v>
      </c>
      <c r="AN1156" s="1045">
        <f t="shared" si="227"/>
        <v>7396546</v>
      </c>
      <c r="AO1156" s="1013">
        <v>0</v>
      </c>
      <c r="AP1156" s="1013">
        <v>0</v>
      </c>
      <c r="AQ1156" s="1013">
        <v>0</v>
      </c>
      <c r="AR1156" s="1013">
        <v>0</v>
      </c>
      <c r="AS1156" s="1013">
        <v>0</v>
      </c>
      <c r="AT1156" s="1045">
        <f t="shared" si="233"/>
        <v>7396546</v>
      </c>
      <c r="AU1156" s="1004"/>
      <c r="AV1156" s="870"/>
      <c r="AW1156" s="782" t="s">
        <v>5897</v>
      </c>
      <c r="AX1156" s="782" t="s">
        <v>5898</v>
      </c>
      <c r="AY1156" s="1007" t="s">
        <v>221</v>
      </c>
      <c r="AZ1156" s="1007">
        <v>622</v>
      </c>
      <c r="BA1156" s="347" t="str">
        <f t="shared" si="234"/>
        <v>Bag</v>
      </c>
      <c r="BB1156" s="1008"/>
      <c r="BC1156" s="1009"/>
      <c r="BD1156" s="1009"/>
    </row>
    <row r="1157" spans="1:56" s="1010" customFormat="1" ht="36.75" customHeight="1">
      <c r="A1157" s="661">
        <f>SUBTOTAL(3,B$6:B1157)</f>
        <v>1152</v>
      </c>
      <c r="B1157" s="661" t="s">
        <v>5799</v>
      </c>
      <c r="C1157" s="662" t="s">
        <v>5800</v>
      </c>
      <c r="D1157" s="1011">
        <v>45748</v>
      </c>
      <c r="E1157" s="1011" t="s">
        <v>221</v>
      </c>
      <c r="F1157" s="787" t="s">
        <v>256</v>
      </c>
      <c r="G1157" s="996" t="s">
        <v>554</v>
      </c>
      <c r="H1157" s="1012">
        <v>4694000</v>
      </c>
      <c r="I1157" s="1012">
        <v>0</v>
      </c>
      <c r="J1157" s="1012">
        <v>0</v>
      </c>
      <c r="K1157" s="1012">
        <v>0</v>
      </c>
      <c r="L1157" s="1013">
        <f t="shared" si="228"/>
        <v>4694000</v>
      </c>
      <c r="M1157" s="1014">
        <v>23.9</v>
      </c>
      <c r="N1157" s="1013">
        <f t="shared" si="229"/>
        <v>4314869</v>
      </c>
      <c r="O1157" s="1015">
        <v>2</v>
      </c>
      <c r="P1157" s="1013">
        <f t="shared" si="230"/>
        <v>361077</v>
      </c>
      <c r="Q1157" s="1016">
        <v>0</v>
      </c>
      <c r="R1157" s="1013">
        <f t="shared" si="231"/>
        <v>0</v>
      </c>
      <c r="S1157" s="1013">
        <f t="shared" si="232"/>
        <v>4675946</v>
      </c>
      <c r="T1157" s="1017">
        <v>0</v>
      </c>
      <c r="U1157" s="785">
        <v>0</v>
      </c>
      <c r="V1157" s="785">
        <v>199000</v>
      </c>
      <c r="W1157" s="1017">
        <v>498000</v>
      </c>
      <c r="X1157" s="1017">
        <v>0</v>
      </c>
      <c r="Y1157" s="1017">
        <v>149000</v>
      </c>
      <c r="Z1157" s="1017">
        <v>0</v>
      </c>
      <c r="AA1157" s="1018"/>
      <c r="AB1157" s="1013"/>
      <c r="AC1157" s="1017">
        <v>0</v>
      </c>
      <c r="AD1157" s="1017">
        <v>0</v>
      </c>
      <c r="AE1157" s="1013">
        <v>33850.959728033471</v>
      </c>
      <c r="AF1157" s="1019"/>
      <c r="AG1157" s="1019">
        <f t="shared" si="226"/>
        <v>5555797</v>
      </c>
      <c r="AH1157" s="1014">
        <v>52</v>
      </c>
      <c r="AI1157" s="1014">
        <v>0</v>
      </c>
      <c r="AJ1157" s="1014">
        <v>0</v>
      </c>
      <c r="AK1157" s="1018">
        <v>0</v>
      </c>
      <c r="AL1157" s="1020">
        <v>0</v>
      </c>
      <c r="AM1157" s="1013">
        <f t="shared" si="225"/>
        <v>1760250</v>
      </c>
      <c r="AN1157" s="1045">
        <f t="shared" si="227"/>
        <v>7316047</v>
      </c>
      <c r="AO1157" s="1013">
        <v>0</v>
      </c>
      <c r="AP1157" s="1013">
        <v>0</v>
      </c>
      <c r="AQ1157" s="1013">
        <v>0</v>
      </c>
      <c r="AR1157" s="1013">
        <v>0</v>
      </c>
      <c r="AS1157" s="1013">
        <v>0</v>
      </c>
      <c r="AT1157" s="1045">
        <f t="shared" si="233"/>
        <v>7316047</v>
      </c>
      <c r="AU1157" s="1004"/>
      <c r="AV1157" s="870"/>
      <c r="AW1157" s="782" t="s">
        <v>5899</v>
      </c>
      <c r="AX1157" s="782" t="s">
        <v>5900</v>
      </c>
      <c r="AY1157" s="1007" t="s">
        <v>221</v>
      </c>
      <c r="AZ1157" s="1007">
        <v>622</v>
      </c>
      <c r="BA1157" s="347" t="str">
        <f t="shared" si="234"/>
        <v>Bag</v>
      </c>
      <c r="BB1157" s="1008"/>
      <c r="BC1157" s="1009"/>
      <c r="BD1157" s="1009"/>
    </row>
    <row r="1158" spans="1:56" s="1010" customFormat="1" ht="36.75" customHeight="1">
      <c r="A1158" s="661">
        <f>SUBTOTAL(3,B$6:B1158)</f>
        <v>1153</v>
      </c>
      <c r="B1158" s="661" t="s">
        <v>5801</v>
      </c>
      <c r="C1158" s="662" t="s">
        <v>5802</v>
      </c>
      <c r="D1158" s="1011">
        <v>45772</v>
      </c>
      <c r="E1158" s="1011" t="s">
        <v>221</v>
      </c>
      <c r="F1158" s="787" t="s">
        <v>256</v>
      </c>
      <c r="G1158" s="996" t="s">
        <v>554</v>
      </c>
      <c r="H1158" s="1012">
        <v>4694000</v>
      </c>
      <c r="I1158" s="1012">
        <v>0</v>
      </c>
      <c r="J1158" s="1012">
        <v>0</v>
      </c>
      <c r="K1158" s="1012">
        <v>0</v>
      </c>
      <c r="L1158" s="1013">
        <f t="shared" si="228"/>
        <v>4694000</v>
      </c>
      <c r="M1158" s="1014">
        <v>2</v>
      </c>
      <c r="N1158" s="1013">
        <f t="shared" si="229"/>
        <v>361077</v>
      </c>
      <c r="O1158" s="1015">
        <v>1</v>
      </c>
      <c r="P1158" s="1013">
        <f t="shared" si="230"/>
        <v>180538</v>
      </c>
      <c r="Q1158" s="1016">
        <v>0</v>
      </c>
      <c r="R1158" s="1013">
        <f t="shared" si="231"/>
        <v>0</v>
      </c>
      <c r="S1158" s="1013">
        <f t="shared" si="232"/>
        <v>541615</v>
      </c>
      <c r="T1158" s="1017">
        <v>0</v>
      </c>
      <c r="U1158" s="785">
        <v>0</v>
      </c>
      <c r="V1158" s="785">
        <v>23000</v>
      </c>
      <c r="W1158" s="1017">
        <v>58000</v>
      </c>
      <c r="X1158" s="1017">
        <v>0</v>
      </c>
      <c r="Y1158" s="1017">
        <v>17000</v>
      </c>
      <c r="Z1158" s="1017">
        <v>0</v>
      </c>
      <c r="AA1158" s="1018"/>
      <c r="AB1158" s="1013"/>
      <c r="AC1158" s="1017">
        <v>0</v>
      </c>
      <c r="AD1158" s="1017">
        <v>0</v>
      </c>
      <c r="AE1158" s="1013">
        <v>0</v>
      </c>
      <c r="AF1158" s="1019"/>
      <c r="AG1158" s="1019">
        <f t="shared" si="226"/>
        <v>639615</v>
      </c>
      <c r="AH1158" s="1014">
        <v>0</v>
      </c>
      <c r="AI1158" s="1014">
        <v>0</v>
      </c>
      <c r="AJ1158" s="1014">
        <v>0</v>
      </c>
      <c r="AK1158" s="1018">
        <v>0</v>
      </c>
      <c r="AL1158" s="1020">
        <v>0</v>
      </c>
      <c r="AM1158" s="1013">
        <f t="shared" si="225"/>
        <v>0</v>
      </c>
      <c r="AN1158" s="1045">
        <f t="shared" si="227"/>
        <v>639615</v>
      </c>
      <c r="AO1158" s="1013">
        <v>0</v>
      </c>
      <c r="AP1158" s="1013">
        <v>0</v>
      </c>
      <c r="AQ1158" s="1013">
        <v>0</v>
      </c>
      <c r="AR1158" s="1013">
        <v>0</v>
      </c>
      <c r="AS1158" s="1013">
        <v>0</v>
      </c>
      <c r="AT1158" s="1045">
        <f t="shared" si="233"/>
        <v>639615</v>
      </c>
      <c r="AU1158" s="1004"/>
      <c r="AV1158" s="870"/>
      <c r="AW1158" s="782"/>
      <c r="AX1158" s="782" t="s">
        <v>3644</v>
      </c>
      <c r="AY1158" s="1007" t="s">
        <v>221</v>
      </c>
      <c r="AZ1158" s="1007">
        <v>622</v>
      </c>
      <c r="BA1158" s="347" t="str">
        <f t="shared" si="234"/>
        <v>Bag</v>
      </c>
      <c r="BB1158" s="1008"/>
      <c r="BC1158" s="1009"/>
      <c r="BD1158" s="1009"/>
    </row>
    <row r="1159" spans="1:56" s="1010" customFormat="1" ht="36.75" customHeight="1">
      <c r="A1159" s="661">
        <f>SUBTOTAL(3,B$6:B1159)</f>
        <v>1154</v>
      </c>
      <c r="B1159" s="661" t="s">
        <v>3090</v>
      </c>
      <c r="C1159" s="662" t="s">
        <v>3091</v>
      </c>
      <c r="D1159" s="1011">
        <v>39867</v>
      </c>
      <c r="E1159" s="1011" t="s">
        <v>221</v>
      </c>
      <c r="F1159" s="787" t="s">
        <v>256</v>
      </c>
      <c r="G1159" s="996" t="s">
        <v>797</v>
      </c>
      <c r="H1159" s="1012">
        <v>5931000</v>
      </c>
      <c r="I1159" s="1012">
        <v>0</v>
      </c>
      <c r="J1159" s="1012">
        <v>0</v>
      </c>
      <c r="K1159" s="1012">
        <v>0</v>
      </c>
      <c r="L1159" s="1013">
        <f t="shared" si="228"/>
        <v>5931000</v>
      </c>
      <c r="M1159" s="1014">
        <v>24</v>
      </c>
      <c r="N1159" s="1013">
        <f t="shared" si="229"/>
        <v>5474769</v>
      </c>
      <c r="O1159" s="1015">
        <v>2</v>
      </c>
      <c r="P1159" s="1013">
        <f t="shared" si="230"/>
        <v>456231</v>
      </c>
      <c r="Q1159" s="1016">
        <v>0</v>
      </c>
      <c r="R1159" s="1013">
        <f t="shared" si="231"/>
        <v>0</v>
      </c>
      <c r="S1159" s="1013">
        <f t="shared" si="232"/>
        <v>5931000</v>
      </c>
      <c r="T1159" s="1017">
        <v>0</v>
      </c>
      <c r="U1159" s="785">
        <v>0</v>
      </c>
      <c r="V1159" s="785">
        <v>200000</v>
      </c>
      <c r="W1159" s="1017">
        <v>500000</v>
      </c>
      <c r="X1159" s="1017">
        <v>0</v>
      </c>
      <c r="Y1159" s="1017">
        <v>400000</v>
      </c>
      <c r="Z1159" s="1017">
        <v>560727</v>
      </c>
      <c r="AA1159" s="1018"/>
      <c r="AB1159" s="1013"/>
      <c r="AC1159" s="1017">
        <v>100000</v>
      </c>
      <c r="AD1159" s="1017">
        <v>0</v>
      </c>
      <c r="AE1159" s="1013">
        <v>42771.6328125</v>
      </c>
      <c r="AF1159" s="1019"/>
      <c r="AG1159" s="1019">
        <f t="shared" si="226"/>
        <v>7734499</v>
      </c>
      <c r="AH1159" s="1014">
        <v>56</v>
      </c>
      <c r="AI1159" s="1014">
        <v>0</v>
      </c>
      <c r="AJ1159" s="1014">
        <v>0</v>
      </c>
      <c r="AK1159" s="1018">
        <v>0</v>
      </c>
      <c r="AL1159" s="1020">
        <v>0</v>
      </c>
      <c r="AM1159" s="1013">
        <f t="shared" ref="AM1159:AM1222" si="235">ROUND((N1159/IF(M1159&gt;26,26,M1159)/8*(AH1159*$AH$5+AI1159*$AI$5+AJ1159*$AJ$5+AK1159*$AK$5+AL1159*$AL$5)),0)</f>
        <v>2395211</v>
      </c>
      <c r="AN1159" s="1045">
        <f t="shared" si="227"/>
        <v>10129710</v>
      </c>
      <c r="AO1159" s="1013">
        <v>622755</v>
      </c>
      <c r="AP1159" s="1013">
        <v>44100</v>
      </c>
      <c r="AQ1159" s="1013">
        <v>0</v>
      </c>
      <c r="AR1159" s="1013">
        <v>0</v>
      </c>
      <c r="AS1159" s="1013">
        <v>0</v>
      </c>
      <c r="AT1159" s="1045">
        <f t="shared" si="233"/>
        <v>9462855</v>
      </c>
      <c r="AU1159" s="1004"/>
      <c r="AV1159" s="870"/>
      <c r="AW1159" s="782" t="s">
        <v>5483</v>
      </c>
      <c r="AX1159" s="782" t="s">
        <v>5484</v>
      </c>
      <c r="AY1159" s="1007" t="s">
        <v>221</v>
      </c>
      <c r="AZ1159" s="1007">
        <v>622</v>
      </c>
      <c r="BA1159" s="347" t="str">
        <f t="shared" si="234"/>
        <v>Bag</v>
      </c>
      <c r="BB1159" s="1008"/>
      <c r="BC1159" s="1009"/>
      <c r="BD1159" s="1009"/>
    </row>
    <row r="1160" spans="1:56" s="1010" customFormat="1" ht="36.75" customHeight="1">
      <c r="A1160" s="661">
        <f>SUBTOTAL(3,B$6:B1160)</f>
        <v>1155</v>
      </c>
      <c r="B1160" s="661" t="s">
        <v>3092</v>
      </c>
      <c r="C1160" s="662" t="s">
        <v>3093</v>
      </c>
      <c r="D1160" s="1011">
        <v>41012</v>
      </c>
      <c r="E1160" s="1011" t="s">
        <v>221</v>
      </c>
      <c r="F1160" s="787" t="s">
        <v>256</v>
      </c>
      <c r="G1160" s="996" t="s">
        <v>920</v>
      </c>
      <c r="H1160" s="1012">
        <v>5931000</v>
      </c>
      <c r="I1160" s="1012">
        <v>0</v>
      </c>
      <c r="J1160" s="1012">
        <v>0</v>
      </c>
      <c r="K1160" s="1012">
        <v>0</v>
      </c>
      <c r="L1160" s="1013">
        <f t="shared" si="228"/>
        <v>5931000</v>
      </c>
      <c r="M1160" s="1014">
        <v>23</v>
      </c>
      <c r="N1160" s="1013">
        <f t="shared" si="229"/>
        <v>5246654</v>
      </c>
      <c r="O1160" s="1015">
        <v>3</v>
      </c>
      <c r="P1160" s="1013">
        <f t="shared" si="230"/>
        <v>684346</v>
      </c>
      <c r="Q1160" s="1016">
        <v>0</v>
      </c>
      <c r="R1160" s="1013">
        <f t="shared" si="231"/>
        <v>0</v>
      </c>
      <c r="S1160" s="1013">
        <f t="shared" si="232"/>
        <v>5931000</v>
      </c>
      <c r="T1160" s="1017">
        <v>0</v>
      </c>
      <c r="U1160" s="785">
        <v>0</v>
      </c>
      <c r="V1160" s="785">
        <v>200000</v>
      </c>
      <c r="W1160" s="1017">
        <v>500000</v>
      </c>
      <c r="X1160" s="1017">
        <v>0</v>
      </c>
      <c r="Y1160" s="1017">
        <v>400000</v>
      </c>
      <c r="Z1160" s="1017">
        <v>538487</v>
      </c>
      <c r="AA1160" s="1018"/>
      <c r="AB1160" s="1013"/>
      <c r="AC1160" s="1017">
        <v>0</v>
      </c>
      <c r="AD1160" s="1017">
        <v>0</v>
      </c>
      <c r="AE1160" s="1013">
        <v>42771.635869565216</v>
      </c>
      <c r="AF1160" s="1019"/>
      <c r="AG1160" s="1019">
        <f t="shared" si="226"/>
        <v>7612259</v>
      </c>
      <c r="AH1160" s="1014">
        <v>52</v>
      </c>
      <c r="AI1160" s="1014">
        <v>0</v>
      </c>
      <c r="AJ1160" s="1014">
        <v>0</v>
      </c>
      <c r="AK1160" s="1018">
        <v>0</v>
      </c>
      <c r="AL1160" s="1020">
        <v>0</v>
      </c>
      <c r="AM1160" s="1013">
        <f t="shared" si="235"/>
        <v>2224125</v>
      </c>
      <c r="AN1160" s="1045">
        <f t="shared" si="227"/>
        <v>9836384</v>
      </c>
      <c r="AO1160" s="1013">
        <v>622755</v>
      </c>
      <c r="AP1160" s="1013">
        <v>44100</v>
      </c>
      <c r="AQ1160" s="1013">
        <v>0</v>
      </c>
      <c r="AR1160" s="1013">
        <v>0</v>
      </c>
      <c r="AS1160" s="1013">
        <v>0</v>
      </c>
      <c r="AT1160" s="1045">
        <f t="shared" si="233"/>
        <v>9169529</v>
      </c>
      <c r="AU1160" s="1004"/>
      <c r="AV1160" s="870"/>
      <c r="AW1160" s="782" t="s">
        <v>5485</v>
      </c>
      <c r="AX1160" s="782" t="s">
        <v>5486</v>
      </c>
      <c r="AY1160" s="1007" t="s">
        <v>221</v>
      </c>
      <c r="AZ1160" s="1007">
        <v>622</v>
      </c>
      <c r="BA1160" s="347" t="str">
        <f t="shared" si="234"/>
        <v>Bag</v>
      </c>
      <c r="BB1160" s="1008"/>
      <c r="BC1160" s="1009"/>
      <c r="BD1160" s="1009"/>
    </row>
    <row r="1161" spans="1:56" s="1010" customFormat="1" ht="36.75" customHeight="1">
      <c r="A1161" s="661">
        <f>SUBTOTAL(3,B$6:B1161)</f>
        <v>1156</v>
      </c>
      <c r="B1161" s="661" t="s">
        <v>3094</v>
      </c>
      <c r="C1161" s="662" t="s">
        <v>3095</v>
      </c>
      <c r="D1161" s="1011">
        <v>41520</v>
      </c>
      <c r="E1161" s="1011" t="s">
        <v>221</v>
      </c>
      <c r="F1161" s="787" t="s">
        <v>256</v>
      </c>
      <c r="G1161" s="996" t="s">
        <v>797</v>
      </c>
      <c r="H1161" s="1012">
        <v>5931000</v>
      </c>
      <c r="I1161" s="1012">
        <v>0</v>
      </c>
      <c r="J1161" s="1012">
        <v>0</v>
      </c>
      <c r="K1161" s="1012">
        <v>0</v>
      </c>
      <c r="L1161" s="1013">
        <f t="shared" si="228"/>
        <v>5931000</v>
      </c>
      <c r="M1161" s="1014">
        <v>23.6</v>
      </c>
      <c r="N1161" s="1013">
        <f t="shared" si="229"/>
        <v>5383523</v>
      </c>
      <c r="O1161" s="1015">
        <v>2</v>
      </c>
      <c r="P1161" s="1013">
        <f t="shared" si="230"/>
        <v>456231</v>
      </c>
      <c r="Q1161" s="1016">
        <v>0</v>
      </c>
      <c r="R1161" s="1013">
        <f t="shared" si="231"/>
        <v>0</v>
      </c>
      <c r="S1161" s="1013">
        <f t="shared" si="232"/>
        <v>5839754</v>
      </c>
      <c r="T1161" s="1017">
        <v>0</v>
      </c>
      <c r="U1161" s="785">
        <v>0</v>
      </c>
      <c r="V1161" s="785">
        <v>200000</v>
      </c>
      <c r="W1161" s="1017">
        <v>500000</v>
      </c>
      <c r="X1161" s="1017">
        <v>0</v>
      </c>
      <c r="Y1161" s="1017">
        <v>400000</v>
      </c>
      <c r="Z1161" s="1017">
        <v>660775</v>
      </c>
      <c r="AA1161" s="1018"/>
      <c r="AB1161" s="1013"/>
      <c r="AC1161" s="1017">
        <v>0</v>
      </c>
      <c r="AD1161" s="1017">
        <v>0</v>
      </c>
      <c r="AE1161" s="1013">
        <v>42771.634004237283</v>
      </c>
      <c r="AF1161" s="1019"/>
      <c r="AG1161" s="1019">
        <f t="shared" si="226"/>
        <v>7643301</v>
      </c>
      <c r="AH1161" s="1014">
        <v>56</v>
      </c>
      <c r="AI1161" s="1014">
        <v>0</v>
      </c>
      <c r="AJ1161" s="1014">
        <v>0</v>
      </c>
      <c r="AK1161" s="1018">
        <v>0</v>
      </c>
      <c r="AL1161" s="1020">
        <v>0</v>
      </c>
      <c r="AM1161" s="1013">
        <f t="shared" si="235"/>
        <v>2395212</v>
      </c>
      <c r="AN1161" s="1045">
        <f t="shared" si="227"/>
        <v>10038513</v>
      </c>
      <c r="AO1161" s="1013">
        <v>622755</v>
      </c>
      <c r="AP1161" s="1013">
        <v>44100</v>
      </c>
      <c r="AQ1161" s="1013">
        <v>0</v>
      </c>
      <c r="AR1161" s="1013">
        <v>0</v>
      </c>
      <c r="AS1161" s="1013">
        <v>0</v>
      </c>
      <c r="AT1161" s="1045">
        <f t="shared" si="233"/>
        <v>9371658</v>
      </c>
      <c r="AU1161" s="1004"/>
      <c r="AV1161" s="870"/>
      <c r="AW1161" s="782" t="s">
        <v>5487</v>
      </c>
      <c r="AX1161" s="782" t="s">
        <v>5488</v>
      </c>
      <c r="AY1161" s="1007" t="s">
        <v>221</v>
      </c>
      <c r="AZ1161" s="1007">
        <v>622</v>
      </c>
      <c r="BA1161" s="347" t="str">
        <f t="shared" si="234"/>
        <v>Bag</v>
      </c>
      <c r="BB1161" s="1008"/>
      <c r="BC1161" s="1009"/>
      <c r="BD1161" s="1009"/>
    </row>
    <row r="1162" spans="1:56" s="1010" customFormat="1" ht="36.75" customHeight="1">
      <c r="A1162" s="661">
        <f>SUBTOTAL(3,B$6:B1162)</f>
        <v>1157</v>
      </c>
      <c r="B1162" s="661" t="s">
        <v>3096</v>
      </c>
      <c r="C1162" s="662" t="s">
        <v>3097</v>
      </c>
      <c r="D1162" s="1011">
        <v>43370</v>
      </c>
      <c r="E1162" s="1011" t="s">
        <v>221</v>
      </c>
      <c r="F1162" s="787" t="s">
        <v>256</v>
      </c>
      <c r="G1162" s="996" t="s">
        <v>797</v>
      </c>
      <c r="H1162" s="1012">
        <v>5931000</v>
      </c>
      <c r="I1162" s="1012">
        <v>0</v>
      </c>
      <c r="J1162" s="1012">
        <v>0</v>
      </c>
      <c r="K1162" s="1012">
        <v>0</v>
      </c>
      <c r="L1162" s="1013">
        <f t="shared" si="228"/>
        <v>5931000</v>
      </c>
      <c r="M1162" s="1014">
        <v>23.9</v>
      </c>
      <c r="N1162" s="1013">
        <f t="shared" si="229"/>
        <v>5451958</v>
      </c>
      <c r="O1162" s="1015">
        <v>2</v>
      </c>
      <c r="P1162" s="1013">
        <f t="shared" si="230"/>
        <v>456231</v>
      </c>
      <c r="Q1162" s="1016">
        <v>0</v>
      </c>
      <c r="R1162" s="1013">
        <f t="shared" si="231"/>
        <v>0</v>
      </c>
      <c r="S1162" s="1013">
        <f t="shared" si="232"/>
        <v>5908189</v>
      </c>
      <c r="T1162" s="1017">
        <v>0</v>
      </c>
      <c r="U1162" s="785">
        <v>0</v>
      </c>
      <c r="V1162" s="785">
        <v>200000</v>
      </c>
      <c r="W1162" s="1017">
        <v>500000</v>
      </c>
      <c r="X1162" s="1017">
        <v>0</v>
      </c>
      <c r="Y1162" s="1017">
        <v>400000</v>
      </c>
      <c r="Z1162" s="1017">
        <v>693851</v>
      </c>
      <c r="AA1162" s="1018"/>
      <c r="AB1162" s="1013"/>
      <c r="AC1162" s="1017">
        <v>0</v>
      </c>
      <c r="AD1162" s="1017">
        <v>0</v>
      </c>
      <c r="AE1162" s="1013">
        <v>42771.6370292887</v>
      </c>
      <c r="AF1162" s="1019"/>
      <c r="AG1162" s="1019">
        <f t="shared" si="226"/>
        <v>7744812</v>
      </c>
      <c r="AH1162" s="1014">
        <v>52</v>
      </c>
      <c r="AI1162" s="1014">
        <v>0</v>
      </c>
      <c r="AJ1162" s="1014">
        <v>0</v>
      </c>
      <c r="AK1162" s="1018">
        <v>0</v>
      </c>
      <c r="AL1162" s="1020">
        <v>0</v>
      </c>
      <c r="AM1162" s="1013">
        <f t="shared" si="235"/>
        <v>2224125</v>
      </c>
      <c r="AN1162" s="1045">
        <f t="shared" si="227"/>
        <v>9968937</v>
      </c>
      <c r="AO1162" s="1013">
        <v>622755</v>
      </c>
      <c r="AP1162" s="1013">
        <v>44100</v>
      </c>
      <c r="AQ1162" s="1013">
        <v>0</v>
      </c>
      <c r="AR1162" s="1013">
        <v>0</v>
      </c>
      <c r="AS1162" s="1013">
        <v>0</v>
      </c>
      <c r="AT1162" s="1045">
        <f t="shared" si="233"/>
        <v>9302082</v>
      </c>
      <c r="AU1162" s="1004"/>
      <c r="AV1162" s="870"/>
      <c r="AW1162" s="782" t="s">
        <v>5489</v>
      </c>
      <c r="AX1162" s="782" t="s">
        <v>5490</v>
      </c>
      <c r="AY1162" s="1007" t="s">
        <v>221</v>
      </c>
      <c r="AZ1162" s="1007">
        <v>622</v>
      </c>
      <c r="BA1162" s="347" t="str">
        <f t="shared" si="234"/>
        <v>Bag</v>
      </c>
      <c r="BB1162" s="1008"/>
      <c r="BC1162" s="1009"/>
      <c r="BD1162" s="1009"/>
    </row>
    <row r="1163" spans="1:56" s="1010" customFormat="1" ht="36.75" customHeight="1">
      <c r="A1163" s="661">
        <f>SUBTOTAL(3,B$6:B1163)</f>
        <v>1158</v>
      </c>
      <c r="B1163" s="661" t="s">
        <v>3098</v>
      </c>
      <c r="C1163" s="662" t="s">
        <v>3099</v>
      </c>
      <c r="D1163" s="1011">
        <v>43418</v>
      </c>
      <c r="E1163" s="1011" t="s">
        <v>221</v>
      </c>
      <c r="F1163" s="787" t="s">
        <v>256</v>
      </c>
      <c r="G1163" s="996" t="s">
        <v>797</v>
      </c>
      <c r="H1163" s="1012">
        <v>5931000</v>
      </c>
      <c r="I1163" s="1012">
        <v>0</v>
      </c>
      <c r="J1163" s="1012">
        <v>0</v>
      </c>
      <c r="K1163" s="1012">
        <v>0</v>
      </c>
      <c r="L1163" s="1013">
        <f t="shared" si="228"/>
        <v>5931000</v>
      </c>
      <c r="M1163" s="1014">
        <v>24</v>
      </c>
      <c r="N1163" s="1013">
        <f t="shared" si="229"/>
        <v>5474769</v>
      </c>
      <c r="O1163" s="1015">
        <v>2</v>
      </c>
      <c r="P1163" s="1013">
        <f t="shared" si="230"/>
        <v>456231</v>
      </c>
      <c r="Q1163" s="1016">
        <v>0</v>
      </c>
      <c r="R1163" s="1013">
        <f t="shared" si="231"/>
        <v>0</v>
      </c>
      <c r="S1163" s="1013">
        <f t="shared" si="232"/>
        <v>5931000</v>
      </c>
      <c r="T1163" s="1017">
        <v>0</v>
      </c>
      <c r="U1163" s="785">
        <v>0</v>
      </c>
      <c r="V1163" s="785">
        <v>200000</v>
      </c>
      <c r="W1163" s="1017">
        <v>500000</v>
      </c>
      <c r="X1163" s="1017">
        <v>0</v>
      </c>
      <c r="Y1163" s="1017">
        <v>400000</v>
      </c>
      <c r="Z1163" s="1017">
        <v>930500</v>
      </c>
      <c r="AA1163" s="1018"/>
      <c r="AB1163" s="1013"/>
      <c r="AC1163" s="1017">
        <v>0</v>
      </c>
      <c r="AD1163" s="1017">
        <v>0</v>
      </c>
      <c r="AE1163" s="1013">
        <v>42771.6328125</v>
      </c>
      <c r="AF1163" s="1019"/>
      <c r="AG1163" s="1019">
        <f t="shared" si="226"/>
        <v>8004272</v>
      </c>
      <c r="AH1163" s="1014">
        <v>56</v>
      </c>
      <c r="AI1163" s="1014">
        <v>0</v>
      </c>
      <c r="AJ1163" s="1014">
        <v>0</v>
      </c>
      <c r="AK1163" s="1018">
        <v>0</v>
      </c>
      <c r="AL1163" s="1020">
        <v>0</v>
      </c>
      <c r="AM1163" s="1013">
        <f t="shared" si="235"/>
        <v>2395211</v>
      </c>
      <c r="AN1163" s="1045">
        <f t="shared" si="227"/>
        <v>10399483</v>
      </c>
      <c r="AO1163" s="1013">
        <v>622755</v>
      </c>
      <c r="AP1163" s="1013">
        <v>44100</v>
      </c>
      <c r="AQ1163" s="1013">
        <v>0</v>
      </c>
      <c r="AR1163" s="1013">
        <v>0</v>
      </c>
      <c r="AS1163" s="1013">
        <v>0</v>
      </c>
      <c r="AT1163" s="1045">
        <f t="shared" si="233"/>
        <v>9732628</v>
      </c>
      <c r="AU1163" s="1004"/>
      <c r="AV1163" s="870"/>
      <c r="AW1163" s="782" t="s">
        <v>5491</v>
      </c>
      <c r="AX1163" s="782" t="s">
        <v>5492</v>
      </c>
      <c r="AY1163" s="1007" t="s">
        <v>221</v>
      </c>
      <c r="AZ1163" s="1007">
        <v>622</v>
      </c>
      <c r="BA1163" s="347" t="str">
        <f t="shared" si="234"/>
        <v>Bag</v>
      </c>
      <c r="BB1163" s="1008"/>
      <c r="BC1163" s="1009"/>
      <c r="BD1163" s="1009"/>
    </row>
    <row r="1164" spans="1:56" s="1010" customFormat="1" ht="36.75" customHeight="1">
      <c r="A1164" s="661">
        <f>SUBTOTAL(3,B$6:B1164)</f>
        <v>1159</v>
      </c>
      <c r="B1164" s="661" t="s">
        <v>3100</v>
      </c>
      <c r="C1164" s="662" t="s">
        <v>3101</v>
      </c>
      <c r="D1164" s="1011">
        <v>43435</v>
      </c>
      <c r="E1164" s="1011" t="s">
        <v>221</v>
      </c>
      <c r="F1164" s="787" t="s">
        <v>256</v>
      </c>
      <c r="G1164" s="996" t="s">
        <v>797</v>
      </c>
      <c r="H1164" s="1012">
        <v>5931000</v>
      </c>
      <c r="I1164" s="1012">
        <v>0</v>
      </c>
      <c r="J1164" s="1012">
        <v>0</v>
      </c>
      <c r="K1164" s="1012">
        <v>0</v>
      </c>
      <c r="L1164" s="1013">
        <f t="shared" si="228"/>
        <v>5931000</v>
      </c>
      <c r="M1164" s="1014">
        <v>24</v>
      </c>
      <c r="N1164" s="1013">
        <f t="shared" si="229"/>
        <v>5474769</v>
      </c>
      <c r="O1164" s="1015">
        <v>2</v>
      </c>
      <c r="P1164" s="1013">
        <f t="shared" si="230"/>
        <v>456231</v>
      </c>
      <c r="Q1164" s="1016">
        <v>0</v>
      </c>
      <c r="R1164" s="1013">
        <f t="shared" si="231"/>
        <v>0</v>
      </c>
      <c r="S1164" s="1013">
        <f t="shared" si="232"/>
        <v>5931000</v>
      </c>
      <c r="T1164" s="1017">
        <v>0</v>
      </c>
      <c r="U1164" s="785">
        <v>0</v>
      </c>
      <c r="V1164" s="785">
        <v>200000</v>
      </c>
      <c r="W1164" s="1017">
        <v>500000</v>
      </c>
      <c r="X1164" s="1017">
        <v>0</v>
      </c>
      <c r="Y1164" s="1017">
        <v>400000</v>
      </c>
      <c r="Z1164" s="1017">
        <v>566939</v>
      </c>
      <c r="AA1164" s="1018"/>
      <c r="AB1164" s="1013"/>
      <c r="AC1164" s="1017">
        <v>0</v>
      </c>
      <c r="AD1164" s="1017">
        <v>0</v>
      </c>
      <c r="AE1164" s="1013">
        <v>0</v>
      </c>
      <c r="AF1164" s="1019"/>
      <c r="AG1164" s="1019">
        <f t="shared" si="226"/>
        <v>7597939</v>
      </c>
      <c r="AH1164" s="1014">
        <v>56</v>
      </c>
      <c r="AI1164" s="1014">
        <v>0</v>
      </c>
      <c r="AJ1164" s="1014">
        <v>0</v>
      </c>
      <c r="AK1164" s="1018">
        <v>0</v>
      </c>
      <c r="AL1164" s="1020">
        <v>0</v>
      </c>
      <c r="AM1164" s="1013">
        <f t="shared" si="235"/>
        <v>2395211</v>
      </c>
      <c r="AN1164" s="1045">
        <f t="shared" si="227"/>
        <v>9993150</v>
      </c>
      <c r="AO1164" s="1013">
        <v>622755</v>
      </c>
      <c r="AP1164" s="1013">
        <v>44100</v>
      </c>
      <c r="AQ1164" s="1013">
        <v>0</v>
      </c>
      <c r="AR1164" s="1013">
        <v>0</v>
      </c>
      <c r="AS1164" s="1013">
        <v>0</v>
      </c>
      <c r="AT1164" s="1045">
        <f t="shared" si="233"/>
        <v>9326295</v>
      </c>
      <c r="AU1164" s="1004"/>
      <c r="AV1164" s="870"/>
      <c r="AW1164" s="782" t="s">
        <v>5493</v>
      </c>
      <c r="AX1164" s="782" t="s">
        <v>5494</v>
      </c>
      <c r="AY1164" s="1007" t="s">
        <v>221</v>
      </c>
      <c r="AZ1164" s="1007">
        <v>622</v>
      </c>
      <c r="BA1164" s="347" t="str">
        <f t="shared" si="234"/>
        <v>Bag</v>
      </c>
      <c r="BB1164" s="1008"/>
      <c r="BC1164" s="1009"/>
      <c r="BD1164" s="1009"/>
    </row>
    <row r="1165" spans="1:56" s="1010" customFormat="1" ht="36.75" customHeight="1">
      <c r="A1165" s="661">
        <f>SUBTOTAL(3,B$6:B1165)</f>
        <v>1160</v>
      </c>
      <c r="B1165" s="661" t="s">
        <v>3102</v>
      </c>
      <c r="C1165" s="662" t="s">
        <v>3103</v>
      </c>
      <c r="D1165" s="1011">
        <v>43435</v>
      </c>
      <c r="E1165" s="1011" t="s">
        <v>221</v>
      </c>
      <c r="F1165" s="787" t="s">
        <v>256</v>
      </c>
      <c r="G1165" s="996" t="s">
        <v>797</v>
      </c>
      <c r="H1165" s="1012">
        <v>5931000</v>
      </c>
      <c r="I1165" s="1012">
        <v>0</v>
      </c>
      <c r="J1165" s="1012">
        <v>0</v>
      </c>
      <c r="K1165" s="1012">
        <v>0</v>
      </c>
      <c r="L1165" s="1013">
        <f t="shared" si="228"/>
        <v>5931000</v>
      </c>
      <c r="M1165" s="1014">
        <v>21.8</v>
      </c>
      <c r="N1165" s="1013">
        <f t="shared" si="229"/>
        <v>4972915</v>
      </c>
      <c r="O1165" s="1015">
        <v>3</v>
      </c>
      <c r="P1165" s="1013">
        <f t="shared" si="230"/>
        <v>684346</v>
      </c>
      <c r="Q1165" s="1016">
        <v>0</v>
      </c>
      <c r="R1165" s="1013">
        <f t="shared" si="231"/>
        <v>0</v>
      </c>
      <c r="S1165" s="1013">
        <f t="shared" si="232"/>
        <v>5657261</v>
      </c>
      <c r="T1165" s="1017">
        <v>0</v>
      </c>
      <c r="U1165" s="785">
        <v>0</v>
      </c>
      <c r="V1165" s="785">
        <v>200000</v>
      </c>
      <c r="W1165" s="1017">
        <v>0</v>
      </c>
      <c r="X1165" s="1017">
        <v>0</v>
      </c>
      <c r="Y1165" s="1017">
        <v>400000</v>
      </c>
      <c r="Z1165" s="1017">
        <v>616715</v>
      </c>
      <c r="AA1165" s="1018"/>
      <c r="AB1165" s="1013"/>
      <c r="AC1165" s="1017">
        <v>0</v>
      </c>
      <c r="AD1165" s="1017">
        <v>0</v>
      </c>
      <c r="AE1165" s="1013">
        <v>0</v>
      </c>
      <c r="AF1165" s="1019"/>
      <c r="AG1165" s="1019">
        <f t="shared" si="226"/>
        <v>6873976</v>
      </c>
      <c r="AH1165" s="1014">
        <v>44.5</v>
      </c>
      <c r="AI1165" s="1014">
        <v>0</v>
      </c>
      <c r="AJ1165" s="1014">
        <v>0</v>
      </c>
      <c r="AK1165" s="1018">
        <v>0</v>
      </c>
      <c r="AL1165" s="1020">
        <v>0</v>
      </c>
      <c r="AM1165" s="1013">
        <f t="shared" si="235"/>
        <v>1903338</v>
      </c>
      <c r="AN1165" s="1045">
        <f t="shared" si="227"/>
        <v>8777314</v>
      </c>
      <c r="AO1165" s="1013">
        <v>622755</v>
      </c>
      <c r="AP1165" s="1013">
        <v>44100</v>
      </c>
      <c r="AQ1165" s="1013">
        <v>0</v>
      </c>
      <c r="AR1165" s="1013">
        <v>0</v>
      </c>
      <c r="AS1165" s="1013">
        <v>0</v>
      </c>
      <c r="AT1165" s="1045">
        <f t="shared" si="233"/>
        <v>8110459</v>
      </c>
      <c r="AU1165" s="1004"/>
      <c r="AV1165" s="870"/>
      <c r="AW1165" s="782" t="s">
        <v>5495</v>
      </c>
      <c r="AX1165" s="782" t="s">
        <v>5496</v>
      </c>
      <c r="AY1165" s="1007" t="s">
        <v>221</v>
      </c>
      <c r="AZ1165" s="1007">
        <v>622</v>
      </c>
      <c r="BA1165" s="347" t="str">
        <f t="shared" si="234"/>
        <v>Bag</v>
      </c>
      <c r="BB1165" s="1008"/>
      <c r="BC1165" s="1009"/>
      <c r="BD1165" s="1009"/>
    </row>
    <row r="1166" spans="1:56" s="1010" customFormat="1" ht="36.75" customHeight="1">
      <c r="A1166" s="661">
        <f>SUBTOTAL(3,B$6:B1166)</f>
        <v>1161</v>
      </c>
      <c r="B1166" s="661" t="s">
        <v>3104</v>
      </c>
      <c r="C1166" s="662" t="s">
        <v>3105</v>
      </c>
      <c r="D1166" s="1011">
        <v>43522</v>
      </c>
      <c r="E1166" s="1011" t="s">
        <v>221</v>
      </c>
      <c r="F1166" s="787" t="s">
        <v>256</v>
      </c>
      <c r="G1166" s="996" t="s">
        <v>1232</v>
      </c>
      <c r="H1166" s="1012">
        <v>5931000</v>
      </c>
      <c r="I1166" s="1012">
        <v>200000</v>
      </c>
      <c r="J1166" s="1012">
        <v>0</v>
      </c>
      <c r="K1166" s="1012">
        <v>0</v>
      </c>
      <c r="L1166" s="1013">
        <f t="shared" si="228"/>
        <v>6131000</v>
      </c>
      <c r="M1166" s="1014">
        <v>22.5</v>
      </c>
      <c r="N1166" s="1013">
        <f t="shared" si="229"/>
        <v>5305673</v>
      </c>
      <c r="O1166" s="1015">
        <v>3</v>
      </c>
      <c r="P1166" s="1013">
        <f t="shared" si="230"/>
        <v>707423</v>
      </c>
      <c r="Q1166" s="1016">
        <v>0</v>
      </c>
      <c r="R1166" s="1013">
        <f t="shared" si="231"/>
        <v>0</v>
      </c>
      <c r="S1166" s="1013">
        <f t="shared" si="232"/>
        <v>6013096</v>
      </c>
      <c r="T1166" s="1017">
        <v>0</v>
      </c>
      <c r="U1166" s="785">
        <v>0</v>
      </c>
      <c r="V1166" s="785">
        <v>200000</v>
      </c>
      <c r="W1166" s="1017">
        <v>500000</v>
      </c>
      <c r="X1166" s="1017">
        <v>0</v>
      </c>
      <c r="Y1166" s="1017">
        <v>400000</v>
      </c>
      <c r="Z1166" s="1017">
        <v>636031</v>
      </c>
      <c r="AA1166" s="1018"/>
      <c r="AB1166" s="1013"/>
      <c r="AC1166" s="1017">
        <v>0</v>
      </c>
      <c r="AD1166" s="1017">
        <v>0</v>
      </c>
      <c r="AE1166" s="1013">
        <v>0</v>
      </c>
      <c r="AF1166" s="1019"/>
      <c r="AG1166" s="1019">
        <f t="shared" si="226"/>
        <v>7749127</v>
      </c>
      <c r="AH1166" s="1014">
        <v>44</v>
      </c>
      <c r="AI1166" s="1014">
        <v>0</v>
      </c>
      <c r="AJ1166" s="1014">
        <v>0</v>
      </c>
      <c r="AK1166" s="1018">
        <v>0</v>
      </c>
      <c r="AL1166" s="1020">
        <v>0</v>
      </c>
      <c r="AM1166" s="1013">
        <f t="shared" si="235"/>
        <v>1945413</v>
      </c>
      <c r="AN1166" s="1045">
        <f t="shared" si="227"/>
        <v>9694540</v>
      </c>
      <c r="AO1166" s="1013">
        <v>643755</v>
      </c>
      <c r="AP1166" s="1013">
        <v>44100</v>
      </c>
      <c r="AQ1166" s="1013">
        <v>0</v>
      </c>
      <c r="AR1166" s="1013">
        <v>0</v>
      </c>
      <c r="AS1166" s="1013">
        <v>0</v>
      </c>
      <c r="AT1166" s="1045">
        <f t="shared" si="233"/>
        <v>9006685</v>
      </c>
      <c r="AU1166" s="1004"/>
      <c r="AV1166" s="870"/>
      <c r="AW1166" s="782" t="s">
        <v>5497</v>
      </c>
      <c r="AX1166" s="782" t="s">
        <v>5498</v>
      </c>
      <c r="AY1166" s="1007" t="s">
        <v>221</v>
      </c>
      <c r="AZ1166" s="1007">
        <v>622</v>
      </c>
      <c r="BA1166" s="347" t="str">
        <f t="shared" si="234"/>
        <v>Bag</v>
      </c>
      <c r="BB1166" s="1008"/>
      <c r="BC1166" s="1009"/>
      <c r="BD1166" s="1009"/>
    </row>
    <row r="1167" spans="1:56" s="1010" customFormat="1" ht="36.75" customHeight="1">
      <c r="A1167" s="661">
        <f>SUBTOTAL(3,B$6:B1167)</f>
        <v>1162</v>
      </c>
      <c r="B1167" s="661" t="s">
        <v>3106</v>
      </c>
      <c r="C1167" s="662" t="s">
        <v>3107</v>
      </c>
      <c r="D1167" s="1011">
        <v>43528</v>
      </c>
      <c r="E1167" s="1011" t="s">
        <v>221</v>
      </c>
      <c r="F1167" s="787" t="s">
        <v>256</v>
      </c>
      <c r="G1167" s="996" t="s">
        <v>797</v>
      </c>
      <c r="H1167" s="1012">
        <v>5931000</v>
      </c>
      <c r="I1167" s="1012">
        <v>0</v>
      </c>
      <c r="J1167" s="1012">
        <v>0</v>
      </c>
      <c r="K1167" s="1012">
        <v>0</v>
      </c>
      <c r="L1167" s="1013">
        <f t="shared" si="228"/>
        <v>5931000</v>
      </c>
      <c r="M1167" s="1014">
        <v>22.5</v>
      </c>
      <c r="N1167" s="1013">
        <f t="shared" si="229"/>
        <v>5132596</v>
      </c>
      <c r="O1167" s="1015">
        <v>3</v>
      </c>
      <c r="P1167" s="1013">
        <f t="shared" si="230"/>
        <v>684346</v>
      </c>
      <c r="Q1167" s="1016">
        <v>0</v>
      </c>
      <c r="R1167" s="1013">
        <f t="shared" si="231"/>
        <v>0</v>
      </c>
      <c r="S1167" s="1013">
        <f t="shared" si="232"/>
        <v>5816942</v>
      </c>
      <c r="T1167" s="1017">
        <v>0</v>
      </c>
      <c r="U1167" s="785">
        <v>0</v>
      </c>
      <c r="V1167" s="785">
        <v>200000</v>
      </c>
      <c r="W1167" s="1017">
        <v>500000</v>
      </c>
      <c r="X1167" s="1017">
        <v>0</v>
      </c>
      <c r="Y1167" s="1017">
        <v>400000</v>
      </c>
      <c r="Z1167" s="1017">
        <v>624526</v>
      </c>
      <c r="AA1167" s="1018"/>
      <c r="AB1167" s="1013"/>
      <c r="AC1167" s="1017">
        <v>0</v>
      </c>
      <c r="AD1167" s="1017">
        <v>0</v>
      </c>
      <c r="AE1167" s="1013">
        <v>0</v>
      </c>
      <c r="AF1167" s="1019"/>
      <c r="AG1167" s="1019">
        <f t="shared" si="226"/>
        <v>7541468</v>
      </c>
      <c r="AH1167" s="1014">
        <v>52</v>
      </c>
      <c r="AI1167" s="1014">
        <v>0</v>
      </c>
      <c r="AJ1167" s="1014">
        <v>0</v>
      </c>
      <c r="AK1167" s="1018">
        <v>0</v>
      </c>
      <c r="AL1167" s="1020">
        <v>0</v>
      </c>
      <c r="AM1167" s="1013">
        <f t="shared" si="235"/>
        <v>2224125</v>
      </c>
      <c r="AN1167" s="1045">
        <f t="shared" si="227"/>
        <v>9765593</v>
      </c>
      <c r="AO1167" s="1013">
        <v>622755</v>
      </c>
      <c r="AP1167" s="1013">
        <v>44100</v>
      </c>
      <c r="AQ1167" s="1013">
        <v>0</v>
      </c>
      <c r="AR1167" s="1013">
        <v>0</v>
      </c>
      <c r="AS1167" s="1013">
        <v>0</v>
      </c>
      <c r="AT1167" s="1045">
        <f t="shared" si="233"/>
        <v>9098738</v>
      </c>
      <c r="AU1167" s="1004"/>
      <c r="AV1167" s="870"/>
      <c r="AW1167" s="782" t="s">
        <v>5499</v>
      </c>
      <c r="AX1167" s="782" t="s">
        <v>5500</v>
      </c>
      <c r="AY1167" s="1007" t="s">
        <v>221</v>
      </c>
      <c r="AZ1167" s="1007">
        <v>622</v>
      </c>
      <c r="BA1167" s="347" t="str">
        <f t="shared" si="234"/>
        <v>Bag</v>
      </c>
      <c r="BB1167" s="1008"/>
      <c r="BC1167" s="1009"/>
      <c r="BD1167" s="1009"/>
    </row>
    <row r="1168" spans="1:56" s="1010" customFormat="1" ht="36.75" customHeight="1">
      <c r="A1168" s="661">
        <f>SUBTOTAL(3,B$6:B1168)</f>
        <v>1163</v>
      </c>
      <c r="B1168" s="661" t="s">
        <v>3108</v>
      </c>
      <c r="C1168" s="662" t="s">
        <v>3109</v>
      </c>
      <c r="D1168" s="1011">
        <v>43530</v>
      </c>
      <c r="E1168" s="1011" t="s">
        <v>221</v>
      </c>
      <c r="F1168" s="787" t="s">
        <v>256</v>
      </c>
      <c r="G1168" s="996" t="s">
        <v>1747</v>
      </c>
      <c r="H1168" s="1012">
        <v>5931000</v>
      </c>
      <c r="I1168" s="1012">
        <v>2300000</v>
      </c>
      <c r="J1168" s="1012">
        <v>0</v>
      </c>
      <c r="K1168" s="1012">
        <v>700000</v>
      </c>
      <c r="L1168" s="1013">
        <f t="shared" si="228"/>
        <v>8931000</v>
      </c>
      <c r="M1168" s="1014">
        <v>23.9</v>
      </c>
      <c r="N1168" s="1013">
        <f t="shared" si="229"/>
        <v>8209650</v>
      </c>
      <c r="O1168" s="1015">
        <v>2</v>
      </c>
      <c r="P1168" s="1013">
        <f t="shared" si="230"/>
        <v>687000</v>
      </c>
      <c r="Q1168" s="1016">
        <v>0</v>
      </c>
      <c r="R1168" s="1013">
        <f t="shared" si="231"/>
        <v>0</v>
      </c>
      <c r="S1168" s="1013">
        <f t="shared" si="232"/>
        <v>8896650</v>
      </c>
      <c r="T1168" s="1017">
        <v>0</v>
      </c>
      <c r="U1168" s="785">
        <v>0</v>
      </c>
      <c r="V1168" s="785">
        <v>200000</v>
      </c>
      <c r="W1168" s="1017">
        <v>500000</v>
      </c>
      <c r="X1168" s="1017">
        <v>0</v>
      </c>
      <c r="Y1168" s="1017">
        <v>400000</v>
      </c>
      <c r="Z1168" s="1017">
        <v>455176</v>
      </c>
      <c r="AA1168" s="1018"/>
      <c r="AB1168" s="1013"/>
      <c r="AC1168" s="1017">
        <v>100000</v>
      </c>
      <c r="AD1168" s="1017">
        <v>0</v>
      </c>
      <c r="AE1168" s="1013">
        <v>64406.25</v>
      </c>
      <c r="AF1168" s="1019"/>
      <c r="AG1168" s="1019">
        <f t="shared" si="226"/>
        <v>10616232</v>
      </c>
      <c r="AH1168" s="1014">
        <v>55</v>
      </c>
      <c r="AI1168" s="1014">
        <v>0</v>
      </c>
      <c r="AJ1168" s="1014">
        <v>0</v>
      </c>
      <c r="AK1168" s="1018">
        <v>0</v>
      </c>
      <c r="AL1168" s="1020">
        <v>0</v>
      </c>
      <c r="AM1168" s="1013">
        <f t="shared" si="235"/>
        <v>3542344</v>
      </c>
      <c r="AN1168" s="1045">
        <f t="shared" si="227"/>
        <v>14158576</v>
      </c>
      <c r="AO1168" s="1013">
        <v>937755</v>
      </c>
      <c r="AP1168" s="1013">
        <v>44100</v>
      </c>
      <c r="AQ1168" s="1013">
        <v>57002</v>
      </c>
      <c r="AR1168" s="1013">
        <v>0</v>
      </c>
      <c r="AS1168" s="1013">
        <v>0</v>
      </c>
      <c r="AT1168" s="1045">
        <f t="shared" si="233"/>
        <v>13119719</v>
      </c>
      <c r="AU1168" s="1004"/>
      <c r="AV1168" s="870"/>
      <c r="AW1168" s="782" t="s">
        <v>4635</v>
      </c>
      <c r="AX1168" s="782" t="s">
        <v>5501</v>
      </c>
      <c r="AY1168" s="1007" t="s">
        <v>221</v>
      </c>
      <c r="AZ1168" s="1007">
        <v>622</v>
      </c>
      <c r="BA1168" s="347" t="str">
        <f t="shared" si="234"/>
        <v>Bag</v>
      </c>
      <c r="BB1168" s="1008"/>
      <c r="BC1168" s="1009"/>
      <c r="BD1168" s="1009"/>
    </row>
    <row r="1169" spans="1:56" s="1010" customFormat="1" ht="36.75" customHeight="1">
      <c r="A1169" s="661">
        <f>SUBTOTAL(3,B$6:B1169)</f>
        <v>1164</v>
      </c>
      <c r="B1169" s="661" t="s">
        <v>3110</v>
      </c>
      <c r="C1169" s="662" t="s">
        <v>3111</v>
      </c>
      <c r="D1169" s="1011">
        <v>43532</v>
      </c>
      <c r="E1169" s="1011" t="s">
        <v>221</v>
      </c>
      <c r="F1169" s="787" t="s">
        <v>256</v>
      </c>
      <c r="G1169" s="996" t="s">
        <v>797</v>
      </c>
      <c r="H1169" s="1012">
        <v>5931000</v>
      </c>
      <c r="I1169" s="1012">
        <v>0</v>
      </c>
      <c r="J1169" s="1012">
        <v>0</v>
      </c>
      <c r="K1169" s="1012">
        <v>0</v>
      </c>
      <c r="L1169" s="1013">
        <f t="shared" si="228"/>
        <v>5931000</v>
      </c>
      <c r="M1169" s="1014">
        <v>24</v>
      </c>
      <c r="N1169" s="1013">
        <f t="shared" si="229"/>
        <v>5474769</v>
      </c>
      <c r="O1169" s="1015">
        <v>2</v>
      </c>
      <c r="P1169" s="1013">
        <f t="shared" si="230"/>
        <v>456231</v>
      </c>
      <c r="Q1169" s="1016">
        <v>0</v>
      </c>
      <c r="R1169" s="1013">
        <f t="shared" si="231"/>
        <v>0</v>
      </c>
      <c r="S1169" s="1013">
        <f t="shared" si="232"/>
        <v>5931000</v>
      </c>
      <c r="T1169" s="1017">
        <v>0</v>
      </c>
      <c r="U1169" s="785">
        <v>0</v>
      </c>
      <c r="V1169" s="785">
        <v>200000</v>
      </c>
      <c r="W1169" s="1017">
        <v>500000</v>
      </c>
      <c r="X1169" s="1017">
        <v>0</v>
      </c>
      <c r="Y1169" s="1017">
        <v>400000</v>
      </c>
      <c r="Z1169" s="1017">
        <v>569778</v>
      </c>
      <c r="AA1169" s="1018"/>
      <c r="AB1169" s="1013"/>
      <c r="AC1169" s="1017">
        <v>0</v>
      </c>
      <c r="AD1169" s="1017">
        <v>0</v>
      </c>
      <c r="AE1169" s="1013">
        <v>42771.6328125</v>
      </c>
      <c r="AF1169" s="1019"/>
      <c r="AG1169" s="1019">
        <f t="shared" ref="AG1169:AG1232" si="236">ROUND(SUM(S1169:AF1169)-AA1169,0)</f>
        <v>7643550</v>
      </c>
      <c r="AH1169" s="1014">
        <v>56</v>
      </c>
      <c r="AI1169" s="1014">
        <v>0</v>
      </c>
      <c r="AJ1169" s="1014">
        <v>0</v>
      </c>
      <c r="AK1169" s="1018">
        <v>0</v>
      </c>
      <c r="AL1169" s="1020">
        <v>0</v>
      </c>
      <c r="AM1169" s="1013">
        <f t="shared" si="235"/>
        <v>2395211</v>
      </c>
      <c r="AN1169" s="1045">
        <f t="shared" si="227"/>
        <v>10038761</v>
      </c>
      <c r="AO1169" s="1013">
        <v>622755</v>
      </c>
      <c r="AP1169" s="1013">
        <v>44100</v>
      </c>
      <c r="AQ1169" s="1013">
        <v>0</v>
      </c>
      <c r="AR1169" s="1013">
        <v>0</v>
      </c>
      <c r="AS1169" s="1013">
        <v>0</v>
      </c>
      <c r="AT1169" s="1045">
        <f t="shared" si="233"/>
        <v>9371906</v>
      </c>
      <c r="AU1169" s="1004"/>
      <c r="AV1169" s="870"/>
      <c r="AW1169" s="782" t="s">
        <v>5502</v>
      </c>
      <c r="AX1169" s="782" t="s">
        <v>5503</v>
      </c>
      <c r="AY1169" s="1007" t="s">
        <v>221</v>
      </c>
      <c r="AZ1169" s="1007">
        <v>622</v>
      </c>
      <c r="BA1169" s="347" t="str">
        <f t="shared" si="234"/>
        <v>Bag</v>
      </c>
      <c r="BB1169" s="1008"/>
      <c r="BC1169" s="1009"/>
      <c r="BD1169" s="1009"/>
    </row>
    <row r="1170" spans="1:56" s="1010" customFormat="1" ht="36.75" customHeight="1">
      <c r="A1170" s="661">
        <f>SUBTOTAL(3,B$6:B1170)</f>
        <v>1165</v>
      </c>
      <c r="B1170" s="661" t="s">
        <v>3112</v>
      </c>
      <c r="C1170" s="662" t="s">
        <v>3113</v>
      </c>
      <c r="D1170" s="1011">
        <v>43536</v>
      </c>
      <c r="E1170" s="1011" t="s">
        <v>221</v>
      </c>
      <c r="F1170" s="787" t="s">
        <v>256</v>
      </c>
      <c r="G1170" s="996" t="s">
        <v>797</v>
      </c>
      <c r="H1170" s="1012">
        <v>5931000</v>
      </c>
      <c r="I1170" s="1012">
        <v>0</v>
      </c>
      <c r="J1170" s="1012">
        <v>0</v>
      </c>
      <c r="K1170" s="1012">
        <v>0</v>
      </c>
      <c r="L1170" s="1013">
        <f t="shared" si="228"/>
        <v>5931000</v>
      </c>
      <c r="M1170" s="1014">
        <v>23.8</v>
      </c>
      <c r="N1170" s="1013">
        <f t="shared" si="229"/>
        <v>5429146</v>
      </c>
      <c r="O1170" s="1015">
        <v>2</v>
      </c>
      <c r="P1170" s="1013">
        <f t="shared" si="230"/>
        <v>456231</v>
      </c>
      <c r="Q1170" s="1016">
        <v>0</v>
      </c>
      <c r="R1170" s="1013">
        <f t="shared" si="231"/>
        <v>0</v>
      </c>
      <c r="S1170" s="1013">
        <f t="shared" si="232"/>
        <v>5885377</v>
      </c>
      <c r="T1170" s="1017">
        <v>0</v>
      </c>
      <c r="U1170" s="785">
        <v>0</v>
      </c>
      <c r="V1170" s="785">
        <v>200000</v>
      </c>
      <c r="W1170" s="1017">
        <v>500000</v>
      </c>
      <c r="X1170" s="1017">
        <v>0</v>
      </c>
      <c r="Y1170" s="1017">
        <v>400000</v>
      </c>
      <c r="Z1170" s="1017">
        <v>414137</v>
      </c>
      <c r="AA1170" s="1018"/>
      <c r="AB1170" s="1013"/>
      <c r="AC1170" s="1017">
        <v>0</v>
      </c>
      <c r="AD1170" s="1017">
        <v>0</v>
      </c>
      <c r="AE1170" s="1013">
        <v>42771.633403361338</v>
      </c>
      <c r="AF1170" s="1019"/>
      <c r="AG1170" s="1019">
        <f t="shared" si="236"/>
        <v>7442286</v>
      </c>
      <c r="AH1170" s="1014">
        <v>0</v>
      </c>
      <c r="AI1170" s="1014">
        <v>0</v>
      </c>
      <c r="AJ1170" s="1014">
        <v>0</v>
      </c>
      <c r="AK1170" s="1018">
        <v>0</v>
      </c>
      <c r="AL1170" s="1020">
        <v>0</v>
      </c>
      <c r="AM1170" s="1013">
        <f t="shared" si="235"/>
        <v>0</v>
      </c>
      <c r="AN1170" s="1045">
        <f t="shared" si="227"/>
        <v>7442286</v>
      </c>
      <c r="AO1170" s="1013">
        <v>622755</v>
      </c>
      <c r="AP1170" s="1013">
        <v>44100</v>
      </c>
      <c r="AQ1170" s="1013">
        <v>0</v>
      </c>
      <c r="AR1170" s="1013">
        <v>0</v>
      </c>
      <c r="AS1170" s="1013">
        <v>0</v>
      </c>
      <c r="AT1170" s="1045">
        <f t="shared" si="233"/>
        <v>6775431</v>
      </c>
      <c r="AU1170" s="1004"/>
      <c r="AV1170" s="870"/>
      <c r="AW1170" s="782" t="s">
        <v>5504</v>
      </c>
      <c r="AX1170" s="782" t="s">
        <v>5505</v>
      </c>
      <c r="AY1170" s="1007" t="s">
        <v>221</v>
      </c>
      <c r="AZ1170" s="1007">
        <v>622</v>
      </c>
      <c r="BA1170" s="347" t="str">
        <f t="shared" si="234"/>
        <v>Bag</v>
      </c>
      <c r="BB1170" s="1008"/>
      <c r="BC1170" s="1009"/>
      <c r="BD1170" s="1009"/>
    </row>
    <row r="1171" spans="1:56" s="1010" customFormat="1" ht="36.75" customHeight="1">
      <c r="A1171" s="661">
        <f>SUBTOTAL(3,B$6:B1171)</f>
        <v>1166</v>
      </c>
      <c r="B1171" s="661" t="s">
        <v>3114</v>
      </c>
      <c r="C1171" s="662" t="s">
        <v>3115</v>
      </c>
      <c r="D1171" s="1011">
        <v>43536</v>
      </c>
      <c r="E1171" s="1011" t="s">
        <v>221</v>
      </c>
      <c r="F1171" s="787" t="s">
        <v>256</v>
      </c>
      <c r="G1171" s="996" t="s">
        <v>797</v>
      </c>
      <c r="H1171" s="1012">
        <v>5931000</v>
      </c>
      <c r="I1171" s="1012">
        <v>0</v>
      </c>
      <c r="J1171" s="1012">
        <v>0</v>
      </c>
      <c r="K1171" s="1012">
        <v>0</v>
      </c>
      <c r="L1171" s="1013">
        <f t="shared" si="228"/>
        <v>5931000</v>
      </c>
      <c r="M1171" s="1014">
        <v>23</v>
      </c>
      <c r="N1171" s="1013">
        <f t="shared" si="229"/>
        <v>5246654</v>
      </c>
      <c r="O1171" s="1015">
        <v>3</v>
      </c>
      <c r="P1171" s="1013">
        <f t="shared" si="230"/>
        <v>684346</v>
      </c>
      <c r="Q1171" s="1016">
        <v>0</v>
      </c>
      <c r="R1171" s="1013">
        <f t="shared" si="231"/>
        <v>0</v>
      </c>
      <c r="S1171" s="1013">
        <f t="shared" si="232"/>
        <v>5931000</v>
      </c>
      <c r="T1171" s="1017">
        <v>0</v>
      </c>
      <c r="U1171" s="785">
        <v>0</v>
      </c>
      <c r="V1171" s="785">
        <v>200000</v>
      </c>
      <c r="W1171" s="1017">
        <v>500000</v>
      </c>
      <c r="X1171" s="1017">
        <v>0</v>
      </c>
      <c r="Y1171" s="1017">
        <v>400000</v>
      </c>
      <c r="Z1171" s="1017">
        <v>614666</v>
      </c>
      <c r="AA1171" s="1018"/>
      <c r="AB1171" s="1013"/>
      <c r="AC1171" s="1017">
        <v>0</v>
      </c>
      <c r="AD1171" s="1017">
        <v>0</v>
      </c>
      <c r="AE1171" s="1013">
        <v>42771.635869565216</v>
      </c>
      <c r="AF1171" s="1019"/>
      <c r="AG1171" s="1019">
        <f t="shared" si="236"/>
        <v>7688438</v>
      </c>
      <c r="AH1171" s="1014">
        <v>56</v>
      </c>
      <c r="AI1171" s="1014">
        <v>0</v>
      </c>
      <c r="AJ1171" s="1014">
        <v>0</v>
      </c>
      <c r="AK1171" s="1018">
        <v>0</v>
      </c>
      <c r="AL1171" s="1020">
        <v>0</v>
      </c>
      <c r="AM1171" s="1013">
        <f t="shared" si="235"/>
        <v>2395212</v>
      </c>
      <c r="AN1171" s="1045">
        <f t="shared" si="227"/>
        <v>10083650</v>
      </c>
      <c r="AO1171" s="1013">
        <v>622755</v>
      </c>
      <c r="AP1171" s="1013">
        <v>44100</v>
      </c>
      <c r="AQ1171" s="1013">
        <v>0</v>
      </c>
      <c r="AR1171" s="1013">
        <v>0</v>
      </c>
      <c r="AS1171" s="1013">
        <v>0</v>
      </c>
      <c r="AT1171" s="1045">
        <f t="shared" si="233"/>
        <v>9416795</v>
      </c>
      <c r="AU1171" s="1004"/>
      <c r="AV1171" s="870"/>
      <c r="AW1171" s="782" t="s">
        <v>5506</v>
      </c>
      <c r="AX1171" s="782" t="s">
        <v>5507</v>
      </c>
      <c r="AY1171" s="1007" t="s">
        <v>221</v>
      </c>
      <c r="AZ1171" s="1007">
        <v>622</v>
      </c>
      <c r="BA1171" s="347" t="str">
        <f t="shared" si="234"/>
        <v>Bag</v>
      </c>
      <c r="BB1171" s="1008"/>
      <c r="BC1171" s="1009"/>
      <c r="BD1171" s="1009"/>
    </row>
    <row r="1172" spans="1:56" s="1010" customFormat="1" ht="36.75" customHeight="1">
      <c r="A1172" s="661">
        <f>SUBTOTAL(3,B$6:B1172)</f>
        <v>1167</v>
      </c>
      <c r="B1172" s="661" t="s">
        <v>3116</v>
      </c>
      <c r="C1172" s="662" t="s">
        <v>3117</v>
      </c>
      <c r="D1172" s="1011">
        <v>43538</v>
      </c>
      <c r="E1172" s="1011" t="s">
        <v>221</v>
      </c>
      <c r="F1172" s="787" t="s">
        <v>256</v>
      </c>
      <c r="G1172" s="996" t="s">
        <v>797</v>
      </c>
      <c r="H1172" s="1012">
        <v>5931000</v>
      </c>
      <c r="I1172" s="1012">
        <v>0</v>
      </c>
      <c r="J1172" s="1012">
        <v>0</v>
      </c>
      <c r="K1172" s="1012">
        <v>0</v>
      </c>
      <c r="L1172" s="1013">
        <f t="shared" si="228"/>
        <v>5931000</v>
      </c>
      <c r="M1172" s="1014">
        <v>24</v>
      </c>
      <c r="N1172" s="1013">
        <f t="shared" si="229"/>
        <v>5474769</v>
      </c>
      <c r="O1172" s="1015">
        <v>2</v>
      </c>
      <c r="P1172" s="1013">
        <f t="shared" si="230"/>
        <v>456231</v>
      </c>
      <c r="Q1172" s="1016">
        <v>0</v>
      </c>
      <c r="R1172" s="1013">
        <f t="shared" si="231"/>
        <v>0</v>
      </c>
      <c r="S1172" s="1013">
        <f t="shared" si="232"/>
        <v>5931000</v>
      </c>
      <c r="T1172" s="1017">
        <v>0</v>
      </c>
      <c r="U1172" s="785">
        <v>0</v>
      </c>
      <c r="V1172" s="785">
        <v>200000</v>
      </c>
      <c r="W1172" s="1017">
        <v>500000</v>
      </c>
      <c r="X1172" s="1017">
        <v>0</v>
      </c>
      <c r="Y1172" s="1017">
        <v>400000</v>
      </c>
      <c r="Z1172" s="1017">
        <v>641207</v>
      </c>
      <c r="AA1172" s="1018"/>
      <c r="AB1172" s="1013"/>
      <c r="AC1172" s="1017">
        <v>0</v>
      </c>
      <c r="AD1172" s="1017">
        <v>0</v>
      </c>
      <c r="AE1172" s="1013">
        <v>42771.6328125</v>
      </c>
      <c r="AF1172" s="1019"/>
      <c r="AG1172" s="1019">
        <f t="shared" si="236"/>
        <v>7714979</v>
      </c>
      <c r="AH1172" s="1014">
        <v>56</v>
      </c>
      <c r="AI1172" s="1014">
        <v>0</v>
      </c>
      <c r="AJ1172" s="1014">
        <v>0</v>
      </c>
      <c r="AK1172" s="1018">
        <v>0</v>
      </c>
      <c r="AL1172" s="1020">
        <v>0</v>
      </c>
      <c r="AM1172" s="1013">
        <f t="shared" si="235"/>
        <v>2395211</v>
      </c>
      <c r="AN1172" s="1045">
        <f t="shared" si="227"/>
        <v>10110190</v>
      </c>
      <c r="AO1172" s="1013">
        <v>622755</v>
      </c>
      <c r="AP1172" s="1013">
        <v>44100</v>
      </c>
      <c r="AQ1172" s="1013">
        <v>0</v>
      </c>
      <c r="AR1172" s="1013">
        <v>0</v>
      </c>
      <c r="AS1172" s="1013">
        <v>0</v>
      </c>
      <c r="AT1172" s="1045">
        <f t="shared" si="233"/>
        <v>9443335</v>
      </c>
      <c r="AU1172" s="1004"/>
      <c r="AV1172" s="870"/>
      <c r="AW1172" s="782" t="s">
        <v>5508</v>
      </c>
      <c r="AX1172" s="782" t="s">
        <v>5509</v>
      </c>
      <c r="AY1172" s="1007" t="s">
        <v>221</v>
      </c>
      <c r="AZ1172" s="1007">
        <v>622</v>
      </c>
      <c r="BA1172" s="347" t="str">
        <f t="shared" si="234"/>
        <v>Bag</v>
      </c>
      <c r="BB1172" s="1008"/>
      <c r="BC1172" s="1009"/>
      <c r="BD1172" s="1009"/>
    </row>
    <row r="1173" spans="1:56" s="1010" customFormat="1" ht="36.75" customHeight="1">
      <c r="A1173" s="661">
        <f>SUBTOTAL(3,B$6:B1173)</f>
        <v>1168</v>
      </c>
      <c r="B1173" s="661" t="s">
        <v>3118</v>
      </c>
      <c r="C1173" s="662" t="s">
        <v>3119</v>
      </c>
      <c r="D1173" s="1011">
        <v>43538</v>
      </c>
      <c r="E1173" s="1011" t="s">
        <v>221</v>
      </c>
      <c r="F1173" s="787" t="s">
        <v>256</v>
      </c>
      <c r="G1173" s="996" t="s">
        <v>1232</v>
      </c>
      <c r="H1173" s="1012">
        <v>5931000</v>
      </c>
      <c r="I1173" s="1012">
        <v>200000</v>
      </c>
      <c r="J1173" s="1012">
        <v>0</v>
      </c>
      <c r="K1173" s="1012">
        <v>0</v>
      </c>
      <c r="L1173" s="1013">
        <f t="shared" si="228"/>
        <v>6131000</v>
      </c>
      <c r="M1173" s="1014">
        <v>24</v>
      </c>
      <c r="N1173" s="1013">
        <f t="shared" si="229"/>
        <v>5659385</v>
      </c>
      <c r="O1173" s="1015">
        <v>2</v>
      </c>
      <c r="P1173" s="1013">
        <f t="shared" si="230"/>
        <v>471615</v>
      </c>
      <c r="Q1173" s="1016">
        <v>0</v>
      </c>
      <c r="R1173" s="1013">
        <f t="shared" si="231"/>
        <v>0</v>
      </c>
      <c r="S1173" s="1013">
        <f t="shared" si="232"/>
        <v>6131000</v>
      </c>
      <c r="T1173" s="1017">
        <v>0</v>
      </c>
      <c r="U1173" s="785">
        <v>0</v>
      </c>
      <c r="V1173" s="785">
        <v>200000</v>
      </c>
      <c r="W1173" s="1017">
        <v>500000</v>
      </c>
      <c r="X1173" s="1017">
        <v>0</v>
      </c>
      <c r="Y1173" s="1017">
        <v>400000</v>
      </c>
      <c r="Z1173" s="1017">
        <v>566939</v>
      </c>
      <c r="AA1173" s="1018"/>
      <c r="AB1173" s="1013"/>
      <c r="AC1173" s="1017">
        <v>0</v>
      </c>
      <c r="AD1173" s="1017">
        <v>0</v>
      </c>
      <c r="AE1173" s="1013">
        <v>0</v>
      </c>
      <c r="AF1173" s="1019"/>
      <c r="AG1173" s="1019">
        <f t="shared" si="236"/>
        <v>7797939</v>
      </c>
      <c r="AH1173" s="1014">
        <v>56</v>
      </c>
      <c r="AI1173" s="1014">
        <v>0</v>
      </c>
      <c r="AJ1173" s="1014">
        <v>0</v>
      </c>
      <c r="AK1173" s="1018">
        <v>0</v>
      </c>
      <c r="AL1173" s="1020">
        <v>0</v>
      </c>
      <c r="AM1173" s="1013">
        <f t="shared" si="235"/>
        <v>2475981</v>
      </c>
      <c r="AN1173" s="1045">
        <f t="shared" si="227"/>
        <v>10273920</v>
      </c>
      <c r="AO1173" s="1013">
        <v>643755</v>
      </c>
      <c r="AP1173" s="1013">
        <v>44100</v>
      </c>
      <c r="AQ1173" s="1013">
        <v>0</v>
      </c>
      <c r="AR1173" s="1013">
        <v>0</v>
      </c>
      <c r="AS1173" s="1013">
        <v>0</v>
      </c>
      <c r="AT1173" s="1045">
        <f t="shared" si="233"/>
        <v>9586065</v>
      </c>
      <c r="AU1173" s="1004"/>
      <c r="AV1173" s="870"/>
      <c r="AW1173" s="782" t="s">
        <v>5510</v>
      </c>
      <c r="AX1173" s="782" t="s">
        <v>5511</v>
      </c>
      <c r="AY1173" s="1007" t="s">
        <v>221</v>
      </c>
      <c r="AZ1173" s="1007">
        <v>622</v>
      </c>
      <c r="BA1173" s="347" t="str">
        <f t="shared" si="234"/>
        <v>Bag</v>
      </c>
      <c r="BB1173" s="1008"/>
      <c r="BC1173" s="1009"/>
      <c r="BD1173" s="1009"/>
    </row>
    <row r="1174" spans="1:56" s="1010" customFormat="1" ht="36.75" customHeight="1">
      <c r="A1174" s="661">
        <f>SUBTOTAL(3,B$6:B1174)</f>
        <v>1169</v>
      </c>
      <c r="B1174" s="661" t="s">
        <v>3120</v>
      </c>
      <c r="C1174" s="662" t="s">
        <v>3121</v>
      </c>
      <c r="D1174" s="1011">
        <v>43543</v>
      </c>
      <c r="E1174" s="1011" t="s">
        <v>221</v>
      </c>
      <c r="F1174" s="787" t="s">
        <v>256</v>
      </c>
      <c r="G1174" s="996" t="s">
        <v>797</v>
      </c>
      <c r="H1174" s="1012">
        <v>5931000</v>
      </c>
      <c r="I1174" s="1012">
        <v>0</v>
      </c>
      <c r="J1174" s="1012">
        <v>0</v>
      </c>
      <c r="K1174" s="1012">
        <v>0</v>
      </c>
      <c r="L1174" s="1013">
        <f t="shared" si="228"/>
        <v>5931000</v>
      </c>
      <c r="M1174" s="1014">
        <v>24</v>
      </c>
      <c r="N1174" s="1013">
        <f t="shared" si="229"/>
        <v>5474769</v>
      </c>
      <c r="O1174" s="1015">
        <v>2</v>
      </c>
      <c r="P1174" s="1013">
        <f t="shared" si="230"/>
        <v>456231</v>
      </c>
      <c r="Q1174" s="1016">
        <v>0</v>
      </c>
      <c r="R1174" s="1013">
        <f t="shared" si="231"/>
        <v>0</v>
      </c>
      <c r="S1174" s="1013">
        <f t="shared" si="232"/>
        <v>5931000</v>
      </c>
      <c r="T1174" s="1017">
        <v>0</v>
      </c>
      <c r="U1174" s="785">
        <v>0</v>
      </c>
      <c r="V1174" s="785">
        <v>200000</v>
      </c>
      <c r="W1174" s="1017">
        <v>500000</v>
      </c>
      <c r="X1174" s="1017">
        <v>0</v>
      </c>
      <c r="Y1174" s="1017">
        <v>400000</v>
      </c>
      <c r="Z1174" s="1017">
        <v>566939</v>
      </c>
      <c r="AA1174" s="1018"/>
      <c r="AB1174" s="1013"/>
      <c r="AC1174" s="1017">
        <v>0</v>
      </c>
      <c r="AD1174" s="1017">
        <v>0</v>
      </c>
      <c r="AE1174" s="1013">
        <v>42771.6328125</v>
      </c>
      <c r="AF1174" s="1019"/>
      <c r="AG1174" s="1019">
        <f t="shared" si="236"/>
        <v>7640711</v>
      </c>
      <c r="AH1174" s="1014">
        <v>56</v>
      </c>
      <c r="AI1174" s="1014">
        <v>0</v>
      </c>
      <c r="AJ1174" s="1014">
        <v>0</v>
      </c>
      <c r="AK1174" s="1018">
        <v>0</v>
      </c>
      <c r="AL1174" s="1020">
        <v>0</v>
      </c>
      <c r="AM1174" s="1013">
        <f t="shared" si="235"/>
        <v>2395211</v>
      </c>
      <c r="AN1174" s="1045">
        <f t="shared" si="227"/>
        <v>10035922</v>
      </c>
      <c r="AO1174" s="1013">
        <v>622755</v>
      </c>
      <c r="AP1174" s="1013">
        <v>44100</v>
      </c>
      <c r="AQ1174" s="1013">
        <v>0</v>
      </c>
      <c r="AR1174" s="1013">
        <v>0</v>
      </c>
      <c r="AS1174" s="1013">
        <v>0</v>
      </c>
      <c r="AT1174" s="1045">
        <f t="shared" si="233"/>
        <v>9369067</v>
      </c>
      <c r="AU1174" s="1004"/>
      <c r="AV1174" s="870"/>
      <c r="AW1174" s="782" t="s">
        <v>5512</v>
      </c>
      <c r="AX1174" s="782" t="s">
        <v>5513</v>
      </c>
      <c r="AY1174" s="1007" t="s">
        <v>221</v>
      </c>
      <c r="AZ1174" s="1007">
        <v>622</v>
      </c>
      <c r="BA1174" s="347" t="str">
        <f t="shared" si="234"/>
        <v>Bag</v>
      </c>
      <c r="BB1174" s="1008"/>
      <c r="BC1174" s="1009"/>
      <c r="BD1174" s="1009"/>
    </row>
    <row r="1175" spans="1:56" s="1010" customFormat="1" ht="36.75" customHeight="1">
      <c r="A1175" s="661">
        <f>SUBTOTAL(3,B$6:B1175)</f>
        <v>1170</v>
      </c>
      <c r="B1175" s="661" t="s">
        <v>3122</v>
      </c>
      <c r="C1175" s="662" t="s">
        <v>3123</v>
      </c>
      <c r="D1175" s="1011">
        <v>39584</v>
      </c>
      <c r="E1175" s="1011" t="s">
        <v>221</v>
      </c>
      <c r="F1175" s="787" t="s">
        <v>257</v>
      </c>
      <c r="G1175" s="996" t="s">
        <v>797</v>
      </c>
      <c r="H1175" s="1012">
        <v>5931000</v>
      </c>
      <c r="I1175" s="1012">
        <v>0</v>
      </c>
      <c r="J1175" s="1012">
        <v>0</v>
      </c>
      <c r="K1175" s="1012">
        <v>0</v>
      </c>
      <c r="L1175" s="1013">
        <f t="shared" si="228"/>
        <v>5931000</v>
      </c>
      <c r="M1175" s="1014">
        <v>24</v>
      </c>
      <c r="N1175" s="1013">
        <f t="shared" si="229"/>
        <v>5474769</v>
      </c>
      <c r="O1175" s="1015">
        <v>2</v>
      </c>
      <c r="P1175" s="1013">
        <f t="shared" si="230"/>
        <v>456231</v>
      </c>
      <c r="Q1175" s="1016">
        <v>0</v>
      </c>
      <c r="R1175" s="1013">
        <f t="shared" si="231"/>
        <v>0</v>
      </c>
      <c r="S1175" s="1013">
        <f t="shared" si="232"/>
        <v>5931000</v>
      </c>
      <c r="T1175" s="1017">
        <v>0</v>
      </c>
      <c r="U1175" s="785">
        <v>0</v>
      </c>
      <c r="V1175" s="785">
        <v>200000</v>
      </c>
      <c r="W1175" s="1017">
        <v>500000</v>
      </c>
      <c r="X1175" s="1017">
        <v>0</v>
      </c>
      <c r="Y1175" s="1017">
        <v>400000</v>
      </c>
      <c r="Z1175" s="1017">
        <v>289699</v>
      </c>
      <c r="AA1175" s="1018"/>
      <c r="AB1175" s="1013"/>
      <c r="AC1175" s="1017">
        <v>0</v>
      </c>
      <c r="AD1175" s="1017">
        <v>0</v>
      </c>
      <c r="AE1175" s="1013">
        <v>42771.6328125</v>
      </c>
      <c r="AF1175" s="1019"/>
      <c r="AG1175" s="1019">
        <f t="shared" si="236"/>
        <v>7363471</v>
      </c>
      <c r="AH1175" s="1014">
        <v>56</v>
      </c>
      <c r="AI1175" s="1014">
        <v>0</v>
      </c>
      <c r="AJ1175" s="1014">
        <v>0</v>
      </c>
      <c r="AK1175" s="1018">
        <v>0</v>
      </c>
      <c r="AL1175" s="1020">
        <v>0</v>
      </c>
      <c r="AM1175" s="1013">
        <f t="shared" si="235"/>
        <v>2395211</v>
      </c>
      <c r="AN1175" s="1045">
        <f t="shared" si="227"/>
        <v>9758682</v>
      </c>
      <c r="AO1175" s="1013">
        <v>622755</v>
      </c>
      <c r="AP1175" s="1013">
        <v>44100</v>
      </c>
      <c r="AQ1175" s="1013">
        <v>0</v>
      </c>
      <c r="AR1175" s="1013">
        <v>0</v>
      </c>
      <c r="AS1175" s="1013">
        <v>0</v>
      </c>
      <c r="AT1175" s="1045">
        <f t="shared" si="233"/>
        <v>9091827</v>
      </c>
      <c r="AU1175" s="1004"/>
      <c r="AV1175" s="870"/>
      <c r="AW1175" s="782" t="s">
        <v>5514</v>
      </c>
      <c r="AX1175" s="782" t="s">
        <v>5515</v>
      </c>
      <c r="AY1175" s="1007" t="s">
        <v>221</v>
      </c>
      <c r="AZ1175" s="1007">
        <v>622</v>
      </c>
      <c r="BA1175" s="347" t="str">
        <f t="shared" si="234"/>
        <v>Bag</v>
      </c>
      <c r="BB1175" s="1008"/>
      <c r="BC1175" s="1009"/>
      <c r="BD1175" s="1009"/>
    </row>
    <row r="1176" spans="1:56" s="1010" customFormat="1" ht="36.75" customHeight="1">
      <c r="A1176" s="661">
        <f>SUBTOTAL(3,B$6:B1176)</f>
        <v>1171</v>
      </c>
      <c r="B1176" s="661" t="s">
        <v>3124</v>
      </c>
      <c r="C1176" s="662" t="s">
        <v>3125</v>
      </c>
      <c r="D1176" s="1011">
        <v>43545</v>
      </c>
      <c r="E1176" s="1011" t="s">
        <v>221</v>
      </c>
      <c r="F1176" s="787" t="s">
        <v>257</v>
      </c>
      <c r="G1176" s="996" t="s">
        <v>797</v>
      </c>
      <c r="H1176" s="1012">
        <v>5931000</v>
      </c>
      <c r="I1176" s="1012">
        <v>0</v>
      </c>
      <c r="J1176" s="1012">
        <v>0</v>
      </c>
      <c r="K1176" s="1012">
        <v>0</v>
      </c>
      <c r="L1176" s="1013">
        <f t="shared" si="228"/>
        <v>5931000</v>
      </c>
      <c r="M1176" s="1014">
        <v>24</v>
      </c>
      <c r="N1176" s="1013">
        <f t="shared" si="229"/>
        <v>5474769</v>
      </c>
      <c r="O1176" s="1015">
        <v>2</v>
      </c>
      <c r="P1176" s="1013">
        <f t="shared" si="230"/>
        <v>456231</v>
      </c>
      <c r="Q1176" s="1016">
        <v>0</v>
      </c>
      <c r="R1176" s="1013">
        <f t="shared" si="231"/>
        <v>0</v>
      </c>
      <c r="S1176" s="1013">
        <f t="shared" si="232"/>
        <v>5931000</v>
      </c>
      <c r="T1176" s="1017">
        <v>0</v>
      </c>
      <c r="U1176" s="785">
        <v>0</v>
      </c>
      <c r="V1176" s="785">
        <v>200000</v>
      </c>
      <c r="W1176" s="1017">
        <v>500000</v>
      </c>
      <c r="X1176" s="1017">
        <v>0</v>
      </c>
      <c r="Y1176" s="1017">
        <v>400000</v>
      </c>
      <c r="Z1176" s="1017">
        <v>638576</v>
      </c>
      <c r="AA1176" s="1018"/>
      <c r="AB1176" s="1013"/>
      <c r="AC1176" s="1017">
        <v>100000</v>
      </c>
      <c r="AD1176" s="1017">
        <v>0</v>
      </c>
      <c r="AE1176" s="1013">
        <v>42771.6328125</v>
      </c>
      <c r="AF1176" s="1019"/>
      <c r="AG1176" s="1019">
        <f t="shared" si="236"/>
        <v>7812348</v>
      </c>
      <c r="AH1176" s="1014">
        <v>52</v>
      </c>
      <c r="AI1176" s="1014">
        <v>0</v>
      </c>
      <c r="AJ1176" s="1014">
        <v>0</v>
      </c>
      <c r="AK1176" s="1018">
        <v>0</v>
      </c>
      <c r="AL1176" s="1020">
        <v>0</v>
      </c>
      <c r="AM1176" s="1013">
        <f t="shared" si="235"/>
        <v>2224125</v>
      </c>
      <c r="AN1176" s="1045">
        <f t="shared" si="227"/>
        <v>10036473</v>
      </c>
      <c r="AO1176" s="1013">
        <v>622755</v>
      </c>
      <c r="AP1176" s="1013">
        <v>44100</v>
      </c>
      <c r="AQ1176" s="1013">
        <v>0</v>
      </c>
      <c r="AR1176" s="1013">
        <v>0</v>
      </c>
      <c r="AS1176" s="1013">
        <v>0</v>
      </c>
      <c r="AT1176" s="1045">
        <f t="shared" si="233"/>
        <v>9369618</v>
      </c>
      <c r="AU1176" s="1004"/>
      <c r="AV1176" s="870"/>
      <c r="AW1176" s="782" t="s">
        <v>5516</v>
      </c>
      <c r="AX1176" s="782" t="s">
        <v>5517</v>
      </c>
      <c r="AY1176" s="1007" t="s">
        <v>221</v>
      </c>
      <c r="AZ1176" s="1007">
        <v>622</v>
      </c>
      <c r="BA1176" s="347" t="str">
        <f t="shared" si="234"/>
        <v>Bag</v>
      </c>
      <c r="BB1176" s="1008"/>
      <c r="BC1176" s="1009"/>
      <c r="BD1176" s="1009"/>
    </row>
    <row r="1177" spans="1:56" s="1010" customFormat="1" ht="36.75" customHeight="1">
      <c r="A1177" s="661">
        <f>SUBTOTAL(3,B$6:B1177)</f>
        <v>1172</v>
      </c>
      <c r="B1177" s="661" t="s">
        <v>3126</v>
      </c>
      <c r="C1177" s="662" t="s">
        <v>3127</v>
      </c>
      <c r="D1177" s="1011">
        <v>43630</v>
      </c>
      <c r="E1177" s="1011" t="s">
        <v>221</v>
      </c>
      <c r="F1177" s="787" t="s">
        <v>257</v>
      </c>
      <c r="G1177" s="996" t="s">
        <v>797</v>
      </c>
      <c r="H1177" s="1012">
        <v>5931000</v>
      </c>
      <c r="I1177" s="1012">
        <v>0</v>
      </c>
      <c r="J1177" s="1012">
        <v>0</v>
      </c>
      <c r="K1177" s="1012">
        <v>0</v>
      </c>
      <c r="L1177" s="1013">
        <f t="shared" si="228"/>
        <v>5931000</v>
      </c>
      <c r="M1177" s="1014">
        <v>24</v>
      </c>
      <c r="N1177" s="1013">
        <f t="shared" si="229"/>
        <v>5474769</v>
      </c>
      <c r="O1177" s="1015">
        <v>2</v>
      </c>
      <c r="P1177" s="1013">
        <f t="shared" si="230"/>
        <v>456231</v>
      </c>
      <c r="Q1177" s="1016">
        <v>0</v>
      </c>
      <c r="R1177" s="1013">
        <f t="shared" si="231"/>
        <v>0</v>
      </c>
      <c r="S1177" s="1013">
        <f t="shared" si="232"/>
        <v>5931000</v>
      </c>
      <c r="T1177" s="1017">
        <v>0</v>
      </c>
      <c r="U1177" s="785">
        <v>0</v>
      </c>
      <c r="V1177" s="785">
        <v>200000</v>
      </c>
      <c r="W1177" s="1017">
        <v>500000</v>
      </c>
      <c r="X1177" s="1017">
        <v>0</v>
      </c>
      <c r="Y1177" s="1017">
        <v>400000</v>
      </c>
      <c r="Z1177" s="1017">
        <v>593289</v>
      </c>
      <c r="AA1177" s="1018"/>
      <c r="AB1177" s="1013"/>
      <c r="AC1177" s="1017">
        <v>0</v>
      </c>
      <c r="AD1177" s="1017">
        <v>0</v>
      </c>
      <c r="AE1177" s="1013">
        <v>42771.6328125</v>
      </c>
      <c r="AF1177" s="1019"/>
      <c r="AG1177" s="1019">
        <f t="shared" si="236"/>
        <v>7667061</v>
      </c>
      <c r="AH1177" s="1014">
        <v>56</v>
      </c>
      <c r="AI1177" s="1014">
        <v>0</v>
      </c>
      <c r="AJ1177" s="1014">
        <v>0</v>
      </c>
      <c r="AK1177" s="1018">
        <v>0</v>
      </c>
      <c r="AL1177" s="1020">
        <v>0</v>
      </c>
      <c r="AM1177" s="1013">
        <f t="shared" si="235"/>
        <v>2395211</v>
      </c>
      <c r="AN1177" s="1045">
        <f t="shared" si="227"/>
        <v>10062272</v>
      </c>
      <c r="AO1177" s="1013">
        <v>622755</v>
      </c>
      <c r="AP1177" s="1013">
        <v>44100</v>
      </c>
      <c r="AQ1177" s="1013">
        <v>0</v>
      </c>
      <c r="AR1177" s="1013">
        <v>0</v>
      </c>
      <c r="AS1177" s="1013">
        <v>0</v>
      </c>
      <c r="AT1177" s="1045">
        <f t="shared" si="233"/>
        <v>9395417</v>
      </c>
      <c r="AU1177" s="1004"/>
      <c r="AV1177" s="870"/>
      <c r="AW1177" s="782" t="s">
        <v>5518</v>
      </c>
      <c r="AX1177" s="782" t="s">
        <v>5519</v>
      </c>
      <c r="AY1177" s="1007" t="s">
        <v>221</v>
      </c>
      <c r="AZ1177" s="1007">
        <v>622</v>
      </c>
      <c r="BA1177" s="347" t="str">
        <f t="shared" si="234"/>
        <v>Bag</v>
      </c>
      <c r="BB1177" s="1008"/>
      <c r="BC1177" s="1009"/>
      <c r="BD1177" s="1009"/>
    </row>
    <row r="1178" spans="1:56" s="1010" customFormat="1" ht="36.75" customHeight="1">
      <c r="A1178" s="661">
        <f>SUBTOTAL(3,B$6:B1178)</f>
        <v>1173</v>
      </c>
      <c r="B1178" s="661" t="s">
        <v>3128</v>
      </c>
      <c r="C1178" s="662" t="s">
        <v>3129</v>
      </c>
      <c r="D1178" s="1011">
        <v>43669</v>
      </c>
      <c r="E1178" s="1011" t="s">
        <v>221</v>
      </c>
      <c r="F1178" s="787" t="s">
        <v>257</v>
      </c>
      <c r="G1178" s="996" t="s">
        <v>1232</v>
      </c>
      <c r="H1178" s="1012">
        <v>5931000</v>
      </c>
      <c r="I1178" s="1012">
        <v>200000</v>
      </c>
      <c r="J1178" s="1012">
        <v>0</v>
      </c>
      <c r="K1178" s="1012">
        <v>0</v>
      </c>
      <c r="L1178" s="1013">
        <f t="shared" si="228"/>
        <v>6131000</v>
      </c>
      <c r="M1178" s="1014">
        <v>24</v>
      </c>
      <c r="N1178" s="1013">
        <f t="shared" si="229"/>
        <v>5659385</v>
      </c>
      <c r="O1178" s="1015">
        <v>2</v>
      </c>
      <c r="P1178" s="1013">
        <f t="shared" si="230"/>
        <v>471615</v>
      </c>
      <c r="Q1178" s="1016">
        <v>0</v>
      </c>
      <c r="R1178" s="1013">
        <f t="shared" si="231"/>
        <v>0</v>
      </c>
      <c r="S1178" s="1013">
        <f t="shared" si="232"/>
        <v>6131000</v>
      </c>
      <c r="T1178" s="1017">
        <v>0</v>
      </c>
      <c r="U1178" s="785">
        <v>0</v>
      </c>
      <c r="V1178" s="785">
        <v>200000</v>
      </c>
      <c r="W1178" s="1017">
        <v>500000</v>
      </c>
      <c r="X1178" s="1017">
        <v>0</v>
      </c>
      <c r="Y1178" s="1017">
        <v>400000</v>
      </c>
      <c r="Z1178" s="1017">
        <v>602040</v>
      </c>
      <c r="AA1178" s="1018"/>
      <c r="AB1178" s="1013"/>
      <c r="AC1178" s="1017">
        <v>0</v>
      </c>
      <c r="AD1178" s="1017">
        <v>0</v>
      </c>
      <c r="AE1178" s="1013">
        <v>0</v>
      </c>
      <c r="AF1178" s="1019"/>
      <c r="AG1178" s="1019">
        <f t="shared" si="236"/>
        <v>7833040</v>
      </c>
      <c r="AH1178" s="1014">
        <v>52</v>
      </c>
      <c r="AI1178" s="1014">
        <v>0</v>
      </c>
      <c r="AJ1178" s="1014">
        <v>0</v>
      </c>
      <c r="AK1178" s="1018">
        <v>0</v>
      </c>
      <c r="AL1178" s="1020">
        <v>0</v>
      </c>
      <c r="AM1178" s="1013">
        <f t="shared" si="235"/>
        <v>2299125</v>
      </c>
      <c r="AN1178" s="1045">
        <f t="shared" si="227"/>
        <v>10132165</v>
      </c>
      <c r="AO1178" s="1013">
        <v>643755</v>
      </c>
      <c r="AP1178" s="1013">
        <v>44100</v>
      </c>
      <c r="AQ1178" s="1013">
        <v>0</v>
      </c>
      <c r="AR1178" s="1013">
        <v>0</v>
      </c>
      <c r="AS1178" s="1013">
        <v>0</v>
      </c>
      <c r="AT1178" s="1045">
        <f t="shared" si="233"/>
        <v>9444310</v>
      </c>
      <c r="AU1178" s="1004"/>
      <c r="AV1178" s="870"/>
      <c r="AW1178" s="782" t="s">
        <v>5520</v>
      </c>
      <c r="AX1178" s="782" t="s">
        <v>5521</v>
      </c>
      <c r="AY1178" s="1007" t="s">
        <v>221</v>
      </c>
      <c r="AZ1178" s="1007">
        <v>622</v>
      </c>
      <c r="BA1178" s="347" t="str">
        <f t="shared" si="234"/>
        <v>Bag</v>
      </c>
      <c r="BB1178" s="1008"/>
      <c r="BC1178" s="1009"/>
      <c r="BD1178" s="1009"/>
    </row>
    <row r="1179" spans="1:56" s="1010" customFormat="1" ht="36.75" customHeight="1">
      <c r="A1179" s="661">
        <f>SUBTOTAL(3,B$6:B1179)</f>
        <v>1174</v>
      </c>
      <c r="B1179" s="661" t="s">
        <v>3130</v>
      </c>
      <c r="C1179" s="662" t="s">
        <v>3131</v>
      </c>
      <c r="D1179" s="1011">
        <v>43731</v>
      </c>
      <c r="E1179" s="1011" t="s">
        <v>221</v>
      </c>
      <c r="F1179" s="787" t="s">
        <v>257</v>
      </c>
      <c r="G1179" s="996" t="s">
        <v>797</v>
      </c>
      <c r="H1179" s="1012">
        <v>5931000</v>
      </c>
      <c r="I1179" s="1012">
        <v>0</v>
      </c>
      <c r="J1179" s="1012">
        <v>0</v>
      </c>
      <c r="K1179" s="1012">
        <v>0</v>
      </c>
      <c r="L1179" s="1013">
        <f t="shared" si="228"/>
        <v>5931000</v>
      </c>
      <c r="M1179" s="1014">
        <v>23.9</v>
      </c>
      <c r="N1179" s="1013">
        <f t="shared" si="229"/>
        <v>5451958</v>
      </c>
      <c r="O1179" s="1015">
        <v>2</v>
      </c>
      <c r="P1179" s="1013">
        <f t="shared" si="230"/>
        <v>456231</v>
      </c>
      <c r="Q1179" s="1016">
        <v>0</v>
      </c>
      <c r="R1179" s="1013">
        <f t="shared" si="231"/>
        <v>0</v>
      </c>
      <c r="S1179" s="1013">
        <f t="shared" si="232"/>
        <v>5908189</v>
      </c>
      <c r="T1179" s="1017">
        <v>0</v>
      </c>
      <c r="U1179" s="785">
        <v>0</v>
      </c>
      <c r="V1179" s="785">
        <v>200000</v>
      </c>
      <c r="W1179" s="1017">
        <v>500000</v>
      </c>
      <c r="X1179" s="1017">
        <v>0</v>
      </c>
      <c r="Y1179" s="1017">
        <v>400000</v>
      </c>
      <c r="Z1179" s="1017">
        <v>646979</v>
      </c>
      <c r="AA1179" s="1018"/>
      <c r="AB1179" s="1013"/>
      <c r="AC1179" s="1017">
        <v>0</v>
      </c>
      <c r="AD1179" s="1017">
        <v>0</v>
      </c>
      <c r="AE1179" s="1013">
        <v>42771.6370292887</v>
      </c>
      <c r="AF1179" s="1019"/>
      <c r="AG1179" s="1019">
        <f t="shared" si="236"/>
        <v>7697940</v>
      </c>
      <c r="AH1179" s="1014">
        <v>56</v>
      </c>
      <c r="AI1179" s="1014">
        <v>0</v>
      </c>
      <c r="AJ1179" s="1014">
        <v>0</v>
      </c>
      <c r="AK1179" s="1018">
        <v>0</v>
      </c>
      <c r="AL1179" s="1020">
        <v>0</v>
      </c>
      <c r="AM1179" s="1013">
        <f t="shared" si="235"/>
        <v>2395212</v>
      </c>
      <c r="AN1179" s="1045">
        <f t="shared" si="227"/>
        <v>10093152</v>
      </c>
      <c r="AO1179" s="1013">
        <v>622755</v>
      </c>
      <c r="AP1179" s="1013">
        <v>44100</v>
      </c>
      <c r="AQ1179" s="1013">
        <v>0</v>
      </c>
      <c r="AR1179" s="1013">
        <v>0</v>
      </c>
      <c r="AS1179" s="1013">
        <v>0</v>
      </c>
      <c r="AT1179" s="1045">
        <f t="shared" si="233"/>
        <v>9426297</v>
      </c>
      <c r="AU1179" s="1004"/>
      <c r="AV1179" s="870"/>
      <c r="AW1179" s="782" t="s">
        <v>5522</v>
      </c>
      <c r="AX1179" s="782" t="s">
        <v>5523</v>
      </c>
      <c r="AY1179" s="1007" t="s">
        <v>221</v>
      </c>
      <c r="AZ1179" s="1007">
        <v>622</v>
      </c>
      <c r="BA1179" s="347" t="str">
        <f t="shared" si="234"/>
        <v>Bag</v>
      </c>
      <c r="BB1179" s="1008"/>
      <c r="BC1179" s="1009"/>
      <c r="BD1179" s="1009"/>
    </row>
    <row r="1180" spans="1:56" s="1010" customFormat="1" ht="36.75" customHeight="1">
      <c r="A1180" s="661">
        <f>SUBTOTAL(3,B$6:B1180)</f>
        <v>1175</v>
      </c>
      <c r="B1180" s="661" t="s">
        <v>3132</v>
      </c>
      <c r="C1180" s="662" t="s">
        <v>3133</v>
      </c>
      <c r="D1180" s="1011">
        <v>43739</v>
      </c>
      <c r="E1180" s="1011" t="s">
        <v>221</v>
      </c>
      <c r="F1180" s="787" t="s">
        <v>257</v>
      </c>
      <c r="G1180" s="996" t="s">
        <v>797</v>
      </c>
      <c r="H1180" s="1012">
        <v>5931000</v>
      </c>
      <c r="I1180" s="1012">
        <v>0</v>
      </c>
      <c r="J1180" s="1012">
        <v>0</v>
      </c>
      <c r="K1180" s="1012">
        <v>0</v>
      </c>
      <c r="L1180" s="1013">
        <f t="shared" si="228"/>
        <v>5931000</v>
      </c>
      <c r="M1180" s="1014">
        <v>23.8</v>
      </c>
      <c r="N1180" s="1013">
        <f t="shared" si="229"/>
        <v>5429146</v>
      </c>
      <c r="O1180" s="1015">
        <v>2</v>
      </c>
      <c r="P1180" s="1013">
        <f t="shared" si="230"/>
        <v>456231</v>
      </c>
      <c r="Q1180" s="1016">
        <v>0</v>
      </c>
      <c r="R1180" s="1013">
        <f t="shared" si="231"/>
        <v>0</v>
      </c>
      <c r="S1180" s="1013">
        <f t="shared" si="232"/>
        <v>5885377</v>
      </c>
      <c r="T1180" s="1017">
        <v>0</v>
      </c>
      <c r="U1180" s="785">
        <v>0</v>
      </c>
      <c r="V1180" s="785">
        <v>200000</v>
      </c>
      <c r="W1180" s="1017">
        <v>500000</v>
      </c>
      <c r="X1180" s="1017">
        <v>0</v>
      </c>
      <c r="Y1180" s="1017">
        <v>400000</v>
      </c>
      <c r="Z1180" s="1017">
        <v>579925</v>
      </c>
      <c r="AA1180" s="1018"/>
      <c r="AB1180" s="1013"/>
      <c r="AC1180" s="1017">
        <v>0</v>
      </c>
      <c r="AD1180" s="1017">
        <v>0</v>
      </c>
      <c r="AE1180" s="1013">
        <v>42771.633403361338</v>
      </c>
      <c r="AF1180" s="1019"/>
      <c r="AG1180" s="1019">
        <f t="shared" si="236"/>
        <v>7608074</v>
      </c>
      <c r="AH1180" s="1014">
        <v>56</v>
      </c>
      <c r="AI1180" s="1014">
        <v>0</v>
      </c>
      <c r="AJ1180" s="1014">
        <v>0</v>
      </c>
      <c r="AK1180" s="1018">
        <v>0</v>
      </c>
      <c r="AL1180" s="1020">
        <v>0</v>
      </c>
      <c r="AM1180" s="1013">
        <f t="shared" si="235"/>
        <v>2395211</v>
      </c>
      <c r="AN1180" s="1045">
        <f t="shared" si="227"/>
        <v>10003285</v>
      </c>
      <c r="AO1180" s="1013">
        <v>622755</v>
      </c>
      <c r="AP1180" s="1013">
        <v>44100</v>
      </c>
      <c r="AQ1180" s="1013">
        <v>0</v>
      </c>
      <c r="AR1180" s="1013">
        <v>0</v>
      </c>
      <c r="AS1180" s="1013">
        <v>0</v>
      </c>
      <c r="AT1180" s="1045">
        <f t="shared" si="233"/>
        <v>9336430</v>
      </c>
      <c r="AU1180" s="1004"/>
      <c r="AV1180" s="870"/>
      <c r="AW1180" s="782" t="s">
        <v>5524</v>
      </c>
      <c r="AX1180" s="782" t="s">
        <v>5525</v>
      </c>
      <c r="AY1180" s="1007" t="s">
        <v>221</v>
      </c>
      <c r="AZ1180" s="1007">
        <v>622</v>
      </c>
      <c r="BA1180" s="347" t="str">
        <f t="shared" si="234"/>
        <v>Bag</v>
      </c>
      <c r="BB1180" s="1008"/>
      <c r="BC1180" s="1009"/>
      <c r="BD1180" s="1009"/>
    </row>
    <row r="1181" spans="1:56" s="1010" customFormat="1" ht="36.75" customHeight="1">
      <c r="A1181" s="661">
        <f>SUBTOTAL(3,B$6:B1181)</f>
        <v>1176</v>
      </c>
      <c r="B1181" s="661" t="s">
        <v>3134</v>
      </c>
      <c r="C1181" s="662" t="s">
        <v>3135</v>
      </c>
      <c r="D1181" s="1011">
        <v>43754</v>
      </c>
      <c r="E1181" s="1011" t="s">
        <v>221</v>
      </c>
      <c r="F1181" s="787" t="s">
        <v>257</v>
      </c>
      <c r="G1181" s="996" t="s">
        <v>797</v>
      </c>
      <c r="H1181" s="1012">
        <v>5931000</v>
      </c>
      <c r="I1181" s="1012">
        <v>0</v>
      </c>
      <c r="J1181" s="1012">
        <v>0</v>
      </c>
      <c r="K1181" s="1012">
        <v>0</v>
      </c>
      <c r="L1181" s="1013">
        <f t="shared" si="228"/>
        <v>5931000</v>
      </c>
      <c r="M1181" s="1014">
        <v>22.9</v>
      </c>
      <c r="N1181" s="1013">
        <f t="shared" si="229"/>
        <v>5223842</v>
      </c>
      <c r="O1181" s="1015">
        <v>3</v>
      </c>
      <c r="P1181" s="1013">
        <f t="shared" si="230"/>
        <v>684346</v>
      </c>
      <c r="Q1181" s="1016">
        <v>0</v>
      </c>
      <c r="R1181" s="1013">
        <f t="shared" si="231"/>
        <v>0</v>
      </c>
      <c r="S1181" s="1013">
        <f t="shared" si="232"/>
        <v>5908188</v>
      </c>
      <c r="T1181" s="1017">
        <v>0</v>
      </c>
      <c r="U1181" s="785">
        <v>0</v>
      </c>
      <c r="V1181" s="785">
        <v>200000</v>
      </c>
      <c r="W1181" s="1017">
        <v>500000</v>
      </c>
      <c r="X1181" s="1017">
        <v>0</v>
      </c>
      <c r="Y1181" s="1017">
        <v>400000</v>
      </c>
      <c r="Z1181" s="1017">
        <v>630036</v>
      </c>
      <c r="AA1181" s="1018"/>
      <c r="AB1181" s="1013"/>
      <c r="AC1181" s="1017">
        <v>100000</v>
      </c>
      <c r="AD1181" s="1017">
        <v>0</v>
      </c>
      <c r="AE1181" s="1013">
        <v>42771.632096069872</v>
      </c>
      <c r="AF1181" s="1019"/>
      <c r="AG1181" s="1019">
        <f t="shared" si="236"/>
        <v>7780996</v>
      </c>
      <c r="AH1181" s="1014">
        <v>56</v>
      </c>
      <c r="AI1181" s="1014">
        <v>0</v>
      </c>
      <c r="AJ1181" s="1014">
        <v>0</v>
      </c>
      <c r="AK1181" s="1018">
        <v>0</v>
      </c>
      <c r="AL1181" s="1020">
        <v>0</v>
      </c>
      <c r="AM1181" s="1013">
        <f t="shared" si="235"/>
        <v>2395211</v>
      </c>
      <c r="AN1181" s="1045">
        <f t="shared" ref="AN1181:AN1243" si="237">ROUND(AG1181+AM1181,0)</f>
        <v>10176207</v>
      </c>
      <c r="AO1181" s="1013">
        <v>622755</v>
      </c>
      <c r="AP1181" s="1013">
        <v>44100</v>
      </c>
      <c r="AQ1181" s="1013">
        <v>0</v>
      </c>
      <c r="AR1181" s="1013">
        <v>0</v>
      </c>
      <c r="AS1181" s="1013">
        <v>0</v>
      </c>
      <c r="AT1181" s="1045">
        <f t="shared" si="233"/>
        <v>9509352</v>
      </c>
      <c r="AU1181" s="1004"/>
      <c r="AV1181" s="870"/>
      <c r="AW1181" s="782" t="s">
        <v>5526</v>
      </c>
      <c r="AX1181" s="782" t="s">
        <v>5527</v>
      </c>
      <c r="AY1181" s="1007" t="s">
        <v>221</v>
      </c>
      <c r="AZ1181" s="1007">
        <v>622</v>
      </c>
      <c r="BA1181" s="347" t="str">
        <f t="shared" si="234"/>
        <v>Bag</v>
      </c>
      <c r="BB1181" s="1008"/>
      <c r="BC1181" s="1009"/>
      <c r="BD1181" s="1009"/>
    </row>
    <row r="1182" spans="1:56" s="1010" customFormat="1" ht="36.75" customHeight="1">
      <c r="A1182" s="661">
        <f>SUBTOTAL(3,B$6:B1182)</f>
        <v>1177</v>
      </c>
      <c r="B1182" s="661" t="s">
        <v>3136</v>
      </c>
      <c r="C1182" s="662" t="s">
        <v>3137</v>
      </c>
      <c r="D1182" s="1011">
        <v>43754</v>
      </c>
      <c r="E1182" s="1011" t="s">
        <v>221</v>
      </c>
      <c r="F1182" s="787" t="s">
        <v>257</v>
      </c>
      <c r="G1182" s="996" t="s">
        <v>1232</v>
      </c>
      <c r="H1182" s="1012">
        <v>5931000</v>
      </c>
      <c r="I1182" s="1012">
        <v>200000</v>
      </c>
      <c r="J1182" s="1012">
        <v>0</v>
      </c>
      <c r="K1182" s="1012">
        <v>0</v>
      </c>
      <c r="L1182" s="1013">
        <f t="shared" si="228"/>
        <v>6131000</v>
      </c>
      <c r="M1182" s="1014">
        <v>20.8</v>
      </c>
      <c r="N1182" s="1013">
        <f t="shared" si="229"/>
        <v>4904800</v>
      </c>
      <c r="O1182" s="1015">
        <v>3</v>
      </c>
      <c r="P1182" s="1013">
        <f t="shared" si="230"/>
        <v>707423</v>
      </c>
      <c r="Q1182" s="1016">
        <v>0</v>
      </c>
      <c r="R1182" s="1013">
        <f t="shared" si="231"/>
        <v>0</v>
      </c>
      <c r="S1182" s="1013">
        <f t="shared" si="232"/>
        <v>5612223</v>
      </c>
      <c r="T1182" s="1017">
        <v>0</v>
      </c>
      <c r="U1182" s="785">
        <v>0</v>
      </c>
      <c r="V1182" s="785">
        <v>200000</v>
      </c>
      <c r="W1182" s="1017">
        <v>0</v>
      </c>
      <c r="X1182" s="1017">
        <v>0</v>
      </c>
      <c r="Y1182" s="1017">
        <v>0</v>
      </c>
      <c r="Z1182" s="1017">
        <v>0</v>
      </c>
      <c r="AA1182" s="1018"/>
      <c r="AB1182" s="1013"/>
      <c r="AC1182" s="1017">
        <v>0</v>
      </c>
      <c r="AD1182" s="1017">
        <v>0</v>
      </c>
      <c r="AE1182" s="1013">
        <v>0</v>
      </c>
      <c r="AF1182" s="1019"/>
      <c r="AG1182" s="1019">
        <f t="shared" si="236"/>
        <v>5812223</v>
      </c>
      <c r="AH1182" s="1014">
        <v>48</v>
      </c>
      <c r="AI1182" s="1014">
        <v>0</v>
      </c>
      <c r="AJ1182" s="1014">
        <v>0</v>
      </c>
      <c r="AK1182" s="1018">
        <v>0</v>
      </c>
      <c r="AL1182" s="1020">
        <v>0</v>
      </c>
      <c r="AM1182" s="1013">
        <f t="shared" si="235"/>
        <v>2122269</v>
      </c>
      <c r="AN1182" s="1045">
        <f t="shared" si="237"/>
        <v>7934492</v>
      </c>
      <c r="AO1182" s="1013">
        <v>643755</v>
      </c>
      <c r="AP1182" s="1013">
        <v>44100</v>
      </c>
      <c r="AQ1182" s="1013">
        <v>0</v>
      </c>
      <c r="AR1182" s="1013">
        <v>0</v>
      </c>
      <c r="AS1182" s="1013">
        <v>0</v>
      </c>
      <c r="AT1182" s="1045">
        <f t="shared" si="233"/>
        <v>7246637</v>
      </c>
      <c r="AU1182" s="1004"/>
      <c r="AV1182" s="870"/>
      <c r="AW1182" s="782" t="s">
        <v>5528</v>
      </c>
      <c r="AX1182" s="782" t="s">
        <v>5529</v>
      </c>
      <c r="AY1182" s="1007" t="s">
        <v>221</v>
      </c>
      <c r="AZ1182" s="1007">
        <v>622</v>
      </c>
      <c r="BA1182" s="347" t="str">
        <f t="shared" si="234"/>
        <v>Bag</v>
      </c>
      <c r="BB1182" s="1008"/>
      <c r="BC1182" s="1009"/>
      <c r="BD1182" s="1009"/>
    </row>
    <row r="1183" spans="1:56" s="1010" customFormat="1" ht="36.75" customHeight="1">
      <c r="A1183" s="661">
        <f>SUBTOTAL(3,B$6:B1183)</f>
        <v>1178</v>
      </c>
      <c r="B1183" s="661" t="s">
        <v>3138</v>
      </c>
      <c r="C1183" s="662" t="s">
        <v>3139</v>
      </c>
      <c r="D1183" s="1011">
        <v>43754</v>
      </c>
      <c r="E1183" s="1011" t="s">
        <v>221</v>
      </c>
      <c r="F1183" s="787" t="s">
        <v>257</v>
      </c>
      <c r="G1183" s="996" t="s">
        <v>797</v>
      </c>
      <c r="H1183" s="1012">
        <v>5931000</v>
      </c>
      <c r="I1183" s="1012">
        <v>0</v>
      </c>
      <c r="J1183" s="1012">
        <v>0</v>
      </c>
      <c r="K1183" s="1012">
        <v>0</v>
      </c>
      <c r="L1183" s="1013">
        <f t="shared" si="228"/>
        <v>5931000</v>
      </c>
      <c r="M1183" s="1014">
        <v>22</v>
      </c>
      <c r="N1183" s="1013">
        <f t="shared" si="229"/>
        <v>5018538</v>
      </c>
      <c r="O1183" s="1015">
        <v>2</v>
      </c>
      <c r="P1183" s="1013">
        <f t="shared" si="230"/>
        <v>456231</v>
      </c>
      <c r="Q1183" s="1016">
        <v>0</v>
      </c>
      <c r="R1183" s="1013">
        <f t="shared" si="231"/>
        <v>0</v>
      </c>
      <c r="S1183" s="1013">
        <f t="shared" si="232"/>
        <v>5474769</v>
      </c>
      <c r="T1183" s="1017">
        <v>0</v>
      </c>
      <c r="U1183" s="785">
        <v>0</v>
      </c>
      <c r="V1183" s="785">
        <v>200000</v>
      </c>
      <c r="W1183" s="1017">
        <v>500000</v>
      </c>
      <c r="X1183" s="1017">
        <v>0</v>
      </c>
      <c r="Y1183" s="1017">
        <v>400000</v>
      </c>
      <c r="Z1183" s="1017">
        <v>561457</v>
      </c>
      <c r="AA1183" s="1018"/>
      <c r="AB1183" s="1013"/>
      <c r="AC1183" s="1017">
        <v>0</v>
      </c>
      <c r="AD1183" s="1017">
        <v>0</v>
      </c>
      <c r="AE1183" s="1013">
        <v>42771.630681818184</v>
      </c>
      <c r="AF1183" s="1019"/>
      <c r="AG1183" s="1019">
        <f t="shared" si="236"/>
        <v>7178998</v>
      </c>
      <c r="AH1183" s="1014">
        <v>52</v>
      </c>
      <c r="AI1183" s="1014">
        <v>0</v>
      </c>
      <c r="AJ1183" s="1014">
        <v>0</v>
      </c>
      <c r="AK1183" s="1018">
        <v>0</v>
      </c>
      <c r="AL1183" s="1020">
        <v>0</v>
      </c>
      <c r="AM1183" s="1013">
        <f t="shared" si="235"/>
        <v>2224125</v>
      </c>
      <c r="AN1183" s="1045">
        <f t="shared" si="237"/>
        <v>9403123</v>
      </c>
      <c r="AO1183" s="1013">
        <v>622755</v>
      </c>
      <c r="AP1183" s="1013">
        <v>44100</v>
      </c>
      <c r="AQ1183" s="1013">
        <v>0</v>
      </c>
      <c r="AR1183" s="1013">
        <v>0</v>
      </c>
      <c r="AS1183" s="1013">
        <v>0</v>
      </c>
      <c r="AT1183" s="1045">
        <f t="shared" si="233"/>
        <v>8736268</v>
      </c>
      <c r="AU1183" s="1004"/>
      <c r="AV1183" s="870"/>
      <c r="AW1183" s="782" t="s">
        <v>5530</v>
      </c>
      <c r="AX1183" s="782" t="s">
        <v>5531</v>
      </c>
      <c r="AY1183" s="1007" t="s">
        <v>221</v>
      </c>
      <c r="AZ1183" s="1007">
        <v>622</v>
      </c>
      <c r="BA1183" s="347" t="str">
        <f t="shared" si="234"/>
        <v>Bag</v>
      </c>
      <c r="BB1183" s="1008"/>
      <c r="BC1183" s="1009"/>
      <c r="BD1183" s="1009"/>
    </row>
    <row r="1184" spans="1:56" s="1010" customFormat="1" ht="36.75" customHeight="1">
      <c r="A1184" s="661">
        <f>SUBTOTAL(3,B$6:B1184)</f>
        <v>1179</v>
      </c>
      <c r="B1184" s="661" t="s">
        <v>3140</v>
      </c>
      <c r="C1184" s="662" t="s">
        <v>3141</v>
      </c>
      <c r="D1184" s="1011">
        <v>43768</v>
      </c>
      <c r="E1184" s="1011" t="s">
        <v>221</v>
      </c>
      <c r="F1184" s="787" t="s">
        <v>257</v>
      </c>
      <c r="G1184" s="996" t="s">
        <v>797</v>
      </c>
      <c r="H1184" s="1012">
        <v>5931000</v>
      </c>
      <c r="I1184" s="1012">
        <v>0</v>
      </c>
      <c r="J1184" s="1012">
        <v>0</v>
      </c>
      <c r="K1184" s="1012">
        <v>0</v>
      </c>
      <c r="L1184" s="1013">
        <f t="shared" si="228"/>
        <v>5931000</v>
      </c>
      <c r="M1184" s="1014">
        <v>23.9</v>
      </c>
      <c r="N1184" s="1013">
        <f t="shared" si="229"/>
        <v>5451958</v>
      </c>
      <c r="O1184" s="1015">
        <v>2</v>
      </c>
      <c r="P1184" s="1013">
        <f t="shared" si="230"/>
        <v>456231</v>
      </c>
      <c r="Q1184" s="1016">
        <v>0</v>
      </c>
      <c r="R1184" s="1013">
        <f t="shared" si="231"/>
        <v>0</v>
      </c>
      <c r="S1184" s="1013">
        <f t="shared" si="232"/>
        <v>5908189</v>
      </c>
      <c r="T1184" s="1017">
        <v>0</v>
      </c>
      <c r="U1184" s="785">
        <v>0</v>
      </c>
      <c r="V1184" s="785">
        <v>200000</v>
      </c>
      <c r="W1184" s="1017">
        <v>500000</v>
      </c>
      <c r="X1184" s="1017">
        <v>0</v>
      </c>
      <c r="Y1184" s="1017">
        <v>400000</v>
      </c>
      <c r="Z1184" s="1017">
        <v>270808</v>
      </c>
      <c r="AA1184" s="1018"/>
      <c r="AB1184" s="1013"/>
      <c r="AC1184" s="1017">
        <v>0</v>
      </c>
      <c r="AD1184" s="1017">
        <v>0</v>
      </c>
      <c r="AE1184" s="1013">
        <v>42771.6370292887</v>
      </c>
      <c r="AF1184" s="1019"/>
      <c r="AG1184" s="1019">
        <f t="shared" si="236"/>
        <v>7321769</v>
      </c>
      <c r="AH1184" s="1014">
        <v>56</v>
      </c>
      <c r="AI1184" s="1014">
        <v>0</v>
      </c>
      <c r="AJ1184" s="1014">
        <v>0</v>
      </c>
      <c r="AK1184" s="1018">
        <v>0</v>
      </c>
      <c r="AL1184" s="1020">
        <v>0</v>
      </c>
      <c r="AM1184" s="1013">
        <f t="shared" si="235"/>
        <v>2395212</v>
      </c>
      <c r="AN1184" s="1045">
        <f t="shared" si="237"/>
        <v>9716981</v>
      </c>
      <c r="AO1184" s="1013">
        <v>622755</v>
      </c>
      <c r="AP1184" s="1013">
        <v>44100</v>
      </c>
      <c r="AQ1184" s="1013">
        <v>0</v>
      </c>
      <c r="AR1184" s="1013">
        <v>0</v>
      </c>
      <c r="AS1184" s="1013">
        <v>0</v>
      </c>
      <c r="AT1184" s="1045">
        <f t="shared" si="233"/>
        <v>9050126</v>
      </c>
      <c r="AU1184" s="1004"/>
      <c r="AV1184" s="870"/>
      <c r="AW1184" s="782" t="s">
        <v>5532</v>
      </c>
      <c r="AX1184" s="782" t="s">
        <v>5533</v>
      </c>
      <c r="AY1184" s="1007" t="s">
        <v>221</v>
      </c>
      <c r="AZ1184" s="1007">
        <v>622</v>
      </c>
      <c r="BA1184" s="347" t="str">
        <f t="shared" si="234"/>
        <v>Bag</v>
      </c>
      <c r="BB1184" s="1008"/>
      <c r="BC1184" s="1009"/>
      <c r="BD1184" s="1009"/>
    </row>
    <row r="1185" spans="1:56" s="1010" customFormat="1" ht="36.75" customHeight="1">
      <c r="A1185" s="661">
        <f>SUBTOTAL(3,B$6:B1185)</f>
        <v>1180</v>
      </c>
      <c r="B1185" s="661" t="s">
        <v>3142</v>
      </c>
      <c r="C1185" s="662" t="s">
        <v>3143</v>
      </c>
      <c r="D1185" s="1011">
        <v>43880</v>
      </c>
      <c r="E1185" s="1011" t="s">
        <v>221</v>
      </c>
      <c r="F1185" s="787" t="s">
        <v>257</v>
      </c>
      <c r="G1185" s="996" t="s">
        <v>1232</v>
      </c>
      <c r="H1185" s="1012">
        <v>5931000</v>
      </c>
      <c r="I1185" s="1012">
        <v>200000</v>
      </c>
      <c r="J1185" s="1012">
        <v>298000</v>
      </c>
      <c r="K1185" s="1012">
        <v>0</v>
      </c>
      <c r="L1185" s="1013">
        <f t="shared" si="228"/>
        <v>6429000</v>
      </c>
      <c r="M1185" s="1014">
        <v>21</v>
      </c>
      <c r="N1185" s="1013">
        <f t="shared" si="229"/>
        <v>5192654</v>
      </c>
      <c r="O1185" s="1015">
        <v>3</v>
      </c>
      <c r="P1185" s="1013">
        <f t="shared" si="230"/>
        <v>741808</v>
      </c>
      <c r="Q1185" s="1016">
        <v>0</v>
      </c>
      <c r="R1185" s="1013">
        <f t="shared" si="231"/>
        <v>0</v>
      </c>
      <c r="S1185" s="1013">
        <f t="shared" si="232"/>
        <v>5934462</v>
      </c>
      <c r="T1185" s="1017">
        <v>0</v>
      </c>
      <c r="U1185" s="785">
        <v>0</v>
      </c>
      <c r="V1185" s="785">
        <v>200000</v>
      </c>
      <c r="W1185" s="1017">
        <v>0</v>
      </c>
      <c r="X1185" s="1017">
        <v>0</v>
      </c>
      <c r="Y1185" s="1017">
        <v>300000</v>
      </c>
      <c r="Z1185" s="1017">
        <v>496898</v>
      </c>
      <c r="AA1185" s="1018"/>
      <c r="AB1185" s="1013"/>
      <c r="AC1185" s="1017">
        <v>0</v>
      </c>
      <c r="AD1185" s="1017">
        <v>0</v>
      </c>
      <c r="AE1185" s="1013">
        <v>0</v>
      </c>
      <c r="AF1185" s="1019"/>
      <c r="AG1185" s="1019">
        <f t="shared" si="236"/>
        <v>6931360</v>
      </c>
      <c r="AH1185" s="1014">
        <v>40</v>
      </c>
      <c r="AI1185" s="1014">
        <v>0</v>
      </c>
      <c r="AJ1185" s="1014">
        <v>0</v>
      </c>
      <c r="AK1185" s="1018">
        <v>0</v>
      </c>
      <c r="AL1185" s="1020">
        <v>0</v>
      </c>
      <c r="AM1185" s="1013">
        <f t="shared" si="235"/>
        <v>1854519</v>
      </c>
      <c r="AN1185" s="1045">
        <f t="shared" si="237"/>
        <v>8785879</v>
      </c>
      <c r="AO1185" s="1013">
        <v>675045</v>
      </c>
      <c r="AP1185" s="1013">
        <v>44100</v>
      </c>
      <c r="AQ1185" s="1013">
        <v>0</v>
      </c>
      <c r="AR1185" s="1013">
        <v>0</v>
      </c>
      <c r="AS1185" s="1013">
        <v>0</v>
      </c>
      <c r="AT1185" s="1045">
        <f t="shared" si="233"/>
        <v>8066734</v>
      </c>
      <c r="AU1185" s="1004"/>
      <c r="AV1185" s="870"/>
      <c r="AW1185" s="782" t="s">
        <v>5534</v>
      </c>
      <c r="AX1185" s="782" t="s">
        <v>5535</v>
      </c>
      <c r="AY1185" s="1007" t="s">
        <v>221</v>
      </c>
      <c r="AZ1185" s="1007">
        <v>622</v>
      </c>
      <c r="BA1185" s="347" t="str">
        <f t="shared" si="234"/>
        <v>Bag</v>
      </c>
      <c r="BB1185" s="1008"/>
      <c r="BC1185" s="1009"/>
      <c r="BD1185" s="1009"/>
    </row>
    <row r="1186" spans="1:56" s="1010" customFormat="1" ht="36.75" customHeight="1">
      <c r="A1186" s="661">
        <f>SUBTOTAL(3,B$6:B1186)</f>
        <v>1181</v>
      </c>
      <c r="B1186" s="661" t="s">
        <v>3144</v>
      </c>
      <c r="C1186" s="662" t="s">
        <v>3145</v>
      </c>
      <c r="D1186" s="1011">
        <v>43882</v>
      </c>
      <c r="E1186" s="1011" t="s">
        <v>221</v>
      </c>
      <c r="F1186" s="787" t="s">
        <v>257</v>
      </c>
      <c r="G1186" s="996" t="s">
        <v>797</v>
      </c>
      <c r="H1186" s="1012">
        <v>5931000</v>
      </c>
      <c r="I1186" s="1012">
        <v>0</v>
      </c>
      <c r="J1186" s="1012">
        <v>0</v>
      </c>
      <c r="K1186" s="1012">
        <v>0</v>
      </c>
      <c r="L1186" s="1013">
        <f t="shared" si="228"/>
        <v>5931000</v>
      </c>
      <c r="M1186" s="1014">
        <v>23</v>
      </c>
      <c r="N1186" s="1013">
        <f t="shared" si="229"/>
        <v>5246654</v>
      </c>
      <c r="O1186" s="1015">
        <v>3</v>
      </c>
      <c r="P1186" s="1013">
        <f t="shared" si="230"/>
        <v>684346</v>
      </c>
      <c r="Q1186" s="1016">
        <v>0</v>
      </c>
      <c r="R1186" s="1013">
        <f t="shared" si="231"/>
        <v>0</v>
      </c>
      <c r="S1186" s="1013">
        <f t="shared" si="232"/>
        <v>5931000</v>
      </c>
      <c r="T1186" s="1017">
        <v>0</v>
      </c>
      <c r="U1186" s="785">
        <v>0</v>
      </c>
      <c r="V1186" s="785">
        <v>200000</v>
      </c>
      <c r="W1186" s="1017">
        <v>500000</v>
      </c>
      <c r="X1186" s="1017">
        <v>0</v>
      </c>
      <c r="Y1186" s="1017">
        <v>400000</v>
      </c>
      <c r="Z1186" s="1017">
        <v>561613</v>
      </c>
      <c r="AA1186" s="1018"/>
      <c r="AB1186" s="1013"/>
      <c r="AC1186" s="1017">
        <v>0</v>
      </c>
      <c r="AD1186" s="1017">
        <v>0</v>
      </c>
      <c r="AE1186" s="1013">
        <v>0</v>
      </c>
      <c r="AF1186" s="1019"/>
      <c r="AG1186" s="1019">
        <f t="shared" si="236"/>
        <v>7592613</v>
      </c>
      <c r="AH1186" s="1014">
        <v>56</v>
      </c>
      <c r="AI1186" s="1014">
        <v>0</v>
      </c>
      <c r="AJ1186" s="1014">
        <v>0</v>
      </c>
      <c r="AK1186" s="1018">
        <v>0</v>
      </c>
      <c r="AL1186" s="1020">
        <v>0</v>
      </c>
      <c r="AM1186" s="1013">
        <f t="shared" si="235"/>
        <v>2395212</v>
      </c>
      <c r="AN1186" s="1045">
        <f t="shared" si="237"/>
        <v>9987825</v>
      </c>
      <c r="AO1186" s="1013">
        <v>622755</v>
      </c>
      <c r="AP1186" s="1013">
        <v>44100</v>
      </c>
      <c r="AQ1186" s="1013">
        <v>0</v>
      </c>
      <c r="AR1186" s="1013">
        <v>0</v>
      </c>
      <c r="AS1186" s="1013">
        <v>0</v>
      </c>
      <c r="AT1186" s="1045">
        <f t="shared" si="233"/>
        <v>9320970</v>
      </c>
      <c r="AU1186" s="1004"/>
      <c r="AV1186" s="870"/>
      <c r="AW1186" s="782" t="s">
        <v>5536</v>
      </c>
      <c r="AX1186" s="782" t="s">
        <v>5537</v>
      </c>
      <c r="AY1186" s="1007" t="s">
        <v>221</v>
      </c>
      <c r="AZ1186" s="1007">
        <v>622</v>
      </c>
      <c r="BA1186" s="347" t="str">
        <f t="shared" si="234"/>
        <v>Bag</v>
      </c>
      <c r="BB1186" s="1008"/>
      <c r="BC1186" s="1009"/>
      <c r="BD1186" s="1009"/>
    </row>
    <row r="1187" spans="1:56" s="1010" customFormat="1" ht="36.75" customHeight="1">
      <c r="A1187" s="661">
        <f>SUBTOTAL(3,B$6:B1187)</f>
        <v>1182</v>
      </c>
      <c r="B1187" s="661" t="s">
        <v>3146</v>
      </c>
      <c r="C1187" s="662" t="s">
        <v>3147</v>
      </c>
      <c r="D1187" s="1011">
        <v>43882</v>
      </c>
      <c r="E1187" s="1011" t="s">
        <v>221</v>
      </c>
      <c r="F1187" s="787" t="s">
        <v>257</v>
      </c>
      <c r="G1187" s="996" t="s">
        <v>797</v>
      </c>
      <c r="H1187" s="1012">
        <v>5931000</v>
      </c>
      <c r="I1187" s="1012">
        <v>0</v>
      </c>
      <c r="J1187" s="1012">
        <v>0</v>
      </c>
      <c r="K1187" s="1012">
        <v>0</v>
      </c>
      <c r="L1187" s="1013">
        <f t="shared" si="228"/>
        <v>5931000</v>
      </c>
      <c r="M1187" s="1014">
        <v>24</v>
      </c>
      <c r="N1187" s="1013">
        <f t="shared" si="229"/>
        <v>5474769</v>
      </c>
      <c r="O1187" s="1015">
        <v>2</v>
      </c>
      <c r="P1187" s="1013">
        <f t="shared" si="230"/>
        <v>456231</v>
      </c>
      <c r="Q1187" s="1016">
        <v>0</v>
      </c>
      <c r="R1187" s="1013">
        <f t="shared" si="231"/>
        <v>0</v>
      </c>
      <c r="S1187" s="1013">
        <f t="shared" si="232"/>
        <v>5931000</v>
      </c>
      <c r="T1187" s="1017">
        <v>0</v>
      </c>
      <c r="U1187" s="785">
        <v>0</v>
      </c>
      <c r="V1187" s="785">
        <v>200000</v>
      </c>
      <c r="W1187" s="1017">
        <v>500000</v>
      </c>
      <c r="X1187" s="1017">
        <v>0</v>
      </c>
      <c r="Y1187" s="1017">
        <v>400000</v>
      </c>
      <c r="Z1187" s="1017">
        <v>295013</v>
      </c>
      <c r="AA1187" s="1018"/>
      <c r="AB1187" s="1013"/>
      <c r="AC1187" s="1017">
        <v>0</v>
      </c>
      <c r="AD1187" s="1017">
        <v>0</v>
      </c>
      <c r="AE1187" s="1013">
        <v>42771.6328125</v>
      </c>
      <c r="AF1187" s="1019"/>
      <c r="AG1187" s="1019">
        <f t="shared" si="236"/>
        <v>7368785</v>
      </c>
      <c r="AH1187" s="1014">
        <v>56</v>
      </c>
      <c r="AI1187" s="1014">
        <v>0</v>
      </c>
      <c r="AJ1187" s="1014">
        <v>0</v>
      </c>
      <c r="AK1187" s="1018">
        <v>0</v>
      </c>
      <c r="AL1187" s="1020">
        <v>0</v>
      </c>
      <c r="AM1187" s="1013">
        <f t="shared" si="235"/>
        <v>2395211</v>
      </c>
      <c r="AN1187" s="1045">
        <f t="shared" si="237"/>
        <v>9763996</v>
      </c>
      <c r="AO1187" s="1013">
        <v>622755</v>
      </c>
      <c r="AP1187" s="1013">
        <v>44100</v>
      </c>
      <c r="AQ1187" s="1013">
        <v>0</v>
      </c>
      <c r="AR1187" s="1013">
        <v>0</v>
      </c>
      <c r="AS1187" s="1013">
        <v>0</v>
      </c>
      <c r="AT1187" s="1045">
        <f t="shared" si="233"/>
        <v>9097141</v>
      </c>
      <c r="AU1187" s="1004"/>
      <c r="AV1187" s="870"/>
      <c r="AW1187" s="782" t="s">
        <v>5538</v>
      </c>
      <c r="AX1187" s="782" t="s">
        <v>5539</v>
      </c>
      <c r="AY1187" s="1007" t="s">
        <v>221</v>
      </c>
      <c r="AZ1187" s="1007">
        <v>622</v>
      </c>
      <c r="BA1187" s="347" t="str">
        <f t="shared" si="234"/>
        <v>Bag</v>
      </c>
      <c r="BB1187" s="1008"/>
      <c r="BC1187" s="1009"/>
      <c r="BD1187" s="1009"/>
    </row>
    <row r="1188" spans="1:56" s="1010" customFormat="1" ht="36.75" customHeight="1">
      <c r="A1188" s="661">
        <f>SUBTOTAL(3,B$6:B1188)</f>
        <v>1183</v>
      </c>
      <c r="B1188" s="661" t="s">
        <v>3148</v>
      </c>
      <c r="C1188" s="662" t="s">
        <v>845</v>
      </c>
      <c r="D1188" s="1011">
        <v>44121</v>
      </c>
      <c r="E1188" s="1011" t="s">
        <v>221</v>
      </c>
      <c r="F1188" s="787" t="s">
        <v>257</v>
      </c>
      <c r="G1188" s="996" t="s">
        <v>797</v>
      </c>
      <c r="H1188" s="1012">
        <v>5931000</v>
      </c>
      <c r="I1188" s="1012">
        <v>0</v>
      </c>
      <c r="J1188" s="1012">
        <v>0</v>
      </c>
      <c r="K1188" s="1012">
        <v>0</v>
      </c>
      <c r="L1188" s="1013">
        <f t="shared" si="228"/>
        <v>5931000</v>
      </c>
      <c r="M1188" s="1014">
        <v>23.7</v>
      </c>
      <c r="N1188" s="1013">
        <f t="shared" si="229"/>
        <v>5406335</v>
      </c>
      <c r="O1188" s="1015">
        <v>2</v>
      </c>
      <c r="P1188" s="1013">
        <f t="shared" si="230"/>
        <v>456231</v>
      </c>
      <c r="Q1188" s="1016">
        <v>0</v>
      </c>
      <c r="R1188" s="1013">
        <f t="shared" si="231"/>
        <v>0</v>
      </c>
      <c r="S1188" s="1013">
        <f t="shared" si="232"/>
        <v>5862566</v>
      </c>
      <c r="T1188" s="1017">
        <v>0</v>
      </c>
      <c r="U1188" s="785">
        <v>0</v>
      </c>
      <c r="V1188" s="785">
        <v>200000</v>
      </c>
      <c r="W1188" s="1017">
        <v>500000</v>
      </c>
      <c r="X1188" s="1017">
        <v>0</v>
      </c>
      <c r="Y1188" s="1017">
        <v>400000</v>
      </c>
      <c r="Z1188" s="1017">
        <v>495002</v>
      </c>
      <c r="AA1188" s="1018"/>
      <c r="AB1188" s="1013"/>
      <c r="AC1188" s="1017">
        <v>100000</v>
      </c>
      <c r="AD1188" s="1017">
        <v>0</v>
      </c>
      <c r="AE1188" s="1013">
        <v>42771.637658227846</v>
      </c>
      <c r="AF1188" s="1019"/>
      <c r="AG1188" s="1019">
        <f t="shared" si="236"/>
        <v>7600340</v>
      </c>
      <c r="AH1188" s="1014">
        <v>56</v>
      </c>
      <c r="AI1188" s="1014">
        <v>0</v>
      </c>
      <c r="AJ1188" s="1014">
        <v>0</v>
      </c>
      <c r="AK1188" s="1018">
        <v>0</v>
      </c>
      <c r="AL1188" s="1020">
        <v>0</v>
      </c>
      <c r="AM1188" s="1013">
        <f t="shared" si="235"/>
        <v>2395212</v>
      </c>
      <c r="AN1188" s="1045">
        <f t="shared" si="237"/>
        <v>9995552</v>
      </c>
      <c r="AO1188" s="1013">
        <v>622755</v>
      </c>
      <c r="AP1188" s="1013">
        <v>44100</v>
      </c>
      <c r="AQ1188" s="1013">
        <v>0</v>
      </c>
      <c r="AR1188" s="1013">
        <v>0</v>
      </c>
      <c r="AS1188" s="1013">
        <v>0</v>
      </c>
      <c r="AT1188" s="1045">
        <f t="shared" si="233"/>
        <v>9328697</v>
      </c>
      <c r="AU1188" s="1004"/>
      <c r="AV1188" s="870"/>
      <c r="AW1188" s="782" t="s">
        <v>3382</v>
      </c>
      <c r="AX1188" s="782" t="s">
        <v>5540</v>
      </c>
      <c r="AY1188" s="1007" t="s">
        <v>221</v>
      </c>
      <c r="AZ1188" s="1007">
        <v>622</v>
      </c>
      <c r="BA1188" s="347" t="str">
        <f t="shared" si="234"/>
        <v>Bag</v>
      </c>
      <c r="BB1188" s="1008"/>
      <c r="BC1188" s="1009"/>
      <c r="BD1188" s="1009"/>
    </row>
    <row r="1189" spans="1:56" s="1010" customFormat="1" ht="36.75" customHeight="1">
      <c r="A1189" s="661">
        <f>SUBTOTAL(3,B$6:B1189)</f>
        <v>1184</v>
      </c>
      <c r="B1189" s="661" t="s">
        <v>3149</v>
      </c>
      <c r="C1189" s="662" t="s">
        <v>3150</v>
      </c>
      <c r="D1189" s="1011">
        <v>44260</v>
      </c>
      <c r="E1189" s="1011" t="s">
        <v>221</v>
      </c>
      <c r="F1189" s="787" t="s">
        <v>257</v>
      </c>
      <c r="G1189" s="996" t="s">
        <v>797</v>
      </c>
      <c r="H1189" s="1012">
        <v>5931000</v>
      </c>
      <c r="I1189" s="1012">
        <v>0</v>
      </c>
      <c r="J1189" s="1012">
        <v>298000</v>
      </c>
      <c r="K1189" s="1012">
        <v>0</v>
      </c>
      <c r="L1189" s="1013">
        <f t="shared" si="228"/>
        <v>6229000</v>
      </c>
      <c r="M1189" s="1014">
        <v>23</v>
      </c>
      <c r="N1189" s="1013">
        <f t="shared" si="229"/>
        <v>5510269</v>
      </c>
      <c r="O1189" s="1015">
        <v>3</v>
      </c>
      <c r="P1189" s="1013">
        <f t="shared" si="230"/>
        <v>718731</v>
      </c>
      <c r="Q1189" s="1016">
        <v>0</v>
      </c>
      <c r="R1189" s="1013">
        <f t="shared" si="231"/>
        <v>0</v>
      </c>
      <c r="S1189" s="1013">
        <f t="shared" si="232"/>
        <v>6229000</v>
      </c>
      <c r="T1189" s="1017">
        <v>0</v>
      </c>
      <c r="U1189" s="785">
        <v>0</v>
      </c>
      <c r="V1189" s="785">
        <v>200000</v>
      </c>
      <c r="W1189" s="1017">
        <v>500000</v>
      </c>
      <c r="X1189" s="1017">
        <v>0</v>
      </c>
      <c r="Y1189" s="1017">
        <v>400000</v>
      </c>
      <c r="Z1189" s="1017">
        <v>569232</v>
      </c>
      <c r="AA1189" s="1018"/>
      <c r="AB1189" s="1013"/>
      <c r="AC1189" s="1017">
        <v>0</v>
      </c>
      <c r="AD1189" s="1017">
        <v>0</v>
      </c>
      <c r="AE1189" s="1013">
        <v>44920.671195652176</v>
      </c>
      <c r="AF1189" s="1019"/>
      <c r="AG1189" s="1019">
        <f t="shared" si="236"/>
        <v>7943153</v>
      </c>
      <c r="AH1189" s="1014">
        <v>56</v>
      </c>
      <c r="AI1189" s="1014">
        <v>0</v>
      </c>
      <c r="AJ1189" s="1014">
        <v>0</v>
      </c>
      <c r="AK1189" s="1018">
        <v>0</v>
      </c>
      <c r="AL1189" s="1020">
        <v>0</v>
      </c>
      <c r="AM1189" s="1013">
        <f t="shared" si="235"/>
        <v>2515558</v>
      </c>
      <c r="AN1189" s="1045">
        <f t="shared" si="237"/>
        <v>10458711</v>
      </c>
      <c r="AO1189" s="1013">
        <v>654045</v>
      </c>
      <c r="AP1189" s="1013">
        <v>44100</v>
      </c>
      <c r="AQ1189" s="1013">
        <v>0</v>
      </c>
      <c r="AR1189" s="1013">
        <v>0</v>
      </c>
      <c r="AS1189" s="1013">
        <v>0</v>
      </c>
      <c r="AT1189" s="1045">
        <f t="shared" si="233"/>
        <v>9760566</v>
      </c>
      <c r="AU1189" s="1004"/>
      <c r="AV1189" s="870"/>
      <c r="AW1189" s="782" t="s">
        <v>5541</v>
      </c>
      <c r="AX1189" s="782" t="s">
        <v>5542</v>
      </c>
      <c r="AY1189" s="1007" t="s">
        <v>221</v>
      </c>
      <c r="AZ1189" s="1007">
        <v>622</v>
      </c>
      <c r="BA1189" s="347" t="str">
        <f t="shared" si="234"/>
        <v>Bag</v>
      </c>
      <c r="BB1189" s="1008"/>
      <c r="BC1189" s="1009"/>
      <c r="BD1189" s="1009"/>
    </row>
    <row r="1190" spans="1:56" s="1010" customFormat="1" ht="36.75" customHeight="1">
      <c r="A1190" s="661">
        <f>SUBTOTAL(3,B$6:B1190)</f>
        <v>1185</v>
      </c>
      <c r="B1190" s="661" t="s">
        <v>3151</v>
      </c>
      <c r="C1190" s="662" t="s">
        <v>3152</v>
      </c>
      <c r="D1190" s="1011">
        <v>44260</v>
      </c>
      <c r="E1190" s="1011" t="s">
        <v>221</v>
      </c>
      <c r="F1190" s="787" t="s">
        <v>257</v>
      </c>
      <c r="G1190" s="996" t="s">
        <v>1232</v>
      </c>
      <c r="H1190" s="1012">
        <v>5931000</v>
      </c>
      <c r="I1190" s="1012">
        <v>200000</v>
      </c>
      <c r="J1190" s="1012">
        <v>0</v>
      </c>
      <c r="K1190" s="1012">
        <v>0</v>
      </c>
      <c r="L1190" s="1013">
        <f t="shared" si="228"/>
        <v>6131000</v>
      </c>
      <c r="M1190" s="1014">
        <v>18.899999999999999</v>
      </c>
      <c r="N1190" s="1013">
        <f t="shared" si="229"/>
        <v>4456765</v>
      </c>
      <c r="O1190" s="1015">
        <v>2</v>
      </c>
      <c r="P1190" s="1013">
        <f t="shared" si="230"/>
        <v>471615</v>
      </c>
      <c r="Q1190" s="1016">
        <v>0</v>
      </c>
      <c r="R1190" s="1013">
        <f t="shared" si="231"/>
        <v>0</v>
      </c>
      <c r="S1190" s="1013">
        <f t="shared" si="232"/>
        <v>4928380</v>
      </c>
      <c r="T1190" s="1017">
        <v>0</v>
      </c>
      <c r="U1190" s="785">
        <v>0</v>
      </c>
      <c r="V1190" s="785">
        <v>200000</v>
      </c>
      <c r="W1190" s="1017">
        <v>0</v>
      </c>
      <c r="X1190" s="1017">
        <v>0</v>
      </c>
      <c r="Y1190" s="1017">
        <v>0</v>
      </c>
      <c r="Z1190" s="1017">
        <v>472482</v>
      </c>
      <c r="AA1190" s="1018"/>
      <c r="AB1190" s="1013"/>
      <c r="AC1190" s="1017">
        <v>0</v>
      </c>
      <c r="AD1190" s="1017">
        <v>0</v>
      </c>
      <c r="AE1190" s="1013">
        <v>0</v>
      </c>
      <c r="AF1190" s="1019"/>
      <c r="AG1190" s="1019">
        <f t="shared" si="236"/>
        <v>5600862</v>
      </c>
      <c r="AH1190" s="1014">
        <v>44</v>
      </c>
      <c r="AI1190" s="1014">
        <v>0</v>
      </c>
      <c r="AJ1190" s="1014">
        <v>0</v>
      </c>
      <c r="AK1190" s="1018">
        <v>0</v>
      </c>
      <c r="AL1190" s="1020">
        <v>0</v>
      </c>
      <c r="AM1190" s="1013">
        <f t="shared" si="235"/>
        <v>1945413</v>
      </c>
      <c r="AN1190" s="1045">
        <f t="shared" si="237"/>
        <v>7546275</v>
      </c>
      <c r="AO1190" s="1013">
        <v>643755</v>
      </c>
      <c r="AP1190" s="1013">
        <v>44100</v>
      </c>
      <c r="AQ1190" s="1013">
        <v>0</v>
      </c>
      <c r="AR1190" s="1013">
        <v>0</v>
      </c>
      <c r="AS1190" s="1013">
        <v>0</v>
      </c>
      <c r="AT1190" s="1045">
        <f t="shared" si="233"/>
        <v>6858420</v>
      </c>
      <c r="AU1190" s="1004"/>
      <c r="AV1190" s="870"/>
      <c r="AW1190" s="782" t="s">
        <v>5543</v>
      </c>
      <c r="AX1190" s="782" t="s">
        <v>5544</v>
      </c>
      <c r="AY1190" s="1007" t="s">
        <v>221</v>
      </c>
      <c r="AZ1190" s="1007">
        <v>622</v>
      </c>
      <c r="BA1190" s="347" t="str">
        <f t="shared" si="234"/>
        <v>Bag</v>
      </c>
      <c r="BB1190" s="1008"/>
      <c r="BC1190" s="1009"/>
      <c r="BD1190" s="1009"/>
    </row>
    <row r="1191" spans="1:56" s="1010" customFormat="1" ht="36.75" customHeight="1">
      <c r="A1191" s="661">
        <f>SUBTOTAL(3,B$6:B1191)</f>
        <v>1186</v>
      </c>
      <c r="B1191" s="661" t="s">
        <v>3153</v>
      </c>
      <c r="C1191" s="662" t="s">
        <v>3154</v>
      </c>
      <c r="D1191" s="1011">
        <v>44266</v>
      </c>
      <c r="E1191" s="1011" t="s">
        <v>221</v>
      </c>
      <c r="F1191" s="787" t="s">
        <v>257</v>
      </c>
      <c r="G1191" s="996" t="s">
        <v>1232</v>
      </c>
      <c r="H1191" s="1012">
        <v>5931000</v>
      </c>
      <c r="I1191" s="1012">
        <v>200000</v>
      </c>
      <c r="J1191" s="1012">
        <v>298000</v>
      </c>
      <c r="K1191" s="1012">
        <v>0</v>
      </c>
      <c r="L1191" s="1013">
        <f t="shared" ref="L1191:L1253" si="238">SUM(H1191:K1191)</f>
        <v>6429000</v>
      </c>
      <c r="M1191" s="1014">
        <v>22.9</v>
      </c>
      <c r="N1191" s="1013">
        <f t="shared" si="229"/>
        <v>5662465</v>
      </c>
      <c r="O1191" s="1015">
        <v>3</v>
      </c>
      <c r="P1191" s="1013">
        <f t="shared" si="230"/>
        <v>741808</v>
      </c>
      <c r="Q1191" s="1016">
        <v>0</v>
      </c>
      <c r="R1191" s="1013">
        <f t="shared" si="231"/>
        <v>0</v>
      </c>
      <c r="S1191" s="1013">
        <f t="shared" si="232"/>
        <v>6404273</v>
      </c>
      <c r="T1191" s="1017">
        <v>0</v>
      </c>
      <c r="U1191" s="785">
        <v>0</v>
      </c>
      <c r="V1191" s="785">
        <v>200000</v>
      </c>
      <c r="W1191" s="1017">
        <v>500000</v>
      </c>
      <c r="X1191" s="1017">
        <v>0</v>
      </c>
      <c r="Y1191" s="1017">
        <v>400000</v>
      </c>
      <c r="Z1191" s="1017">
        <v>578585</v>
      </c>
      <c r="AA1191" s="1018"/>
      <c r="AB1191" s="1013"/>
      <c r="AC1191" s="1017">
        <v>0</v>
      </c>
      <c r="AD1191" s="1017">
        <v>0</v>
      </c>
      <c r="AE1191" s="1013">
        <v>0</v>
      </c>
      <c r="AF1191" s="1019"/>
      <c r="AG1191" s="1019">
        <f t="shared" si="236"/>
        <v>8082858</v>
      </c>
      <c r="AH1191" s="1014">
        <v>48</v>
      </c>
      <c r="AI1191" s="1014">
        <v>0</v>
      </c>
      <c r="AJ1191" s="1014">
        <v>0</v>
      </c>
      <c r="AK1191" s="1018">
        <v>0</v>
      </c>
      <c r="AL1191" s="1020">
        <v>0</v>
      </c>
      <c r="AM1191" s="1013">
        <f t="shared" si="235"/>
        <v>2225423</v>
      </c>
      <c r="AN1191" s="1045">
        <f t="shared" si="237"/>
        <v>10308281</v>
      </c>
      <c r="AO1191" s="1013">
        <v>675045</v>
      </c>
      <c r="AP1191" s="1013">
        <v>44100</v>
      </c>
      <c r="AQ1191" s="1013">
        <v>0</v>
      </c>
      <c r="AR1191" s="1013">
        <v>0</v>
      </c>
      <c r="AS1191" s="1013">
        <v>0</v>
      </c>
      <c r="AT1191" s="1045">
        <f t="shared" si="233"/>
        <v>9589136</v>
      </c>
      <c r="AU1191" s="1004"/>
      <c r="AV1191" s="870"/>
      <c r="AW1191" s="782" t="s">
        <v>5545</v>
      </c>
      <c r="AX1191" s="782" t="s">
        <v>5546</v>
      </c>
      <c r="AY1191" s="1007" t="s">
        <v>221</v>
      </c>
      <c r="AZ1191" s="1007">
        <v>622</v>
      </c>
      <c r="BA1191" s="347" t="str">
        <f t="shared" si="234"/>
        <v>Bag</v>
      </c>
      <c r="BB1191" s="1008"/>
      <c r="BC1191" s="1009"/>
      <c r="BD1191" s="1009"/>
    </row>
    <row r="1192" spans="1:56" s="1010" customFormat="1" ht="36.75" customHeight="1">
      <c r="A1192" s="661">
        <f>SUBTOTAL(3,B$6:B1192)</f>
        <v>1187</v>
      </c>
      <c r="B1192" s="661" t="s">
        <v>3155</v>
      </c>
      <c r="C1192" s="662" t="s">
        <v>3156</v>
      </c>
      <c r="D1192" s="1011">
        <v>44338</v>
      </c>
      <c r="E1192" s="1011" t="s">
        <v>221</v>
      </c>
      <c r="F1192" s="787" t="s">
        <v>257</v>
      </c>
      <c r="G1192" s="996" t="s">
        <v>1232</v>
      </c>
      <c r="H1192" s="1012">
        <v>5931000</v>
      </c>
      <c r="I1192" s="1012">
        <v>200000</v>
      </c>
      <c r="J1192" s="1012">
        <v>298000</v>
      </c>
      <c r="K1192" s="1012">
        <v>0</v>
      </c>
      <c r="L1192" s="1013">
        <f t="shared" si="238"/>
        <v>6429000</v>
      </c>
      <c r="M1192" s="1014">
        <v>22.8</v>
      </c>
      <c r="N1192" s="1013">
        <f t="shared" ref="N1192:N1254" si="239">ROUND((H1192+I1192+J1192+K1192)/IF($M$2&gt;26,26,$M$2)*M1192,0)</f>
        <v>5637738</v>
      </c>
      <c r="O1192" s="1015">
        <v>3</v>
      </c>
      <c r="P1192" s="1013">
        <f t="shared" ref="P1192:P1254" si="240">ROUND((H1192+I1192+J1192+K1192)/IF($M$2&gt;26,26,$M$2)*O1192,0)</f>
        <v>741808</v>
      </c>
      <c r="Q1192" s="1016">
        <v>0</v>
      </c>
      <c r="R1192" s="1013">
        <f t="shared" ref="R1192:R1254" si="241">IF(M1192&gt;0,ROUND(N1192/IF(M1192&gt;26,26,M1192)/8*Q1192*30%,0),0)</f>
        <v>0</v>
      </c>
      <c r="S1192" s="1013">
        <f t="shared" ref="S1192:S1254" si="242">N1192+P1192+R1192</f>
        <v>6379546</v>
      </c>
      <c r="T1192" s="1017">
        <v>0</v>
      </c>
      <c r="U1192" s="785">
        <v>0</v>
      </c>
      <c r="V1192" s="785">
        <v>200000</v>
      </c>
      <c r="W1192" s="1017">
        <v>500000</v>
      </c>
      <c r="X1192" s="1017">
        <v>0</v>
      </c>
      <c r="Y1192" s="1017">
        <v>400000</v>
      </c>
      <c r="Z1192" s="1017">
        <v>568672</v>
      </c>
      <c r="AA1192" s="1018"/>
      <c r="AB1192" s="1013"/>
      <c r="AC1192" s="1017">
        <v>0</v>
      </c>
      <c r="AD1192" s="1017">
        <v>0</v>
      </c>
      <c r="AE1192" s="1013">
        <v>0</v>
      </c>
      <c r="AF1192" s="1019"/>
      <c r="AG1192" s="1019">
        <f t="shared" si="236"/>
        <v>8048218</v>
      </c>
      <c r="AH1192" s="1014">
        <v>52</v>
      </c>
      <c r="AI1192" s="1014">
        <v>0</v>
      </c>
      <c r="AJ1192" s="1014">
        <v>0</v>
      </c>
      <c r="AK1192" s="1018">
        <v>0</v>
      </c>
      <c r="AL1192" s="1020">
        <v>0</v>
      </c>
      <c r="AM1192" s="1013">
        <f t="shared" si="235"/>
        <v>2410875</v>
      </c>
      <c r="AN1192" s="1045">
        <f t="shared" si="237"/>
        <v>10459093</v>
      </c>
      <c r="AO1192" s="1013">
        <v>675045</v>
      </c>
      <c r="AP1192" s="1013">
        <v>44100</v>
      </c>
      <c r="AQ1192" s="1013">
        <v>0</v>
      </c>
      <c r="AR1192" s="1013">
        <v>0</v>
      </c>
      <c r="AS1192" s="1013">
        <v>0</v>
      </c>
      <c r="AT1192" s="1045">
        <f t="shared" si="233"/>
        <v>9739948</v>
      </c>
      <c r="AU1192" s="1004"/>
      <c r="AV1192" s="870"/>
      <c r="AW1192" s="782" t="s">
        <v>5547</v>
      </c>
      <c r="AX1192" s="782" t="s">
        <v>5548</v>
      </c>
      <c r="AY1192" s="1007" t="s">
        <v>221</v>
      </c>
      <c r="AZ1192" s="1007">
        <v>622</v>
      </c>
      <c r="BA1192" s="347" t="str">
        <f t="shared" si="234"/>
        <v>Bag</v>
      </c>
      <c r="BB1192" s="1008"/>
      <c r="BC1192" s="1009"/>
      <c r="BD1192" s="1009"/>
    </row>
    <row r="1193" spans="1:56" s="1010" customFormat="1" ht="36.75" customHeight="1">
      <c r="A1193" s="661">
        <f>SUBTOTAL(3,B$6:B1193)</f>
        <v>1188</v>
      </c>
      <c r="B1193" s="661" t="s">
        <v>3157</v>
      </c>
      <c r="C1193" s="662" t="s">
        <v>3158</v>
      </c>
      <c r="D1193" s="1011">
        <v>44342</v>
      </c>
      <c r="E1193" s="1011" t="s">
        <v>221</v>
      </c>
      <c r="F1193" s="787" t="s">
        <v>257</v>
      </c>
      <c r="G1193" s="996" t="s">
        <v>797</v>
      </c>
      <c r="H1193" s="1012">
        <v>5931000</v>
      </c>
      <c r="I1193" s="1012">
        <v>0</v>
      </c>
      <c r="J1193" s="1012">
        <v>298000</v>
      </c>
      <c r="K1193" s="1012">
        <v>0</v>
      </c>
      <c r="L1193" s="1013">
        <f t="shared" si="238"/>
        <v>6229000</v>
      </c>
      <c r="M1193" s="1014">
        <v>23</v>
      </c>
      <c r="N1193" s="1013">
        <f t="shared" si="239"/>
        <v>5510269</v>
      </c>
      <c r="O1193" s="1015">
        <v>3</v>
      </c>
      <c r="P1193" s="1013">
        <f t="shared" si="240"/>
        <v>718731</v>
      </c>
      <c r="Q1193" s="1016">
        <v>0</v>
      </c>
      <c r="R1193" s="1013">
        <f t="shared" si="241"/>
        <v>0</v>
      </c>
      <c r="S1193" s="1013">
        <f t="shared" si="242"/>
        <v>6229000</v>
      </c>
      <c r="T1193" s="1017">
        <v>0</v>
      </c>
      <c r="U1193" s="785">
        <v>0</v>
      </c>
      <c r="V1193" s="785">
        <v>200000</v>
      </c>
      <c r="W1193" s="1017">
        <v>500000</v>
      </c>
      <c r="X1193" s="1017">
        <v>0</v>
      </c>
      <c r="Y1193" s="1017">
        <v>400000</v>
      </c>
      <c r="Z1193" s="1017">
        <v>577053</v>
      </c>
      <c r="AA1193" s="1018"/>
      <c r="AB1193" s="1013"/>
      <c r="AC1193" s="1017">
        <v>0</v>
      </c>
      <c r="AD1193" s="1017">
        <v>0</v>
      </c>
      <c r="AE1193" s="1013">
        <v>44920.671195652176</v>
      </c>
      <c r="AF1193" s="1019"/>
      <c r="AG1193" s="1019">
        <f t="shared" si="236"/>
        <v>7950974</v>
      </c>
      <c r="AH1193" s="1014">
        <v>52</v>
      </c>
      <c r="AI1193" s="1014">
        <v>0</v>
      </c>
      <c r="AJ1193" s="1014">
        <v>0</v>
      </c>
      <c r="AK1193" s="1018">
        <v>0</v>
      </c>
      <c r="AL1193" s="1020">
        <v>0</v>
      </c>
      <c r="AM1193" s="1013">
        <f t="shared" si="235"/>
        <v>2335875</v>
      </c>
      <c r="AN1193" s="1045">
        <f t="shared" si="237"/>
        <v>10286849</v>
      </c>
      <c r="AO1193" s="1013">
        <v>654045</v>
      </c>
      <c r="AP1193" s="1013">
        <v>44100</v>
      </c>
      <c r="AQ1193" s="1013">
        <v>0</v>
      </c>
      <c r="AR1193" s="1013">
        <v>0</v>
      </c>
      <c r="AS1193" s="1013">
        <v>0</v>
      </c>
      <c r="AT1193" s="1045">
        <f t="shared" si="233"/>
        <v>9588704</v>
      </c>
      <c r="AU1193" s="1004"/>
      <c r="AV1193" s="870"/>
      <c r="AW1193" s="782" t="s">
        <v>5549</v>
      </c>
      <c r="AX1193" s="782" t="s">
        <v>5550</v>
      </c>
      <c r="AY1193" s="1007" t="s">
        <v>221</v>
      </c>
      <c r="AZ1193" s="1007">
        <v>622</v>
      </c>
      <c r="BA1193" s="347" t="str">
        <f t="shared" si="234"/>
        <v>Bag</v>
      </c>
      <c r="BB1193" s="1008"/>
      <c r="BC1193" s="1009"/>
      <c r="BD1193" s="1009"/>
    </row>
    <row r="1194" spans="1:56" s="1010" customFormat="1" ht="36.75" customHeight="1">
      <c r="A1194" s="661">
        <f>SUBTOTAL(3,B$6:B1194)</f>
        <v>1189</v>
      </c>
      <c r="B1194" s="661" t="s">
        <v>3159</v>
      </c>
      <c r="C1194" s="662" t="s">
        <v>3160</v>
      </c>
      <c r="D1194" s="1011">
        <v>39798</v>
      </c>
      <c r="E1194" s="1011" t="s">
        <v>221</v>
      </c>
      <c r="F1194" s="787" t="s">
        <v>257</v>
      </c>
      <c r="G1194" s="996" t="s">
        <v>920</v>
      </c>
      <c r="H1194" s="1012">
        <v>5931000</v>
      </c>
      <c r="I1194" s="1012">
        <v>0</v>
      </c>
      <c r="J1194" s="1012">
        <v>0</v>
      </c>
      <c r="K1194" s="1012">
        <v>0</v>
      </c>
      <c r="L1194" s="1013">
        <f t="shared" si="238"/>
        <v>5931000</v>
      </c>
      <c r="M1194" s="1014">
        <v>23.8</v>
      </c>
      <c r="N1194" s="1013">
        <f t="shared" si="239"/>
        <v>5429146</v>
      </c>
      <c r="O1194" s="1015">
        <v>2</v>
      </c>
      <c r="P1194" s="1013">
        <f t="shared" si="240"/>
        <v>456231</v>
      </c>
      <c r="Q1194" s="1016">
        <v>0</v>
      </c>
      <c r="R1194" s="1013">
        <f t="shared" si="241"/>
        <v>0</v>
      </c>
      <c r="S1194" s="1013">
        <f t="shared" si="242"/>
        <v>5885377</v>
      </c>
      <c r="T1194" s="1017">
        <v>0</v>
      </c>
      <c r="U1194" s="785">
        <v>0</v>
      </c>
      <c r="V1194" s="785">
        <v>200000</v>
      </c>
      <c r="W1194" s="1017">
        <v>500000</v>
      </c>
      <c r="X1194" s="1017">
        <v>0</v>
      </c>
      <c r="Y1194" s="1017">
        <v>400000</v>
      </c>
      <c r="Z1194" s="1017">
        <v>209175</v>
      </c>
      <c r="AA1194" s="1018"/>
      <c r="AB1194" s="1013"/>
      <c r="AC1194" s="1017">
        <v>0</v>
      </c>
      <c r="AD1194" s="1017">
        <v>0</v>
      </c>
      <c r="AE1194" s="1013">
        <v>42771.633403361338</v>
      </c>
      <c r="AF1194" s="1019"/>
      <c r="AG1194" s="1019">
        <f t="shared" si="236"/>
        <v>7237324</v>
      </c>
      <c r="AH1194" s="1014">
        <v>52</v>
      </c>
      <c r="AI1194" s="1014">
        <v>0</v>
      </c>
      <c r="AJ1194" s="1014">
        <v>0</v>
      </c>
      <c r="AK1194" s="1018">
        <v>0</v>
      </c>
      <c r="AL1194" s="1020">
        <v>0</v>
      </c>
      <c r="AM1194" s="1013">
        <f t="shared" si="235"/>
        <v>2224125</v>
      </c>
      <c r="AN1194" s="1045">
        <f t="shared" si="237"/>
        <v>9461449</v>
      </c>
      <c r="AO1194" s="1013">
        <v>622755</v>
      </c>
      <c r="AP1194" s="1013">
        <v>44100</v>
      </c>
      <c r="AQ1194" s="1013">
        <v>0</v>
      </c>
      <c r="AR1194" s="1013">
        <v>0</v>
      </c>
      <c r="AS1194" s="1013">
        <v>0</v>
      </c>
      <c r="AT1194" s="1045">
        <f t="shared" si="233"/>
        <v>8794594</v>
      </c>
      <c r="AU1194" s="1004"/>
      <c r="AV1194" s="870"/>
      <c r="AW1194" s="782" t="s">
        <v>5551</v>
      </c>
      <c r="AX1194" s="782" t="s">
        <v>5552</v>
      </c>
      <c r="AY1194" s="1007" t="s">
        <v>221</v>
      </c>
      <c r="AZ1194" s="1007">
        <v>622</v>
      </c>
      <c r="BA1194" s="347" t="str">
        <f t="shared" si="234"/>
        <v>Bag</v>
      </c>
      <c r="BB1194" s="1008"/>
      <c r="BC1194" s="1009"/>
      <c r="BD1194" s="1009"/>
    </row>
    <row r="1195" spans="1:56" s="1010" customFormat="1" ht="36.75" customHeight="1">
      <c r="A1195" s="661">
        <f>SUBTOTAL(3,B$6:B1195)</f>
        <v>1190</v>
      </c>
      <c r="B1195" s="661" t="s">
        <v>3161</v>
      </c>
      <c r="C1195" s="662" t="s">
        <v>3162</v>
      </c>
      <c r="D1195" s="1011">
        <v>44613</v>
      </c>
      <c r="E1195" s="1011" t="s">
        <v>221</v>
      </c>
      <c r="F1195" s="787" t="s">
        <v>257</v>
      </c>
      <c r="G1195" s="996" t="s">
        <v>797</v>
      </c>
      <c r="H1195" s="1012">
        <v>5931000</v>
      </c>
      <c r="I1195" s="1012">
        <v>0</v>
      </c>
      <c r="J1195" s="1012">
        <v>0</v>
      </c>
      <c r="K1195" s="1012">
        <v>0</v>
      </c>
      <c r="L1195" s="1013">
        <f t="shared" si="238"/>
        <v>5931000</v>
      </c>
      <c r="M1195" s="1014">
        <v>24</v>
      </c>
      <c r="N1195" s="1013">
        <f t="shared" si="239"/>
        <v>5474769</v>
      </c>
      <c r="O1195" s="1015">
        <v>2</v>
      </c>
      <c r="P1195" s="1013">
        <f t="shared" si="240"/>
        <v>456231</v>
      </c>
      <c r="Q1195" s="1016">
        <v>0</v>
      </c>
      <c r="R1195" s="1013">
        <f t="shared" si="241"/>
        <v>0</v>
      </c>
      <c r="S1195" s="1013">
        <f t="shared" si="242"/>
        <v>5931000</v>
      </c>
      <c r="T1195" s="1017">
        <v>0</v>
      </c>
      <c r="U1195" s="785">
        <v>0</v>
      </c>
      <c r="V1195" s="785">
        <v>200000</v>
      </c>
      <c r="W1195" s="1017">
        <v>500000</v>
      </c>
      <c r="X1195" s="1017">
        <v>0</v>
      </c>
      <c r="Y1195" s="1017">
        <v>400000</v>
      </c>
      <c r="Z1195" s="1017">
        <v>493957</v>
      </c>
      <c r="AA1195" s="1018"/>
      <c r="AB1195" s="1013"/>
      <c r="AC1195" s="1017">
        <v>100000</v>
      </c>
      <c r="AD1195" s="1017">
        <v>0</v>
      </c>
      <c r="AE1195" s="1013">
        <v>42771.6328125</v>
      </c>
      <c r="AF1195" s="1019"/>
      <c r="AG1195" s="1019">
        <f t="shared" si="236"/>
        <v>7667729</v>
      </c>
      <c r="AH1195" s="1014">
        <v>56</v>
      </c>
      <c r="AI1195" s="1014">
        <v>0</v>
      </c>
      <c r="AJ1195" s="1014">
        <v>0</v>
      </c>
      <c r="AK1195" s="1018">
        <v>0</v>
      </c>
      <c r="AL1195" s="1020">
        <v>0</v>
      </c>
      <c r="AM1195" s="1013">
        <f t="shared" si="235"/>
        <v>2395211</v>
      </c>
      <c r="AN1195" s="1045">
        <f t="shared" si="237"/>
        <v>10062940</v>
      </c>
      <c r="AO1195" s="1013">
        <v>622755</v>
      </c>
      <c r="AP1195" s="1013">
        <v>44100</v>
      </c>
      <c r="AQ1195" s="1013">
        <v>0</v>
      </c>
      <c r="AR1195" s="1013">
        <v>0</v>
      </c>
      <c r="AS1195" s="1013">
        <v>0</v>
      </c>
      <c r="AT1195" s="1045">
        <f t="shared" si="233"/>
        <v>9396085</v>
      </c>
      <c r="AU1195" s="1004"/>
      <c r="AV1195" s="870"/>
      <c r="AW1195" s="782" t="s">
        <v>5553</v>
      </c>
      <c r="AX1195" s="782" t="s">
        <v>5554</v>
      </c>
      <c r="AY1195" s="1007" t="s">
        <v>221</v>
      </c>
      <c r="AZ1195" s="1007">
        <v>622</v>
      </c>
      <c r="BA1195" s="347" t="str">
        <f t="shared" si="234"/>
        <v>Bag</v>
      </c>
      <c r="BB1195" s="1008"/>
      <c r="BC1195" s="1009"/>
      <c r="BD1195" s="1009"/>
    </row>
    <row r="1196" spans="1:56" s="1010" customFormat="1" ht="36.75" customHeight="1">
      <c r="A1196" s="661">
        <f>SUBTOTAL(3,B$6:B1196)</f>
        <v>1191</v>
      </c>
      <c r="B1196" s="661" t="s">
        <v>3163</v>
      </c>
      <c r="C1196" s="662" t="s">
        <v>3164</v>
      </c>
      <c r="D1196" s="1011">
        <v>44624</v>
      </c>
      <c r="E1196" s="1011" t="s">
        <v>221</v>
      </c>
      <c r="F1196" s="787" t="s">
        <v>257</v>
      </c>
      <c r="G1196" s="996" t="s">
        <v>797</v>
      </c>
      <c r="H1196" s="1012">
        <v>5931000</v>
      </c>
      <c r="I1196" s="1012">
        <v>0</v>
      </c>
      <c r="J1196" s="1012">
        <v>0</v>
      </c>
      <c r="K1196" s="1012">
        <v>0</v>
      </c>
      <c r="L1196" s="1013">
        <f t="shared" si="238"/>
        <v>5931000</v>
      </c>
      <c r="M1196" s="1014">
        <v>22</v>
      </c>
      <c r="N1196" s="1013">
        <f t="shared" si="239"/>
        <v>5018538</v>
      </c>
      <c r="O1196" s="1015">
        <v>2</v>
      </c>
      <c r="P1196" s="1013">
        <f t="shared" si="240"/>
        <v>456231</v>
      </c>
      <c r="Q1196" s="1016">
        <v>0</v>
      </c>
      <c r="R1196" s="1013">
        <f t="shared" si="241"/>
        <v>0</v>
      </c>
      <c r="S1196" s="1013">
        <f t="shared" si="242"/>
        <v>5474769</v>
      </c>
      <c r="T1196" s="1017">
        <v>0</v>
      </c>
      <c r="U1196" s="785">
        <v>0</v>
      </c>
      <c r="V1196" s="785">
        <v>200000</v>
      </c>
      <c r="W1196" s="1017">
        <v>0</v>
      </c>
      <c r="X1196" s="1017">
        <v>0</v>
      </c>
      <c r="Y1196" s="1017">
        <v>0</v>
      </c>
      <c r="Z1196" s="1017">
        <v>529431</v>
      </c>
      <c r="AA1196" s="1018"/>
      <c r="AB1196" s="1013"/>
      <c r="AC1196" s="1017">
        <v>0</v>
      </c>
      <c r="AD1196" s="1017">
        <v>0</v>
      </c>
      <c r="AE1196" s="1013">
        <v>0</v>
      </c>
      <c r="AF1196" s="1019"/>
      <c r="AG1196" s="1019">
        <f t="shared" si="236"/>
        <v>6204200</v>
      </c>
      <c r="AH1196" s="1014">
        <v>48</v>
      </c>
      <c r="AI1196" s="1014">
        <v>0</v>
      </c>
      <c r="AJ1196" s="1014">
        <v>0</v>
      </c>
      <c r="AK1196" s="1018">
        <v>0</v>
      </c>
      <c r="AL1196" s="1020">
        <v>0</v>
      </c>
      <c r="AM1196" s="1013">
        <f t="shared" si="235"/>
        <v>2053038</v>
      </c>
      <c r="AN1196" s="1045">
        <f t="shared" si="237"/>
        <v>8257238</v>
      </c>
      <c r="AO1196" s="1013">
        <v>622755</v>
      </c>
      <c r="AP1196" s="1013">
        <v>44100</v>
      </c>
      <c r="AQ1196" s="1013">
        <v>0</v>
      </c>
      <c r="AR1196" s="1013">
        <v>0</v>
      </c>
      <c r="AS1196" s="1013">
        <v>0</v>
      </c>
      <c r="AT1196" s="1045">
        <f t="shared" si="233"/>
        <v>7590383</v>
      </c>
      <c r="AU1196" s="1004"/>
      <c r="AV1196" s="870"/>
      <c r="AW1196" s="782" t="s">
        <v>5555</v>
      </c>
      <c r="AX1196" s="782" t="s">
        <v>5556</v>
      </c>
      <c r="AY1196" s="1007" t="s">
        <v>221</v>
      </c>
      <c r="AZ1196" s="1007">
        <v>622</v>
      </c>
      <c r="BA1196" s="347" t="str">
        <f t="shared" si="234"/>
        <v>Bag</v>
      </c>
      <c r="BB1196" s="1008"/>
      <c r="BC1196" s="1009"/>
      <c r="BD1196" s="1009"/>
    </row>
    <row r="1197" spans="1:56" s="1010" customFormat="1" ht="36.75" customHeight="1">
      <c r="A1197" s="661">
        <f>SUBTOTAL(3,B$6:B1197)</f>
        <v>1192</v>
      </c>
      <c r="B1197" s="661" t="s">
        <v>3165</v>
      </c>
      <c r="C1197" s="662" t="s">
        <v>3166</v>
      </c>
      <c r="D1197" s="1011">
        <v>44637</v>
      </c>
      <c r="E1197" s="1011" t="s">
        <v>221</v>
      </c>
      <c r="F1197" s="787" t="s">
        <v>257</v>
      </c>
      <c r="G1197" s="996" t="s">
        <v>797</v>
      </c>
      <c r="H1197" s="1012">
        <v>5931000</v>
      </c>
      <c r="I1197" s="1012">
        <v>0</v>
      </c>
      <c r="J1197" s="1012">
        <v>298000</v>
      </c>
      <c r="K1197" s="1012">
        <v>0</v>
      </c>
      <c r="L1197" s="1013">
        <f t="shared" si="238"/>
        <v>6229000</v>
      </c>
      <c r="M1197" s="1014">
        <v>23.9</v>
      </c>
      <c r="N1197" s="1013">
        <f t="shared" si="239"/>
        <v>5725888</v>
      </c>
      <c r="O1197" s="1015">
        <v>2</v>
      </c>
      <c r="P1197" s="1013">
        <f t="shared" si="240"/>
        <v>479154</v>
      </c>
      <c r="Q1197" s="1016">
        <v>0</v>
      </c>
      <c r="R1197" s="1013">
        <f t="shared" si="241"/>
        <v>0</v>
      </c>
      <c r="S1197" s="1013">
        <f t="shared" si="242"/>
        <v>6205042</v>
      </c>
      <c r="T1197" s="1017">
        <v>0</v>
      </c>
      <c r="U1197" s="785">
        <v>0</v>
      </c>
      <c r="V1197" s="785">
        <v>200000</v>
      </c>
      <c r="W1197" s="1017">
        <v>500000</v>
      </c>
      <c r="X1197" s="1017">
        <v>0</v>
      </c>
      <c r="Y1197" s="1017">
        <v>400000</v>
      </c>
      <c r="Z1197" s="1017">
        <v>602412</v>
      </c>
      <c r="AA1197" s="1018"/>
      <c r="AB1197" s="1013"/>
      <c r="AC1197" s="1017">
        <v>100000</v>
      </c>
      <c r="AD1197" s="1017">
        <v>0</v>
      </c>
      <c r="AE1197" s="1013">
        <v>44920.669456066949</v>
      </c>
      <c r="AF1197" s="1019"/>
      <c r="AG1197" s="1019">
        <f t="shared" si="236"/>
        <v>8052375</v>
      </c>
      <c r="AH1197" s="1014">
        <v>56</v>
      </c>
      <c r="AI1197" s="1014">
        <v>0</v>
      </c>
      <c r="AJ1197" s="1014">
        <v>0</v>
      </c>
      <c r="AK1197" s="1018">
        <v>0</v>
      </c>
      <c r="AL1197" s="1020">
        <v>0</v>
      </c>
      <c r="AM1197" s="1013">
        <f t="shared" si="235"/>
        <v>2515557</v>
      </c>
      <c r="AN1197" s="1045">
        <f t="shared" si="237"/>
        <v>10567932</v>
      </c>
      <c r="AO1197" s="1013">
        <v>654045</v>
      </c>
      <c r="AP1197" s="1013">
        <v>44100</v>
      </c>
      <c r="AQ1197" s="1013">
        <v>0</v>
      </c>
      <c r="AR1197" s="1013">
        <v>0</v>
      </c>
      <c r="AS1197" s="1013">
        <v>0</v>
      </c>
      <c r="AT1197" s="1045">
        <f t="shared" ref="AT1197:AT1277" si="243">+ROUND(SUM(AN1197:AN1197)-SUM(AO1197:AS1197),0)</f>
        <v>9869787</v>
      </c>
      <c r="AU1197" s="1004"/>
      <c r="AV1197" s="870"/>
      <c r="AW1197" s="782" t="s">
        <v>5557</v>
      </c>
      <c r="AX1197" s="782" t="s">
        <v>5558</v>
      </c>
      <c r="AY1197" s="1007" t="s">
        <v>221</v>
      </c>
      <c r="AZ1197" s="1007">
        <v>622</v>
      </c>
      <c r="BA1197" s="347" t="str">
        <f t="shared" si="234"/>
        <v>Bag</v>
      </c>
      <c r="BB1197" s="1008"/>
      <c r="BC1197" s="1009"/>
      <c r="BD1197" s="1009"/>
    </row>
    <row r="1198" spans="1:56" s="1010" customFormat="1" ht="36.75" customHeight="1">
      <c r="A1198" s="661">
        <f>SUBTOTAL(3,B$6:B1198)</f>
        <v>1193</v>
      </c>
      <c r="B1198" s="661" t="s">
        <v>3167</v>
      </c>
      <c r="C1198" s="662" t="s">
        <v>3168</v>
      </c>
      <c r="D1198" s="1011">
        <v>44643</v>
      </c>
      <c r="E1198" s="1011" t="s">
        <v>221</v>
      </c>
      <c r="F1198" s="787" t="s">
        <v>257</v>
      </c>
      <c r="G1198" s="996" t="s">
        <v>797</v>
      </c>
      <c r="H1198" s="1012">
        <v>5931000</v>
      </c>
      <c r="I1198" s="1012">
        <v>0</v>
      </c>
      <c r="J1198" s="1012">
        <v>298000</v>
      </c>
      <c r="K1198" s="1012">
        <v>0</v>
      </c>
      <c r="L1198" s="1013">
        <f t="shared" si="238"/>
        <v>6229000</v>
      </c>
      <c r="M1198" s="1014">
        <v>22.9</v>
      </c>
      <c r="N1198" s="1013">
        <f t="shared" si="239"/>
        <v>5486312</v>
      </c>
      <c r="O1198" s="1015">
        <v>3</v>
      </c>
      <c r="P1198" s="1013">
        <f t="shared" si="240"/>
        <v>718731</v>
      </c>
      <c r="Q1198" s="1016">
        <v>0</v>
      </c>
      <c r="R1198" s="1013">
        <f t="shared" si="241"/>
        <v>0</v>
      </c>
      <c r="S1198" s="1013">
        <f t="shared" si="242"/>
        <v>6205043</v>
      </c>
      <c r="T1198" s="1017">
        <v>0</v>
      </c>
      <c r="U1198" s="785">
        <v>0</v>
      </c>
      <c r="V1198" s="785">
        <v>200000</v>
      </c>
      <c r="W1198" s="1017">
        <v>500000</v>
      </c>
      <c r="X1198" s="1017">
        <v>0</v>
      </c>
      <c r="Y1198" s="1017">
        <v>400000</v>
      </c>
      <c r="Z1198" s="1017">
        <v>569614</v>
      </c>
      <c r="AA1198" s="1018"/>
      <c r="AB1198" s="1013"/>
      <c r="AC1198" s="1017">
        <v>100000</v>
      </c>
      <c r="AD1198" s="1017">
        <v>0</v>
      </c>
      <c r="AE1198" s="1013">
        <v>44920.676855895195</v>
      </c>
      <c r="AF1198" s="1019"/>
      <c r="AG1198" s="1019">
        <f t="shared" si="236"/>
        <v>8019578</v>
      </c>
      <c r="AH1198" s="1014">
        <v>52</v>
      </c>
      <c r="AI1198" s="1014">
        <v>0</v>
      </c>
      <c r="AJ1198" s="1014">
        <v>0</v>
      </c>
      <c r="AK1198" s="1018">
        <v>0</v>
      </c>
      <c r="AL1198" s="1020">
        <v>0</v>
      </c>
      <c r="AM1198" s="1013">
        <f t="shared" si="235"/>
        <v>2335875</v>
      </c>
      <c r="AN1198" s="1045">
        <f t="shared" si="237"/>
        <v>10355453</v>
      </c>
      <c r="AO1198" s="1013">
        <v>654045</v>
      </c>
      <c r="AP1198" s="1013">
        <v>44100</v>
      </c>
      <c r="AQ1198" s="1013">
        <v>0</v>
      </c>
      <c r="AR1198" s="1013">
        <v>0</v>
      </c>
      <c r="AS1198" s="1013">
        <v>0</v>
      </c>
      <c r="AT1198" s="1045">
        <f t="shared" si="243"/>
        <v>9657308</v>
      </c>
      <c r="AU1198" s="1004"/>
      <c r="AV1198" s="870"/>
      <c r="AW1198" s="782" t="s">
        <v>5559</v>
      </c>
      <c r="AX1198" s="782" t="s">
        <v>5560</v>
      </c>
      <c r="AY1198" s="1007" t="s">
        <v>221</v>
      </c>
      <c r="AZ1198" s="1007">
        <v>622</v>
      </c>
      <c r="BA1198" s="347" t="str">
        <f t="shared" si="234"/>
        <v>Bag</v>
      </c>
      <c r="BB1198" s="1008"/>
      <c r="BC1198" s="1009"/>
      <c r="BD1198" s="1009"/>
    </row>
    <row r="1199" spans="1:56" s="1010" customFormat="1" ht="36.75" customHeight="1">
      <c r="A1199" s="661">
        <f>SUBTOTAL(3,B$6:B1199)</f>
        <v>1194</v>
      </c>
      <c r="B1199" s="661" t="s">
        <v>3169</v>
      </c>
      <c r="C1199" s="662" t="s">
        <v>1796</v>
      </c>
      <c r="D1199" s="1011">
        <v>44691</v>
      </c>
      <c r="E1199" s="1011" t="s">
        <v>221</v>
      </c>
      <c r="F1199" s="787" t="s">
        <v>257</v>
      </c>
      <c r="G1199" s="996" t="s">
        <v>1232</v>
      </c>
      <c r="H1199" s="1012">
        <v>5815000</v>
      </c>
      <c r="I1199" s="1012">
        <v>200000</v>
      </c>
      <c r="J1199" s="1012">
        <v>292000</v>
      </c>
      <c r="K1199" s="1012">
        <v>0</v>
      </c>
      <c r="L1199" s="1013">
        <f t="shared" si="238"/>
        <v>6307000</v>
      </c>
      <c r="M1199" s="1014">
        <v>23</v>
      </c>
      <c r="N1199" s="1013">
        <f t="shared" si="239"/>
        <v>5579269</v>
      </c>
      <c r="O1199" s="1015">
        <v>3</v>
      </c>
      <c r="P1199" s="1013">
        <f t="shared" si="240"/>
        <v>727731</v>
      </c>
      <c r="Q1199" s="1016">
        <v>0</v>
      </c>
      <c r="R1199" s="1013">
        <f t="shared" si="241"/>
        <v>0</v>
      </c>
      <c r="S1199" s="1013">
        <f t="shared" si="242"/>
        <v>6307000</v>
      </c>
      <c r="T1199" s="1017">
        <v>0</v>
      </c>
      <c r="U1199" s="785">
        <v>0</v>
      </c>
      <c r="V1199" s="785">
        <v>200000</v>
      </c>
      <c r="W1199" s="1017">
        <v>500000</v>
      </c>
      <c r="X1199" s="1017">
        <v>0</v>
      </c>
      <c r="Y1199" s="1017">
        <v>400000</v>
      </c>
      <c r="Z1199" s="1017">
        <v>522969</v>
      </c>
      <c r="AA1199" s="1018"/>
      <c r="AB1199" s="1013"/>
      <c r="AC1199" s="1017">
        <v>0</v>
      </c>
      <c r="AD1199" s="1017">
        <v>0</v>
      </c>
      <c r="AE1199" s="1013">
        <v>0</v>
      </c>
      <c r="AF1199" s="1019"/>
      <c r="AG1199" s="1019">
        <f t="shared" si="236"/>
        <v>7929969</v>
      </c>
      <c r="AH1199" s="1014">
        <v>56</v>
      </c>
      <c r="AI1199" s="1014">
        <v>0</v>
      </c>
      <c r="AJ1199" s="1014">
        <v>0</v>
      </c>
      <c r="AK1199" s="1018">
        <v>0</v>
      </c>
      <c r="AL1199" s="1020">
        <v>0</v>
      </c>
      <c r="AM1199" s="1013">
        <f t="shared" si="235"/>
        <v>2547058</v>
      </c>
      <c r="AN1199" s="1045">
        <f t="shared" si="237"/>
        <v>10477027</v>
      </c>
      <c r="AO1199" s="1013">
        <v>662235</v>
      </c>
      <c r="AP1199" s="1013">
        <v>44100</v>
      </c>
      <c r="AQ1199" s="1013">
        <v>0</v>
      </c>
      <c r="AR1199" s="1013">
        <v>0</v>
      </c>
      <c r="AS1199" s="1013">
        <v>0</v>
      </c>
      <c r="AT1199" s="1045">
        <f t="shared" si="243"/>
        <v>9770692</v>
      </c>
      <c r="AU1199" s="1004"/>
      <c r="AV1199" s="870"/>
      <c r="AW1199" s="782" t="s">
        <v>4280</v>
      </c>
      <c r="AX1199" s="782" t="s">
        <v>5561</v>
      </c>
      <c r="AY1199" s="1007" t="s">
        <v>221</v>
      </c>
      <c r="AZ1199" s="1007">
        <v>622</v>
      </c>
      <c r="BA1199" s="347" t="str">
        <f t="shared" si="234"/>
        <v>Bag</v>
      </c>
      <c r="BB1199" s="1008"/>
      <c r="BC1199" s="1009"/>
      <c r="BD1199" s="1009"/>
    </row>
    <row r="1200" spans="1:56" s="1010" customFormat="1" ht="36.75" customHeight="1">
      <c r="A1200" s="661">
        <f>SUBTOTAL(3,B$6:B1200)</f>
        <v>1195</v>
      </c>
      <c r="B1200" s="661" t="s">
        <v>3170</v>
      </c>
      <c r="C1200" s="662" t="s">
        <v>3171</v>
      </c>
      <c r="D1200" s="1011">
        <v>44701</v>
      </c>
      <c r="E1200" s="1011" t="s">
        <v>221</v>
      </c>
      <c r="F1200" s="787" t="s">
        <v>257</v>
      </c>
      <c r="G1200" s="996" t="s">
        <v>797</v>
      </c>
      <c r="H1200" s="1012">
        <v>5815000</v>
      </c>
      <c r="I1200" s="1012">
        <v>0</v>
      </c>
      <c r="J1200" s="1012">
        <v>0</v>
      </c>
      <c r="K1200" s="1012">
        <v>0</v>
      </c>
      <c r="L1200" s="1013">
        <f t="shared" si="238"/>
        <v>5815000</v>
      </c>
      <c r="M1200" s="1014">
        <v>22</v>
      </c>
      <c r="N1200" s="1013">
        <f t="shared" si="239"/>
        <v>4920385</v>
      </c>
      <c r="O1200" s="1015">
        <v>2</v>
      </c>
      <c r="P1200" s="1013">
        <f t="shared" si="240"/>
        <v>447308</v>
      </c>
      <c r="Q1200" s="1016">
        <v>0</v>
      </c>
      <c r="R1200" s="1013">
        <f t="shared" si="241"/>
        <v>0</v>
      </c>
      <c r="S1200" s="1013">
        <f t="shared" si="242"/>
        <v>5367693</v>
      </c>
      <c r="T1200" s="1017">
        <v>0</v>
      </c>
      <c r="U1200" s="785">
        <v>0</v>
      </c>
      <c r="V1200" s="785">
        <v>200000</v>
      </c>
      <c r="W1200" s="1017">
        <v>0</v>
      </c>
      <c r="X1200" s="1017">
        <v>0</v>
      </c>
      <c r="Y1200" s="1017">
        <v>0</v>
      </c>
      <c r="Z1200" s="1017">
        <v>594199</v>
      </c>
      <c r="AA1200" s="1018"/>
      <c r="AB1200" s="1013"/>
      <c r="AC1200" s="1017">
        <v>0</v>
      </c>
      <c r="AD1200" s="1017">
        <v>0</v>
      </c>
      <c r="AE1200" s="1013">
        <v>0</v>
      </c>
      <c r="AF1200" s="1019"/>
      <c r="AG1200" s="1019">
        <f t="shared" si="236"/>
        <v>6161892</v>
      </c>
      <c r="AH1200" s="1014">
        <v>49.5</v>
      </c>
      <c r="AI1200" s="1014">
        <v>0</v>
      </c>
      <c r="AJ1200" s="1014">
        <v>0</v>
      </c>
      <c r="AK1200" s="1018">
        <v>0</v>
      </c>
      <c r="AL1200" s="1020">
        <v>0</v>
      </c>
      <c r="AM1200" s="1013">
        <f t="shared" si="235"/>
        <v>2075787</v>
      </c>
      <c r="AN1200" s="1045">
        <f t="shared" si="237"/>
        <v>8237679</v>
      </c>
      <c r="AO1200" s="1013">
        <v>610575</v>
      </c>
      <c r="AP1200" s="1013">
        <v>44100</v>
      </c>
      <c r="AQ1200" s="1013">
        <v>0</v>
      </c>
      <c r="AR1200" s="1013">
        <v>0</v>
      </c>
      <c r="AS1200" s="1013">
        <v>0</v>
      </c>
      <c r="AT1200" s="1045">
        <f t="shared" si="243"/>
        <v>7583004</v>
      </c>
      <c r="AU1200" s="1004"/>
      <c r="AV1200" s="870"/>
      <c r="AW1200" s="782" t="s">
        <v>5562</v>
      </c>
      <c r="AX1200" s="782" t="s">
        <v>5563</v>
      </c>
      <c r="AY1200" s="1007" t="s">
        <v>221</v>
      </c>
      <c r="AZ1200" s="1007">
        <v>622</v>
      </c>
      <c r="BA1200" s="347" t="str">
        <f t="shared" si="234"/>
        <v>Bag</v>
      </c>
      <c r="BB1200" s="1008"/>
      <c r="BC1200" s="1009"/>
      <c r="BD1200" s="1009"/>
    </row>
    <row r="1201" spans="1:56" s="1010" customFormat="1" ht="36.75" customHeight="1">
      <c r="A1201" s="661">
        <f>SUBTOTAL(3,B$6:B1201)</f>
        <v>1196</v>
      </c>
      <c r="B1201" s="661" t="s">
        <v>3172</v>
      </c>
      <c r="C1201" s="662" t="s">
        <v>3173</v>
      </c>
      <c r="D1201" s="1011">
        <v>44720</v>
      </c>
      <c r="E1201" s="1011" t="s">
        <v>221</v>
      </c>
      <c r="F1201" s="787" t="s">
        <v>257</v>
      </c>
      <c r="G1201" s="996" t="s">
        <v>797</v>
      </c>
      <c r="H1201" s="1012">
        <v>5815000</v>
      </c>
      <c r="I1201" s="1012">
        <v>0</v>
      </c>
      <c r="J1201" s="1012">
        <v>292000</v>
      </c>
      <c r="K1201" s="1012">
        <v>0</v>
      </c>
      <c r="L1201" s="1013">
        <f t="shared" si="238"/>
        <v>6107000</v>
      </c>
      <c r="M1201" s="1014">
        <v>24</v>
      </c>
      <c r="N1201" s="1013">
        <f t="shared" si="239"/>
        <v>5637231</v>
      </c>
      <c r="O1201" s="1015">
        <v>2</v>
      </c>
      <c r="P1201" s="1013">
        <f t="shared" si="240"/>
        <v>469769</v>
      </c>
      <c r="Q1201" s="1016">
        <v>0</v>
      </c>
      <c r="R1201" s="1013">
        <f t="shared" si="241"/>
        <v>0</v>
      </c>
      <c r="S1201" s="1013">
        <f t="shared" si="242"/>
        <v>6107000</v>
      </c>
      <c r="T1201" s="1017">
        <v>0</v>
      </c>
      <c r="U1201" s="785">
        <v>0</v>
      </c>
      <c r="V1201" s="785">
        <v>200000</v>
      </c>
      <c r="W1201" s="1017">
        <v>500000</v>
      </c>
      <c r="X1201" s="1017">
        <v>0</v>
      </c>
      <c r="Y1201" s="1017">
        <v>400000</v>
      </c>
      <c r="Z1201" s="1017">
        <v>601519</v>
      </c>
      <c r="AA1201" s="1018"/>
      <c r="AB1201" s="1013"/>
      <c r="AC1201" s="1017">
        <v>100000</v>
      </c>
      <c r="AD1201" s="1017">
        <v>0</v>
      </c>
      <c r="AE1201" s="1013">
        <v>44040.8671875</v>
      </c>
      <c r="AF1201" s="1019"/>
      <c r="AG1201" s="1019">
        <f t="shared" si="236"/>
        <v>7952560</v>
      </c>
      <c r="AH1201" s="1014">
        <v>52</v>
      </c>
      <c r="AI1201" s="1014">
        <v>0</v>
      </c>
      <c r="AJ1201" s="1014">
        <v>0</v>
      </c>
      <c r="AK1201" s="1018">
        <v>0</v>
      </c>
      <c r="AL1201" s="1020">
        <v>0</v>
      </c>
      <c r="AM1201" s="1013">
        <f t="shared" si="235"/>
        <v>2290125</v>
      </c>
      <c r="AN1201" s="1045">
        <f t="shared" si="237"/>
        <v>10242685</v>
      </c>
      <c r="AO1201" s="1013">
        <v>641235</v>
      </c>
      <c r="AP1201" s="1013">
        <v>44100</v>
      </c>
      <c r="AQ1201" s="1013">
        <v>0</v>
      </c>
      <c r="AR1201" s="1013">
        <v>0</v>
      </c>
      <c r="AS1201" s="1013">
        <v>0</v>
      </c>
      <c r="AT1201" s="1045">
        <f t="shared" si="243"/>
        <v>9557350</v>
      </c>
      <c r="AU1201" s="1004"/>
      <c r="AV1201" s="870"/>
      <c r="AW1201" s="782" t="s">
        <v>5564</v>
      </c>
      <c r="AX1201" s="782" t="s">
        <v>5565</v>
      </c>
      <c r="AY1201" s="1007" t="s">
        <v>221</v>
      </c>
      <c r="AZ1201" s="1007">
        <v>622</v>
      </c>
      <c r="BA1201" s="347" t="str">
        <f t="shared" si="234"/>
        <v>Bag</v>
      </c>
      <c r="BB1201" s="1008"/>
      <c r="BC1201" s="1009"/>
      <c r="BD1201" s="1009"/>
    </row>
    <row r="1202" spans="1:56" s="1010" customFormat="1" ht="36.75" customHeight="1">
      <c r="A1202" s="661">
        <f>SUBTOTAL(3,B$6:B1202)</f>
        <v>1197</v>
      </c>
      <c r="B1202" s="661" t="s">
        <v>3174</v>
      </c>
      <c r="C1202" s="662" t="s">
        <v>3175</v>
      </c>
      <c r="D1202" s="1011">
        <v>44783</v>
      </c>
      <c r="E1202" s="1011" t="s">
        <v>221</v>
      </c>
      <c r="F1202" s="787" t="s">
        <v>257</v>
      </c>
      <c r="G1202" s="996" t="s">
        <v>797</v>
      </c>
      <c r="H1202" s="1012">
        <v>5815000</v>
      </c>
      <c r="I1202" s="1012">
        <v>0</v>
      </c>
      <c r="J1202" s="1012">
        <v>292000</v>
      </c>
      <c r="K1202" s="1012">
        <v>0</v>
      </c>
      <c r="L1202" s="1013">
        <f t="shared" si="238"/>
        <v>6107000</v>
      </c>
      <c r="M1202" s="1014">
        <v>24</v>
      </c>
      <c r="N1202" s="1013">
        <f t="shared" si="239"/>
        <v>5637231</v>
      </c>
      <c r="O1202" s="1015">
        <v>2</v>
      </c>
      <c r="P1202" s="1013">
        <f t="shared" si="240"/>
        <v>469769</v>
      </c>
      <c r="Q1202" s="1016">
        <v>0</v>
      </c>
      <c r="R1202" s="1013">
        <f t="shared" si="241"/>
        <v>0</v>
      </c>
      <c r="S1202" s="1013">
        <f t="shared" si="242"/>
        <v>6107000</v>
      </c>
      <c r="T1202" s="1017">
        <v>0</v>
      </c>
      <c r="U1202" s="785">
        <v>0</v>
      </c>
      <c r="V1202" s="785">
        <v>200000</v>
      </c>
      <c r="W1202" s="1017">
        <v>500000</v>
      </c>
      <c r="X1202" s="1017">
        <v>0</v>
      </c>
      <c r="Y1202" s="1017">
        <v>400000</v>
      </c>
      <c r="Z1202" s="1017">
        <v>610625</v>
      </c>
      <c r="AA1202" s="1018"/>
      <c r="AB1202" s="1013"/>
      <c r="AC1202" s="1017">
        <v>0</v>
      </c>
      <c r="AD1202" s="1017">
        <v>0</v>
      </c>
      <c r="AE1202" s="1013">
        <v>0</v>
      </c>
      <c r="AF1202" s="1019"/>
      <c r="AG1202" s="1019">
        <f t="shared" si="236"/>
        <v>7817625</v>
      </c>
      <c r="AH1202" s="1014">
        <v>56</v>
      </c>
      <c r="AI1202" s="1014">
        <v>0</v>
      </c>
      <c r="AJ1202" s="1014">
        <v>0</v>
      </c>
      <c r="AK1202" s="1018">
        <v>0</v>
      </c>
      <c r="AL1202" s="1020">
        <v>0</v>
      </c>
      <c r="AM1202" s="1013">
        <f t="shared" si="235"/>
        <v>2466289</v>
      </c>
      <c r="AN1202" s="1045">
        <f t="shared" si="237"/>
        <v>10283914</v>
      </c>
      <c r="AO1202" s="1013">
        <v>641235</v>
      </c>
      <c r="AP1202" s="1013">
        <v>44100</v>
      </c>
      <c r="AQ1202" s="1013">
        <v>0</v>
      </c>
      <c r="AR1202" s="1013">
        <v>0</v>
      </c>
      <c r="AS1202" s="1013">
        <v>0</v>
      </c>
      <c r="AT1202" s="1045">
        <f t="shared" si="243"/>
        <v>9598579</v>
      </c>
      <c r="AU1202" s="1004"/>
      <c r="AV1202" s="870"/>
      <c r="AW1202" s="782" t="s">
        <v>5566</v>
      </c>
      <c r="AX1202" s="782" t="s">
        <v>5567</v>
      </c>
      <c r="AY1202" s="1007" t="s">
        <v>221</v>
      </c>
      <c r="AZ1202" s="1007">
        <v>622</v>
      </c>
      <c r="BA1202" s="347" t="str">
        <f t="shared" si="234"/>
        <v>Bag</v>
      </c>
      <c r="BB1202" s="1008"/>
      <c r="BC1202" s="1009"/>
      <c r="BD1202" s="1009"/>
    </row>
    <row r="1203" spans="1:56" s="1010" customFormat="1" ht="36.75" customHeight="1">
      <c r="A1203" s="661">
        <f>SUBTOTAL(3,B$6:B1203)</f>
        <v>1198</v>
      </c>
      <c r="B1203" s="661" t="s">
        <v>3176</v>
      </c>
      <c r="C1203" s="662" t="s">
        <v>1128</v>
      </c>
      <c r="D1203" s="1011">
        <v>45307</v>
      </c>
      <c r="E1203" s="1011" t="s">
        <v>221</v>
      </c>
      <c r="F1203" s="787" t="s">
        <v>257</v>
      </c>
      <c r="G1203" s="996" t="s">
        <v>797</v>
      </c>
      <c r="H1203" s="1012">
        <v>5538000</v>
      </c>
      <c r="I1203" s="1012">
        <v>0</v>
      </c>
      <c r="J1203" s="1012">
        <v>278000</v>
      </c>
      <c r="K1203" s="1012">
        <v>0</v>
      </c>
      <c r="L1203" s="1013">
        <f t="shared" si="238"/>
        <v>5816000</v>
      </c>
      <c r="M1203" s="1014">
        <v>24</v>
      </c>
      <c r="N1203" s="1013">
        <f t="shared" si="239"/>
        <v>5368615</v>
      </c>
      <c r="O1203" s="1015">
        <v>2</v>
      </c>
      <c r="P1203" s="1013">
        <f t="shared" si="240"/>
        <v>447385</v>
      </c>
      <c r="Q1203" s="1016">
        <v>0</v>
      </c>
      <c r="R1203" s="1013">
        <f t="shared" si="241"/>
        <v>0</v>
      </c>
      <c r="S1203" s="1013">
        <f t="shared" si="242"/>
        <v>5816000</v>
      </c>
      <c r="T1203" s="1017">
        <v>0</v>
      </c>
      <c r="U1203" s="785">
        <v>0</v>
      </c>
      <c r="V1203" s="785">
        <v>200000</v>
      </c>
      <c r="W1203" s="1017">
        <v>500000</v>
      </c>
      <c r="X1203" s="1017">
        <v>0</v>
      </c>
      <c r="Y1203" s="1017">
        <v>400000</v>
      </c>
      <c r="Z1203" s="1017">
        <v>610625</v>
      </c>
      <c r="AA1203" s="1018"/>
      <c r="AB1203" s="1013"/>
      <c r="AC1203" s="1017">
        <v>100000</v>
      </c>
      <c r="AD1203" s="1017">
        <v>0</v>
      </c>
      <c r="AE1203" s="1013">
        <v>41942.3046875</v>
      </c>
      <c r="AF1203" s="1019"/>
      <c r="AG1203" s="1019">
        <f t="shared" si="236"/>
        <v>7668567</v>
      </c>
      <c r="AH1203" s="1014">
        <v>56</v>
      </c>
      <c r="AI1203" s="1014">
        <v>0</v>
      </c>
      <c r="AJ1203" s="1014">
        <v>0</v>
      </c>
      <c r="AK1203" s="1018">
        <v>0</v>
      </c>
      <c r="AL1203" s="1020">
        <v>0</v>
      </c>
      <c r="AM1203" s="1013">
        <f t="shared" si="235"/>
        <v>2348769</v>
      </c>
      <c r="AN1203" s="1045">
        <f t="shared" si="237"/>
        <v>10017336</v>
      </c>
      <c r="AO1203" s="1013">
        <v>610680</v>
      </c>
      <c r="AP1203" s="1013">
        <v>44100</v>
      </c>
      <c r="AQ1203" s="1013">
        <v>0</v>
      </c>
      <c r="AR1203" s="1013">
        <v>0</v>
      </c>
      <c r="AS1203" s="1013">
        <v>0</v>
      </c>
      <c r="AT1203" s="1045">
        <f t="shared" si="243"/>
        <v>9362556</v>
      </c>
      <c r="AU1203" s="1004"/>
      <c r="AV1203" s="870"/>
      <c r="AW1203" s="782" t="s">
        <v>3647</v>
      </c>
      <c r="AX1203" s="782" t="s">
        <v>5568</v>
      </c>
      <c r="AY1203" s="1007" t="s">
        <v>221</v>
      </c>
      <c r="AZ1203" s="1007">
        <v>622</v>
      </c>
      <c r="BA1203" s="347" t="str">
        <f t="shared" ref="BA1203:BA1266" si="244">+IF(AY1203="SK1 Box","Box",IF(AY1203="Seaman","Seaman","Bag"))</f>
        <v>Bag</v>
      </c>
      <c r="BB1203" s="1008"/>
      <c r="BC1203" s="1009"/>
      <c r="BD1203" s="1009"/>
    </row>
    <row r="1204" spans="1:56" s="1010" customFormat="1" ht="36.75" customHeight="1">
      <c r="A1204" s="661">
        <f>SUBTOTAL(3,B$6:B1204)</f>
        <v>1199</v>
      </c>
      <c r="B1204" s="661" t="s">
        <v>3177</v>
      </c>
      <c r="C1204" s="662" t="s">
        <v>3178</v>
      </c>
      <c r="D1204" s="1011">
        <v>45343</v>
      </c>
      <c r="E1204" s="1011" t="s">
        <v>221</v>
      </c>
      <c r="F1204" s="787" t="s">
        <v>257</v>
      </c>
      <c r="G1204" s="996" t="s">
        <v>797</v>
      </c>
      <c r="H1204" s="1012">
        <v>5538000</v>
      </c>
      <c r="I1204" s="1012">
        <v>0</v>
      </c>
      <c r="J1204" s="1012">
        <v>278000</v>
      </c>
      <c r="K1204" s="1012">
        <v>0</v>
      </c>
      <c r="L1204" s="1013">
        <f t="shared" si="238"/>
        <v>5816000</v>
      </c>
      <c r="M1204" s="1014">
        <v>23</v>
      </c>
      <c r="N1204" s="1013">
        <f t="shared" si="239"/>
        <v>5144923</v>
      </c>
      <c r="O1204" s="1015">
        <v>3</v>
      </c>
      <c r="P1204" s="1013">
        <f t="shared" si="240"/>
        <v>671077</v>
      </c>
      <c r="Q1204" s="1016">
        <v>0</v>
      </c>
      <c r="R1204" s="1013">
        <f t="shared" si="241"/>
        <v>0</v>
      </c>
      <c r="S1204" s="1013">
        <f t="shared" si="242"/>
        <v>5816000</v>
      </c>
      <c r="T1204" s="1017">
        <v>0</v>
      </c>
      <c r="U1204" s="785">
        <v>0</v>
      </c>
      <c r="V1204" s="785">
        <v>200000</v>
      </c>
      <c r="W1204" s="1017">
        <v>500000</v>
      </c>
      <c r="X1204" s="1017">
        <v>0</v>
      </c>
      <c r="Y1204" s="1017">
        <v>400000</v>
      </c>
      <c r="Z1204" s="1017">
        <v>518287</v>
      </c>
      <c r="AA1204" s="1018"/>
      <c r="AB1204" s="1013"/>
      <c r="AC1204" s="1017">
        <v>100000</v>
      </c>
      <c r="AD1204" s="1017">
        <v>0</v>
      </c>
      <c r="AE1204" s="1013">
        <v>41942.307065217392</v>
      </c>
      <c r="AF1204" s="1019"/>
      <c r="AG1204" s="1019">
        <f t="shared" si="236"/>
        <v>7576229</v>
      </c>
      <c r="AH1204" s="1014">
        <v>53</v>
      </c>
      <c r="AI1204" s="1014">
        <v>0</v>
      </c>
      <c r="AJ1204" s="1014">
        <v>0</v>
      </c>
      <c r="AK1204" s="1018">
        <v>0</v>
      </c>
      <c r="AL1204" s="1020">
        <v>0</v>
      </c>
      <c r="AM1204" s="1013">
        <f t="shared" si="235"/>
        <v>2222942</v>
      </c>
      <c r="AN1204" s="1045">
        <f t="shared" si="237"/>
        <v>9799171</v>
      </c>
      <c r="AO1204" s="1013">
        <v>610680</v>
      </c>
      <c r="AP1204" s="1013">
        <v>44100</v>
      </c>
      <c r="AQ1204" s="1013">
        <v>0</v>
      </c>
      <c r="AR1204" s="1013">
        <v>0</v>
      </c>
      <c r="AS1204" s="1013">
        <v>0</v>
      </c>
      <c r="AT1204" s="1045">
        <f t="shared" si="243"/>
        <v>9144391</v>
      </c>
      <c r="AU1204" s="1004"/>
      <c r="AV1204" s="870"/>
      <c r="AW1204" s="782" t="s">
        <v>5569</v>
      </c>
      <c r="AX1204" s="782" t="s">
        <v>5570</v>
      </c>
      <c r="AY1204" s="1007" t="s">
        <v>221</v>
      </c>
      <c r="AZ1204" s="1007">
        <v>622</v>
      </c>
      <c r="BA1204" s="347" t="str">
        <f t="shared" si="244"/>
        <v>Bag</v>
      </c>
      <c r="BB1204" s="1008"/>
      <c r="BC1204" s="1009"/>
      <c r="BD1204" s="1009"/>
    </row>
    <row r="1205" spans="1:56" s="1010" customFormat="1" ht="36.75" customHeight="1">
      <c r="A1205" s="661">
        <f>SUBTOTAL(3,B$6:B1205)</f>
        <v>1200</v>
      </c>
      <c r="B1205" s="661" t="s">
        <v>3179</v>
      </c>
      <c r="C1205" s="662" t="s">
        <v>3180</v>
      </c>
      <c r="D1205" s="1011">
        <v>45344</v>
      </c>
      <c r="E1205" s="1011" t="s">
        <v>221</v>
      </c>
      <c r="F1205" s="787" t="s">
        <v>257</v>
      </c>
      <c r="G1205" s="996" t="s">
        <v>797</v>
      </c>
      <c r="H1205" s="1012">
        <v>5538000</v>
      </c>
      <c r="I1205" s="1012">
        <v>0</v>
      </c>
      <c r="J1205" s="1012">
        <v>278000</v>
      </c>
      <c r="K1205" s="1012">
        <v>0</v>
      </c>
      <c r="L1205" s="1013">
        <f t="shared" si="238"/>
        <v>5816000</v>
      </c>
      <c r="M1205" s="1014">
        <v>24</v>
      </c>
      <c r="N1205" s="1013">
        <f t="shared" si="239"/>
        <v>5368615</v>
      </c>
      <c r="O1205" s="1015">
        <v>2</v>
      </c>
      <c r="P1205" s="1013">
        <f t="shared" si="240"/>
        <v>447385</v>
      </c>
      <c r="Q1205" s="1016">
        <v>0</v>
      </c>
      <c r="R1205" s="1013">
        <f t="shared" si="241"/>
        <v>0</v>
      </c>
      <c r="S1205" s="1013">
        <f t="shared" si="242"/>
        <v>5816000</v>
      </c>
      <c r="T1205" s="1017">
        <v>0</v>
      </c>
      <c r="U1205" s="785">
        <v>0</v>
      </c>
      <c r="V1205" s="785">
        <v>200000</v>
      </c>
      <c r="W1205" s="1017">
        <v>500000</v>
      </c>
      <c r="X1205" s="1017">
        <v>0</v>
      </c>
      <c r="Y1205" s="1017">
        <v>400000</v>
      </c>
      <c r="Z1205" s="1017">
        <v>538272</v>
      </c>
      <c r="AA1205" s="1018"/>
      <c r="AB1205" s="1013"/>
      <c r="AC1205" s="1017">
        <v>100000</v>
      </c>
      <c r="AD1205" s="1017">
        <v>0</v>
      </c>
      <c r="AE1205" s="1013">
        <v>41942.3046875</v>
      </c>
      <c r="AF1205" s="1019"/>
      <c r="AG1205" s="1019">
        <f t="shared" si="236"/>
        <v>7596214</v>
      </c>
      <c r="AH1205" s="1014">
        <v>53</v>
      </c>
      <c r="AI1205" s="1014">
        <v>0</v>
      </c>
      <c r="AJ1205" s="1014">
        <v>0</v>
      </c>
      <c r="AK1205" s="1018">
        <v>0</v>
      </c>
      <c r="AL1205" s="1020">
        <v>0</v>
      </c>
      <c r="AM1205" s="1013">
        <f t="shared" si="235"/>
        <v>2222942</v>
      </c>
      <c r="AN1205" s="1045">
        <f t="shared" si="237"/>
        <v>9819156</v>
      </c>
      <c r="AO1205" s="1013">
        <v>610680</v>
      </c>
      <c r="AP1205" s="1013">
        <v>44100</v>
      </c>
      <c r="AQ1205" s="1013">
        <v>0</v>
      </c>
      <c r="AR1205" s="1013">
        <v>0</v>
      </c>
      <c r="AS1205" s="1013">
        <v>0</v>
      </c>
      <c r="AT1205" s="1045">
        <f t="shared" si="243"/>
        <v>9164376</v>
      </c>
      <c r="AU1205" s="1004"/>
      <c r="AV1205" s="870"/>
      <c r="AW1205" s="782" t="s">
        <v>5571</v>
      </c>
      <c r="AX1205" s="782" t="s">
        <v>5572</v>
      </c>
      <c r="AY1205" s="1007" t="s">
        <v>221</v>
      </c>
      <c r="AZ1205" s="1007">
        <v>622</v>
      </c>
      <c r="BA1205" s="347" t="str">
        <f t="shared" si="244"/>
        <v>Bag</v>
      </c>
      <c r="BB1205" s="1008"/>
      <c r="BC1205" s="1009"/>
      <c r="BD1205" s="1009"/>
    </row>
    <row r="1206" spans="1:56" s="1010" customFormat="1" ht="36.75" customHeight="1">
      <c r="A1206" s="661">
        <f>SUBTOTAL(3,B$6:B1206)</f>
        <v>1201</v>
      </c>
      <c r="B1206" s="661" t="s">
        <v>3181</v>
      </c>
      <c r="C1206" s="662" t="s">
        <v>3182</v>
      </c>
      <c r="D1206" s="1011">
        <v>45345</v>
      </c>
      <c r="E1206" s="1011" t="s">
        <v>221</v>
      </c>
      <c r="F1206" s="787" t="s">
        <v>257</v>
      </c>
      <c r="G1206" s="996" t="s">
        <v>797</v>
      </c>
      <c r="H1206" s="1012">
        <v>5538000</v>
      </c>
      <c r="I1206" s="1012">
        <v>0</v>
      </c>
      <c r="J1206" s="1012">
        <v>278000</v>
      </c>
      <c r="K1206" s="1012">
        <v>0</v>
      </c>
      <c r="L1206" s="1013">
        <f t="shared" si="238"/>
        <v>5816000</v>
      </c>
      <c r="M1206" s="1014">
        <v>24</v>
      </c>
      <c r="N1206" s="1013">
        <f t="shared" si="239"/>
        <v>5368615</v>
      </c>
      <c r="O1206" s="1015">
        <v>2</v>
      </c>
      <c r="P1206" s="1013">
        <f t="shared" si="240"/>
        <v>447385</v>
      </c>
      <c r="Q1206" s="1016">
        <v>0</v>
      </c>
      <c r="R1206" s="1013">
        <f t="shared" si="241"/>
        <v>0</v>
      </c>
      <c r="S1206" s="1013">
        <f t="shared" si="242"/>
        <v>5816000</v>
      </c>
      <c r="T1206" s="1017">
        <v>0</v>
      </c>
      <c r="U1206" s="785">
        <v>0</v>
      </c>
      <c r="V1206" s="785">
        <v>200000</v>
      </c>
      <c r="W1206" s="1017">
        <v>500000</v>
      </c>
      <c r="X1206" s="1017">
        <v>0</v>
      </c>
      <c r="Y1206" s="1017">
        <v>400000</v>
      </c>
      <c r="Z1206" s="1017">
        <v>611232</v>
      </c>
      <c r="AA1206" s="1018"/>
      <c r="AB1206" s="1013"/>
      <c r="AC1206" s="1017">
        <v>0</v>
      </c>
      <c r="AD1206" s="1017">
        <v>0</v>
      </c>
      <c r="AE1206" s="1013">
        <v>41942.3046875</v>
      </c>
      <c r="AF1206" s="1019"/>
      <c r="AG1206" s="1019">
        <f t="shared" si="236"/>
        <v>7569174</v>
      </c>
      <c r="AH1206" s="1014">
        <v>56</v>
      </c>
      <c r="AI1206" s="1014">
        <v>0</v>
      </c>
      <c r="AJ1206" s="1014">
        <v>0</v>
      </c>
      <c r="AK1206" s="1018">
        <v>0</v>
      </c>
      <c r="AL1206" s="1020">
        <v>0</v>
      </c>
      <c r="AM1206" s="1013">
        <f t="shared" si="235"/>
        <v>2348769</v>
      </c>
      <c r="AN1206" s="1045">
        <f t="shared" si="237"/>
        <v>9917943</v>
      </c>
      <c r="AO1206" s="1013">
        <v>610680</v>
      </c>
      <c r="AP1206" s="1013">
        <v>44100</v>
      </c>
      <c r="AQ1206" s="1013">
        <v>0</v>
      </c>
      <c r="AR1206" s="1013">
        <v>0</v>
      </c>
      <c r="AS1206" s="1013">
        <v>0</v>
      </c>
      <c r="AT1206" s="1045">
        <f t="shared" si="243"/>
        <v>9263163</v>
      </c>
      <c r="AU1206" s="1004"/>
      <c r="AV1206" s="870"/>
      <c r="AW1206" s="782" t="s">
        <v>5573</v>
      </c>
      <c r="AX1206" s="782" t="s">
        <v>5574</v>
      </c>
      <c r="AY1206" s="1007" t="s">
        <v>221</v>
      </c>
      <c r="AZ1206" s="1007">
        <v>622</v>
      </c>
      <c r="BA1206" s="347" t="str">
        <f t="shared" si="244"/>
        <v>Bag</v>
      </c>
      <c r="BB1206" s="1008"/>
      <c r="BC1206" s="1009"/>
      <c r="BD1206" s="1009"/>
    </row>
    <row r="1207" spans="1:56" s="1010" customFormat="1" ht="36.75" customHeight="1">
      <c r="A1207" s="661">
        <f>SUBTOTAL(3,B$6:B1207)</f>
        <v>1202</v>
      </c>
      <c r="B1207" s="661" t="s">
        <v>3183</v>
      </c>
      <c r="C1207" s="662" t="s">
        <v>3184</v>
      </c>
      <c r="D1207" s="1011">
        <v>45352</v>
      </c>
      <c r="E1207" s="1011" t="s">
        <v>221</v>
      </c>
      <c r="F1207" s="787" t="s">
        <v>257</v>
      </c>
      <c r="G1207" s="996" t="s">
        <v>797</v>
      </c>
      <c r="H1207" s="1012">
        <v>5538000</v>
      </c>
      <c r="I1207" s="1012">
        <v>0</v>
      </c>
      <c r="J1207" s="1012">
        <v>278000</v>
      </c>
      <c r="K1207" s="1012">
        <v>0</v>
      </c>
      <c r="L1207" s="1013">
        <f t="shared" si="238"/>
        <v>5816000</v>
      </c>
      <c r="M1207" s="1014">
        <v>23.9</v>
      </c>
      <c r="N1207" s="1013">
        <f t="shared" si="239"/>
        <v>5346246</v>
      </c>
      <c r="O1207" s="1015">
        <v>2</v>
      </c>
      <c r="P1207" s="1013">
        <f t="shared" si="240"/>
        <v>447385</v>
      </c>
      <c r="Q1207" s="1016">
        <v>0</v>
      </c>
      <c r="R1207" s="1013">
        <f t="shared" si="241"/>
        <v>0</v>
      </c>
      <c r="S1207" s="1013">
        <f t="shared" si="242"/>
        <v>5793631</v>
      </c>
      <c r="T1207" s="1017">
        <v>0</v>
      </c>
      <c r="U1207" s="785">
        <v>0</v>
      </c>
      <c r="V1207" s="785">
        <v>200000</v>
      </c>
      <c r="W1207" s="1017">
        <v>500000</v>
      </c>
      <c r="X1207" s="1017">
        <v>0</v>
      </c>
      <c r="Y1207" s="1017">
        <v>400000</v>
      </c>
      <c r="Z1207" s="1017">
        <v>611232</v>
      </c>
      <c r="AA1207" s="1018"/>
      <c r="AB1207" s="1013"/>
      <c r="AC1207" s="1017">
        <v>0</v>
      </c>
      <c r="AD1207" s="1017">
        <v>0</v>
      </c>
      <c r="AE1207" s="1013">
        <v>0</v>
      </c>
      <c r="AF1207" s="1019"/>
      <c r="AG1207" s="1019">
        <f t="shared" si="236"/>
        <v>7504863</v>
      </c>
      <c r="AH1207" s="1014">
        <v>56</v>
      </c>
      <c r="AI1207" s="1014">
        <v>0</v>
      </c>
      <c r="AJ1207" s="1014">
        <v>0</v>
      </c>
      <c r="AK1207" s="1018">
        <v>0</v>
      </c>
      <c r="AL1207" s="1020">
        <v>0</v>
      </c>
      <c r="AM1207" s="1013">
        <f t="shared" si="235"/>
        <v>2348769</v>
      </c>
      <c r="AN1207" s="1045">
        <f t="shared" si="237"/>
        <v>9853632</v>
      </c>
      <c r="AO1207" s="1013">
        <v>610680</v>
      </c>
      <c r="AP1207" s="1013">
        <v>44100</v>
      </c>
      <c r="AQ1207" s="1013">
        <v>0</v>
      </c>
      <c r="AR1207" s="1013">
        <v>0</v>
      </c>
      <c r="AS1207" s="1013">
        <v>0</v>
      </c>
      <c r="AT1207" s="1045">
        <f t="shared" si="243"/>
        <v>9198852</v>
      </c>
      <c r="AU1207" s="1004"/>
      <c r="AV1207" s="870"/>
      <c r="AW1207" s="782" t="s">
        <v>5575</v>
      </c>
      <c r="AX1207" s="782" t="s">
        <v>5576</v>
      </c>
      <c r="AY1207" s="1007" t="s">
        <v>221</v>
      </c>
      <c r="AZ1207" s="1007">
        <v>622</v>
      </c>
      <c r="BA1207" s="347" t="str">
        <f t="shared" si="244"/>
        <v>Bag</v>
      </c>
      <c r="BB1207" s="1008"/>
      <c r="BC1207" s="1009"/>
      <c r="BD1207" s="1009"/>
    </row>
    <row r="1208" spans="1:56" s="1010" customFormat="1" ht="36.75" customHeight="1">
      <c r="A1208" s="661">
        <f>SUBTOTAL(3,B$6:B1208)</f>
        <v>1203</v>
      </c>
      <c r="B1208" s="661" t="s">
        <v>3185</v>
      </c>
      <c r="C1208" s="662" t="s">
        <v>3186</v>
      </c>
      <c r="D1208" s="1011">
        <v>45390</v>
      </c>
      <c r="E1208" s="1011" t="s">
        <v>221</v>
      </c>
      <c r="F1208" s="787" t="s">
        <v>257</v>
      </c>
      <c r="G1208" s="996" t="s">
        <v>797</v>
      </c>
      <c r="H1208" s="1012">
        <v>5538000</v>
      </c>
      <c r="I1208" s="1012">
        <v>0</v>
      </c>
      <c r="J1208" s="1012">
        <v>0</v>
      </c>
      <c r="K1208" s="1012">
        <v>0</v>
      </c>
      <c r="L1208" s="1013">
        <f t="shared" si="238"/>
        <v>5538000</v>
      </c>
      <c r="M1208" s="1014">
        <v>24</v>
      </c>
      <c r="N1208" s="1013">
        <f t="shared" si="239"/>
        <v>5112000</v>
      </c>
      <c r="O1208" s="1015">
        <v>2</v>
      </c>
      <c r="P1208" s="1013">
        <f t="shared" si="240"/>
        <v>426000</v>
      </c>
      <c r="Q1208" s="1016">
        <v>0</v>
      </c>
      <c r="R1208" s="1013">
        <f t="shared" si="241"/>
        <v>0</v>
      </c>
      <c r="S1208" s="1013">
        <f t="shared" si="242"/>
        <v>5538000</v>
      </c>
      <c r="T1208" s="1017">
        <v>0</v>
      </c>
      <c r="U1208" s="785">
        <v>0</v>
      </c>
      <c r="V1208" s="785">
        <v>200000</v>
      </c>
      <c r="W1208" s="1017">
        <v>500000</v>
      </c>
      <c r="X1208" s="1017">
        <v>0</v>
      </c>
      <c r="Y1208" s="1017">
        <v>400000</v>
      </c>
      <c r="Z1208" s="1017">
        <v>470940</v>
      </c>
      <c r="AA1208" s="1018"/>
      <c r="AB1208" s="1013"/>
      <c r="AC1208" s="1017">
        <v>0</v>
      </c>
      <c r="AD1208" s="1017">
        <v>0</v>
      </c>
      <c r="AE1208" s="1013">
        <v>39937.5</v>
      </c>
      <c r="AF1208" s="1019"/>
      <c r="AG1208" s="1019">
        <f t="shared" si="236"/>
        <v>7148878</v>
      </c>
      <c r="AH1208" s="1014">
        <v>56</v>
      </c>
      <c r="AI1208" s="1014">
        <v>0</v>
      </c>
      <c r="AJ1208" s="1014">
        <v>0</v>
      </c>
      <c r="AK1208" s="1018">
        <v>0</v>
      </c>
      <c r="AL1208" s="1020">
        <v>0</v>
      </c>
      <c r="AM1208" s="1013">
        <f t="shared" si="235"/>
        <v>2236500</v>
      </c>
      <c r="AN1208" s="1045">
        <f t="shared" si="237"/>
        <v>9385378</v>
      </c>
      <c r="AO1208" s="1013">
        <v>581490</v>
      </c>
      <c r="AP1208" s="1013">
        <v>44100</v>
      </c>
      <c r="AQ1208" s="1013">
        <v>0</v>
      </c>
      <c r="AR1208" s="1013">
        <v>0</v>
      </c>
      <c r="AS1208" s="1013">
        <v>0</v>
      </c>
      <c r="AT1208" s="1045">
        <f t="shared" si="243"/>
        <v>8759788</v>
      </c>
      <c r="AU1208" s="1004"/>
      <c r="AV1208" s="870"/>
      <c r="AW1208" s="782" t="s">
        <v>5577</v>
      </c>
      <c r="AX1208" s="782" t="s">
        <v>5578</v>
      </c>
      <c r="AY1208" s="1007" t="s">
        <v>221</v>
      </c>
      <c r="AZ1208" s="1007">
        <v>622</v>
      </c>
      <c r="BA1208" s="347" t="str">
        <f t="shared" si="244"/>
        <v>Bag</v>
      </c>
      <c r="BB1208" s="1008"/>
      <c r="BC1208" s="1009"/>
      <c r="BD1208" s="1009"/>
    </row>
    <row r="1209" spans="1:56" s="1010" customFormat="1" ht="36.75" customHeight="1">
      <c r="A1209" s="661">
        <f>SUBTOTAL(3,B$6:B1209)</f>
        <v>1204</v>
      </c>
      <c r="B1209" s="661" t="s">
        <v>3187</v>
      </c>
      <c r="C1209" s="662" t="s">
        <v>2005</v>
      </c>
      <c r="D1209" s="1011">
        <v>45392</v>
      </c>
      <c r="E1209" s="1011" t="s">
        <v>221</v>
      </c>
      <c r="F1209" s="787" t="s">
        <v>257</v>
      </c>
      <c r="G1209" s="996" t="s">
        <v>797</v>
      </c>
      <c r="H1209" s="1012">
        <v>5538000</v>
      </c>
      <c r="I1209" s="1012">
        <v>0</v>
      </c>
      <c r="J1209" s="1012">
        <v>0</v>
      </c>
      <c r="K1209" s="1012">
        <v>0</v>
      </c>
      <c r="L1209" s="1013">
        <f t="shared" si="238"/>
        <v>5538000</v>
      </c>
      <c r="M1209" s="1014">
        <v>24</v>
      </c>
      <c r="N1209" s="1013">
        <f t="shared" si="239"/>
        <v>5112000</v>
      </c>
      <c r="O1209" s="1015">
        <v>2</v>
      </c>
      <c r="P1209" s="1013">
        <f t="shared" si="240"/>
        <v>426000</v>
      </c>
      <c r="Q1209" s="1016">
        <v>0</v>
      </c>
      <c r="R1209" s="1013">
        <f t="shared" si="241"/>
        <v>0</v>
      </c>
      <c r="S1209" s="1013">
        <f t="shared" si="242"/>
        <v>5538000</v>
      </c>
      <c r="T1209" s="1017">
        <v>0</v>
      </c>
      <c r="U1209" s="785">
        <v>0</v>
      </c>
      <c r="V1209" s="785">
        <v>200000</v>
      </c>
      <c r="W1209" s="1017">
        <v>500000</v>
      </c>
      <c r="X1209" s="1017">
        <v>0</v>
      </c>
      <c r="Y1209" s="1017">
        <v>400000</v>
      </c>
      <c r="Z1209" s="1017">
        <v>617298</v>
      </c>
      <c r="AA1209" s="1018"/>
      <c r="AB1209" s="1013"/>
      <c r="AC1209" s="1017">
        <v>100000</v>
      </c>
      <c r="AD1209" s="1017">
        <v>0</v>
      </c>
      <c r="AE1209" s="1013">
        <v>39937.5</v>
      </c>
      <c r="AF1209" s="1019"/>
      <c r="AG1209" s="1019">
        <f t="shared" si="236"/>
        <v>7395236</v>
      </c>
      <c r="AH1209" s="1014">
        <v>56</v>
      </c>
      <c r="AI1209" s="1014">
        <v>0</v>
      </c>
      <c r="AJ1209" s="1014">
        <v>0</v>
      </c>
      <c r="AK1209" s="1018">
        <v>0</v>
      </c>
      <c r="AL1209" s="1020">
        <v>0</v>
      </c>
      <c r="AM1209" s="1013">
        <f t="shared" si="235"/>
        <v>2236500</v>
      </c>
      <c r="AN1209" s="1045">
        <f t="shared" si="237"/>
        <v>9631736</v>
      </c>
      <c r="AO1209" s="1013">
        <v>581490</v>
      </c>
      <c r="AP1209" s="1013">
        <v>44100</v>
      </c>
      <c r="AQ1209" s="1013">
        <v>0</v>
      </c>
      <c r="AR1209" s="1013">
        <v>0</v>
      </c>
      <c r="AS1209" s="1013">
        <v>0</v>
      </c>
      <c r="AT1209" s="1045">
        <f t="shared" si="243"/>
        <v>9006146</v>
      </c>
      <c r="AU1209" s="1004"/>
      <c r="AV1209" s="870"/>
      <c r="AW1209" s="782" t="s">
        <v>4483</v>
      </c>
      <c r="AX1209" s="782" t="s">
        <v>5579</v>
      </c>
      <c r="AY1209" s="1007" t="s">
        <v>221</v>
      </c>
      <c r="AZ1209" s="1007">
        <v>622</v>
      </c>
      <c r="BA1209" s="347" t="str">
        <f t="shared" si="244"/>
        <v>Bag</v>
      </c>
      <c r="BB1209" s="1008"/>
      <c r="BC1209" s="1009"/>
      <c r="BD1209" s="1009"/>
    </row>
    <row r="1210" spans="1:56" s="1010" customFormat="1" ht="36.75" customHeight="1">
      <c r="A1210" s="661">
        <f>SUBTOTAL(3,B$6:B1210)</f>
        <v>1205</v>
      </c>
      <c r="B1210" s="661" t="s">
        <v>3188</v>
      </c>
      <c r="C1210" s="662" t="s">
        <v>3189</v>
      </c>
      <c r="D1210" s="1011">
        <v>45392</v>
      </c>
      <c r="E1210" s="1011" t="s">
        <v>221</v>
      </c>
      <c r="F1210" s="787" t="s">
        <v>257</v>
      </c>
      <c r="G1210" s="996" t="s">
        <v>797</v>
      </c>
      <c r="H1210" s="1012">
        <v>5538000</v>
      </c>
      <c r="I1210" s="1012">
        <v>0</v>
      </c>
      <c r="J1210" s="1012">
        <v>0</v>
      </c>
      <c r="K1210" s="1012">
        <v>0</v>
      </c>
      <c r="L1210" s="1013">
        <f t="shared" si="238"/>
        <v>5538000</v>
      </c>
      <c r="M1210" s="1014">
        <v>22</v>
      </c>
      <c r="N1210" s="1013">
        <f t="shared" si="239"/>
        <v>4686000</v>
      </c>
      <c r="O1210" s="1015">
        <v>3</v>
      </c>
      <c r="P1210" s="1013">
        <f t="shared" si="240"/>
        <v>639000</v>
      </c>
      <c r="Q1210" s="1016">
        <v>0</v>
      </c>
      <c r="R1210" s="1013">
        <f t="shared" si="241"/>
        <v>0</v>
      </c>
      <c r="S1210" s="1013">
        <f t="shared" si="242"/>
        <v>5325000</v>
      </c>
      <c r="T1210" s="1017">
        <v>0</v>
      </c>
      <c r="U1210" s="785">
        <v>0</v>
      </c>
      <c r="V1210" s="785">
        <v>200000</v>
      </c>
      <c r="W1210" s="1017">
        <v>0</v>
      </c>
      <c r="X1210" s="1017">
        <v>0</v>
      </c>
      <c r="Y1210" s="1017">
        <v>0</v>
      </c>
      <c r="Z1210" s="1017">
        <v>457482</v>
      </c>
      <c r="AA1210" s="1018"/>
      <c r="AB1210" s="1013"/>
      <c r="AC1210" s="1017">
        <v>0</v>
      </c>
      <c r="AD1210" s="1017">
        <v>0</v>
      </c>
      <c r="AE1210" s="1013">
        <v>39937.5</v>
      </c>
      <c r="AF1210" s="1019"/>
      <c r="AG1210" s="1019">
        <f t="shared" si="236"/>
        <v>6022420</v>
      </c>
      <c r="AH1210" s="1014">
        <v>56</v>
      </c>
      <c r="AI1210" s="1014">
        <v>0</v>
      </c>
      <c r="AJ1210" s="1014">
        <v>0</v>
      </c>
      <c r="AK1210" s="1018">
        <v>0</v>
      </c>
      <c r="AL1210" s="1020">
        <v>0</v>
      </c>
      <c r="AM1210" s="1013">
        <f t="shared" si="235"/>
        <v>2236500</v>
      </c>
      <c r="AN1210" s="1045">
        <f t="shared" si="237"/>
        <v>8258920</v>
      </c>
      <c r="AO1210" s="1013">
        <v>581490</v>
      </c>
      <c r="AP1210" s="1013">
        <v>44100</v>
      </c>
      <c r="AQ1210" s="1013">
        <v>0</v>
      </c>
      <c r="AR1210" s="1013">
        <v>0</v>
      </c>
      <c r="AS1210" s="1013">
        <v>0</v>
      </c>
      <c r="AT1210" s="1045">
        <f t="shared" si="243"/>
        <v>7633330</v>
      </c>
      <c r="AU1210" s="1004"/>
      <c r="AV1210" s="870"/>
      <c r="AW1210" s="782" t="s">
        <v>5580</v>
      </c>
      <c r="AX1210" s="782" t="s">
        <v>5581</v>
      </c>
      <c r="AY1210" s="1007" t="s">
        <v>221</v>
      </c>
      <c r="AZ1210" s="1007">
        <v>622</v>
      </c>
      <c r="BA1210" s="347" t="str">
        <f t="shared" si="244"/>
        <v>Bag</v>
      </c>
      <c r="BB1210" s="1008"/>
      <c r="BC1210" s="1009"/>
      <c r="BD1210" s="1009"/>
    </row>
    <row r="1211" spans="1:56" s="1010" customFormat="1" ht="36.75" customHeight="1">
      <c r="A1211" s="661">
        <f>SUBTOTAL(3,B$6:B1211)</f>
        <v>1206</v>
      </c>
      <c r="B1211" s="661" t="s">
        <v>3190</v>
      </c>
      <c r="C1211" s="662" t="s">
        <v>3191</v>
      </c>
      <c r="D1211" s="1011">
        <v>45401</v>
      </c>
      <c r="E1211" s="1011" t="s">
        <v>221</v>
      </c>
      <c r="F1211" s="787" t="s">
        <v>257</v>
      </c>
      <c r="G1211" s="996" t="s">
        <v>797</v>
      </c>
      <c r="H1211" s="1012">
        <v>5274000</v>
      </c>
      <c r="I1211" s="1012">
        <v>0</v>
      </c>
      <c r="J1211" s="1012">
        <v>0</v>
      </c>
      <c r="K1211" s="1012">
        <v>0</v>
      </c>
      <c r="L1211" s="1013">
        <f t="shared" si="238"/>
        <v>5274000</v>
      </c>
      <c r="M1211" s="1014">
        <v>23.8</v>
      </c>
      <c r="N1211" s="1013">
        <f t="shared" si="239"/>
        <v>4827738</v>
      </c>
      <c r="O1211" s="1015">
        <v>2</v>
      </c>
      <c r="P1211" s="1013">
        <f t="shared" si="240"/>
        <v>405692</v>
      </c>
      <c r="Q1211" s="1016">
        <v>0</v>
      </c>
      <c r="R1211" s="1013">
        <f t="shared" si="241"/>
        <v>0</v>
      </c>
      <c r="S1211" s="1013">
        <f t="shared" si="242"/>
        <v>5233430</v>
      </c>
      <c r="T1211" s="1017">
        <v>0</v>
      </c>
      <c r="U1211" s="785">
        <v>0</v>
      </c>
      <c r="V1211" s="785">
        <v>200000</v>
      </c>
      <c r="W1211" s="1017">
        <v>500000</v>
      </c>
      <c r="X1211" s="1017">
        <v>0</v>
      </c>
      <c r="Y1211" s="1017">
        <v>400000</v>
      </c>
      <c r="Z1211" s="1017">
        <v>466981</v>
      </c>
      <c r="AA1211" s="1018"/>
      <c r="AB1211" s="1013"/>
      <c r="AC1211" s="1017">
        <v>100000</v>
      </c>
      <c r="AD1211" s="1017">
        <v>0</v>
      </c>
      <c r="AE1211" s="1013">
        <v>38033.65021008403</v>
      </c>
      <c r="AF1211" s="1019"/>
      <c r="AG1211" s="1019">
        <f t="shared" si="236"/>
        <v>6938445</v>
      </c>
      <c r="AH1211" s="1014">
        <v>56</v>
      </c>
      <c r="AI1211" s="1014">
        <v>0</v>
      </c>
      <c r="AJ1211" s="1014">
        <v>0</v>
      </c>
      <c r="AK1211" s="1018">
        <v>0</v>
      </c>
      <c r="AL1211" s="1020">
        <v>0</v>
      </c>
      <c r="AM1211" s="1013">
        <f t="shared" si="235"/>
        <v>2129884</v>
      </c>
      <c r="AN1211" s="1045">
        <f t="shared" si="237"/>
        <v>9068329</v>
      </c>
      <c r="AO1211" s="1013">
        <v>553770</v>
      </c>
      <c r="AP1211" s="1013">
        <v>44100</v>
      </c>
      <c r="AQ1211" s="1013">
        <v>0</v>
      </c>
      <c r="AR1211" s="1013">
        <v>0</v>
      </c>
      <c r="AS1211" s="1013">
        <v>0</v>
      </c>
      <c r="AT1211" s="1045">
        <f t="shared" si="243"/>
        <v>8470459</v>
      </c>
      <c r="AU1211" s="1004"/>
      <c r="AV1211" s="870"/>
      <c r="AW1211" s="782" t="s">
        <v>5582</v>
      </c>
      <c r="AX1211" s="782" t="s">
        <v>5583</v>
      </c>
      <c r="AY1211" s="1007" t="s">
        <v>221</v>
      </c>
      <c r="AZ1211" s="1007">
        <v>622</v>
      </c>
      <c r="BA1211" s="347" t="str">
        <f t="shared" si="244"/>
        <v>Bag</v>
      </c>
      <c r="BB1211" s="1008"/>
      <c r="BC1211" s="1009"/>
      <c r="BD1211" s="1009"/>
    </row>
    <row r="1212" spans="1:56" s="1010" customFormat="1" ht="36.75" customHeight="1">
      <c r="A1212" s="661">
        <f>SUBTOTAL(3,B$6:B1212)</f>
        <v>1207</v>
      </c>
      <c r="B1212" s="661" t="s">
        <v>3192</v>
      </c>
      <c r="C1212" s="662" t="s">
        <v>3193</v>
      </c>
      <c r="D1212" s="1011">
        <v>45446</v>
      </c>
      <c r="E1212" s="1011" t="s">
        <v>221</v>
      </c>
      <c r="F1212" s="787" t="s">
        <v>257</v>
      </c>
      <c r="G1212" s="996" t="s">
        <v>797</v>
      </c>
      <c r="H1212" s="1012">
        <v>5274000</v>
      </c>
      <c r="I1212" s="1012">
        <v>0</v>
      </c>
      <c r="J1212" s="1012">
        <v>265000</v>
      </c>
      <c r="K1212" s="1012">
        <v>0</v>
      </c>
      <c r="L1212" s="1013">
        <f t="shared" si="238"/>
        <v>5539000</v>
      </c>
      <c r="M1212" s="1014">
        <v>23</v>
      </c>
      <c r="N1212" s="1013">
        <f t="shared" si="239"/>
        <v>4899885</v>
      </c>
      <c r="O1212" s="1015">
        <v>3</v>
      </c>
      <c r="P1212" s="1013">
        <f t="shared" si="240"/>
        <v>639115</v>
      </c>
      <c r="Q1212" s="1016">
        <v>0</v>
      </c>
      <c r="R1212" s="1013">
        <f t="shared" si="241"/>
        <v>0</v>
      </c>
      <c r="S1212" s="1013">
        <f t="shared" si="242"/>
        <v>5539000</v>
      </c>
      <c r="T1212" s="1017">
        <v>0</v>
      </c>
      <c r="U1212" s="785">
        <v>0</v>
      </c>
      <c r="V1212" s="785">
        <v>200000</v>
      </c>
      <c r="W1212" s="1017">
        <v>500000</v>
      </c>
      <c r="X1212" s="1017">
        <v>0</v>
      </c>
      <c r="Y1212" s="1017">
        <v>400000</v>
      </c>
      <c r="Z1212" s="1017">
        <v>500872</v>
      </c>
      <c r="AA1212" s="1018"/>
      <c r="AB1212" s="1013"/>
      <c r="AC1212" s="1017">
        <v>0</v>
      </c>
      <c r="AD1212" s="1017">
        <v>0</v>
      </c>
      <c r="AE1212" s="1013">
        <v>39944.71467391304</v>
      </c>
      <c r="AF1212" s="1019"/>
      <c r="AG1212" s="1019">
        <f t="shared" si="236"/>
        <v>7179817</v>
      </c>
      <c r="AH1212" s="1014">
        <v>52</v>
      </c>
      <c r="AI1212" s="1014">
        <v>0</v>
      </c>
      <c r="AJ1212" s="1014">
        <v>0</v>
      </c>
      <c r="AK1212" s="1018">
        <v>0</v>
      </c>
      <c r="AL1212" s="1020">
        <v>0</v>
      </c>
      <c r="AM1212" s="1013">
        <f t="shared" si="235"/>
        <v>2077125</v>
      </c>
      <c r="AN1212" s="1045">
        <f t="shared" si="237"/>
        <v>9256942</v>
      </c>
      <c r="AO1212" s="1013">
        <v>581595</v>
      </c>
      <c r="AP1212" s="1013">
        <v>44100</v>
      </c>
      <c r="AQ1212" s="1013">
        <v>0</v>
      </c>
      <c r="AR1212" s="1013">
        <v>0</v>
      </c>
      <c r="AS1212" s="1013">
        <v>0</v>
      </c>
      <c r="AT1212" s="1045">
        <f t="shared" si="243"/>
        <v>8631247</v>
      </c>
      <c r="AU1212" s="1004"/>
      <c r="AV1212" s="870"/>
      <c r="AW1212" s="782" t="s">
        <v>5584</v>
      </c>
      <c r="AX1212" s="782" t="s">
        <v>5585</v>
      </c>
      <c r="AY1212" s="1007" t="s">
        <v>221</v>
      </c>
      <c r="AZ1212" s="1007">
        <v>622</v>
      </c>
      <c r="BA1212" s="347" t="str">
        <f t="shared" si="244"/>
        <v>Bag</v>
      </c>
      <c r="BB1212" s="1008"/>
      <c r="BC1212" s="1009"/>
      <c r="BD1212" s="1009"/>
    </row>
    <row r="1213" spans="1:56" s="1010" customFormat="1" ht="36.75" customHeight="1">
      <c r="A1213" s="661">
        <f>SUBTOTAL(3,B$6:B1213)</f>
        <v>1208</v>
      </c>
      <c r="B1213" s="661" t="s">
        <v>3194</v>
      </c>
      <c r="C1213" s="662" t="s">
        <v>3195</v>
      </c>
      <c r="D1213" s="1011">
        <v>45457</v>
      </c>
      <c r="E1213" s="1011" t="s">
        <v>221</v>
      </c>
      <c r="F1213" s="787" t="s">
        <v>257</v>
      </c>
      <c r="G1213" s="996" t="s">
        <v>797</v>
      </c>
      <c r="H1213" s="1012">
        <v>5274000</v>
      </c>
      <c r="I1213" s="1012">
        <v>0</v>
      </c>
      <c r="J1213" s="1012">
        <v>0</v>
      </c>
      <c r="K1213" s="1012">
        <v>0</v>
      </c>
      <c r="L1213" s="1013">
        <f t="shared" si="238"/>
        <v>5274000</v>
      </c>
      <c r="M1213" s="1014">
        <v>24</v>
      </c>
      <c r="N1213" s="1013">
        <f t="shared" si="239"/>
        <v>4868308</v>
      </c>
      <c r="O1213" s="1015">
        <v>2</v>
      </c>
      <c r="P1213" s="1013">
        <f t="shared" si="240"/>
        <v>405692</v>
      </c>
      <c r="Q1213" s="1016">
        <v>0</v>
      </c>
      <c r="R1213" s="1013">
        <f t="shared" si="241"/>
        <v>0</v>
      </c>
      <c r="S1213" s="1013">
        <f t="shared" si="242"/>
        <v>5274000</v>
      </c>
      <c r="T1213" s="1017">
        <v>0</v>
      </c>
      <c r="U1213" s="785">
        <v>0</v>
      </c>
      <c r="V1213" s="785">
        <v>200000</v>
      </c>
      <c r="W1213" s="1017">
        <v>500000</v>
      </c>
      <c r="X1213" s="1017">
        <v>0</v>
      </c>
      <c r="Y1213" s="1017">
        <v>400000</v>
      </c>
      <c r="Z1213" s="1017">
        <v>585620</v>
      </c>
      <c r="AA1213" s="1018"/>
      <c r="AB1213" s="1013"/>
      <c r="AC1213" s="1017">
        <v>0</v>
      </c>
      <c r="AD1213" s="1017">
        <v>0</v>
      </c>
      <c r="AE1213" s="1013">
        <v>0</v>
      </c>
      <c r="AF1213" s="1019"/>
      <c r="AG1213" s="1019">
        <f t="shared" si="236"/>
        <v>6959620</v>
      </c>
      <c r="AH1213" s="1014">
        <v>56</v>
      </c>
      <c r="AI1213" s="1014">
        <v>0</v>
      </c>
      <c r="AJ1213" s="1014">
        <v>0</v>
      </c>
      <c r="AK1213" s="1018">
        <v>0</v>
      </c>
      <c r="AL1213" s="1020">
        <v>0</v>
      </c>
      <c r="AM1213" s="1013">
        <f t="shared" si="235"/>
        <v>2129885</v>
      </c>
      <c r="AN1213" s="1045">
        <f t="shared" si="237"/>
        <v>9089505</v>
      </c>
      <c r="AO1213" s="1013">
        <v>553770</v>
      </c>
      <c r="AP1213" s="1013">
        <v>44100</v>
      </c>
      <c r="AQ1213" s="1013">
        <v>0</v>
      </c>
      <c r="AR1213" s="1013">
        <v>0</v>
      </c>
      <c r="AS1213" s="1013">
        <v>0</v>
      </c>
      <c r="AT1213" s="1045">
        <f t="shared" si="243"/>
        <v>8491635</v>
      </c>
      <c r="AU1213" s="1004"/>
      <c r="AV1213" s="870"/>
      <c r="AW1213" s="782" t="s">
        <v>5586</v>
      </c>
      <c r="AX1213" s="782" t="s">
        <v>5587</v>
      </c>
      <c r="AY1213" s="1007" t="s">
        <v>221</v>
      </c>
      <c r="AZ1213" s="1007">
        <v>622</v>
      </c>
      <c r="BA1213" s="347" t="str">
        <f t="shared" si="244"/>
        <v>Bag</v>
      </c>
      <c r="BB1213" s="1008"/>
      <c r="BC1213" s="1009"/>
      <c r="BD1213" s="1009"/>
    </row>
    <row r="1214" spans="1:56" s="1010" customFormat="1" ht="36.75" customHeight="1">
      <c r="A1214" s="661">
        <f>SUBTOTAL(3,B$6:B1214)</f>
        <v>1209</v>
      </c>
      <c r="B1214" s="661" t="s">
        <v>3196</v>
      </c>
      <c r="C1214" s="662" t="s">
        <v>3197</v>
      </c>
      <c r="D1214" s="1011">
        <v>45461</v>
      </c>
      <c r="E1214" s="1011" t="s">
        <v>221</v>
      </c>
      <c r="F1214" s="787" t="s">
        <v>257</v>
      </c>
      <c r="G1214" s="996" t="s">
        <v>797</v>
      </c>
      <c r="H1214" s="1012">
        <v>5274000</v>
      </c>
      <c r="I1214" s="1012">
        <v>0</v>
      </c>
      <c r="J1214" s="1012">
        <v>265000</v>
      </c>
      <c r="K1214" s="1012">
        <v>0</v>
      </c>
      <c r="L1214" s="1013">
        <f t="shared" si="238"/>
        <v>5539000</v>
      </c>
      <c r="M1214" s="1014">
        <v>24</v>
      </c>
      <c r="N1214" s="1013">
        <f t="shared" si="239"/>
        <v>5112923</v>
      </c>
      <c r="O1214" s="1015">
        <v>2</v>
      </c>
      <c r="P1214" s="1013">
        <f t="shared" si="240"/>
        <v>426077</v>
      </c>
      <c r="Q1214" s="1016">
        <v>0</v>
      </c>
      <c r="R1214" s="1013">
        <f t="shared" si="241"/>
        <v>0</v>
      </c>
      <c r="S1214" s="1013">
        <f t="shared" si="242"/>
        <v>5539000</v>
      </c>
      <c r="T1214" s="1017">
        <v>0</v>
      </c>
      <c r="U1214" s="785">
        <v>0</v>
      </c>
      <c r="V1214" s="785">
        <v>200000</v>
      </c>
      <c r="W1214" s="1017">
        <v>500000</v>
      </c>
      <c r="X1214" s="1017">
        <v>0</v>
      </c>
      <c r="Y1214" s="1017">
        <v>400000</v>
      </c>
      <c r="Z1214" s="1017">
        <v>544694</v>
      </c>
      <c r="AA1214" s="1018"/>
      <c r="AB1214" s="1013"/>
      <c r="AC1214" s="1017">
        <v>0</v>
      </c>
      <c r="AD1214" s="1017">
        <v>0</v>
      </c>
      <c r="AE1214" s="1013">
        <v>0</v>
      </c>
      <c r="AF1214" s="1019"/>
      <c r="AG1214" s="1019">
        <f t="shared" si="236"/>
        <v>7183694</v>
      </c>
      <c r="AH1214" s="1014">
        <v>56</v>
      </c>
      <c r="AI1214" s="1014">
        <v>0</v>
      </c>
      <c r="AJ1214" s="1014">
        <v>0</v>
      </c>
      <c r="AK1214" s="1018">
        <v>0</v>
      </c>
      <c r="AL1214" s="1020">
        <v>0</v>
      </c>
      <c r="AM1214" s="1013">
        <f t="shared" si="235"/>
        <v>2236904</v>
      </c>
      <c r="AN1214" s="1045">
        <f t="shared" si="237"/>
        <v>9420598</v>
      </c>
      <c r="AO1214" s="1013">
        <v>581595</v>
      </c>
      <c r="AP1214" s="1013">
        <v>44100</v>
      </c>
      <c r="AQ1214" s="1013">
        <v>0</v>
      </c>
      <c r="AR1214" s="1013">
        <v>0</v>
      </c>
      <c r="AS1214" s="1013">
        <v>0</v>
      </c>
      <c r="AT1214" s="1045">
        <f t="shared" si="243"/>
        <v>8794903</v>
      </c>
      <c r="AU1214" s="1004"/>
      <c r="AV1214" s="870"/>
      <c r="AW1214" s="782" t="s">
        <v>5588</v>
      </c>
      <c r="AX1214" s="782" t="s">
        <v>5589</v>
      </c>
      <c r="AY1214" s="1007" t="s">
        <v>221</v>
      </c>
      <c r="AZ1214" s="1007">
        <v>622</v>
      </c>
      <c r="BA1214" s="347" t="str">
        <f t="shared" si="244"/>
        <v>Bag</v>
      </c>
      <c r="BB1214" s="1008"/>
      <c r="BC1214" s="1009"/>
      <c r="BD1214" s="1009"/>
    </row>
    <row r="1215" spans="1:56" s="1010" customFormat="1" ht="36.75" customHeight="1">
      <c r="A1215" s="661">
        <f>SUBTOTAL(3,B$6:B1215)</f>
        <v>1210</v>
      </c>
      <c r="B1215" s="661" t="s">
        <v>3198</v>
      </c>
      <c r="C1215" s="662" t="s">
        <v>909</v>
      </c>
      <c r="D1215" s="1011">
        <v>45461</v>
      </c>
      <c r="E1215" s="1011" t="s">
        <v>221</v>
      </c>
      <c r="F1215" s="787" t="s">
        <v>257</v>
      </c>
      <c r="G1215" s="996" t="s">
        <v>797</v>
      </c>
      <c r="H1215" s="1012">
        <v>5274000</v>
      </c>
      <c r="I1215" s="1012">
        <v>0</v>
      </c>
      <c r="J1215" s="1012">
        <v>0</v>
      </c>
      <c r="K1215" s="1012">
        <v>0</v>
      </c>
      <c r="L1215" s="1013">
        <f t="shared" si="238"/>
        <v>5274000</v>
      </c>
      <c r="M1215" s="1014">
        <v>23</v>
      </c>
      <c r="N1215" s="1013">
        <f t="shared" si="239"/>
        <v>4665462</v>
      </c>
      <c r="O1215" s="1015">
        <v>2</v>
      </c>
      <c r="P1215" s="1013">
        <f t="shared" si="240"/>
        <v>405692</v>
      </c>
      <c r="Q1215" s="1016">
        <v>0</v>
      </c>
      <c r="R1215" s="1013">
        <f t="shared" si="241"/>
        <v>0</v>
      </c>
      <c r="S1215" s="1013">
        <f t="shared" si="242"/>
        <v>5071154</v>
      </c>
      <c r="T1215" s="1017">
        <v>0</v>
      </c>
      <c r="U1215" s="785">
        <v>0</v>
      </c>
      <c r="V1215" s="785">
        <v>200000</v>
      </c>
      <c r="W1215" s="1017">
        <v>500000</v>
      </c>
      <c r="X1215" s="1017">
        <v>0</v>
      </c>
      <c r="Y1215" s="1017">
        <v>400000</v>
      </c>
      <c r="Z1215" s="1017">
        <v>316000</v>
      </c>
      <c r="AA1215" s="1018"/>
      <c r="AB1215" s="1013"/>
      <c r="AC1215" s="1017">
        <v>0</v>
      </c>
      <c r="AD1215" s="1017">
        <v>0</v>
      </c>
      <c r="AE1215" s="1013">
        <v>38033.657608695656</v>
      </c>
      <c r="AF1215" s="1019"/>
      <c r="AG1215" s="1019">
        <f t="shared" si="236"/>
        <v>6525188</v>
      </c>
      <c r="AH1215" s="1014">
        <v>0</v>
      </c>
      <c r="AI1215" s="1014">
        <v>0</v>
      </c>
      <c r="AJ1215" s="1014">
        <v>0</v>
      </c>
      <c r="AK1215" s="1018">
        <v>0</v>
      </c>
      <c r="AL1215" s="1020">
        <v>0</v>
      </c>
      <c r="AM1215" s="1013">
        <f t="shared" si="235"/>
        <v>0</v>
      </c>
      <c r="AN1215" s="1045">
        <f t="shared" si="237"/>
        <v>6525188</v>
      </c>
      <c r="AO1215" s="1013">
        <v>553770</v>
      </c>
      <c r="AP1215" s="1013">
        <v>44100</v>
      </c>
      <c r="AQ1215" s="1013">
        <v>0</v>
      </c>
      <c r="AR1215" s="1013">
        <v>0</v>
      </c>
      <c r="AS1215" s="1013">
        <v>0</v>
      </c>
      <c r="AT1215" s="1045">
        <f t="shared" si="243"/>
        <v>5927318</v>
      </c>
      <c r="AU1215" s="1004"/>
      <c r="AV1215" s="870"/>
      <c r="AW1215" s="782" t="s">
        <v>3440</v>
      </c>
      <c r="AX1215" s="782" t="s">
        <v>5590</v>
      </c>
      <c r="AY1215" s="1007" t="s">
        <v>221</v>
      </c>
      <c r="AZ1215" s="1007">
        <v>622</v>
      </c>
      <c r="BA1215" s="347" t="str">
        <f t="shared" si="244"/>
        <v>Bag</v>
      </c>
      <c r="BB1215" s="1008"/>
      <c r="BC1215" s="1009"/>
      <c r="BD1215" s="1009"/>
    </row>
    <row r="1216" spans="1:56" s="1010" customFormat="1" ht="36.75" customHeight="1">
      <c r="A1216" s="661">
        <f>SUBTOTAL(3,B$6:B1216)</f>
        <v>1211</v>
      </c>
      <c r="B1216" s="661" t="s">
        <v>3199</v>
      </c>
      <c r="C1216" s="662" t="s">
        <v>3200</v>
      </c>
      <c r="D1216" s="1011">
        <v>45479</v>
      </c>
      <c r="E1216" s="1011" t="s">
        <v>221</v>
      </c>
      <c r="F1216" s="787" t="s">
        <v>257</v>
      </c>
      <c r="G1216" s="996" t="s">
        <v>797</v>
      </c>
      <c r="H1216" s="1012">
        <v>5274000</v>
      </c>
      <c r="I1216" s="1012">
        <v>0</v>
      </c>
      <c r="J1216" s="1012">
        <v>0</v>
      </c>
      <c r="K1216" s="1012">
        <v>0</v>
      </c>
      <c r="L1216" s="1013">
        <f t="shared" si="238"/>
        <v>5274000</v>
      </c>
      <c r="M1216" s="1014">
        <v>24</v>
      </c>
      <c r="N1216" s="1013">
        <f t="shared" si="239"/>
        <v>4868308</v>
      </c>
      <c r="O1216" s="1015">
        <v>2</v>
      </c>
      <c r="P1216" s="1013">
        <f t="shared" si="240"/>
        <v>405692</v>
      </c>
      <c r="Q1216" s="1016">
        <v>0</v>
      </c>
      <c r="R1216" s="1013">
        <f t="shared" si="241"/>
        <v>0</v>
      </c>
      <c r="S1216" s="1013">
        <f t="shared" si="242"/>
        <v>5274000</v>
      </c>
      <c r="T1216" s="1017">
        <v>0</v>
      </c>
      <c r="U1216" s="785">
        <v>0</v>
      </c>
      <c r="V1216" s="785">
        <v>200000</v>
      </c>
      <c r="W1216" s="1017">
        <v>500000</v>
      </c>
      <c r="X1216" s="1017">
        <v>0</v>
      </c>
      <c r="Y1216" s="1017">
        <v>400000</v>
      </c>
      <c r="Z1216" s="1017">
        <v>608728</v>
      </c>
      <c r="AA1216" s="1018"/>
      <c r="AB1216" s="1013"/>
      <c r="AC1216" s="1017">
        <v>0</v>
      </c>
      <c r="AD1216" s="1017">
        <v>0</v>
      </c>
      <c r="AE1216" s="1013">
        <v>38033.65625</v>
      </c>
      <c r="AF1216" s="1019"/>
      <c r="AG1216" s="1019">
        <f t="shared" si="236"/>
        <v>7020762</v>
      </c>
      <c r="AH1216" s="1014">
        <v>56</v>
      </c>
      <c r="AI1216" s="1014">
        <v>0</v>
      </c>
      <c r="AJ1216" s="1014">
        <v>0</v>
      </c>
      <c r="AK1216" s="1018">
        <v>0</v>
      </c>
      <c r="AL1216" s="1020">
        <v>0</v>
      </c>
      <c r="AM1216" s="1013">
        <f t="shared" si="235"/>
        <v>2129885</v>
      </c>
      <c r="AN1216" s="1045">
        <f t="shared" si="237"/>
        <v>9150647</v>
      </c>
      <c r="AO1216" s="1013">
        <v>553770</v>
      </c>
      <c r="AP1216" s="1013">
        <v>44100</v>
      </c>
      <c r="AQ1216" s="1013">
        <v>0</v>
      </c>
      <c r="AR1216" s="1013">
        <v>0</v>
      </c>
      <c r="AS1216" s="1013">
        <v>0</v>
      </c>
      <c r="AT1216" s="1045">
        <f t="shared" si="243"/>
        <v>8552777</v>
      </c>
      <c r="AU1216" s="1004"/>
      <c r="AV1216" s="870"/>
      <c r="AW1216" s="782" t="s">
        <v>5591</v>
      </c>
      <c r="AX1216" s="782" t="s">
        <v>5592</v>
      </c>
      <c r="AY1216" s="1007" t="s">
        <v>221</v>
      </c>
      <c r="AZ1216" s="1007">
        <v>622</v>
      </c>
      <c r="BA1216" s="347" t="str">
        <f t="shared" si="244"/>
        <v>Bag</v>
      </c>
      <c r="BB1216" s="1008"/>
      <c r="BC1216" s="1009"/>
      <c r="BD1216" s="1009"/>
    </row>
    <row r="1217" spans="1:56" s="1010" customFormat="1" ht="36.75" customHeight="1">
      <c r="A1217" s="661">
        <f>SUBTOTAL(3,B$6:B1217)</f>
        <v>1212</v>
      </c>
      <c r="B1217" s="661" t="s">
        <v>3201</v>
      </c>
      <c r="C1217" s="662" t="s">
        <v>3202</v>
      </c>
      <c r="D1217" s="1011">
        <v>45488</v>
      </c>
      <c r="E1217" s="1011" t="s">
        <v>221</v>
      </c>
      <c r="F1217" s="787" t="s">
        <v>257</v>
      </c>
      <c r="G1217" s="996" t="s">
        <v>797</v>
      </c>
      <c r="H1217" s="1012">
        <v>5274000</v>
      </c>
      <c r="I1217" s="1012">
        <v>0</v>
      </c>
      <c r="J1217" s="1012">
        <v>265000</v>
      </c>
      <c r="K1217" s="1012">
        <v>0</v>
      </c>
      <c r="L1217" s="1013">
        <f t="shared" si="238"/>
        <v>5539000</v>
      </c>
      <c r="M1217" s="1014">
        <v>22.6</v>
      </c>
      <c r="N1217" s="1013">
        <f t="shared" si="239"/>
        <v>4814669</v>
      </c>
      <c r="O1217" s="1015">
        <v>3</v>
      </c>
      <c r="P1217" s="1013">
        <f t="shared" si="240"/>
        <v>639115</v>
      </c>
      <c r="Q1217" s="1016">
        <v>0</v>
      </c>
      <c r="R1217" s="1013">
        <f t="shared" si="241"/>
        <v>0</v>
      </c>
      <c r="S1217" s="1013">
        <f t="shared" si="242"/>
        <v>5453784</v>
      </c>
      <c r="T1217" s="1017">
        <v>0</v>
      </c>
      <c r="U1217" s="785">
        <v>0</v>
      </c>
      <c r="V1217" s="785">
        <v>200000</v>
      </c>
      <c r="W1217" s="1017">
        <v>500000</v>
      </c>
      <c r="X1217" s="1017">
        <v>0</v>
      </c>
      <c r="Y1217" s="1017">
        <v>400000</v>
      </c>
      <c r="Z1217" s="1017">
        <v>522010</v>
      </c>
      <c r="AA1217" s="1018"/>
      <c r="AB1217" s="1013"/>
      <c r="AC1217" s="1017">
        <v>100000</v>
      </c>
      <c r="AD1217" s="1017">
        <v>0</v>
      </c>
      <c r="AE1217" s="1013">
        <v>39944.709623893803</v>
      </c>
      <c r="AF1217" s="1019"/>
      <c r="AG1217" s="1019">
        <f t="shared" si="236"/>
        <v>7215739</v>
      </c>
      <c r="AH1217" s="1014">
        <v>50.5</v>
      </c>
      <c r="AI1217" s="1014">
        <v>0</v>
      </c>
      <c r="AJ1217" s="1014">
        <v>0</v>
      </c>
      <c r="AK1217" s="1018">
        <v>0</v>
      </c>
      <c r="AL1217" s="1020">
        <v>0</v>
      </c>
      <c r="AM1217" s="1013">
        <f t="shared" si="235"/>
        <v>2017208</v>
      </c>
      <c r="AN1217" s="1045">
        <f t="shared" si="237"/>
        <v>9232947</v>
      </c>
      <c r="AO1217" s="1013">
        <v>581595</v>
      </c>
      <c r="AP1217" s="1013">
        <v>44100</v>
      </c>
      <c r="AQ1217" s="1013">
        <v>0</v>
      </c>
      <c r="AR1217" s="1013">
        <v>0</v>
      </c>
      <c r="AS1217" s="1013">
        <v>0</v>
      </c>
      <c r="AT1217" s="1045">
        <f t="shared" si="243"/>
        <v>8607252</v>
      </c>
      <c r="AU1217" s="1004"/>
      <c r="AV1217" s="870"/>
      <c r="AW1217" s="782" t="s">
        <v>5593</v>
      </c>
      <c r="AX1217" s="782" t="s">
        <v>5594</v>
      </c>
      <c r="AY1217" s="1007" t="s">
        <v>221</v>
      </c>
      <c r="AZ1217" s="1007">
        <v>622</v>
      </c>
      <c r="BA1217" s="347" t="str">
        <f t="shared" si="244"/>
        <v>Bag</v>
      </c>
      <c r="BB1217" s="1008"/>
      <c r="BC1217" s="1009"/>
      <c r="BD1217" s="1009"/>
    </row>
    <row r="1218" spans="1:56" s="1010" customFormat="1" ht="36.75" customHeight="1">
      <c r="A1218" s="661">
        <f>SUBTOTAL(3,B$6:B1218)</f>
        <v>1213</v>
      </c>
      <c r="B1218" s="661" t="s">
        <v>3203</v>
      </c>
      <c r="C1218" s="662" t="s">
        <v>3204</v>
      </c>
      <c r="D1218" s="1011">
        <v>45502</v>
      </c>
      <c r="E1218" s="1011" t="s">
        <v>221</v>
      </c>
      <c r="F1218" s="787" t="s">
        <v>257</v>
      </c>
      <c r="G1218" s="996" t="s">
        <v>1232</v>
      </c>
      <c r="H1218" s="1012">
        <v>5274000</v>
      </c>
      <c r="I1218" s="1012">
        <v>200000</v>
      </c>
      <c r="J1218" s="1012">
        <v>0</v>
      </c>
      <c r="K1218" s="1012">
        <v>0</v>
      </c>
      <c r="L1218" s="1013">
        <f t="shared" si="238"/>
        <v>5474000</v>
      </c>
      <c r="M1218" s="1014">
        <v>24</v>
      </c>
      <c r="N1218" s="1013">
        <f t="shared" si="239"/>
        <v>5052923</v>
      </c>
      <c r="O1218" s="1015">
        <v>2</v>
      </c>
      <c r="P1218" s="1013">
        <f t="shared" si="240"/>
        <v>421077</v>
      </c>
      <c r="Q1218" s="1016">
        <v>0</v>
      </c>
      <c r="R1218" s="1013">
        <f t="shared" si="241"/>
        <v>0</v>
      </c>
      <c r="S1218" s="1013">
        <f t="shared" si="242"/>
        <v>5474000</v>
      </c>
      <c r="T1218" s="1017">
        <v>0</v>
      </c>
      <c r="U1218" s="785">
        <v>0</v>
      </c>
      <c r="V1218" s="785">
        <v>200000</v>
      </c>
      <c r="W1218" s="1017">
        <v>500000</v>
      </c>
      <c r="X1218" s="1017">
        <v>0</v>
      </c>
      <c r="Y1218" s="1017">
        <v>400000</v>
      </c>
      <c r="Z1218" s="1017">
        <v>467020</v>
      </c>
      <c r="AA1218" s="1018"/>
      <c r="AB1218" s="1013"/>
      <c r="AC1218" s="1017">
        <v>0</v>
      </c>
      <c r="AD1218" s="1017">
        <v>0</v>
      </c>
      <c r="AE1218" s="1013">
        <v>0</v>
      </c>
      <c r="AF1218" s="1019"/>
      <c r="AG1218" s="1019">
        <f t="shared" si="236"/>
        <v>7041020</v>
      </c>
      <c r="AH1218" s="1014">
        <v>52</v>
      </c>
      <c r="AI1218" s="1014">
        <v>0</v>
      </c>
      <c r="AJ1218" s="1014">
        <v>0</v>
      </c>
      <c r="AK1218" s="1018">
        <v>0</v>
      </c>
      <c r="AL1218" s="1020">
        <v>0</v>
      </c>
      <c r="AM1218" s="1013">
        <f t="shared" si="235"/>
        <v>2052750</v>
      </c>
      <c r="AN1218" s="1045">
        <f t="shared" si="237"/>
        <v>9093770</v>
      </c>
      <c r="AO1218" s="1013">
        <v>574770</v>
      </c>
      <c r="AP1218" s="1013">
        <v>44100</v>
      </c>
      <c r="AQ1218" s="1013">
        <v>0</v>
      </c>
      <c r="AR1218" s="1013">
        <v>0</v>
      </c>
      <c r="AS1218" s="1013">
        <v>0</v>
      </c>
      <c r="AT1218" s="1045">
        <f t="shared" si="243"/>
        <v>8474900</v>
      </c>
      <c r="AU1218" s="1004"/>
      <c r="AV1218" s="870"/>
      <c r="AW1218" s="782" t="s">
        <v>5595</v>
      </c>
      <c r="AX1218" s="782" t="s">
        <v>5596</v>
      </c>
      <c r="AY1218" s="1007" t="s">
        <v>221</v>
      </c>
      <c r="AZ1218" s="1007">
        <v>622</v>
      </c>
      <c r="BA1218" s="347" t="str">
        <f t="shared" si="244"/>
        <v>Bag</v>
      </c>
      <c r="BB1218" s="1008"/>
      <c r="BC1218" s="1009"/>
      <c r="BD1218" s="1009"/>
    </row>
    <row r="1219" spans="1:56" s="1010" customFormat="1" ht="36.75" customHeight="1">
      <c r="A1219" s="661">
        <f>SUBTOTAL(3,B$6:B1219)</f>
        <v>1214</v>
      </c>
      <c r="B1219" s="661" t="s">
        <v>3205</v>
      </c>
      <c r="C1219" s="662" t="s">
        <v>3206</v>
      </c>
      <c r="D1219" s="1011">
        <v>45533</v>
      </c>
      <c r="E1219" s="1011" t="s">
        <v>221</v>
      </c>
      <c r="F1219" s="787" t="s">
        <v>257</v>
      </c>
      <c r="G1219" s="996" t="s">
        <v>797</v>
      </c>
      <c r="H1219" s="1012">
        <v>5274000</v>
      </c>
      <c r="I1219" s="1012">
        <v>0</v>
      </c>
      <c r="J1219" s="1012">
        <v>265000</v>
      </c>
      <c r="K1219" s="1012">
        <v>0</v>
      </c>
      <c r="L1219" s="1013">
        <f t="shared" si="238"/>
        <v>5539000</v>
      </c>
      <c r="M1219" s="1014">
        <v>23.9</v>
      </c>
      <c r="N1219" s="1013">
        <f t="shared" si="239"/>
        <v>5091619</v>
      </c>
      <c r="O1219" s="1015">
        <v>2</v>
      </c>
      <c r="P1219" s="1013">
        <f t="shared" si="240"/>
        <v>426077</v>
      </c>
      <c r="Q1219" s="1016">
        <v>0</v>
      </c>
      <c r="R1219" s="1013">
        <f t="shared" si="241"/>
        <v>0</v>
      </c>
      <c r="S1219" s="1013">
        <f t="shared" si="242"/>
        <v>5517696</v>
      </c>
      <c r="T1219" s="1017">
        <v>0</v>
      </c>
      <c r="U1219" s="785">
        <v>0</v>
      </c>
      <c r="V1219" s="785">
        <v>200000</v>
      </c>
      <c r="W1219" s="1017">
        <v>500000</v>
      </c>
      <c r="X1219" s="1017">
        <v>0</v>
      </c>
      <c r="Y1219" s="1017">
        <v>400000</v>
      </c>
      <c r="Z1219" s="1017">
        <v>584528</v>
      </c>
      <c r="AA1219" s="1018"/>
      <c r="AB1219" s="1013"/>
      <c r="AC1219" s="1017">
        <v>0</v>
      </c>
      <c r="AD1219" s="1017">
        <v>0</v>
      </c>
      <c r="AE1219" s="1013">
        <v>39944.709728033471</v>
      </c>
      <c r="AF1219" s="1019"/>
      <c r="AG1219" s="1019">
        <f t="shared" si="236"/>
        <v>7242169</v>
      </c>
      <c r="AH1219" s="1014">
        <v>56</v>
      </c>
      <c r="AI1219" s="1014">
        <v>0</v>
      </c>
      <c r="AJ1219" s="1014">
        <v>0</v>
      </c>
      <c r="AK1219" s="1018">
        <v>0</v>
      </c>
      <c r="AL1219" s="1020">
        <v>0</v>
      </c>
      <c r="AM1219" s="1013">
        <f t="shared" si="235"/>
        <v>2236904</v>
      </c>
      <c r="AN1219" s="1045">
        <f t="shared" si="237"/>
        <v>9479073</v>
      </c>
      <c r="AO1219" s="1013">
        <v>581595</v>
      </c>
      <c r="AP1219" s="1013">
        <v>44100</v>
      </c>
      <c r="AQ1219" s="1013">
        <v>0</v>
      </c>
      <c r="AR1219" s="1013">
        <v>0</v>
      </c>
      <c r="AS1219" s="1013">
        <v>0</v>
      </c>
      <c r="AT1219" s="1045">
        <f t="shared" si="243"/>
        <v>8853378</v>
      </c>
      <c r="AU1219" s="1004"/>
      <c r="AV1219" s="870"/>
      <c r="AW1219" s="782" t="s">
        <v>5597</v>
      </c>
      <c r="AX1219" s="782" t="s">
        <v>5598</v>
      </c>
      <c r="AY1219" s="1007" t="s">
        <v>221</v>
      </c>
      <c r="AZ1219" s="1007">
        <v>622</v>
      </c>
      <c r="BA1219" s="347" t="str">
        <f t="shared" si="244"/>
        <v>Bag</v>
      </c>
      <c r="BB1219" s="1008"/>
      <c r="BC1219" s="1009"/>
      <c r="BD1219" s="1009"/>
    </row>
    <row r="1220" spans="1:56" s="1010" customFormat="1" ht="36.75" customHeight="1">
      <c r="A1220" s="661">
        <f>SUBTOTAL(3,B$6:B1220)</f>
        <v>1215</v>
      </c>
      <c r="B1220" s="661" t="s">
        <v>3207</v>
      </c>
      <c r="C1220" s="662" t="s">
        <v>1238</v>
      </c>
      <c r="D1220" s="1011">
        <v>45597</v>
      </c>
      <c r="E1220" s="1011" t="s">
        <v>221</v>
      </c>
      <c r="F1220" s="787" t="s">
        <v>257</v>
      </c>
      <c r="G1220" s="996" t="s">
        <v>797</v>
      </c>
      <c r="H1220" s="1012">
        <v>5023000</v>
      </c>
      <c r="I1220" s="1012">
        <v>0</v>
      </c>
      <c r="J1220" s="1012">
        <v>252000</v>
      </c>
      <c r="K1220" s="1012">
        <v>0</v>
      </c>
      <c r="L1220" s="1013">
        <f t="shared" si="238"/>
        <v>5275000</v>
      </c>
      <c r="M1220" s="1014">
        <v>22.9</v>
      </c>
      <c r="N1220" s="1013">
        <f t="shared" si="239"/>
        <v>4646058</v>
      </c>
      <c r="O1220" s="1015">
        <v>3</v>
      </c>
      <c r="P1220" s="1013">
        <f t="shared" si="240"/>
        <v>608654</v>
      </c>
      <c r="Q1220" s="1016">
        <v>0</v>
      </c>
      <c r="R1220" s="1013">
        <f t="shared" si="241"/>
        <v>0</v>
      </c>
      <c r="S1220" s="1013">
        <f t="shared" si="242"/>
        <v>5254712</v>
      </c>
      <c r="T1220" s="1017">
        <v>0</v>
      </c>
      <c r="U1220" s="785">
        <v>0</v>
      </c>
      <c r="V1220" s="785">
        <v>200000</v>
      </c>
      <c r="W1220" s="1017">
        <v>500000</v>
      </c>
      <c r="X1220" s="1017">
        <v>0</v>
      </c>
      <c r="Y1220" s="1017">
        <v>400000</v>
      </c>
      <c r="Z1220" s="1017">
        <v>546736</v>
      </c>
      <c r="AA1220" s="1018"/>
      <c r="AB1220" s="1013"/>
      <c r="AC1220" s="1017">
        <v>0</v>
      </c>
      <c r="AD1220" s="1017">
        <v>0</v>
      </c>
      <c r="AE1220" s="1013">
        <v>0</v>
      </c>
      <c r="AF1220" s="1019"/>
      <c r="AG1220" s="1019">
        <f t="shared" si="236"/>
        <v>6901448</v>
      </c>
      <c r="AH1220" s="1014">
        <v>52</v>
      </c>
      <c r="AI1220" s="1014">
        <v>0</v>
      </c>
      <c r="AJ1220" s="1014">
        <v>0</v>
      </c>
      <c r="AK1220" s="1018">
        <v>0</v>
      </c>
      <c r="AL1220" s="1020">
        <v>0</v>
      </c>
      <c r="AM1220" s="1013">
        <f t="shared" si="235"/>
        <v>1978125</v>
      </c>
      <c r="AN1220" s="1045">
        <f t="shared" si="237"/>
        <v>8879573</v>
      </c>
      <c r="AO1220" s="1013">
        <v>553875</v>
      </c>
      <c r="AP1220" s="1013">
        <v>44100</v>
      </c>
      <c r="AQ1220" s="1013">
        <v>0</v>
      </c>
      <c r="AR1220" s="1013">
        <v>0</v>
      </c>
      <c r="AS1220" s="1013">
        <v>0</v>
      </c>
      <c r="AT1220" s="1045">
        <f t="shared" si="243"/>
        <v>8281598</v>
      </c>
      <c r="AU1220" s="1004"/>
      <c r="AV1220" s="870"/>
      <c r="AW1220" s="782" t="s">
        <v>3751</v>
      </c>
      <c r="AX1220" s="782" t="s">
        <v>5599</v>
      </c>
      <c r="AY1220" s="1007" t="s">
        <v>221</v>
      </c>
      <c r="AZ1220" s="1007">
        <v>622</v>
      </c>
      <c r="BA1220" s="347" t="str">
        <f t="shared" si="244"/>
        <v>Bag</v>
      </c>
      <c r="BB1220" s="1008"/>
      <c r="BC1220" s="1009"/>
      <c r="BD1220" s="1009"/>
    </row>
    <row r="1221" spans="1:56" s="1010" customFormat="1" ht="36.75" customHeight="1">
      <c r="A1221" s="661">
        <f>SUBTOTAL(3,B$6:B1221)</f>
        <v>1216</v>
      </c>
      <c r="B1221" s="661" t="s">
        <v>3208</v>
      </c>
      <c r="C1221" s="662" t="s">
        <v>3209</v>
      </c>
      <c r="D1221" s="1011">
        <v>45605</v>
      </c>
      <c r="E1221" s="1011" t="s">
        <v>221</v>
      </c>
      <c r="F1221" s="787" t="s">
        <v>257</v>
      </c>
      <c r="G1221" s="996" t="s">
        <v>797</v>
      </c>
      <c r="H1221" s="1012">
        <v>5023000</v>
      </c>
      <c r="I1221" s="1012">
        <v>0</v>
      </c>
      <c r="J1221" s="1012">
        <v>0</v>
      </c>
      <c r="K1221" s="1012">
        <v>0</v>
      </c>
      <c r="L1221" s="1013">
        <f t="shared" si="238"/>
        <v>5023000</v>
      </c>
      <c r="M1221" s="1014">
        <v>21.8</v>
      </c>
      <c r="N1221" s="1013">
        <f t="shared" si="239"/>
        <v>4211592</v>
      </c>
      <c r="O1221" s="1015">
        <v>3</v>
      </c>
      <c r="P1221" s="1013">
        <f t="shared" si="240"/>
        <v>579577</v>
      </c>
      <c r="Q1221" s="1016">
        <v>0</v>
      </c>
      <c r="R1221" s="1013">
        <f t="shared" si="241"/>
        <v>0</v>
      </c>
      <c r="S1221" s="1013">
        <f t="shared" si="242"/>
        <v>4791169</v>
      </c>
      <c r="T1221" s="1017">
        <v>0</v>
      </c>
      <c r="U1221" s="785">
        <v>0</v>
      </c>
      <c r="V1221" s="785">
        <v>200000</v>
      </c>
      <c r="W1221" s="1017">
        <v>500000</v>
      </c>
      <c r="X1221" s="1017">
        <v>0</v>
      </c>
      <c r="Y1221" s="1017">
        <v>400000</v>
      </c>
      <c r="Z1221" s="1017">
        <v>528477</v>
      </c>
      <c r="AA1221" s="1018"/>
      <c r="AB1221" s="1013"/>
      <c r="AC1221" s="1017">
        <v>0</v>
      </c>
      <c r="AD1221" s="1017">
        <v>0</v>
      </c>
      <c r="AE1221" s="1013">
        <v>36223.555045871559</v>
      </c>
      <c r="AF1221" s="1019"/>
      <c r="AG1221" s="1019">
        <f t="shared" si="236"/>
        <v>6455870</v>
      </c>
      <c r="AH1221" s="1014">
        <v>52</v>
      </c>
      <c r="AI1221" s="1014">
        <v>0</v>
      </c>
      <c r="AJ1221" s="1014">
        <v>0</v>
      </c>
      <c r="AK1221" s="1018">
        <v>0</v>
      </c>
      <c r="AL1221" s="1020">
        <v>0</v>
      </c>
      <c r="AM1221" s="1013">
        <f t="shared" si="235"/>
        <v>1883625</v>
      </c>
      <c r="AN1221" s="1045">
        <f t="shared" si="237"/>
        <v>8339495</v>
      </c>
      <c r="AO1221" s="1013">
        <v>527415</v>
      </c>
      <c r="AP1221" s="1013">
        <v>44100</v>
      </c>
      <c r="AQ1221" s="1013">
        <v>0</v>
      </c>
      <c r="AR1221" s="1013">
        <v>0</v>
      </c>
      <c r="AS1221" s="1013">
        <v>0</v>
      </c>
      <c r="AT1221" s="1045">
        <f t="shared" si="243"/>
        <v>7767980</v>
      </c>
      <c r="AU1221" s="1004"/>
      <c r="AV1221" s="870"/>
      <c r="AW1221" s="782" t="s">
        <v>5600</v>
      </c>
      <c r="AX1221" s="782" t="s">
        <v>5601</v>
      </c>
      <c r="AY1221" s="1007" t="s">
        <v>221</v>
      </c>
      <c r="AZ1221" s="1007">
        <v>622</v>
      </c>
      <c r="BA1221" s="347" t="str">
        <f t="shared" si="244"/>
        <v>Bag</v>
      </c>
      <c r="BB1221" s="1008"/>
      <c r="BC1221" s="1009"/>
      <c r="BD1221" s="1009"/>
    </row>
    <row r="1222" spans="1:56" s="1010" customFormat="1" ht="36.75" customHeight="1">
      <c r="A1222" s="661">
        <f>SUBTOTAL(3,B$6:B1222)</f>
        <v>1217</v>
      </c>
      <c r="B1222" s="661" t="s">
        <v>3210</v>
      </c>
      <c r="C1222" s="662" t="s">
        <v>3211</v>
      </c>
      <c r="D1222" s="1011">
        <v>45698</v>
      </c>
      <c r="E1222" s="1011" t="s">
        <v>221</v>
      </c>
      <c r="F1222" s="787" t="s">
        <v>257</v>
      </c>
      <c r="G1222" s="996" t="s">
        <v>797</v>
      </c>
      <c r="H1222" s="1012">
        <v>5023000</v>
      </c>
      <c r="I1222" s="1012">
        <v>0</v>
      </c>
      <c r="J1222" s="1012">
        <v>252000</v>
      </c>
      <c r="K1222" s="1012">
        <v>0</v>
      </c>
      <c r="L1222" s="1013">
        <f t="shared" si="238"/>
        <v>5275000</v>
      </c>
      <c r="M1222" s="1014">
        <v>24</v>
      </c>
      <c r="N1222" s="1013">
        <f t="shared" si="239"/>
        <v>4869231</v>
      </c>
      <c r="O1222" s="1015">
        <v>2</v>
      </c>
      <c r="P1222" s="1013">
        <f t="shared" si="240"/>
        <v>405769</v>
      </c>
      <c r="Q1222" s="1016">
        <v>0</v>
      </c>
      <c r="R1222" s="1013">
        <f t="shared" si="241"/>
        <v>0</v>
      </c>
      <c r="S1222" s="1013">
        <f t="shared" si="242"/>
        <v>5275000</v>
      </c>
      <c r="T1222" s="1017">
        <v>0</v>
      </c>
      <c r="U1222" s="785">
        <v>0</v>
      </c>
      <c r="V1222" s="785">
        <v>200000</v>
      </c>
      <c r="W1222" s="1017">
        <v>500000</v>
      </c>
      <c r="X1222" s="1017">
        <v>0</v>
      </c>
      <c r="Y1222" s="1017">
        <v>400000</v>
      </c>
      <c r="Z1222" s="1017">
        <v>543378</v>
      </c>
      <c r="AA1222" s="1018"/>
      <c r="AB1222" s="1013"/>
      <c r="AC1222" s="1017">
        <v>0</v>
      </c>
      <c r="AD1222" s="1017">
        <v>0</v>
      </c>
      <c r="AE1222" s="1013">
        <v>38040.8671875</v>
      </c>
      <c r="AF1222" s="1019"/>
      <c r="AG1222" s="1019">
        <f t="shared" si="236"/>
        <v>6956419</v>
      </c>
      <c r="AH1222" s="1014">
        <v>56</v>
      </c>
      <c r="AI1222" s="1014">
        <v>0</v>
      </c>
      <c r="AJ1222" s="1014">
        <v>0</v>
      </c>
      <c r="AK1222" s="1018">
        <v>0</v>
      </c>
      <c r="AL1222" s="1020">
        <v>0</v>
      </c>
      <c r="AM1222" s="1013">
        <f t="shared" si="235"/>
        <v>2130289</v>
      </c>
      <c r="AN1222" s="1045">
        <f t="shared" si="237"/>
        <v>9086708</v>
      </c>
      <c r="AO1222" s="1013">
        <v>553875</v>
      </c>
      <c r="AP1222" s="1013">
        <v>44100</v>
      </c>
      <c r="AQ1222" s="1013">
        <v>0</v>
      </c>
      <c r="AR1222" s="1013">
        <v>0</v>
      </c>
      <c r="AS1222" s="1013">
        <v>0</v>
      </c>
      <c r="AT1222" s="1045">
        <f t="shared" si="243"/>
        <v>8488733</v>
      </c>
      <c r="AU1222" s="1004"/>
      <c r="AV1222" s="870"/>
      <c r="AW1222" s="782" t="s">
        <v>5602</v>
      </c>
      <c r="AX1222" s="782" t="s">
        <v>5603</v>
      </c>
      <c r="AY1222" s="1007" t="s">
        <v>221</v>
      </c>
      <c r="AZ1222" s="1007">
        <v>622</v>
      </c>
      <c r="BA1222" s="347" t="str">
        <f t="shared" si="244"/>
        <v>Bag</v>
      </c>
      <c r="BB1222" s="1008"/>
      <c r="BC1222" s="1009"/>
      <c r="BD1222" s="1009"/>
    </row>
    <row r="1223" spans="1:56" s="1010" customFormat="1" ht="36.75" customHeight="1">
      <c r="A1223" s="661">
        <f>SUBTOTAL(3,B$6:B1223)</f>
        <v>1218</v>
      </c>
      <c r="B1223" s="661" t="s">
        <v>3212</v>
      </c>
      <c r="C1223" s="662" t="s">
        <v>3213</v>
      </c>
      <c r="D1223" s="1011">
        <v>45735</v>
      </c>
      <c r="E1223" s="1011" t="s">
        <v>221</v>
      </c>
      <c r="F1223" s="787" t="s">
        <v>257</v>
      </c>
      <c r="G1223" s="996" t="s">
        <v>797</v>
      </c>
      <c r="H1223" s="1012">
        <v>4694000</v>
      </c>
      <c r="I1223" s="1012">
        <v>0</v>
      </c>
      <c r="J1223" s="1012">
        <v>235000</v>
      </c>
      <c r="K1223" s="1012">
        <v>0</v>
      </c>
      <c r="L1223" s="1013">
        <f t="shared" si="238"/>
        <v>4929000</v>
      </c>
      <c r="M1223" s="1014">
        <v>23.8</v>
      </c>
      <c r="N1223" s="1013">
        <f t="shared" si="239"/>
        <v>4511931</v>
      </c>
      <c r="O1223" s="1015">
        <v>2</v>
      </c>
      <c r="P1223" s="1013">
        <f t="shared" si="240"/>
        <v>379154</v>
      </c>
      <c r="Q1223" s="1016">
        <v>0</v>
      </c>
      <c r="R1223" s="1013">
        <f t="shared" si="241"/>
        <v>0</v>
      </c>
      <c r="S1223" s="1013">
        <f t="shared" si="242"/>
        <v>4891085</v>
      </c>
      <c r="T1223" s="1017">
        <v>0</v>
      </c>
      <c r="U1223" s="785">
        <v>0</v>
      </c>
      <c r="V1223" s="785">
        <v>200000</v>
      </c>
      <c r="W1223" s="1017">
        <v>500000</v>
      </c>
      <c r="X1223" s="1017">
        <v>0</v>
      </c>
      <c r="Y1223" s="1017">
        <v>400000</v>
      </c>
      <c r="Z1223" s="1017">
        <v>157435</v>
      </c>
      <c r="AA1223" s="1018"/>
      <c r="AB1223" s="1013"/>
      <c r="AC1223" s="1017">
        <v>0</v>
      </c>
      <c r="AD1223" s="1017">
        <v>182981</v>
      </c>
      <c r="AE1223" s="1013">
        <v>35545.674894957978</v>
      </c>
      <c r="AF1223" s="1019"/>
      <c r="AG1223" s="1019">
        <f t="shared" si="236"/>
        <v>6367047</v>
      </c>
      <c r="AH1223" s="1014">
        <v>52</v>
      </c>
      <c r="AI1223" s="1014">
        <v>0</v>
      </c>
      <c r="AJ1223" s="1014">
        <v>0</v>
      </c>
      <c r="AK1223" s="1018">
        <v>0</v>
      </c>
      <c r="AL1223" s="1020">
        <v>0</v>
      </c>
      <c r="AM1223" s="1013">
        <f t="shared" ref="AM1223:AM1286" si="245">ROUND((N1223/IF(M1223&gt;26,26,M1223)/8*(AH1223*$AH$5+AI1223*$AI$5+AJ1223*$AJ$5+AK1223*$AK$5+AL1223*$AL$5)),0)</f>
        <v>1848375</v>
      </c>
      <c r="AN1223" s="1045">
        <f t="shared" si="237"/>
        <v>8215422</v>
      </c>
      <c r="AO1223" s="1013">
        <v>0</v>
      </c>
      <c r="AP1223" s="1013">
        <v>0</v>
      </c>
      <c r="AQ1223" s="1013">
        <v>0</v>
      </c>
      <c r="AR1223" s="1013">
        <v>0</v>
      </c>
      <c r="AS1223" s="1013">
        <v>0</v>
      </c>
      <c r="AT1223" s="1045">
        <f t="shared" si="243"/>
        <v>8215422</v>
      </c>
      <c r="AU1223" s="1004"/>
      <c r="AV1223" s="870"/>
      <c r="AW1223" s="782" t="s">
        <v>5605</v>
      </c>
      <c r="AX1223" s="782" t="s">
        <v>5606</v>
      </c>
      <c r="AY1223" s="1007" t="s">
        <v>221</v>
      </c>
      <c r="AZ1223" s="1007">
        <v>622</v>
      </c>
      <c r="BA1223" s="347" t="str">
        <f t="shared" si="244"/>
        <v>Bag</v>
      </c>
      <c r="BB1223" s="1008"/>
      <c r="BC1223" s="1009"/>
      <c r="BD1223" s="1009"/>
    </row>
    <row r="1224" spans="1:56" s="1010" customFormat="1" ht="36.75" customHeight="1">
      <c r="A1224" s="661">
        <f>SUBTOTAL(3,B$6:B1224)</f>
        <v>1219</v>
      </c>
      <c r="B1224" s="661" t="s">
        <v>3214</v>
      </c>
      <c r="C1224" s="662" t="s">
        <v>3215</v>
      </c>
      <c r="D1224" s="1011">
        <v>45743</v>
      </c>
      <c r="E1224" s="1011" t="s">
        <v>221</v>
      </c>
      <c r="F1224" s="787" t="s">
        <v>257</v>
      </c>
      <c r="G1224" s="996" t="s">
        <v>797</v>
      </c>
      <c r="H1224" s="1012">
        <v>4694000</v>
      </c>
      <c r="I1224" s="1012">
        <v>0</v>
      </c>
      <c r="J1224" s="1012">
        <v>235000</v>
      </c>
      <c r="K1224" s="1012">
        <v>0</v>
      </c>
      <c r="L1224" s="1013">
        <f t="shared" si="238"/>
        <v>4929000</v>
      </c>
      <c r="M1224" s="1014">
        <v>22.8</v>
      </c>
      <c r="N1224" s="1013">
        <f t="shared" si="239"/>
        <v>4322354</v>
      </c>
      <c r="O1224" s="1015">
        <v>3</v>
      </c>
      <c r="P1224" s="1013">
        <f t="shared" si="240"/>
        <v>568731</v>
      </c>
      <c r="Q1224" s="1016">
        <v>0</v>
      </c>
      <c r="R1224" s="1013">
        <f t="shared" si="241"/>
        <v>0</v>
      </c>
      <c r="S1224" s="1013">
        <f t="shared" si="242"/>
        <v>4891085</v>
      </c>
      <c r="T1224" s="1017">
        <v>0</v>
      </c>
      <c r="U1224" s="785">
        <v>0</v>
      </c>
      <c r="V1224" s="785">
        <v>200000</v>
      </c>
      <c r="W1224" s="1017">
        <v>500000</v>
      </c>
      <c r="X1224" s="1017">
        <v>0</v>
      </c>
      <c r="Y1224" s="1017">
        <v>400000</v>
      </c>
      <c r="Z1224" s="1017">
        <v>38529</v>
      </c>
      <c r="AA1224" s="1018"/>
      <c r="AB1224" s="1013"/>
      <c r="AC1224" s="1017">
        <v>100000</v>
      </c>
      <c r="AD1224" s="1017">
        <v>57306</v>
      </c>
      <c r="AE1224" s="1013">
        <v>35545.674342105267</v>
      </c>
      <c r="AF1224" s="1019"/>
      <c r="AG1224" s="1019">
        <f t="shared" si="236"/>
        <v>6222466</v>
      </c>
      <c r="AH1224" s="1014">
        <v>43.5</v>
      </c>
      <c r="AI1224" s="1014">
        <v>0</v>
      </c>
      <c r="AJ1224" s="1014">
        <v>0</v>
      </c>
      <c r="AK1224" s="1018">
        <v>0</v>
      </c>
      <c r="AL1224" s="1020">
        <v>0</v>
      </c>
      <c r="AM1224" s="1013">
        <f t="shared" si="245"/>
        <v>1546237</v>
      </c>
      <c r="AN1224" s="1045">
        <f t="shared" si="237"/>
        <v>7768703</v>
      </c>
      <c r="AO1224" s="1013">
        <v>0</v>
      </c>
      <c r="AP1224" s="1013">
        <v>0</v>
      </c>
      <c r="AQ1224" s="1013">
        <v>0</v>
      </c>
      <c r="AR1224" s="1013">
        <v>0</v>
      </c>
      <c r="AS1224" s="1013">
        <v>0</v>
      </c>
      <c r="AT1224" s="1045">
        <f t="shared" si="243"/>
        <v>7768703</v>
      </c>
      <c r="AU1224" s="1004"/>
      <c r="AV1224" s="870"/>
      <c r="AW1224" s="782" t="s">
        <v>5901</v>
      </c>
      <c r="AX1224" s="782" t="s">
        <v>5902</v>
      </c>
      <c r="AY1224" s="1007" t="s">
        <v>221</v>
      </c>
      <c r="AZ1224" s="1007">
        <v>622</v>
      </c>
      <c r="BA1224" s="347" t="str">
        <f t="shared" si="244"/>
        <v>Bag</v>
      </c>
      <c r="BB1224" s="1008"/>
      <c r="BC1224" s="1009"/>
      <c r="BD1224" s="1009"/>
    </row>
    <row r="1225" spans="1:56" s="1010" customFormat="1" ht="36.75" customHeight="1">
      <c r="A1225" s="661">
        <f>SUBTOTAL(3,B$6:B1225)</f>
        <v>1220</v>
      </c>
      <c r="B1225" s="661" t="s">
        <v>3216</v>
      </c>
      <c r="C1225" s="662" t="s">
        <v>3217</v>
      </c>
      <c r="D1225" s="1011">
        <v>45743</v>
      </c>
      <c r="E1225" s="1011" t="s">
        <v>221</v>
      </c>
      <c r="F1225" s="787" t="s">
        <v>257</v>
      </c>
      <c r="G1225" s="996" t="s">
        <v>797</v>
      </c>
      <c r="H1225" s="1012">
        <v>4694000</v>
      </c>
      <c r="I1225" s="1012">
        <v>0</v>
      </c>
      <c r="J1225" s="1012">
        <v>235000</v>
      </c>
      <c r="K1225" s="1012">
        <v>0</v>
      </c>
      <c r="L1225" s="1013">
        <f t="shared" si="238"/>
        <v>4929000</v>
      </c>
      <c r="M1225" s="1014">
        <v>24</v>
      </c>
      <c r="N1225" s="1013">
        <f t="shared" si="239"/>
        <v>4549846</v>
      </c>
      <c r="O1225" s="1015">
        <v>2</v>
      </c>
      <c r="P1225" s="1013">
        <f t="shared" si="240"/>
        <v>379154</v>
      </c>
      <c r="Q1225" s="1016">
        <v>0</v>
      </c>
      <c r="R1225" s="1013">
        <f t="shared" si="241"/>
        <v>0</v>
      </c>
      <c r="S1225" s="1013">
        <f t="shared" si="242"/>
        <v>4929000</v>
      </c>
      <c r="T1225" s="1017">
        <v>0</v>
      </c>
      <c r="U1225" s="785">
        <v>0</v>
      </c>
      <c r="V1225" s="785">
        <v>200000</v>
      </c>
      <c r="W1225" s="1017">
        <v>500000</v>
      </c>
      <c r="X1225" s="1017">
        <v>0</v>
      </c>
      <c r="Y1225" s="1017">
        <v>400000</v>
      </c>
      <c r="Z1225" s="1017">
        <v>44276</v>
      </c>
      <c r="AA1225" s="1018"/>
      <c r="AB1225" s="1013"/>
      <c r="AC1225" s="1017">
        <v>100000</v>
      </c>
      <c r="AD1225" s="1017">
        <v>59885</v>
      </c>
      <c r="AE1225" s="1013">
        <v>35545.671875</v>
      </c>
      <c r="AF1225" s="1019"/>
      <c r="AG1225" s="1019">
        <f t="shared" si="236"/>
        <v>6268707</v>
      </c>
      <c r="AH1225" s="1014">
        <v>48</v>
      </c>
      <c r="AI1225" s="1014">
        <v>0</v>
      </c>
      <c r="AJ1225" s="1014">
        <v>0</v>
      </c>
      <c r="AK1225" s="1018">
        <v>0</v>
      </c>
      <c r="AL1225" s="1020">
        <v>0</v>
      </c>
      <c r="AM1225" s="1013">
        <f t="shared" si="245"/>
        <v>1706192</v>
      </c>
      <c r="AN1225" s="1045">
        <f t="shared" si="237"/>
        <v>7974899</v>
      </c>
      <c r="AO1225" s="1013">
        <v>0</v>
      </c>
      <c r="AP1225" s="1013">
        <v>0</v>
      </c>
      <c r="AQ1225" s="1013">
        <v>0</v>
      </c>
      <c r="AR1225" s="1013">
        <v>0</v>
      </c>
      <c r="AS1225" s="1013">
        <v>0</v>
      </c>
      <c r="AT1225" s="1045">
        <f t="shared" si="243"/>
        <v>7974899</v>
      </c>
      <c r="AU1225" s="1004"/>
      <c r="AV1225" s="870"/>
      <c r="AW1225" s="782" t="s">
        <v>5903</v>
      </c>
      <c r="AX1225" s="782" t="s">
        <v>5904</v>
      </c>
      <c r="AY1225" s="1007" t="s">
        <v>221</v>
      </c>
      <c r="AZ1225" s="1007">
        <v>622</v>
      </c>
      <c r="BA1225" s="347" t="str">
        <f t="shared" si="244"/>
        <v>Bag</v>
      </c>
      <c r="BB1225" s="1008"/>
      <c r="BC1225" s="1009"/>
      <c r="BD1225" s="1009"/>
    </row>
    <row r="1226" spans="1:56" s="1010" customFormat="1" ht="36.75" customHeight="1">
      <c r="A1226" s="661">
        <f>SUBTOTAL(3,B$6:B1226)</f>
        <v>1221</v>
      </c>
      <c r="B1226" s="661" t="s">
        <v>5803</v>
      </c>
      <c r="C1226" s="662" t="s">
        <v>5804</v>
      </c>
      <c r="D1226" s="1011">
        <v>45748</v>
      </c>
      <c r="E1226" s="1011" t="s">
        <v>221</v>
      </c>
      <c r="F1226" s="787" t="s">
        <v>257</v>
      </c>
      <c r="G1226" s="996" t="s">
        <v>554</v>
      </c>
      <c r="H1226" s="1012">
        <v>4694000</v>
      </c>
      <c r="I1226" s="1012">
        <v>0</v>
      </c>
      <c r="J1226" s="1012">
        <v>0</v>
      </c>
      <c r="K1226" s="1012">
        <v>0</v>
      </c>
      <c r="L1226" s="1013">
        <f t="shared" si="238"/>
        <v>4694000</v>
      </c>
      <c r="M1226" s="1014">
        <v>23.9</v>
      </c>
      <c r="N1226" s="1013">
        <f t="shared" si="239"/>
        <v>4314869</v>
      </c>
      <c r="O1226" s="1015">
        <v>2</v>
      </c>
      <c r="P1226" s="1013">
        <f t="shared" si="240"/>
        <v>361077</v>
      </c>
      <c r="Q1226" s="1016">
        <v>0</v>
      </c>
      <c r="R1226" s="1013">
        <f t="shared" si="241"/>
        <v>0</v>
      </c>
      <c r="S1226" s="1013">
        <f t="shared" si="242"/>
        <v>4675946</v>
      </c>
      <c r="T1226" s="1017">
        <v>0</v>
      </c>
      <c r="U1226" s="785">
        <v>0</v>
      </c>
      <c r="V1226" s="785">
        <v>199000</v>
      </c>
      <c r="W1226" s="1017">
        <v>498000</v>
      </c>
      <c r="X1226" s="1017">
        <v>0</v>
      </c>
      <c r="Y1226" s="1017">
        <v>149000</v>
      </c>
      <c r="Z1226" s="1017">
        <v>0</v>
      </c>
      <c r="AA1226" s="1018"/>
      <c r="AB1226" s="1013"/>
      <c r="AC1226" s="1017">
        <v>0</v>
      </c>
      <c r="AD1226" s="1017">
        <v>0</v>
      </c>
      <c r="AE1226" s="1013">
        <v>33850.959728033471</v>
      </c>
      <c r="AF1226" s="1019"/>
      <c r="AG1226" s="1019">
        <f t="shared" si="236"/>
        <v>5555797</v>
      </c>
      <c r="AH1226" s="1014">
        <v>52</v>
      </c>
      <c r="AI1226" s="1014">
        <v>0</v>
      </c>
      <c r="AJ1226" s="1014">
        <v>0</v>
      </c>
      <c r="AK1226" s="1018">
        <v>0</v>
      </c>
      <c r="AL1226" s="1020">
        <v>0</v>
      </c>
      <c r="AM1226" s="1013">
        <f t="shared" si="245"/>
        <v>1760250</v>
      </c>
      <c r="AN1226" s="1045">
        <f t="shared" si="237"/>
        <v>7316047</v>
      </c>
      <c r="AO1226" s="1013">
        <v>0</v>
      </c>
      <c r="AP1226" s="1013">
        <v>0</v>
      </c>
      <c r="AQ1226" s="1013">
        <v>0</v>
      </c>
      <c r="AR1226" s="1013">
        <v>0</v>
      </c>
      <c r="AS1226" s="1013">
        <v>0</v>
      </c>
      <c r="AT1226" s="1045">
        <f t="shared" si="243"/>
        <v>7316047</v>
      </c>
      <c r="AU1226" s="1004"/>
      <c r="AV1226" s="870"/>
      <c r="AW1226" s="782" t="s">
        <v>5905</v>
      </c>
      <c r="AX1226" s="782" t="s">
        <v>5906</v>
      </c>
      <c r="AY1226" s="1007" t="s">
        <v>221</v>
      </c>
      <c r="AZ1226" s="1007">
        <v>622</v>
      </c>
      <c r="BA1226" s="347" t="str">
        <f t="shared" si="244"/>
        <v>Bag</v>
      </c>
      <c r="BB1226" s="1008"/>
      <c r="BC1226" s="1009"/>
      <c r="BD1226" s="1009"/>
    </row>
    <row r="1227" spans="1:56" s="1010" customFormat="1" ht="36.75" customHeight="1">
      <c r="A1227" s="661">
        <f>SUBTOTAL(3,B$6:B1227)</f>
        <v>1222</v>
      </c>
      <c r="B1227" s="661" t="s">
        <v>5805</v>
      </c>
      <c r="C1227" s="662" t="s">
        <v>5806</v>
      </c>
      <c r="D1227" s="1011">
        <v>45757</v>
      </c>
      <c r="E1227" s="1011" t="s">
        <v>221</v>
      </c>
      <c r="F1227" s="787" t="s">
        <v>257</v>
      </c>
      <c r="G1227" s="996" t="s">
        <v>554</v>
      </c>
      <c r="H1227" s="1012">
        <v>4694000</v>
      </c>
      <c r="I1227" s="1012">
        <v>0</v>
      </c>
      <c r="J1227" s="1012">
        <v>0</v>
      </c>
      <c r="K1227" s="1012">
        <v>0</v>
      </c>
      <c r="L1227" s="1013">
        <f t="shared" si="238"/>
        <v>4694000</v>
      </c>
      <c r="M1227" s="1014">
        <v>15</v>
      </c>
      <c r="N1227" s="1013">
        <f t="shared" si="239"/>
        <v>2708077</v>
      </c>
      <c r="O1227" s="1015">
        <v>1</v>
      </c>
      <c r="P1227" s="1013">
        <f t="shared" si="240"/>
        <v>180538</v>
      </c>
      <c r="Q1227" s="1016">
        <v>0</v>
      </c>
      <c r="R1227" s="1013">
        <f t="shared" si="241"/>
        <v>0</v>
      </c>
      <c r="S1227" s="1013">
        <f t="shared" si="242"/>
        <v>2888615</v>
      </c>
      <c r="T1227" s="1017">
        <v>0</v>
      </c>
      <c r="U1227" s="785">
        <v>0</v>
      </c>
      <c r="V1227" s="785">
        <v>123000</v>
      </c>
      <c r="W1227" s="1017">
        <v>308000</v>
      </c>
      <c r="X1227" s="1017">
        <v>0</v>
      </c>
      <c r="Y1227" s="1017">
        <v>92000</v>
      </c>
      <c r="Z1227" s="1017">
        <v>0</v>
      </c>
      <c r="AA1227" s="1018"/>
      <c r="AB1227" s="1013"/>
      <c r="AC1227" s="1017">
        <v>0</v>
      </c>
      <c r="AD1227" s="1017">
        <v>0</v>
      </c>
      <c r="AE1227" s="1013">
        <v>0</v>
      </c>
      <c r="AF1227" s="1019"/>
      <c r="AG1227" s="1019">
        <f t="shared" si="236"/>
        <v>3411615</v>
      </c>
      <c r="AH1227" s="1014">
        <v>28</v>
      </c>
      <c r="AI1227" s="1014">
        <v>0</v>
      </c>
      <c r="AJ1227" s="1014">
        <v>0</v>
      </c>
      <c r="AK1227" s="1018">
        <v>0</v>
      </c>
      <c r="AL1227" s="1020">
        <v>0</v>
      </c>
      <c r="AM1227" s="1013">
        <f t="shared" si="245"/>
        <v>947827</v>
      </c>
      <c r="AN1227" s="1045">
        <f t="shared" si="237"/>
        <v>4359442</v>
      </c>
      <c r="AO1227" s="1013">
        <v>0</v>
      </c>
      <c r="AP1227" s="1013">
        <v>0</v>
      </c>
      <c r="AQ1227" s="1013">
        <v>0</v>
      </c>
      <c r="AR1227" s="1013">
        <v>0</v>
      </c>
      <c r="AS1227" s="1013">
        <v>0</v>
      </c>
      <c r="AT1227" s="1045">
        <f t="shared" si="243"/>
        <v>4359442</v>
      </c>
      <c r="AU1227" s="1004"/>
      <c r="AV1227" s="870"/>
      <c r="AW1227" s="782"/>
      <c r="AX1227" s="782" t="s">
        <v>3644</v>
      </c>
      <c r="AY1227" s="1007" t="s">
        <v>221</v>
      </c>
      <c r="AZ1227" s="1007">
        <v>622</v>
      </c>
      <c r="BA1227" s="347" t="str">
        <f t="shared" si="244"/>
        <v>Bag</v>
      </c>
      <c r="BB1227" s="1008"/>
      <c r="BC1227" s="1009"/>
      <c r="BD1227" s="1009"/>
    </row>
    <row r="1228" spans="1:56" s="1010" customFormat="1" ht="36.75" customHeight="1">
      <c r="A1228" s="661">
        <f>SUBTOTAL(3,B$6:B1228)</f>
        <v>1223</v>
      </c>
      <c r="B1228" s="661" t="s">
        <v>5807</v>
      </c>
      <c r="C1228" s="662" t="s">
        <v>5808</v>
      </c>
      <c r="D1228" s="1011">
        <v>45757</v>
      </c>
      <c r="E1228" s="1011" t="s">
        <v>221</v>
      </c>
      <c r="F1228" s="787" t="s">
        <v>257</v>
      </c>
      <c r="G1228" s="996" t="s">
        <v>554</v>
      </c>
      <c r="H1228" s="1012">
        <v>4694000</v>
      </c>
      <c r="I1228" s="1012">
        <v>0</v>
      </c>
      <c r="J1228" s="1012">
        <v>0</v>
      </c>
      <c r="K1228" s="1012">
        <v>0</v>
      </c>
      <c r="L1228" s="1013">
        <f t="shared" si="238"/>
        <v>4694000</v>
      </c>
      <c r="M1228" s="1014">
        <v>17</v>
      </c>
      <c r="N1228" s="1013">
        <f t="shared" si="239"/>
        <v>3069154</v>
      </c>
      <c r="O1228" s="1015">
        <v>1</v>
      </c>
      <c r="P1228" s="1013">
        <f t="shared" si="240"/>
        <v>180538</v>
      </c>
      <c r="Q1228" s="1016">
        <v>0</v>
      </c>
      <c r="R1228" s="1013">
        <f t="shared" si="241"/>
        <v>0</v>
      </c>
      <c r="S1228" s="1013">
        <f t="shared" si="242"/>
        <v>3249692</v>
      </c>
      <c r="T1228" s="1017">
        <v>0</v>
      </c>
      <c r="U1228" s="785">
        <v>0</v>
      </c>
      <c r="V1228" s="785">
        <v>138000</v>
      </c>
      <c r="W1228" s="1017">
        <v>346000</v>
      </c>
      <c r="X1228" s="1017">
        <v>0</v>
      </c>
      <c r="Y1228" s="1017">
        <v>104000</v>
      </c>
      <c r="Z1228" s="1017">
        <v>0</v>
      </c>
      <c r="AA1228" s="1018"/>
      <c r="AB1228" s="1013"/>
      <c r="AC1228" s="1017">
        <v>0</v>
      </c>
      <c r="AD1228" s="1017">
        <v>0</v>
      </c>
      <c r="AE1228" s="1013">
        <v>0</v>
      </c>
      <c r="AF1228" s="1019"/>
      <c r="AG1228" s="1019">
        <f t="shared" si="236"/>
        <v>3837692</v>
      </c>
      <c r="AH1228" s="1014">
        <v>40</v>
      </c>
      <c r="AI1228" s="1014">
        <v>0</v>
      </c>
      <c r="AJ1228" s="1014">
        <v>0</v>
      </c>
      <c r="AK1228" s="1018">
        <v>0</v>
      </c>
      <c r="AL1228" s="1020">
        <v>0</v>
      </c>
      <c r="AM1228" s="1013">
        <f t="shared" si="245"/>
        <v>1354039</v>
      </c>
      <c r="AN1228" s="1045">
        <f t="shared" si="237"/>
        <v>5191731</v>
      </c>
      <c r="AO1228" s="1013">
        <v>0</v>
      </c>
      <c r="AP1228" s="1013">
        <v>0</v>
      </c>
      <c r="AQ1228" s="1013">
        <v>0</v>
      </c>
      <c r="AR1228" s="1013">
        <v>0</v>
      </c>
      <c r="AS1228" s="1013">
        <v>0</v>
      </c>
      <c r="AT1228" s="1045">
        <f t="shared" si="243"/>
        <v>5191731</v>
      </c>
      <c r="AU1228" s="1004"/>
      <c r="AV1228" s="870"/>
      <c r="AW1228" s="782"/>
      <c r="AX1228" s="782" t="s">
        <v>3644</v>
      </c>
      <c r="AY1228" s="1007" t="s">
        <v>221</v>
      </c>
      <c r="AZ1228" s="1007">
        <v>622</v>
      </c>
      <c r="BA1228" s="347" t="str">
        <f t="shared" si="244"/>
        <v>Bag</v>
      </c>
      <c r="BB1228" s="1008"/>
      <c r="BC1228" s="1009"/>
      <c r="BD1228" s="1009"/>
    </row>
    <row r="1229" spans="1:56" s="1010" customFormat="1" ht="36.75" customHeight="1">
      <c r="A1229" s="661">
        <f>SUBTOTAL(3,B$6:B1229)</f>
        <v>1224</v>
      </c>
      <c r="B1229" s="661" t="s">
        <v>5809</v>
      </c>
      <c r="C1229" s="662" t="s">
        <v>5810</v>
      </c>
      <c r="D1229" s="1011">
        <v>45757</v>
      </c>
      <c r="E1229" s="1011" t="s">
        <v>221</v>
      </c>
      <c r="F1229" s="787" t="s">
        <v>257</v>
      </c>
      <c r="G1229" s="996" t="s">
        <v>554</v>
      </c>
      <c r="H1229" s="1012">
        <v>4694000</v>
      </c>
      <c r="I1229" s="1012">
        <v>0</v>
      </c>
      <c r="J1229" s="1012">
        <v>235000</v>
      </c>
      <c r="K1229" s="1012">
        <v>0</v>
      </c>
      <c r="L1229" s="1013">
        <f t="shared" si="238"/>
        <v>4929000</v>
      </c>
      <c r="M1229" s="1014">
        <v>17</v>
      </c>
      <c r="N1229" s="1013">
        <f t="shared" si="239"/>
        <v>3222808</v>
      </c>
      <c r="O1229" s="1015">
        <v>1</v>
      </c>
      <c r="P1229" s="1013">
        <f t="shared" si="240"/>
        <v>189577</v>
      </c>
      <c r="Q1229" s="1016">
        <v>0</v>
      </c>
      <c r="R1229" s="1013">
        <f t="shared" si="241"/>
        <v>0</v>
      </c>
      <c r="S1229" s="1013">
        <f t="shared" si="242"/>
        <v>3412385</v>
      </c>
      <c r="T1229" s="1017">
        <v>0</v>
      </c>
      <c r="U1229" s="785">
        <v>0</v>
      </c>
      <c r="V1229" s="785">
        <v>138000</v>
      </c>
      <c r="W1229" s="1017">
        <v>346000</v>
      </c>
      <c r="X1229" s="1017">
        <v>0</v>
      </c>
      <c r="Y1229" s="1017">
        <v>104000</v>
      </c>
      <c r="Z1229" s="1017">
        <v>0</v>
      </c>
      <c r="AA1229" s="1018"/>
      <c r="AB1229" s="1013"/>
      <c r="AC1229" s="1017">
        <v>0</v>
      </c>
      <c r="AD1229" s="1017">
        <v>0</v>
      </c>
      <c r="AE1229" s="1013">
        <v>35545.676470588238</v>
      </c>
      <c r="AF1229" s="1019"/>
      <c r="AG1229" s="1019">
        <f t="shared" si="236"/>
        <v>4035931</v>
      </c>
      <c r="AH1229" s="1014">
        <v>40</v>
      </c>
      <c r="AI1229" s="1014">
        <v>0</v>
      </c>
      <c r="AJ1229" s="1014">
        <v>0</v>
      </c>
      <c r="AK1229" s="1018">
        <v>0</v>
      </c>
      <c r="AL1229" s="1020">
        <v>0</v>
      </c>
      <c r="AM1229" s="1013">
        <f t="shared" si="245"/>
        <v>1421827</v>
      </c>
      <c r="AN1229" s="1045">
        <f t="shared" si="237"/>
        <v>5457758</v>
      </c>
      <c r="AO1229" s="1013">
        <v>0</v>
      </c>
      <c r="AP1229" s="1013">
        <v>0</v>
      </c>
      <c r="AQ1229" s="1013">
        <v>0</v>
      </c>
      <c r="AR1229" s="1013">
        <v>0</v>
      </c>
      <c r="AS1229" s="1013">
        <v>0</v>
      </c>
      <c r="AT1229" s="1045">
        <f t="shared" si="243"/>
        <v>5457758</v>
      </c>
      <c r="AU1229" s="1004"/>
      <c r="AV1229" s="870"/>
      <c r="AW1229" s="782" t="s">
        <v>5907</v>
      </c>
      <c r="AX1229" s="782" t="s">
        <v>5908</v>
      </c>
      <c r="AY1229" s="1007" t="s">
        <v>221</v>
      </c>
      <c r="AZ1229" s="1007">
        <v>622</v>
      </c>
      <c r="BA1229" s="347" t="str">
        <f t="shared" si="244"/>
        <v>Bag</v>
      </c>
      <c r="BB1229" s="1008"/>
      <c r="BC1229" s="1009"/>
      <c r="BD1229" s="1009"/>
    </row>
    <row r="1230" spans="1:56" s="1010" customFormat="1" ht="36.75" customHeight="1">
      <c r="A1230" s="661">
        <f>SUBTOTAL(3,B$6:B1230)</f>
        <v>1225</v>
      </c>
      <c r="B1230" s="661" t="s">
        <v>5811</v>
      </c>
      <c r="C1230" s="662" t="s">
        <v>5812</v>
      </c>
      <c r="D1230" s="1011">
        <v>45757</v>
      </c>
      <c r="E1230" s="1011" t="s">
        <v>221</v>
      </c>
      <c r="F1230" s="787" t="s">
        <v>257</v>
      </c>
      <c r="G1230" s="996" t="s">
        <v>554</v>
      </c>
      <c r="H1230" s="1012">
        <v>4694000</v>
      </c>
      <c r="I1230" s="1012">
        <v>0</v>
      </c>
      <c r="J1230" s="1012">
        <v>235000</v>
      </c>
      <c r="K1230" s="1012">
        <v>0</v>
      </c>
      <c r="L1230" s="1013">
        <f t="shared" si="238"/>
        <v>4929000</v>
      </c>
      <c r="M1230" s="1014">
        <v>17</v>
      </c>
      <c r="N1230" s="1013">
        <f t="shared" si="239"/>
        <v>3222808</v>
      </c>
      <c r="O1230" s="1015">
        <v>1</v>
      </c>
      <c r="P1230" s="1013">
        <f t="shared" si="240"/>
        <v>189577</v>
      </c>
      <c r="Q1230" s="1016">
        <v>0</v>
      </c>
      <c r="R1230" s="1013">
        <f t="shared" si="241"/>
        <v>0</v>
      </c>
      <c r="S1230" s="1013">
        <f t="shared" si="242"/>
        <v>3412385</v>
      </c>
      <c r="T1230" s="1017">
        <v>0</v>
      </c>
      <c r="U1230" s="785">
        <v>0</v>
      </c>
      <c r="V1230" s="785">
        <v>138000</v>
      </c>
      <c r="W1230" s="1017">
        <v>346000</v>
      </c>
      <c r="X1230" s="1017">
        <v>0</v>
      </c>
      <c r="Y1230" s="1017">
        <v>104000</v>
      </c>
      <c r="Z1230" s="1017">
        <v>0</v>
      </c>
      <c r="AA1230" s="1018"/>
      <c r="AB1230" s="1013"/>
      <c r="AC1230" s="1017">
        <v>0</v>
      </c>
      <c r="AD1230" s="1017">
        <v>0</v>
      </c>
      <c r="AE1230" s="1013">
        <v>35545.676470588238</v>
      </c>
      <c r="AF1230" s="1019"/>
      <c r="AG1230" s="1019">
        <f t="shared" si="236"/>
        <v>4035931</v>
      </c>
      <c r="AH1230" s="1014">
        <v>40</v>
      </c>
      <c r="AI1230" s="1014">
        <v>0</v>
      </c>
      <c r="AJ1230" s="1014">
        <v>0</v>
      </c>
      <c r="AK1230" s="1018">
        <v>0</v>
      </c>
      <c r="AL1230" s="1020">
        <v>0</v>
      </c>
      <c r="AM1230" s="1013">
        <f t="shared" si="245"/>
        <v>1421827</v>
      </c>
      <c r="AN1230" s="1045">
        <f t="shared" si="237"/>
        <v>5457758</v>
      </c>
      <c r="AO1230" s="1013">
        <v>0</v>
      </c>
      <c r="AP1230" s="1013">
        <v>0</v>
      </c>
      <c r="AQ1230" s="1013">
        <v>0</v>
      </c>
      <c r="AR1230" s="1013">
        <v>0</v>
      </c>
      <c r="AS1230" s="1013">
        <v>0</v>
      </c>
      <c r="AT1230" s="1045">
        <f t="shared" si="243"/>
        <v>5457758</v>
      </c>
      <c r="AU1230" s="1004"/>
      <c r="AV1230" s="870"/>
      <c r="AW1230" s="782" t="s">
        <v>4223</v>
      </c>
      <c r="AX1230" s="782" t="s">
        <v>5909</v>
      </c>
      <c r="AY1230" s="1007" t="s">
        <v>221</v>
      </c>
      <c r="AZ1230" s="1007">
        <v>622</v>
      </c>
      <c r="BA1230" s="347" t="str">
        <f t="shared" si="244"/>
        <v>Bag</v>
      </c>
      <c r="BB1230" s="1008"/>
      <c r="BC1230" s="1009"/>
      <c r="BD1230" s="1009"/>
    </row>
    <row r="1231" spans="1:56" s="1010" customFormat="1" ht="36.75" customHeight="1">
      <c r="A1231" s="661">
        <f>SUBTOTAL(3,B$6:B1231)</f>
        <v>1226</v>
      </c>
      <c r="B1231" s="661" t="s">
        <v>5813</v>
      </c>
      <c r="C1231" s="662" t="s">
        <v>5814</v>
      </c>
      <c r="D1231" s="1011">
        <v>45761</v>
      </c>
      <c r="E1231" s="1011" t="s">
        <v>221</v>
      </c>
      <c r="F1231" s="787" t="s">
        <v>257</v>
      </c>
      <c r="G1231" s="996" t="s">
        <v>554</v>
      </c>
      <c r="H1231" s="1012">
        <v>4694000</v>
      </c>
      <c r="I1231" s="1012">
        <v>0</v>
      </c>
      <c r="J1231" s="1012">
        <v>0</v>
      </c>
      <c r="K1231" s="1012">
        <v>0</v>
      </c>
      <c r="L1231" s="1013">
        <f t="shared" si="238"/>
        <v>4694000</v>
      </c>
      <c r="M1231" s="1014">
        <v>14</v>
      </c>
      <c r="N1231" s="1013">
        <f t="shared" si="239"/>
        <v>2527538</v>
      </c>
      <c r="O1231" s="1015">
        <v>1</v>
      </c>
      <c r="P1231" s="1013">
        <f t="shared" si="240"/>
        <v>180538</v>
      </c>
      <c r="Q1231" s="1016">
        <v>0</v>
      </c>
      <c r="R1231" s="1013">
        <f t="shared" si="241"/>
        <v>0</v>
      </c>
      <c r="S1231" s="1013">
        <f t="shared" si="242"/>
        <v>2708076</v>
      </c>
      <c r="T1231" s="1017">
        <v>0</v>
      </c>
      <c r="U1231" s="785">
        <v>0</v>
      </c>
      <c r="V1231" s="785">
        <v>115000</v>
      </c>
      <c r="W1231" s="1017">
        <v>288000</v>
      </c>
      <c r="X1231" s="1017">
        <v>0</v>
      </c>
      <c r="Y1231" s="1017">
        <v>87000</v>
      </c>
      <c r="Z1231" s="1017">
        <v>0</v>
      </c>
      <c r="AA1231" s="1018"/>
      <c r="AB1231" s="1013"/>
      <c r="AC1231" s="1017">
        <v>0</v>
      </c>
      <c r="AD1231" s="1017">
        <v>0</v>
      </c>
      <c r="AE1231" s="1013">
        <v>33850.955357142855</v>
      </c>
      <c r="AF1231" s="1019"/>
      <c r="AG1231" s="1019">
        <f t="shared" si="236"/>
        <v>3231927</v>
      </c>
      <c r="AH1231" s="1014">
        <v>28</v>
      </c>
      <c r="AI1231" s="1014">
        <v>0</v>
      </c>
      <c r="AJ1231" s="1014">
        <v>0</v>
      </c>
      <c r="AK1231" s="1018">
        <v>0</v>
      </c>
      <c r="AL1231" s="1020">
        <v>0</v>
      </c>
      <c r="AM1231" s="1013">
        <f t="shared" si="245"/>
        <v>947827</v>
      </c>
      <c r="AN1231" s="1045">
        <f t="shared" si="237"/>
        <v>4179754</v>
      </c>
      <c r="AO1231" s="1013">
        <v>0</v>
      </c>
      <c r="AP1231" s="1013">
        <v>0</v>
      </c>
      <c r="AQ1231" s="1013">
        <v>0</v>
      </c>
      <c r="AR1231" s="1013">
        <v>0</v>
      </c>
      <c r="AS1231" s="1013">
        <v>0</v>
      </c>
      <c r="AT1231" s="1045">
        <f t="shared" si="243"/>
        <v>4179754</v>
      </c>
      <c r="AU1231" s="1004"/>
      <c r="AV1231" s="870"/>
      <c r="AW1231" s="782"/>
      <c r="AX1231" s="782" t="s">
        <v>3644</v>
      </c>
      <c r="AY1231" s="1007" t="s">
        <v>221</v>
      </c>
      <c r="AZ1231" s="1007">
        <v>622</v>
      </c>
      <c r="BA1231" s="347" t="str">
        <f t="shared" si="244"/>
        <v>Bag</v>
      </c>
      <c r="BB1231" s="1008"/>
      <c r="BC1231" s="1009"/>
      <c r="BD1231" s="1009"/>
    </row>
    <row r="1232" spans="1:56" s="1010" customFormat="1" ht="36.75" customHeight="1">
      <c r="A1232" s="661">
        <f>SUBTOTAL(3,B$6:B1232)</f>
        <v>1227</v>
      </c>
      <c r="B1232" s="661" t="s">
        <v>3218</v>
      </c>
      <c r="C1232" s="662" t="s">
        <v>3219</v>
      </c>
      <c r="D1232" s="1011">
        <v>39874</v>
      </c>
      <c r="E1232" s="1011" t="s">
        <v>221</v>
      </c>
      <c r="F1232" s="787" t="s">
        <v>257</v>
      </c>
      <c r="G1232" s="996" t="s">
        <v>1747</v>
      </c>
      <c r="H1232" s="1012">
        <v>5931000</v>
      </c>
      <c r="I1232" s="1012">
        <v>2300000</v>
      </c>
      <c r="J1232" s="1012">
        <v>0</v>
      </c>
      <c r="K1232" s="1012">
        <v>700000</v>
      </c>
      <c r="L1232" s="1013">
        <f t="shared" si="238"/>
        <v>8931000</v>
      </c>
      <c r="M1232" s="1014">
        <v>24</v>
      </c>
      <c r="N1232" s="1013">
        <f t="shared" si="239"/>
        <v>8244000</v>
      </c>
      <c r="O1232" s="1015">
        <v>2</v>
      </c>
      <c r="P1232" s="1013">
        <f t="shared" si="240"/>
        <v>687000</v>
      </c>
      <c r="Q1232" s="1016">
        <v>0</v>
      </c>
      <c r="R1232" s="1013">
        <f t="shared" si="241"/>
        <v>0</v>
      </c>
      <c r="S1232" s="1013">
        <f t="shared" si="242"/>
        <v>8931000</v>
      </c>
      <c r="T1232" s="1017">
        <v>0</v>
      </c>
      <c r="U1232" s="785">
        <v>0</v>
      </c>
      <c r="V1232" s="785">
        <v>200000</v>
      </c>
      <c r="W1232" s="1017">
        <v>500000</v>
      </c>
      <c r="X1232" s="1017">
        <v>0</v>
      </c>
      <c r="Y1232" s="1017">
        <v>400000</v>
      </c>
      <c r="Z1232" s="1017">
        <v>401114</v>
      </c>
      <c r="AA1232" s="1018"/>
      <c r="AB1232" s="1013"/>
      <c r="AC1232" s="1017">
        <v>100000</v>
      </c>
      <c r="AD1232" s="1017">
        <v>0</v>
      </c>
      <c r="AE1232" s="1013">
        <v>64406.25</v>
      </c>
      <c r="AF1232" s="1019"/>
      <c r="AG1232" s="1019">
        <f t="shared" si="236"/>
        <v>10596520</v>
      </c>
      <c r="AH1232" s="1014">
        <v>55</v>
      </c>
      <c r="AI1232" s="1014">
        <v>0</v>
      </c>
      <c r="AJ1232" s="1014">
        <v>0</v>
      </c>
      <c r="AK1232" s="1018">
        <v>0</v>
      </c>
      <c r="AL1232" s="1020">
        <v>0</v>
      </c>
      <c r="AM1232" s="1013">
        <f t="shared" si="245"/>
        <v>3542344</v>
      </c>
      <c r="AN1232" s="1045">
        <f t="shared" si="237"/>
        <v>14138864</v>
      </c>
      <c r="AO1232" s="1013">
        <v>937755</v>
      </c>
      <c r="AP1232" s="1013">
        <v>44100</v>
      </c>
      <c r="AQ1232" s="1013">
        <v>66016</v>
      </c>
      <c r="AR1232" s="1013">
        <v>0</v>
      </c>
      <c r="AS1232" s="1013">
        <v>0</v>
      </c>
      <c r="AT1232" s="1045">
        <f t="shared" si="243"/>
        <v>13090993</v>
      </c>
      <c r="AU1232" s="1004"/>
      <c r="AV1232" s="870"/>
      <c r="AW1232" s="782" t="s">
        <v>5607</v>
      </c>
      <c r="AX1232" s="782" t="s">
        <v>5608</v>
      </c>
      <c r="AY1232" s="1007" t="s">
        <v>221</v>
      </c>
      <c r="AZ1232" s="1007">
        <v>622</v>
      </c>
      <c r="BA1232" s="347" t="str">
        <f t="shared" si="244"/>
        <v>Bag</v>
      </c>
      <c r="BB1232" s="1008"/>
      <c r="BC1232" s="1009"/>
      <c r="BD1232" s="1009"/>
    </row>
    <row r="1233" spans="1:56" s="1010" customFormat="1" ht="36.75" customHeight="1">
      <c r="A1233" s="661">
        <f>SUBTOTAL(3,B$6:B1233)</f>
        <v>1228</v>
      </c>
      <c r="B1233" s="661" t="s">
        <v>3220</v>
      </c>
      <c r="C1233" s="662" t="s">
        <v>3221</v>
      </c>
      <c r="D1233" s="1011">
        <v>39923</v>
      </c>
      <c r="E1233" s="1011" t="s">
        <v>221</v>
      </c>
      <c r="F1233" s="787" t="s">
        <v>257</v>
      </c>
      <c r="G1233" s="996" t="s">
        <v>797</v>
      </c>
      <c r="H1233" s="1012">
        <v>5931000</v>
      </c>
      <c r="I1233" s="1012">
        <v>0</v>
      </c>
      <c r="J1233" s="1012">
        <v>298000</v>
      </c>
      <c r="K1233" s="1012">
        <v>0</v>
      </c>
      <c r="L1233" s="1013">
        <f t="shared" si="238"/>
        <v>6229000</v>
      </c>
      <c r="M1233" s="1014">
        <v>23.9</v>
      </c>
      <c r="N1233" s="1013">
        <f t="shared" si="239"/>
        <v>5725888</v>
      </c>
      <c r="O1233" s="1015">
        <v>2</v>
      </c>
      <c r="P1233" s="1013">
        <f t="shared" si="240"/>
        <v>479154</v>
      </c>
      <c r="Q1233" s="1016">
        <v>0</v>
      </c>
      <c r="R1233" s="1013">
        <f t="shared" si="241"/>
        <v>0</v>
      </c>
      <c r="S1233" s="1013">
        <f t="shared" si="242"/>
        <v>6205042</v>
      </c>
      <c r="T1233" s="1017">
        <v>0</v>
      </c>
      <c r="U1233" s="785">
        <v>0</v>
      </c>
      <c r="V1233" s="785">
        <v>200000</v>
      </c>
      <c r="W1233" s="1017">
        <v>500000</v>
      </c>
      <c r="X1233" s="1017">
        <v>0</v>
      </c>
      <c r="Y1233" s="1017">
        <v>400000</v>
      </c>
      <c r="Z1233" s="1017">
        <v>599569</v>
      </c>
      <c r="AA1233" s="1018"/>
      <c r="AB1233" s="1013"/>
      <c r="AC1233" s="1017">
        <v>0</v>
      </c>
      <c r="AD1233" s="1017">
        <v>0</v>
      </c>
      <c r="AE1233" s="1013">
        <v>44920.669456066949</v>
      </c>
      <c r="AF1233" s="1019"/>
      <c r="AG1233" s="1019">
        <f t="shared" ref="AG1233:AG1277" si="246">ROUND(SUM(S1233:AF1233)-AA1233,0)</f>
        <v>7949532</v>
      </c>
      <c r="AH1233" s="1014">
        <v>56</v>
      </c>
      <c r="AI1233" s="1014">
        <v>0</v>
      </c>
      <c r="AJ1233" s="1014">
        <v>0</v>
      </c>
      <c r="AK1233" s="1018">
        <v>0</v>
      </c>
      <c r="AL1233" s="1020">
        <v>0</v>
      </c>
      <c r="AM1233" s="1013">
        <f t="shared" si="245"/>
        <v>2515557</v>
      </c>
      <c r="AN1233" s="1045">
        <f t="shared" si="237"/>
        <v>10465089</v>
      </c>
      <c r="AO1233" s="1013">
        <v>654045</v>
      </c>
      <c r="AP1233" s="1013">
        <v>44100</v>
      </c>
      <c r="AQ1233" s="1013">
        <v>0</v>
      </c>
      <c r="AR1233" s="1013">
        <v>0</v>
      </c>
      <c r="AS1233" s="1013">
        <v>0</v>
      </c>
      <c r="AT1233" s="1045">
        <f t="shared" si="243"/>
        <v>9766944</v>
      </c>
      <c r="AU1233" s="1004"/>
      <c r="AV1233" s="870"/>
      <c r="AW1233" s="782" t="s">
        <v>5609</v>
      </c>
      <c r="AX1233" s="782" t="s">
        <v>5610</v>
      </c>
      <c r="AY1233" s="1007" t="s">
        <v>221</v>
      </c>
      <c r="AZ1233" s="1007">
        <v>622</v>
      </c>
      <c r="BA1233" s="347" t="str">
        <f t="shared" si="244"/>
        <v>Bag</v>
      </c>
      <c r="BB1233" s="1008"/>
      <c r="BC1233" s="1009"/>
      <c r="BD1233" s="1009"/>
    </row>
    <row r="1234" spans="1:56" s="1010" customFormat="1" ht="36.75" customHeight="1">
      <c r="A1234" s="661">
        <f>SUBTOTAL(3,B$6:B1234)</f>
        <v>1229</v>
      </c>
      <c r="B1234" s="661" t="s">
        <v>3222</v>
      </c>
      <c r="C1234" s="662" t="s">
        <v>3223</v>
      </c>
      <c r="D1234" s="1011">
        <v>40249</v>
      </c>
      <c r="E1234" s="1011" t="s">
        <v>221</v>
      </c>
      <c r="F1234" s="787" t="s">
        <v>257</v>
      </c>
      <c r="G1234" s="996" t="s">
        <v>920</v>
      </c>
      <c r="H1234" s="1012">
        <v>5931000</v>
      </c>
      <c r="I1234" s="1012">
        <v>0</v>
      </c>
      <c r="J1234" s="1012">
        <v>0</v>
      </c>
      <c r="K1234" s="1012">
        <v>0</v>
      </c>
      <c r="L1234" s="1013">
        <f t="shared" si="238"/>
        <v>5931000</v>
      </c>
      <c r="M1234" s="1014">
        <v>23</v>
      </c>
      <c r="N1234" s="1013">
        <f t="shared" si="239"/>
        <v>5246654</v>
      </c>
      <c r="O1234" s="1015">
        <v>3</v>
      </c>
      <c r="P1234" s="1013">
        <f t="shared" si="240"/>
        <v>684346</v>
      </c>
      <c r="Q1234" s="1016">
        <v>0</v>
      </c>
      <c r="R1234" s="1013">
        <f t="shared" si="241"/>
        <v>0</v>
      </c>
      <c r="S1234" s="1013">
        <f t="shared" si="242"/>
        <v>5931000</v>
      </c>
      <c r="T1234" s="1017">
        <v>0</v>
      </c>
      <c r="U1234" s="785">
        <v>0</v>
      </c>
      <c r="V1234" s="785">
        <v>200000</v>
      </c>
      <c r="W1234" s="1017">
        <v>500000</v>
      </c>
      <c r="X1234" s="1017">
        <v>0</v>
      </c>
      <c r="Y1234" s="1017">
        <v>400000</v>
      </c>
      <c r="Z1234" s="1017">
        <v>268780</v>
      </c>
      <c r="AA1234" s="1018"/>
      <c r="AB1234" s="1013"/>
      <c r="AC1234" s="1017">
        <v>200000</v>
      </c>
      <c r="AD1234" s="1017">
        <v>0</v>
      </c>
      <c r="AE1234" s="1013">
        <v>42771.635869565216</v>
      </c>
      <c r="AF1234" s="1019"/>
      <c r="AG1234" s="1019">
        <f t="shared" si="246"/>
        <v>7542552</v>
      </c>
      <c r="AH1234" s="1014">
        <v>52</v>
      </c>
      <c r="AI1234" s="1014">
        <v>0</v>
      </c>
      <c r="AJ1234" s="1014">
        <v>0</v>
      </c>
      <c r="AK1234" s="1018">
        <v>0</v>
      </c>
      <c r="AL1234" s="1020">
        <v>0</v>
      </c>
      <c r="AM1234" s="1013">
        <f t="shared" si="245"/>
        <v>2224125</v>
      </c>
      <c r="AN1234" s="1045">
        <f t="shared" si="237"/>
        <v>9766677</v>
      </c>
      <c r="AO1234" s="1013">
        <v>622755</v>
      </c>
      <c r="AP1234" s="1013">
        <v>44100</v>
      </c>
      <c r="AQ1234" s="1013">
        <v>0</v>
      </c>
      <c r="AR1234" s="1013">
        <v>0</v>
      </c>
      <c r="AS1234" s="1013">
        <v>0</v>
      </c>
      <c r="AT1234" s="1045">
        <f t="shared" si="243"/>
        <v>9099822</v>
      </c>
      <c r="AU1234" s="1004"/>
      <c r="AV1234" s="870"/>
      <c r="AW1234" s="782" t="s">
        <v>5611</v>
      </c>
      <c r="AX1234" s="782" t="s">
        <v>5612</v>
      </c>
      <c r="AY1234" s="1007" t="s">
        <v>221</v>
      </c>
      <c r="AZ1234" s="1007">
        <v>622</v>
      </c>
      <c r="BA1234" s="347" t="str">
        <f t="shared" si="244"/>
        <v>Bag</v>
      </c>
      <c r="BB1234" s="1008"/>
      <c r="BC1234" s="1009"/>
      <c r="BD1234" s="1009"/>
    </row>
    <row r="1235" spans="1:56" s="1010" customFormat="1" ht="36.75" customHeight="1">
      <c r="A1235" s="661">
        <f>SUBTOTAL(3,B$6:B1235)</f>
        <v>1230</v>
      </c>
      <c r="B1235" s="661" t="s">
        <v>3224</v>
      </c>
      <c r="C1235" s="662" t="s">
        <v>3225</v>
      </c>
      <c r="D1235" s="1011">
        <v>40395</v>
      </c>
      <c r="E1235" s="1011" t="s">
        <v>221</v>
      </c>
      <c r="F1235" s="787" t="s">
        <v>257</v>
      </c>
      <c r="G1235" s="996" t="s">
        <v>797</v>
      </c>
      <c r="H1235" s="1012">
        <v>5931000</v>
      </c>
      <c r="I1235" s="1012">
        <v>0</v>
      </c>
      <c r="J1235" s="1012">
        <v>0</v>
      </c>
      <c r="K1235" s="1012">
        <v>0</v>
      </c>
      <c r="L1235" s="1013">
        <f t="shared" si="238"/>
        <v>5931000</v>
      </c>
      <c r="M1235" s="1014">
        <v>24</v>
      </c>
      <c r="N1235" s="1013">
        <f t="shared" si="239"/>
        <v>5474769</v>
      </c>
      <c r="O1235" s="1015">
        <v>2</v>
      </c>
      <c r="P1235" s="1013">
        <f t="shared" si="240"/>
        <v>456231</v>
      </c>
      <c r="Q1235" s="1016">
        <v>0</v>
      </c>
      <c r="R1235" s="1013">
        <f t="shared" si="241"/>
        <v>0</v>
      </c>
      <c r="S1235" s="1013">
        <f t="shared" si="242"/>
        <v>5931000</v>
      </c>
      <c r="T1235" s="1017">
        <v>0</v>
      </c>
      <c r="U1235" s="785">
        <v>0</v>
      </c>
      <c r="V1235" s="785">
        <v>200000</v>
      </c>
      <c r="W1235" s="1017">
        <v>500000</v>
      </c>
      <c r="X1235" s="1017">
        <v>0</v>
      </c>
      <c r="Y1235" s="1017">
        <v>400000</v>
      </c>
      <c r="Z1235" s="1017">
        <v>613473</v>
      </c>
      <c r="AA1235" s="1018"/>
      <c r="AB1235" s="1013"/>
      <c r="AC1235" s="1017">
        <v>0</v>
      </c>
      <c r="AD1235" s="1017">
        <v>0</v>
      </c>
      <c r="AE1235" s="1013">
        <v>42771.6328125</v>
      </c>
      <c r="AF1235" s="1019"/>
      <c r="AG1235" s="1019">
        <f t="shared" si="246"/>
        <v>7687245</v>
      </c>
      <c r="AH1235" s="1014">
        <v>56</v>
      </c>
      <c r="AI1235" s="1014">
        <v>0</v>
      </c>
      <c r="AJ1235" s="1014">
        <v>0</v>
      </c>
      <c r="AK1235" s="1018">
        <v>0</v>
      </c>
      <c r="AL1235" s="1020">
        <v>0</v>
      </c>
      <c r="AM1235" s="1013">
        <f t="shared" si="245"/>
        <v>2395211</v>
      </c>
      <c r="AN1235" s="1045">
        <f t="shared" si="237"/>
        <v>10082456</v>
      </c>
      <c r="AO1235" s="1013">
        <v>622755</v>
      </c>
      <c r="AP1235" s="1013">
        <v>44100</v>
      </c>
      <c r="AQ1235" s="1013">
        <v>0</v>
      </c>
      <c r="AR1235" s="1013">
        <v>0</v>
      </c>
      <c r="AS1235" s="1013">
        <v>0</v>
      </c>
      <c r="AT1235" s="1045">
        <f t="shared" si="243"/>
        <v>9415601</v>
      </c>
      <c r="AU1235" s="1004"/>
      <c r="AV1235" s="870"/>
      <c r="AW1235" s="782" t="s">
        <v>5613</v>
      </c>
      <c r="AX1235" s="782" t="s">
        <v>5614</v>
      </c>
      <c r="AY1235" s="1007" t="s">
        <v>221</v>
      </c>
      <c r="AZ1235" s="1007">
        <v>622</v>
      </c>
      <c r="BA1235" s="347" t="str">
        <f t="shared" si="244"/>
        <v>Bag</v>
      </c>
      <c r="BB1235" s="1008"/>
      <c r="BC1235" s="1009"/>
      <c r="BD1235" s="1009"/>
    </row>
    <row r="1236" spans="1:56" s="1010" customFormat="1" ht="36.75" customHeight="1">
      <c r="A1236" s="661">
        <f>SUBTOTAL(3,B$6:B1236)</f>
        <v>1231</v>
      </c>
      <c r="B1236" s="661" t="s">
        <v>3226</v>
      </c>
      <c r="C1236" s="662" t="s">
        <v>3227</v>
      </c>
      <c r="D1236" s="1011">
        <v>40752</v>
      </c>
      <c r="E1236" s="1011" t="s">
        <v>221</v>
      </c>
      <c r="F1236" s="787" t="s">
        <v>257</v>
      </c>
      <c r="G1236" s="996" t="s">
        <v>920</v>
      </c>
      <c r="H1236" s="1012">
        <v>5931000</v>
      </c>
      <c r="I1236" s="1012">
        <v>0</v>
      </c>
      <c r="J1236" s="1012">
        <v>0</v>
      </c>
      <c r="K1236" s="1012">
        <v>0</v>
      </c>
      <c r="L1236" s="1013">
        <f t="shared" si="238"/>
        <v>5931000</v>
      </c>
      <c r="M1236" s="1014">
        <v>24</v>
      </c>
      <c r="N1236" s="1013">
        <f t="shared" si="239"/>
        <v>5474769</v>
      </c>
      <c r="O1236" s="1015">
        <v>2</v>
      </c>
      <c r="P1236" s="1013">
        <f t="shared" si="240"/>
        <v>456231</v>
      </c>
      <c r="Q1236" s="1016">
        <v>0</v>
      </c>
      <c r="R1236" s="1013">
        <f t="shared" si="241"/>
        <v>0</v>
      </c>
      <c r="S1236" s="1013">
        <f t="shared" si="242"/>
        <v>5931000</v>
      </c>
      <c r="T1236" s="1017">
        <v>0</v>
      </c>
      <c r="U1236" s="785">
        <v>0</v>
      </c>
      <c r="V1236" s="785">
        <v>200000</v>
      </c>
      <c r="W1236" s="1017">
        <v>500000</v>
      </c>
      <c r="X1236" s="1017">
        <v>0</v>
      </c>
      <c r="Y1236" s="1017">
        <v>400000</v>
      </c>
      <c r="Z1236" s="1017">
        <v>613473</v>
      </c>
      <c r="AA1236" s="1018"/>
      <c r="AB1236" s="1013"/>
      <c r="AC1236" s="1017">
        <v>0</v>
      </c>
      <c r="AD1236" s="1017">
        <v>0</v>
      </c>
      <c r="AE1236" s="1013">
        <v>0</v>
      </c>
      <c r="AF1236" s="1019"/>
      <c r="AG1236" s="1019">
        <f t="shared" si="246"/>
        <v>7644473</v>
      </c>
      <c r="AH1236" s="1014">
        <v>56</v>
      </c>
      <c r="AI1236" s="1014">
        <v>0</v>
      </c>
      <c r="AJ1236" s="1014">
        <v>0</v>
      </c>
      <c r="AK1236" s="1018">
        <v>0</v>
      </c>
      <c r="AL1236" s="1020">
        <v>0</v>
      </c>
      <c r="AM1236" s="1013">
        <f t="shared" si="245"/>
        <v>2395211</v>
      </c>
      <c r="AN1236" s="1045">
        <f t="shared" si="237"/>
        <v>10039684</v>
      </c>
      <c r="AO1236" s="1013">
        <v>622755</v>
      </c>
      <c r="AP1236" s="1013">
        <v>44100</v>
      </c>
      <c r="AQ1236" s="1013">
        <v>0</v>
      </c>
      <c r="AR1236" s="1013">
        <v>0</v>
      </c>
      <c r="AS1236" s="1013">
        <v>0</v>
      </c>
      <c r="AT1236" s="1045">
        <f t="shared" si="243"/>
        <v>9372829</v>
      </c>
      <c r="AU1236" s="1004"/>
      <c r="AV1236" s="870"/>
      <c r="AW1236" s="782" t="s">
        <v>5615</v>
      </c>
      <c r="AX1236" s="782" t="s">
        <v>5616</v>
      </c>
      <c r="AY1236" s="1007" t="s">
        <v>221</v>
      </c>
      <c r="AZ1236" s="1007">
        <v>622</v>
      </c>
      <c r="BA1236" s="347" t="str">
        <f t="shared" si="244"/>
        <v>Bag</v>
      </c>
      <c r="BB1236" s="1008"/>
      <c r="BC1236" s="1009"/>
      <c r="BD1236" s="1009"/>
    </row>
    <row r="1237" spans="1:56" s="1010" customFormat="1" ht="36.75" customHeight="1">
      <c r="A1237" s="661">
        <f>SUBTOTAL(3,B$6:B1237)</f>
        <v>1232</v>
      </c>
      <c r="B1237" s="661" t="s">
        <v>3228</v>
      </c>
      <c r="C1237" s="662" t="s">
        <v>3229</v>
      </c>
      <c r="D1237" s="1011">
        <v>40823</v>
      </c>
      <c r="E1237" s="1011" t="s">
        <v>221</v>
      </c>
      <c r="F1237" s="787" t="s">
        <v>257</v>
      </c>
      <c r="G1237" s="996" t="s">
        <v>1232</v>
      </c>
      <c r="H1237" s="1012">
        <v>5931000</v>
      </c>
      <c r="I1237" s="1012">
        <v>200000</v>
      </c>
      <c r="J1237" s="1012">
        <v>0</v>
      </c>
      <c r="K1237" s="1012">
        <v>0</v>
      </c>
      <c r="L1237" s="1013">
        <f t="shared" si="238"/>
        <v>6131000</v>
      </c>
      <c r="M1237" s="1014">
        <v>18</v>
      </c>
      <c r="N1237" s="1013">
        <f t="shared" si="239"/>
        <v>4244538</v>
      </c>
      <c r="O1237" s="1015">
        <v>5</v>
      </c>
      <c r="P1237" s="1013">
        <f t="shared" si="240"/>
        <v>1179038</v>
      </c>
      <c r="Q1237" s="1016">
        <v>0</v>
      </c>
      <c r="R1237" s="1013">
        <f t="shared" si="241"/>
        <v>0</v>
      </c>
      <c r="S1237" s="1013">
        <f t="shared" si="242"/>
        <v>5423576</v>
      </c>
      <c r="T1237" s="1017">
        <v>0</v>
      </c>
      <c r="U1237" s="785">
        <v>0</v>
      </c>
      <c r="V1237" s="785">
        <v>200000</v>
      </c>
      <c r="W1237" s="1017">
        <v>0</v>
      </c>
      <c r="X1237" s="1017">
        <v>0</v>
      </c>
      <c r="Y1237" s="1017">
        <v>0</v>
      </c>
      <c r="Z1237" s="1017">
        <v>216320</v>
      </c>
      <c r="AA1237" s="1018"/>
      <c r="AB1237" s="1013"/>
      <c r="AC1237" s="1017">
        <v>0</v>
      </c>
      <c r="AD1237" s="1017">
        <v>0</v>
      </c>
      <c r="AE1237" s="1013">
        <v>44213.9375</v>
      </c>
      <c r="AF1237" s="1019"/>
      <c r="AG1237" s="1019">
        <f t="shared" si="246"/>
        <v>5884110</v>
      </c>
      <c r="AH1237" s="1014">
        <v>44</v>
      </c>
      <c r="AI1237" s="1014">
        <v>0</v>
      </c>
      <c r="AJ1237" s="1014">
        <v>0</v>
      </c>
      <c r="AK1237" s="1018">
        <v>0</v>
      </c>
      <c r="AL1237" s="1020">
        <v>0</v>
      </c>
      <c r="AM1237" s="1013">
        <f t="shared" si="245"/>
        <v>1945413</v>
      </c>
      <c r="AN1237" s="1045">
        <f t="shared" si="237"/>
        <v>7829523</v>
      </c>
      <c r="AO1237" s="1013">
        <v>643755</v>
      </c>
      <c r="AP1237" s="1013">
        <v>44100</v>
      </c>
      <c r="AQ1237" s="1013">
        <v>0</v>
      </c>
      <c r="AR1237" s="1013">
        <v>0</v>
      </c>
      <c r="AS1237" s="1013">
        <v>0</v>
      </c>
      <c r="AT1237" s="1045">
        <f t="shared" si="243"/>
        <v>7141668</v>
      </c>
      <c r="AU1237" s="1004"/>
      <c r="AV1237" s="870"/>
      <c r="AW1237" s="782" t="s">
        <v>5617</v>
      </c>
      <c r="AX1237" s="782" t="s">
        <v>5618</v>
      </c>
      <c r="AY1237" s="1007" t="s">
        <v>221</v>
      </c>
      <c r="AZ1237" s="1007">
        <v>622</v>
      </c>
      <c r="BA1237" s="347" t="str">
        <f t="shared" si="244"/>
        <v>Bag</v>
      </c>
      <c r="BB1237" s="1008"/>
      <c r="BC1237" s="1009"/>
      <c r="BD1237" s="1009"/>
    </row>
    <row r="1238" spans="1:56" s="1010" customFormat="1" ht="36.75" customHeight="1">
      <c r="A1238" s="661">
        <f>SUBTOTAL(3,B$6:B1238)</f>
        <v>1233</v>
      </c>
      <c r="B1238" s="661" t="s">
        <v>3230</v>
      </c>
      <c r="C1238" s="662" t="s">
        <v>3231</v>
      </c>
      <c r="D1238" s="1011">
        <v>43085</v>
      </c>
      <c r="E1238" s="1011" t="s">
        <v>221</v>
      </c>
      <c r="F1238" s="787" t="s">
        <v>257</v>
      </c>
      <c r="G1238" s="996" t="s">
        <v>1747</v>
      </c>
      <c r="H1238" s="1012">
        <v>5931000</v>
      </c>
      <c r="I1238" s="1012">
        <v>2300000</v>
      </c>
      <c r="J1238" s="1012">
        <v>298000</v>
      </c>
      <c r="K1238" s="1012">
        <v>500000</v>
      </c>
      <c r="L1238" s="1013">
        <f t="shared" si="238"/>
        <v>9029000</v>
      </c>
      <c r="M1238" s="1014">
        <v>23.9</v>
      </c>
      <c r="N1238" s="1013">
        <f t="shared" si="239"/>
        <v>8299735</v>
      </c>
      <c r="O1238" s="1015">
        <v>2</v>
      </c>
      <c r="P1238" s="1013">
        <f t="shared" si="240"/>
        <v>694538</v>
      </c>
      <c r="Q1238" s="1016">
        <v>0</v>
      </c>
      <c r="R1238" s="1013">
        <f t="shared" si="241"/>
        <v>0</v>
      </c>
      <c r="S1238" s="1013">
        <f t="shared" si="242"/>
        <v>8994273</v>
      </c>
      <c r="T1238" s="1017">
        <v>0</v>
      </c>
      <c r="U1238" s="785">
        <v>0</v>
      </c>
      <c r="V1238" s="785">
        <v>200000</v>
      </c>
      <c r="W1238" s="1017">
        <v>500000</v>
      </c>
      <c r="X1238" s="1017">
        <v>0</v>
      </c>
      <c r="Y1238" s="1017">
        <v>400000</v>
      </c>
      <c r="Z1238" s="1017">
        <v>469448</v>
      </c>
      <c r="AA1238" s="1018"/>
      <c r="AB1238" s="1013"/>
      <c r="AC1238" s="1017">
        <v>0</v>
      </c>
      <c r="AD1238" s="1017">
        <v>0</v>
      </c>
      <c r="AE1238" s="1013">
        <v>65112.983786610886</v>
      </c>
      <c r="AF1238" s="1019"/>
      <c r="AG1238" s="1019">
        <f t="shared" si="246"/>
        <v>10628834</v>
      </c>
      <c r="AH1238" s="1014">
        <v>55</v>
      </c>
      <c r="AI1238" s="1014">
        <v>0</v>
      </c>
      <c r="AJ1238" s="1014">
        <v>0</v>
      </c>
      <c r="AK1238" s="1018">
        <v>0</v>
      </c>
      <c r="AL1238" s="1020">
        <v>0</v>
      </c>
      <c r="AM1238" s="1013">
        <f t="shared" si="245"/>
        <v>3581214</v>
      </c>
      <c r="AN1238" s="1045">
        <f t="shared" si="237"/>
        <v>14210048</v>
      </c>
      <c r="AO1238" s="1013">
        <v>948045</v>
      </c>
      <c r="AP1238" s="1013">
        <v>44100</v>
      </c>
      <c r="AQ1238" s="1013">
        <v>68413</v>
      </c>
      <c r="AR1238" s="1013">
        <v>0</v>
      </c>
      <c r="AS1238" s="1013">
        <v>0</v>
      </c>
      <c r="AT1238" s="1045">
        <f t="shared" si="243"/>
        <v>13149490</v>
      </c>
      <c r="AU1238" s="1004"/>
      <c r="AV1238" s="870"/>
      <c r="AW1238" s="782" t="s">
        <v>5619</v>
      </c>
      <c r="AX1238" s="782" t="s">
        <v>5620</v>
      </c>
      <c r="AY1238" s="1007" t="s">
        <v>221</v>
      </c>
      <c r="AZ1238" s="1007">
        <v>622</v>
      </c>
      <c r="BA1238" s="347" t="str">
        <f t="shared" si="244"/>
        <v>Bag</v>
      </c>
      <c r="BB1238" s="1008"/>
      <c r="BC1238" s="1009"/>
      <c r="BD1238" s="1009"/>
    </row>
    <row r="1239" spans="1:56" s="1010" customFormat="1" ht="36.75" customHeight="1">
      <c r="A1239" s="661">
        <f>SUBTOTAL(3,B$6:B1239)</f>
        <v>1234</v>
      </c>
      <c r="B1239" s="661" t="s">
        <v>3232</v>
      </c>
      <c r="C1239" s="662" t="s">
        <v>3233</v>
      </c>
      <c r="D1239" s="1011">
        <v>43528</v>
      </c>
      <c r="E1239" s="1011" t="s">
        <v>221</v>
      </c>
      <c r="F1239" s="787" t="s">
        <v>257</v>
      </c>
      <c r="G1239" s="996" t="s">
        <v>797</v>
      </c>
      <c r="H1239" s="1012">
        <v>5931000</v>
      </c>
      <c r="I1239" s="1012">
        <v>0</v>
      </c>
      <c r="J1239" s="1012">
        <v>298000</v>
      </c>
      <c r="K1239" s="1012">
        <v>0</v>
      </c>
      <c r="L1239" s="1013">
        <f t="shared" si="238"/>
        <v>6229000</v>
      </c>
      <c r="M1239" s="1014">
        <v>24</v>
      </c>
      <c r="N1239" s="1013">
        <f t="shared" si="239"/>
        <v>5749846</v>
      </c>
      <c r="O1239" s="1015">
        <v>2</v>
      </c>
      <c r="P1239" s="1013">
        <f t="shared" si="240"/>
        <v>479154</v>
      </c>
      <c r="Q1239" s="1016">
        <v>0</v>
      </c>
      <c r="R1239" s="1013">
        <f t="shared" si="241"/>
        <v>0</v>
      </c>
      <c r="S1239" s="1013">
        <f t="shared" si="242"/>
        <v>6229000</v>
      </c>
      <c r="T1239" s="1017">
        <v>0</v>
      </c>
      <c r="U1239" s="785">
        <v>0</v>
      </c>
      <c r="V1239" s="785">
        <v>200000</v>
      </c>
      <c r="W1239" s="1017">
        <v>500000</v>
      </c>
      <c r="X1239" s="1017">
        <v>0</v>
      </c>
      <c r="Y1239" s="1017">
        <v>400000</v>
      </c>
      <c r="Z1239" s="1017">
        <v>599569</v>
      </c>
      <c r="AA1239" s="1018"/>
      <c r="AB1239" s="1013"/>
      <c r="AC1239" s="1017">
        <v>0</v>
      </c>
      <c r="AD1239" s="1017">
        <v>0</v>
      </c>
      <c r="AE1239" s="1013">
        <v>44920.671875</v>
      </c>
      <c r="AF1239" s="1019"/>
      <c r="AG1239" s="1019">
        <f t="shared" si="246"/>
        <v>7973490</v>
      </c>
      <c r="AH1239" s="1014">
        <v>56</v>
      </c>
      <c r="AI1239" s="1014">
        <v>0</v>
      </c>
      <c r="AJ1239" s="1014">
        <v>0</v>
      </c>
      <c r="AK1239" s="1018">
        <v>0</v>
      </c>
      <c r="AL1239" s="1020">
        <v>0</v>
      </c>
      <c r="AM1239" s="1013">
        <f t="shared" si="245"/>
        <v>2515558</v>
      </c>
      <c r="AN1239" s="1045">
        <f t="shared" si="237"/>
        <v>10489048</v>
      </c>
      <c r="AO1239" s="1013">
        <v>654045</v>
      </c>
      <c r="AP1239" s="1013">
        <v>44100</v>
      </c>
      <c r="AQ1239" s="1013">
        <v>0</v>
      </c>
      <c r="AR1239" s="1013">
        <v>0</v>
      </c>
      <c r="AS1239" s="1013">
        <v>0</v>
      </c>
      <c r="AT1239" s="1045">
        <f t="shared" si="243"/>
        <v>9790903</v>
      </c>
      <c r="AU1239" s="1004"/>
      <c r="AV1239" s="870"/>
      <c r="AW1239" s="782" t="s">
        <v>5621</v>
      </c>
      <c r="AX1239" s="782" t="s">
        <v>5622</v>
      </c>
      <c r="AY1239" s="1007" t="s">
        <v>221</v>
      </c>
      <c r="AZ1239" s="1007">
        <v>622</v>
      </c>
      <c r="BA1239" s="347" t="str">
        <f t="shared" si="244"/>
        <v>Bag</v>
      </c>
      <c r="BB1239" s="1008"/>
      <c r="BC1239" s="1009"/>
      <c r="BD1239" s="1009"/>
    </row>
    <row r="1240" spans="1:56" s="1010" customFormat="1" ht="36.75" customHeight="1">
      <c r="A1240" s="661">
        <f>SUBTOTAL(3,B$6:B1240)</f>
        <v>1235</v>
      </c>
      <c r="B1240" s="661" t="s">
        <v>3234</v>
      </c>
      <c r="C1240" s="662" t="s">
        <v>3235</v>
      </c>
      <c r="D1240" s="1011">
        <v>43538</v>
      </c>
      <c r="E1240" s="1011" t="s">
        <v>221</v>
      </c>
      <c r="F1240" s="787" t="s">
        <v>257</v>
      </c>
      <c r="G1240" s="996" t="s">
        <v>797</v>
      </c>
      <c r="H1240" s="1012">
        <v>5931000</v>
      </c>
      <c r="I1240" s="1012">
        <v>0</v>
      </c>
      <c r="J1240" s="1012">
        <v>0</v>
      </c>
      <c r="K1240" s="1012">
        <v>0</v>
      </c>
      <c r="L1240" s="1013">
        <f t="shared" si="238"/>
        <v>5931000</v>
      </c>
      <c r="M1240" s="1014">
        <v>24</v>
      </c>
      <c r="N1240" s="1013">
        <f t="shared" si="239"/>
        <v>5474769</v>
      </c>
      <c r="O1240" s="1015">
        <v>2</v>
      </c>
      <c r="P1240" s="1013">
        <f t="shared" si="240"/>
        <v>456231</v>
      </c>
      <c r="Q1240" s="1016">
        <v>0</v>
      </c>
      <c r="R1240" s="1013">
        <f t="shared" si="241"/>
        <v>0</v>
      </c>
      <c r="S1240" s="1013">
        <f t="shared" si="242"/>
        <v>5931000</v>
      </c>
      <c r="T1240" s="1017">
        <v>0</v>
      </c>
      <c r="U1240" s="785">
        <v>0</v>
      </c>
      <c r="V1240" s="785">
        <v>200000</v>
      </c>
      <c r="W1240" s="1017">
        <v>500000</v>
      </c>
      <c r="X1240" s="1017">
        <v>0</v>
      </c>
      <c r="Y1240" s="1017">
        <v>400000</v>
      </c>
      <c r="Z1240" s="1017">
        <v>649938</v>
      </c>
      <c r="AA1240" s="1018"/>
      <c r="AB1240" s="1013"/>
      <c r="AC1240" s="1017">
        <v>0</v>
      </c>
      <c r="AD1240" s="1017">
        <v>0</v>
      </c>
      <c r="AE1240" s="1013">
        <v>0</v>
      </c>
      <c r="AF1240" s="1019"/>
      <c r="AG1240" s="1019">
        <f t="shared" si="246"/>
        <v>7680938</v>
      </c>
      <c r="AH1240" s="1014">
        <v>56</v>
      </c>
      <c r="AI1240" s="1014">
        <v>0</v>
      </c>
      <c r="AJ1240" s="1014">
        <v>0</v>
      </c>
      <c r="AK1240" s="1018">
        <v>0</v>
      </c>
      <c r="AL1240" s="1020">
        <v>0</v>
      </c>
      <c r="AM1240" s="1013">
        <f t="shared" si="245"/>
        <v>2395211</v>
      </c>
      <c r="AN1240" s="1045">
        <f t="shared" si="237"/>
        <v>10076149</v>
      </c>
      <c r="AO1240" s="1013">
        <v>622755</v>
      </c>
      <c r="AP1240" s="1013">
        <v>44100</v>
      </c>
      <c r="AQ1240" s="1013">
        <v>0</v>
      </c>
      <c r="AR1240" s="1013">
        <v>0</v>
      </c>
      <c r="AS1240" s="1013">
        <v>0</v>
      </c>
      <c r="AT1240" s="1045">
        <f t="shared" si="243"/>
        <v>9409294</v>
      </c>
      <c r="AU1240" s="1004"/>
      <c r="AV1240" s="870"/>
      <c r="AW1240" s="782" t="s">
        <v>5623</v>
      </c>
      <c r="AX1240" s="782" t="s">
        <v>5624</v>
      </c>
      <c r="AY1240" s="1007" t="s">
        <v>221</v>
      </c>
      <c r="AZ1240" s="1007">
        <v>622</v>
      </c>
      <c r="BA1240" s="347" t="str">
        <f t="shared" si="244"/>
        <v>Bag</v>
      </c>
      <c r="BB1240" s="1008"/>
      <c r="BC1240" s="1009"/>
      <c r="BD1240" s="1009"/>
    </row>
    <row r="1241" spans="1:56" s="1010" customFormat="1" ht="36.75" customHeight="1">
      <c r="A1241" s="661">
        <f>SUBTOTAL(3,B$6:B1241)</f>
        <v>1236</v>
      </c>
      <c r="B1241" s="661" t="s">
        <v>3236</v>
      </c>
      <c r="C1241" s="662" t="s">
        <v>3237</v>
      </c>
      <c r="D1241" s="1011">
        <v>43517</v>
      </c>
      <c r="E1241" s="1011" t="s">
        <v>221</v>
      </c>
      <c r="F1241" s="787" t="s">
        <v>289</v>
      </c>
      <c r="G1241" s="996" t="s">
        <v>973</v>
      </c>
      <c r="H1241" s="1012">
        <v>5931000</v>
      </c>
      <c r="I1241" s="1012">
        <v>1800000</v>
      </c>
      <c r="J1241" s="1012">
        <v>298000</v>
      </c>
      <c r="K1241" s="1012">
        <v>0</v>
      </c>
      <c r="L1241" s="1013">
        <f t="shared" si="238"/>
        <v>8029000</v>
      </c>
      <c r="M1241" s="1014">
        <v>23.9</v>
      </c>
      <c r="N1241" s="1013">
        <f t="shared" si="239"/>
        <v>7380504</v>
      </c>
      <c r="O1241" s="1015">
        <v>2</v>
      </c>
      <c r="P1241" s="1013">
        <f t="shared" si="240"/>
        <v>617615</v>
      </c>
      <c r="Q1241" s="1016">
        <v>0</v>
      </c>
      <c r="R1241" s="1013">
        <f t="shared" si="241"/>
        <v>0</v>
      </c>
      <c r="S1241" s="1013">
        <f t="shared" si="242"/>
        <v>7998119</v>
      </c>
      <c r="T1241" s="1017">
        <v>0</v>
      </c>
      <c r="U1241" s="785">
        <v>0</v>
      </c>
      <c r="V1241" s="785">
        <v>200000</v>
      </c>
      <c r="W1241" s="1017">
        <v>500000</v>
      </c>
      <c r="X1241" s="1017">
        <v>0</v>
      </c>
      <c r="Y1241" s="1017">
        <v>400000</v>
      </c>
      <c r="Z1241" s="1017">
        <v>425501</v>
      </c>
      <c r="AA1241" s="1018"/>
      <c r="AB1241" s="1013"/>
      <c r="AC1241" s="1017">
        <v>100000</v>
      </c>
      <c r="AD1241" s="1017">
        <v>0</v>
      </c>
      <c r="AE1241" s="1013">
        <v>0</v>
      </c>
      <c r="AF1241" s="1019"/>
      <c r="AG1241" s="1019">
        <f t="shared" si="246"/>
        <v>9623620</v>
      </c>
      <c r="AH1241" s="1014">
        <v>56</v>
      </c>
      <c r="AI1241" s="1014">
        <v>0</v>
      </c>
      <c r="AJ1241" s="1014">
        <v>0</v>
      </c>
      <c r="AK1241" s="1018">
        <v>0</v>
      </c>
      <c r="AL1241" s="1020">
        <v>0</v>
      </c>
      <c r="AM1241" s="1013">
        <f t="shared" si="245"/>
        <v>3242481</v>
      </c>
      <c r="AN1241" s="1045">
        <f t="shared" si="237"/>
        <v>12866101</v>
      </c>
      <c r="AO1241" s="1013">
        <v>843045</v>
      </c>
      <c r="AP1241" s="1013">
        <v>44100</v>
      </c>
      <c r="AQ1241" s="1013">
        <v>0</v>
      </c>
      <c r="AR1241" s="1013">
        <v>0</v>
      </c>
      <c r="AS1241" s="1013">
        <v>0</v>
      </c>
      <c r="AT1241" s="1045">
        <f t="shared" si="243"/>
        <v>11978956</v>
      </c>
      <c r="AU1241" s="1004"/>
      <c r="AV1241" s="870"/>
      <c r="AW1241" s="782" t="s">
        <v>5625</v>
      </c>
      <c r="AX1241" s="782" t="s">
        <v>5626</v>
      </c>
      <c r="AY1241" s="1007" t="s">
        <v>221</v>
      </c>
      <c r="AZ1241" s="1007">
        <v>622</v>
      </c>
      <c r="BA1241" s="347" t="str">
        <f t="shared" si="244"/>
        <v>Bag</v>
      </c>
      <c r="BB1241" s="1008"/>
      <c r="BC1241" s="1009"/>
      <c r="BD1241" s="1009"/>
    </row>
    <row r="1242" spans="1:56" s="1010" customFormat="1" ht="36.75" customHeight="1">
      <c r="A1242" s="661">
        <f>SUBTOTAL(3,B$6:B1242)</f>
        <v>1237</v>
      </c>
      <c r="B1242" s="661" t="s">
        <v>3238</v>
      </c>
      <c r="C1242" s="662" t="s">
        <v>3239</v>
      </c>
      <c r="D1242" s="1011">
        <v>39555</v>
      </c>
      <c r="E1242" s="1011" t="s">
        <v>221</v>
      </c>
      <c r="F1242" s="787" t="s">
        <v>258</v>
      </c>
      <c r="G1242" s="996" t="s">
        <v>1081</v>
      </c>
      <c r="H1242" s="1012">
        <v>5931000</v>
      </c>
      <c r="I1242" s="1012">
        <v>500000</v>
      </c>
      <c r="J1242" s="1012">
        <v>298000</v>
      </c>
      <c r="K1242" s="1012">
        <v>0</v>
      </c>
      <c r="L1242" s="1013">
        <f t="shared" si="238"/>
        <v>6729000</v>
      </c>
      <c r="M1242" s="1014">
        <v>24</v>
      </c>
      <c r="N1242" s="1013">
        <f t="shared" si="239"/>
        <v>6211385</v>
      </c>
      <c r="O1242" s="1015">
        <v>2</v>
      </c>
      <c r="P1242" s="1013">
        <f t="shared" si="240"/>
        <v>517615</v>
      </c>
      <c r="Q1242" s="1016">
        <v>0</v>
      </c>
      <c r="R1242" s="1013">
        <f t="shared" si="241"/>
        <v>0</v>
      </c>
      <c r="S1242" s="1013">
        <f t="shared" si="242"/>
        <v>6729000</v>
      </c>
      <c r="T1242" s="1017">
        <v>0</v>
      </c>
      <c r="U1242" s="785">
        <v>798000</v>
      </c>
      <c r="V1242" s="785">
        <v>200000</v>
      </c>
      <c r="W1242" s="1017">
        <v>500000</v>
      </c>
      <c r="X1242" s="1017">
        <v>0</v>
      </c>
      <c r="Y1242" s="1017">
        <v>400000</v>
      </c>
      <c r="Z1242" s="1017">
        <v>427281</v>
      </c>
      <c r="AA1242" s="1018"/>
      <c r="AB1242" s="1013"/>
      <c r="AC1242" s="1017">
        <v>0</v>
      </c>
      <c r="AD1242" s="1017">
        <v>0</v>
      </c>
      <c r="AE1242" s="1013">
        <v>48526.4453125</v>
      </c>
      <c r="AF1242" s="1019"/>
      <c r="AG1242" s="1019">
        <f t="shared" si="246"/>
        <v>9102807</v>
      </c>
      <c r="AH1242" s="1014">
        <v>56</v>
      </c>
      <c r="AI1242" s="1014">
        <v>0</v>
      </c>
      <c r="AJ1242" s="1014">
        <v>0</v>
      </c>
      <c r="AK1242" s="1018">
        <v>0</v>
      </c>
      <c r="AL1242" s="1020">
        <v>0</v>
      </c>
      <c r="AM1242" s="1013">
        <f t="shared" si="245"/>
        <v>2717481</v>
      </c>
      <c r="AN1242" s="1045">
        <f t="shared" si="237"/>
        <v>11820288</v>
      </c>
      <c r="AO1242" s="1013">
        <v>706545</v>
      </c>
      <c r="AP1242" s="1013">
        <v>44100</v>
      </c>
      <c r="AQ1242" s="1013">
        <v>0</v>
      </c>
      <c r="AR1242" s="1013">
        <v>0</v>
      </c>
      <c r="AS1242" s="1013">
        <v>0</v>
      </c>
      <c r="AT1242" s="1045">
        <f t="shared" si="243"/>
        <v>11069643</v>
      </c>
      <c r="AU1242" s="1004"/>
      <c r="AV1242" s="870"/>
      <c r="AW1242" s="782" t="s">
        <v>5627</v>
      </c>
      <c r="AX1242" s="782" t="s">
        <v>5628</v>
      </c>
      <c r="AY1242" s="1007" t="s">
        <v>221</v>
      </c>
      <c r="AZ1242" s="1007">
        <v>622</v>
      </c>
      <c r="BA1242" s="347" t="str">
        <f t="shared" si="244"/>
        <v>Bag</v>
      </c>
      <c r="BB1242" s="1008"/>
      <c r="BC1242" s="1009"/>
      <c r="BD1242" s="1009"/>
    </row>
    <row r="1243" spans="1:56" s="1010" customFormat="1" ht="36.75" customHeight="1">
      <c r="A1243" s="661">
        <f>SUBTOTAL(3,B$6:B1243)</f>
        <v>1238</v>
      </c>
      <c r="B1243" s="661" t="s">
        <v>3240</v>
      </c>
      <c r="C1243" s="662" t="s">
        <v>1982</v>
      </c>
      <c r="D1243" s="1011">
        <v>43606</v>
      </c>
      <c r="E1243" s="1011" t="s">
        <v>221</v>
      </c>
      <c r="F1243" s="787" t="s">
        <v>258</v>
      </c>
      <c r="G1243" s="996" t="s">
        <v>1081</v>
      </c>
      <c r="H1243" s="1012">
        <v>5931000</v>
      </c>
      <c r="I1243" s="1012">
        <v>700000</v>
      </c>
      <c r="J1243" s="1012">
        <v>0</v>
      </c>
      <c r="K1243" s="1012">
        <v>0</v>
      </c>
      <c r="L1243" s="1013">
        <f t="shared" si="238"/>
        <v>6631000</v>
      </c>
      <c r="M1243" s="1014">
        <v>22</v>
      </c>
      <c r="N1243" s="1013">
        <f t="shared" si="239"/>
        <v>5610846</v>
      </c>
      <c r="O1243" s="1015">
        <v>3</v>
      </c>
      <c r="P1243" s="1013">
        <f t="shared" si="240"/>
        <v>765115</v>
      </c>
      <c r="Q1243" s="1016">
        <v>0</v>
      </c>
      <c r="R1243" s="1013">
        <f t="shared" si="241"/>
        <v>0</v>
      </c>
      <c r="S1243" s="1013">
        <f t="shared" si="242"/>
        <v>6375961</v>
      </c>
      <c r="T1243" s="1017">
        <v>0</v>
      </c>
      <c r="U1243" s="785">
        <v>0</v>
      </c>
      <c r="V1243" s="785">
        <v>200000</v>
      </c>
      <c r="W1243" s="1017">
        <v>0</v>
      </c>
      <c r="X1243" s="1017">
        <v>0</v>
      </c>
      <c r="Y1243" s="1017">
        <v>400000</v>
      </c>
      <c r="Z1243" s="1017">
        <v>456009</v>
      </c>
      <c r="AA1243" s="1018"/>
      <c r="AB1243" s="1013"/>
      <c r="AC1243" s="1017">
        <v>100000</v>
      </c>
      <c r="AD1243" s="1017">
        <v>0</v>
      </c>
      <c r="AE1243" s="1013">
        <v>47819.710227272728</v>
      </c>
      <c r="AF1243" s="1019"/>
      <c r="AG1243" s="1019">
        <f t="shared" si="246"/>
        <v>7579790</v>
      </c>
      <c r="AH1243" s="1014">
        <v>45.5</v>
      </c>
      <c r="AI1243" s="1014">
        <v>0</v>
      </c>
      <c r="AJ1243" s="1014">
        <v>0</v>
      </c>
      <c r="AK1243" s="1018">
        <v>0</v>
      </c>
      <c r="AL1243" s="1020">
        <v>0</v>
      </c>
      <c r="AM1243" s="1013">
        <f t="shared" si="245"/>
        <v>2175797</v>
      </c>
      <c r="AN1243" s="1045">
        <f t="shared" si="237"/>
        <v>9755587</v>
      </c>
      <c r="AO1243" s="1013">
        <v>696255</v>
      </c>
      <c r="AP1243" s="1013">
        <v>44100</v>
      </c>
      <c r="AQ1243" s="1013">
        <v>0</v>
      </c>
      <c r="AR1243" s="1013">
        <v>0</v>
      </c>
      <c r="AS1243" s="1013">
        <v>0</v>
      </c>
      <c r="AT1243" s="1045">
        <f t="shared" si="243"/>
        <v>9015232</v>
      </c>
      <c r="AU1243" s="1004"/>
      <c r="AV1243" s="870"/>
      <c r="AW1243" s="782" t="s">
        <v>4460</v>
      </c>
      <c r="AX1243" s="782" t="s">
        <v>5629</v>
      </c>
      <c r="AY1243" s="1007" t="s">
        <v>221</v>
      </c>
      <c r="AZ1243" s="1007">
        <v>622</v>
      </c>
      <c r="BA1243" s="347" t="str">
        <f t="shared" si="244"/>
        <v>Bag</v>
      </c>
      <c r="BB1243" s="1008"/>
      <c r="BC1243" s="1009"/>
      <c r="BD1243" s="1009"/>
    </row>
    <row r="1244" spans="1:56" s="1010" customFormat="1" ht="36.75" customHeight="1">
      <c r="A1244" s="661">
        <f>SUBTOTAL(3,B$6:B1244)</f>
        <v>1239</v>
      </c>
      <c r="B1244" s="661" t="s">
        <v>3241</v>
      </c>
      <c r="C1244" s="662" t="s">
        <v>3242</v>
      </c>
      <c r="D1244" s="1011">
        <v>43657</v>
      </c>
      <c r="E1244" s="1011" t="s">
        <v>221</v>
      </c>
      <c r="F1244" s="787" t="s">
        <v>258</v>
      </c>
      <c r="G1244" s="996" t="s">
        <v>1081</v>
      </c>
      <c r="H1244" s="1012">
        <v>5931000</v>
      </c>
      <c r="I1244" s="1012">
        <v>700000</v>
      </c>
      <c r="J1244" s="1012">
        <v>0</v>
      </c>
      <c r="K1244" s="1012">
        <v>0</v>
      </c>
      <c r="L1244" s="1013">
        <f t="shared" si="238"/>
        <v>6631000</v>
      </c>
      <c r="M1244" s="1014">
        <v>24</v>
      </c>
      <c r="N1244" s="1013">
        <f t="shared" si="239"/>
        <v>6120923</v>
      </c>
      <c r="O1244" s="1015">
        <v>2</v>
      </c>
      <c r="P1244" s="1013">
        <f t="shared" si="240"/>
        <v>510077</v>
      </c>
      <c r="Q1244" s="1016">
        <v>0</v>
      </c>
      <c r="R1244" s="1013">
        <f t="shared" si="241"/>
        <v>0</v>
      </c>
      <c r="S1244" s="1013">
        <f t="shared" si="242"/>
        <v>6631000</v>
      </c>
      <c r="T1244" s="1017">
        <v>0</v>
      </c>
      <c r="U1244" s="785">
        <v>0</v>
      </c>
      <c r="V1244" s="785">
        <v>200000</v>
      </c>
      <c r="W1244" s="1017">
        <v>500000</v>
      </c>
      <c r="X1244" s="1017">
        <v>0</v>
      </c>
      <c r="Y1244" s="1017">
        <v>400000</v>
      </c>
      <c r="Z1244" s="1017">
        <v>433879</v>
      </c>
      <c r="AA1244" s="1018"/>
      <c r="AB1244" s="1013"/>
      <c r="AC1244" s="1017">
        <v>100000</v>
      </c>
      <c r="AD1244" s="1017">
        <v>0</v>
      </c>
      <c r="AE1244" s="1013">
        <v>47819.7109375</v>
      </c>
      <c r="AF1244" s="1019"/>
      <c r="AG1244" s="1019">
        <f t="shared" si="246"/>
        <v>8312699</v>
      </c>
      <c r="AH1244" s="1014">
        <v>53</v>
      </c>
      <c r="AI1244" s="1014">
        <v>0</v>
      </c>
      <c r="AJ1244" s="1014">
        <v>0</v>
      </c>
      <c r="AK1244" s="1018">
        <v>0</v>
      </c>
      <c r="AL1244" s="1020">
        <v>0</v>
      </c>
      <c r="AM1244" s="1013">
        <f t="shared" si="245"/>
        <v>2534445</v>
      </c>
      <c r="AN1244" s="1045">
        <f t="shared" ref="AN1244:AN1277" si="247">ROUND(AG1244+AM1244,0)</f>
        <v>10847144</v>
      </c>
      <c r="AO1244" s="1013">
        <v>696255</v>
      </c>
      <c r="AP1244" s="1013">
        <v>44100</v>
      </c>
      <c r="AQ1244" s="1013">
        <v>0</v>
      </c>
      <c r="AR1244" s="1013">
        <v>0</v>
      </c>
      <c r="AS1244" s="1013">
        <v>0</v>
      </c>
      <c r="AT1244" s="1045">
        <f t="shared" si="243"/>
        <v>10106789</v>
      </c>
      <c r="AU1244" s="1004"/>
      <c r="AV1244" s="870"/>
      <c r="AW1244" s="782" t="s">
        <v>5630</v>
      </c>
      <c r="AX1244" s="782" t="s">
        <v>5631</v>
      </c>
      <c r="AY1244" s="1007" t="s">
        <v>221</v>
      </c>
      <c r="AZ1244" s="1007">
        <v>622</v>
      </c>
      <c r="BA1244" s="347" t="str">
        <f t="shared" si="244"/>
        <v>Bag</v>
      </c>
      <c r="BB1244" s="1008"/>
      <c r="BC1244" s="1009"/>
      <c r="BD1244" s="1009"/>
    </row>
    <row r="1245" spans="1:56" s="1010" customFormat="1" ht="36.75" customHeight="1">
      <c r="A1245" s="661">
        <f>SUBTOTAL(3,B$6:B1245)</f>
        <v>1240</v>
      </c>
      <c r="B1245" s="661" t="s">
        <v>3243</v>
      </c>
      <c r="C1245" s="662" t="s">
        <v>1988</v>
      </c>
      <c r="D1245" s="1011">
        <v>44251</v>
      </c>
      <c r="E1245" s="1011" t="s">
        <v>221</v>
      </c>
      <c r="F1245" s="787" t="s">
        <v>258</v>
      </c>
      <c r="G1245" s="996" t="s">
        <v>1081</v>
      </c>
      <c r="H1245" s="1012">
        <v>5931000</v>
      </c>
      <c r="I1245" s="1012">
        <v>500000</v>
      </c>
      <c r="J1245" s="1012">
        <v>298000</v>
      </c>
      <c r="K1245" s="1012">
        <v>0</v>
      </c>
      <c r="L1245" s="1013">
        <f t="shared" si="238"/>
        <v>6729000</v>
      </c>
      <c r="M1245" s="1014">
        <v>24</v>
      </c>
      <c r="N1245" s="1013">
        <f t="shared" si="239"/>
        <v>6211385</v>
      </c>
      <c r="O1245" s="1015">
        <v>2</v>
      </c>
      <c r="P1245" s="1013">
        <f t="shared" si="240"/>
        <v>517615</v>
      </c>
      <c r="Q1245" s="1016">
        <v>0</v>
      </c>
      <c r="R1245" s="1013">
        <f t="shared" si="241"/>
        <v>0</v>
      </c>
      <c r="S1245" s="1013">
        <f t="shared" si="242"/>
        <v>6729000</v>
      </c>
      <c r="T1245" s="1017">
        <v>0</v>
      </c>
      <c r="U1245" s="785">
        <v>777000</v>
      </c>
      <c r="V1245" s="785">
        <v>200000</v>
      </c>
      <c r="W1245" s="1017">
        <v>500000</v>
      </c>
      <c r="X1245" s="1017">
        <v>0</v>
      </c>
      <c r="Y1245" s="1017">
        <v>400000</v>
      </c>
      <c r="Z1245" s="1017">
        <v>427281</v>
      </c>
      <c r="AA1245" s="1018"/>
      <c r="AB1245" s="1013"/>
      <c r="AC1245" s="1017">
        <v>100000</v>
      </c>
      <c r="AD1245" s="1017">
        <v>0</v>
      </c>
      <c r="AE1245" s="1013">
        <v>48526.4453125</v>
      </c>
      <c r="AF1245" s="1019"/>
      <c r="AG1245" s="1019">
        <f t="shared" si="246"/>
        <v>9181807</v>
      </c>
      <c r="AH1245" s="1014">
        <v>52</v>
      </c>
      <c r="AI1245" s="1014">
        <v>0</v>
      </c>
      <c r="AJ1245" s="1014">
        <v>0</v>
      </c>
      <c r="AK1245" s="1018">
        <v>0</v>
      </c>
      <c r="AL1245" s="1020">
        <v>0</v>
      </c>
      <c r="AM1245" s="1013">
        <f t="shared" si="245"/>
        <v>2523375</v>
      </c>
      <c r="AN1245" s="1045">
        <f t="shared" si="247"/>
        <v>11705182</v>
      </c>
      <c r="AO1245" s="1013">
        <v>706545</v>
      </c>
      <c r="AP1245" s="1013">
        <v>44100</v>
      </c>
      <c r="AQ1245" s="1013">
        <v>0</v>
      </c>
      <c r="AR1245" s="1013">
        <v>0</v>
      </c>
      <c r="AS1245" s="1013">
        <v>0</v>
      </c>
      <c r="AT1245" s="1045">
        <f t="shared" si="243"/>
        <v>10954537</v>
      </c>
      <c r="AU1245" s="1004"/>
      <c r="AV1245" s="870"/>
      <c r="AW1245" s="782" t="s">
        <v>4466</v>
      </c>
      <c r="AX1245" s="782" t="s">
        <v>5632</v>
      </c>
      <c r="AY1245" s="1007" t="s">
        <v>221</v>
      </c>
      <c r="AZ1245" s="1007">
        <v>622</v>
      </c>
      <c r="BA1245" s="347" t="str">
        <f t="shared" si="244"/>
        <v>Bag</v>
      </c>
      <c r="BB1245" s="1008"/>
      <c r="BC1245" s="1009"/>
      <c r="BD1245" s="1009"/>
    </row>
    <row r="1246" spans="1:56" s="1010" customFormat="1" ht="36.75" customHeight="1">
      <c r="A1246" s="661">
        <f>SUBTOTAL(3,B$6:B1246)</f>
        <v>1241</v>
      </c>
      <c r="B1246" s="661" t="s">
        <v>3244</v>
      </c>
      <c r="C1246" s="662" t="s">
        <v>3245</v>
      </c>
      <c r="D1246" s="1011">
        <v>44611</v>
      </c>
      <c r="E1246" s="1011" t="s">
        <v>221</v>
      </c>
      <c r="F1246" s="787" t="s">
        <v>258</v>
      </c>
      <c r="G1246" s="996" t="s">
        <v>1081</v>
      </c>
      <c r="H1246" s="1012">
        <v>5931000</v>
      </c>
      <c r="I1246" s="1012">
        <v>700000</v>
      </c>
      <c r="J1246" s="1012">
        <v>0</v>
      </c>
      <c r="K1246" s="1012">
        <v>0</v>
      </c>
      <c r="L1246" s="1013">
        <f t="shared" si="238"/>
        <v>6631000</v>
      </c>
      <c r="M1246" s="1014">
        <v>22.9</v>
      </c>
      <c r="N1246" s="1013">
        <f t="shared" si="239"/>
        <v>5840381</v>
      </c>
      <c r="O1246" s="1015">
        <v>3</v>
      </c>
      <c r="P1246" s="1013">
        <f t="shared" si="240"/>
        <v>765115</v>
      </c>
      <c r="Q1246" s="1016">
        <v>0</v>
      </c>
      <c r="R1246" s="1013">
        <f t="shared" si="241"/>
        <v>0</v>
      </c>
      <c r="S1246" s="1013">
        <f t="shared" si="242"/>
        <v>6605496</v>
      </c>
      <c r="T1246" s="1017">
        <v>0</v>
      </c>
      <c r="U1246" s="785">
        <v>0</v>
      </c>
      <c r="V1246" s="785">
        <v>200000</v>
      </c>
      <c r="W1246" s="1017">
        <v>500000</v>
      </c>
      <c r="X1246" s="1017">
        <v>0</v>
      </c>
      <c r="Y1246" s="1017">
        <v>400000</v>
      </c>
      <c r="Z1246" s="1017">
        <v>463246</v>
      </c>
      <c r="AA1246" s="1018"/>
      <c r="AB1246" s="1013"/>
      <c r="AC1246" s="1017">
        <v>0</v>
      </c>
      <c r="AD1246" s="1017">
        <v>0</v>
      </c>
      <c r="AE1246" s="1013">
        <v>47819.713427947601</v>
      </c>
      <c r="AF1246" s="1019"/>
      <c r="AG1246" s="1019">
        <f t="shared" si="246"/>
        <v>8216562</v>
      </c>
      <c r="AH1246" s="1014">
        <v>0</v>
      </c>
      <c r="AI1246" s="1014">
        <v>0</v>
      </c>
      <c r="AJ1246" s="1014">
        <v>0</v>
      </c>
      <c r="AK1246" s="1018">
        <v>0</v>
      </c>
      <c r="AL1246" s="1020">
        <v>0</v>
      </c>
      <c r="AM1246" s="1013">
        <f t="shared" si="245"/>
        <v>0</v>
      </c>
      <c r="AN1246" s="1045">
        <f t="shared" si="247"/>
        <v>8216562</v>
      </c>
      <c r="AO1246" s="1013">
        <v>696255</v>
      </c>
      <c r="AP1246" s="1013">
        <v>44100</v>
      </c>
      <c r="AQ1246" s="1013">
        <v>0</v>
      </c>
      <c r="AR1246" s="1013">
        <v>0</v>
      </c>
      <c r="AS1246" s="1013">
        <v>0</v>
      </c>
      <c r="AT1246" s="1045">
        <f t="shared" si="243"/>
        <v>7476207</v>
      </c>
      <c r="AU1246" s="1004"/>
      <c r="AV1246" s="870"/>
      <c r="AW1246" s="782" t="s">
        <v>5633</v>
      </c>
      <c r="AX1246" s="782" t="s">
        <v>5634</v>
      </c>
      <c r="AY1246" s="1007" t="s">
        <v>221</v>
      </c>
      <c r="AZ1246" s="1007">
        <v>622</v>
      </c>
      <c r="BA1246" s="347" t="str">
        <f t="shared" si="244"/>
        <v>Bag</v>
      </c>
      <c r="BB1246" s="1008"/>
      <c r="BC1246" s="1009"/>
      <c r="BD1246" s="1009"/>
    </row>
    <row r="1247" spans="1:56" s="1010" customFormat="1" ht="36.75" customHeight="1">
      <c r="A1247" s="661">
        <f>SUBTOTAL(3,B$6:B1247)</f>
        <v>1242</v>
      </c>
      <c r="B1247" s="661" t="s">
        <v>3246</v>
      </c>
      <c r="C1247" s="662" t="s">
        <v>3247</v>
      </c>
      <c r="D1247" s="1011">
        <v>44622</v>
      </c>
      <c r="E1247" s="1011" t="s">
        <v>221</v>
      </c>
      <c r="F1247" s="787" t="s">
        <v>258</v>
      </c>
      <c r="G1247" s="996" t="s">
        <v>1081</v>
      </c>
      <c r="H1247" s="1012">
        <v>5931000</v>
      </c>
      <c r="I1247" s="1012">
        <v>700000</v>
      </c>
      <c r="J1247" s="1012">
        <v>0</v>
      </c>
      <c r="K1247" s="1012">
        <v>0</v>
      </c>
      <c r="L1247" s="1013">
        <f t="shared" si="238"/>
        <v>6631000</v>
      </c>
      <c r="M1247" s="1014">
        <v>23.8</v>
      </c>
      <c r="N1247" s="1013">
        <f t="shared" si="239"/>
        <v>6069915</v>
      </c>
      <c r="O1247" s="1015">
        <v>2</v>
      </c>
      <c r="P1247" s="1013">
        <f t="shared" si="240"/>
        <v>510077</v>
      </c>
      <c r="Q1247" s="1016">
        <v>0</v>
      </c>
      <c r="R1247" s="1013">
        <f t="shared" si="241"/>
        <v>0</v>
      </c>
      <c r="S1247" s="1013">
        <f t="shared" si="242"/>
        <v>6579992</v>
      </c>
      <c r="T1247" s="1017">
        <v>0</v>
      </c>
      <c r="U1247" s="785">
        <v>0</v>
      </c>
      <c r="V1247" s="785">
        <v>200000</v>
      </c>
      <c r="W1247" s="1017">
        <v>500000</v>
      </c>
      <c r="X1247" s="1017">
        <v>0</v>
      </c>
      <c r="Y1247" s="1017">
        <v>400000</v>
      </c>
      <c r="Z1247" s="1017">
        <v>471843</v>
      </c>
      <c r="AA1247" s="1018"/>
      <c r="AB1247" s="1013"/>
      <c r="AC1247" s="1017">
        <v>0</v>
      </c>
      <c r="AD1247" s="1017">
        <v>0</v>
      </c>
      <c r="AE1247" s="1013">
        <v>47819.708508403361</v>
      </c>
      <c r="AF1247" s="1019"/>
      <c r="AG1247" s="1019">
        <f t="shared" si="246"/>
        <v>8199655</v>
      </c>
      <c r="AH1247" s="1014">
        <v>52</v>
      </c>
      <c r="AI1247" s="1014">
        <v>0</v>
      </c>
      <c r="AJ1247" s="1014">
        <v>0</v>
      </c>
      <c r="AK1247" s="1018">
        <v>0</v>
      </c>
      <c r="AL1247" s="1020">
        <v>0</v>
      </c>
      <c r="AM1247" s="1013">
        <f t="shared" si="245"/>
        <v>2486625</v>
      </c>
      <c r="AN1247" s="1045">
        <f t="shared" si="247"/>
        <v>10686280</v>
      </c>
      <c r="AO1247" s="1013">
        <v>696255</v>
      </c>
      <c r="AP1247" s="1013">
        <v>44100</v>
      </c>
      <c r="AQ1247" s="1013">
        <v>0</v>
      </c>
      <c r="AR1247" s="1013">
        <v>0</v>
      </c>
      <c r="AS1247" s="1013">
        <v>0</v>
      </c>
      <c r="AT1247" s="1045">
        <f t="shared" si="243"/>
        <v>9945925</v>
      </c>
      <c r="AU1247" s="1004"/>
      <c r="AV1247" s="870"/>
      <c r="AW1247" s="782" t="s">
        <v>5635</v>
      </c>
      <c r="AX1247" s="782" t="s">
        <v>5636</v>
      </c>
      <c r="AY1247" s="1007" t="s">
        <v>221</v>
      </c>
      <c r="AZ1247" s="1007">
        <v>622</v>
      </c>
      <c r="BA1247" s="347" t="str">
        <f t="shared" si="244"/>
        <v>Bag</v>
      </c>
      <c r="BB1247" s="1008"/>
      <c r="BC1247" s="1009"/>
      <c r="BD1247" s="1009"/>
    </row>
    <row r="1248" spans="1:56" s="1010" customFormat="1" ht="36.75" customHeight="1">
      <c r="A1248" s="661">
        <f>SUBTOTAL(3,B$6:B1248)</f>
        <v>1243</v>
      </c>
      <c r="B1248" s="661" t="s">
        <v>3248</v>
      </c>
      <c r="C1248" s="662" t="s">
        <v>3249</v>
      </c>
      <c r="D1248" s="1011">
        <v>44667</v>
      </c>
      <c r="E1248" s="1011" t="s">
        <v>221</v>
      </c>
      <c r="F1248" s="787" t="s">
        <v>258</v>
      </c>
      <c r="G1248" s="996" t="s">
        <v>1081</v>
      </c>
      <c r="H1248" s="1012">
        <v>5815000</v>
      </c>
      <c r="I1248" s="1012">
        <v>700000</v>
      </c>
      <c r="J1248" s="1012">
        <v>0</v>
      </c>
      <c r="K1248" s="1012">
        <v>0</v>
      </c>
      <c r="L1248" s="1013">
        <f t="shared" si="238"/>
        <v>6515000</v>
      </c>
      <c r="M1248" s="1014">
        <v>23.9</v>
      </c>
      <c r="N1248" s="1013">
        <f t="shared" si="239"/>
        <v>5988788</v>
      </c>
      <c r="O1248" s="1015">
        <v>2</v>
      </c>
      <c r="P1248" s="1013">
        <f t="shared" si="240"/>
        <v>501154</v>
      </c>
      <c r="Q1248" s="1016">
        <v>0</v>
      </c>
      <c r="R1248" s="1013">
        <f t="shared" si="241"/>
        <v>0</v>
      </c>
      <c r="S1248" s="1013">
        <f t="shared" si="242"/>
        <v>6489942</v>
      </c>
      <c r="T1248" s="1017">
        <v>0</v>
      </c>
      <c r="U1248" s="785">
        <v>0</v>
      </c>
      <c r="V1248" s="785">
        <v>200000</v>
      </c>
      <c r="W1248" s="1017">
        <v>500000</v>
      </c>
      <c r="X1248" s="1017">
        <v>0</v>
      </c>
      <c r="Y1248" s="1017">
        <v>300000</v>
      </c>
      <c r="Z1248" s="1017">
        <v>354760</v>
      </c>
      <c r="AA1248" s="1018"/>
      <c r="AB1248" s="1013"/>
      <c r="AC1248" s="1017">
        <v>100000</v>
      </c>
      <c r="AD1248" s="1017">
        <v>0</v>
      </c>
      <c r="AE1248" s="1013">
        <v>46983.169456066949</v>
      </c>
      <c r="AF1248" s="1019"/>
      <c r="AG1248" s="1019">
        <f t="shared" si="246"/>
        <v>7991685</v>
      </c>
      <c r="AH1248" s="1014">
        <v>56</v>
      </c>
      <c r="AI1248" s="1014">
        <v>0</v>
      </c>
      <c r="AJ1248" s="1014">
        <v>0</v>
      </c>
      <c r="AK1248" s="1018">
        <v>0</v>
      </c>
      <c r="AL1248" s="1020">
        <v>0</v>
      </c>
      <c r="AM1248" s="1013">
        <f t="shared" si="245"/>
        <v>2631057</v>
      </c>
      <c r="AN1248" s="1045">
        <f t="shared" si="247"/>
        <v>10622742</v>
      </c>
      <c r="AO1248" s="1013">
        <v>684075</v>
      </c>
      <c r="AP1248" s="1013">
        <v>44100</v>
      </c>
      <c r="AQ1248" s="1013">
        <v>0</v>
      </c>
      <c r="AR1248" s="1013">
        <v>0</v>
      </c>
      <c r="AS1248" s="1013">
        <v>0</v>
      </c>
      <c r="AT1248" s="1045">
        <f t="shared" si="243"/>
        <v>9894567</v>
      </c>
      <c r="AU1248" s="1004"/>
      <c r="AV1248" s="870"/>
      <c r="AW1248" s="782" t="s">
        <v>5637</v>
      </c>
      <c r="AX1248" s="782" t="s">
        <v>5638</v>
      </c>
      <c r="AY1248" s="1007" t="s">
        <v>221</v>
      </c>
      <c r="AZ1248" s="1007">
        <v>622</v>
      </c>
      <c r="BA1248" s="347" t="str">
        <f t="shared" si="244"/>
        <v>Bag</v>
      </c>
      <c r="BB1248" s="1008"/>
      <c r="BC1248" s="1009"/>
      <c r="BD1248" s="1009"/>
    </row>
    <row r="1249" spans="1:56" s="1010" customFormat="1" ht="36.75" customHeight="1">
      <c r="A1249" s="661">
        <f>SUBTOTAL(3,B$6:B1249)</f>
        <v>1244</v>
      </c>
      <c r="B1249" s="661" t="s">
        <v>3250</v>
      </c>
      <c r="C1249" s="662" t="s">
        <v>3251</v>
      </c>
      <c r="D1249" s="1011">
        <v>45357</v>
      </c>
      <c r="E1249" s="1011" t="s">
        <v>221</v>
      </c>
      <c r="F1249" s="787" t="s">
        <v>258</v>
      </c>
      <c r="G1249" s="996" t="s">
        <v>1081</v>
      </c>
      <c r="H1249" s="1012">
        <v>5538000</v>
      </c>
      <c r="I1249" s="1012">
        <v>500000</v>
      </c>
      <c r="J1249" s="1012">
        <v>0</v>
      </c>
      <c r="K1249" s="1012">
        <v>0</v>
      </c>
      <c r="L1249" s="1013">
        <f t="shared" si="238"/>
        <v>6038000</v>
      </c>
      <c r="M1249" s="1014">
        <v>20.9</v>
      </c>
      <c r="N1249" s="1013">
        <f t="shared" si="239"/>
        <v>4853623</v>
      </c>
      <c r="O1249" s="1015">
        <v>3</v>
      </c>
      <c r="P1249" s="1013">
        <f t="shared" si="240"/>
        <v>696692</v>
      </c>
      <c r="Q1249" s="1016">
        <v>0</v>
      </c>
      <c r="R1249" s="1013">
        <f t="shared" si="241"/>
        <v>0</v>
      </c>
      <c r="S1249" s="1013">
        <f t="shared" si="242"/>
        <v>5550315</v>
      </c>
      <c r="T1249" s="1017">
        <v>0</v>
      </c>
      <c r="U1249" s="785">
        <v>0</v>
      </c>
      <c r="V1249" s="785">
        <v>200000</v>
      </c>
      <c r="W1249" s="1017">
        <v>0</v>
      </c>
      <c r="X1249" s="1017">
        <v>0</v>
      </c>
      <c r="Y1249" s="1017">
        <v>150000</v>
      </c>
      <c r="Z1249" s="1017">
        <v>382739</v>
      </c>
      <c r="AA1249" s="1018"/>
      <c r="AB1249" s="1013"/>
      <c r="AC1249" s="1017">
        <v>0</v>
      </c>
      <c r="AD1249" s="1017">
        <v>0</v>
      </c>
      <c r="AE1249" s="1013">
        <v>43543.268540669858</v>
      </c>
      <c r="AF1249" s="1019"/>
      <c r="AG1249" s="1019">
        <f t="shared" si="246"/>
        <v>6326597</v>
      </c>
      <c r="AH1249" s="1014">
        <v>48</v>
      </c>
      <c r="AI1249" s="1014">
        <v>0</v>
      </c>
      <c r="AJ1249" s="1014">
        <v>0</v>
      </c>
      <c r="AK1249" s="1018">
        <v>0</v>
      </c>
      <c r="AL1249" s="1020">
        <v>0</v>
      </c>
      <c r="AM1249" s="1013">
        <f t="shared" si="245"/>
        <v>2090077</v>
      </c>
      <c r="AN1249" s="1045">
        <f t="shared" si="247"/>
        <v>8416674</v>
      </c>
      <c r="AO1249" s="1013">
        <v>633990</v>
      </c>
      <c r="AP1249" s="1013">
        <v>44100</v>
      </c>
      <c r="AQ1249" s="1013">
        <v>0</v>
      </c>
      <c r="AR1249" s="1013">
        <v>0</v>
      </c>
      <c r="AS1249" s="1013">
        <v>0</v>
      </c>
      <c r="AT1249" s="1045">
        <f t="shared" si="243"/>
        <v>7738584</v>
      </c>
      <c r="AU1249" s="1004"/>
      <c r="AV1249" s="870"/>
      <c r="AW1249" s="782" t="s">
        <v>5639</v>
      </c>
      <c r="AX1249" s="782" t="s">
        <v>5640</v>
      </c>
      <c r="AY1249" s="1007" t="s">
        <v>221</v>
      </c>
      <c r="AZ1249" s="1007">
        <v>622</v>
      </c>
      <c r="BA1249" s="347" t="str">
        <f t="shared" si="244"/>
        <v>Bag</v>
      </c>
      <c r="BB1249" s="1008"/>
      <c r="BC1249" s="1009"/>
      <c r="BD1249" s="1009"/>
    </row>
    <row r="1250" spans="1:56" s="1010" customFormat="1" ht="36.75" customHeight="1">
      <c r="A1250" s="661">
        <f>SUBTOTAL(3,B$6:B1250)</f>
        <v>1245</v>
      </c>
      <c r="B1250" s="661" t="s">
        <v>3252</v>
      </c>
      <c r="C1250" s="662" t="s">
        <v>3253</v>
      </c>
      <c r="D1250" s="1011">
        <v>45444</v>
      </c>
      <c r="E1250" s="1011" t="s">
        <v>221</v>
      </c>
      <c r="F1250" s="787" t="s">
        <v>258</v>
      </c>
      <c r="G1250" s="996" t="s">
        <v>1081</v>
      </c>
      <c r="H1250" s="1012">
        <v>5274000</v>
      </c>
      <c r="I1250" s="1012">
        <v>300000</v>
      </c>
      <c r="J1250" s="1012">
        <v>0</v>
      </c>
      <c r="K1250" s="1012">
        <v>0</v>
      </c>
      <c r="L1250" s="1013">
        <f t="shared" si="238"/>
        <v>5574000</v>
      </c>
      <c r="M1250" s="1014">
        <v>24</v>
      </c>
      <c r="N1250" s="1013">
        <f t="shared" si="239"/>
        <v>5145231</v>
      </c>
      <c r="O1250" s="1015">
        <v>2</v>
      </c>
      <c r="P1250" s="1013">
        <f t="shared" si="240"/>
        <v>428769</v>
      </c>
      <c r="Q1250" s="1016">
        <v>0</v>
      </c>
      <c r="R1250" s="1013">
        <f t="shared" si="241"/>
        <v>0</v>
      </c>
      <c r="S1250" s="1013">
        <f t="shared" si="242"/>
        <v>5574000</v>
      </c>
      <c r="T1250" s="1017">
        <v>0</v>
      </c>
      <c r="U1250" s="785">
        <v>0</v>
      </c>
      <c r="V1250" s="785">
        <v>200000</v>
      </c>
      <c r="W1250" s="1017">
        <v>500000</v>
      </c>
      <c r="X1250" s="1017">
        <v>0</v>
      </c>
      <c r="Y1250" s="1017">
        <v>400000</v>
      </c>
      <c r="Z1250" s="1017">
        <v>456363</v>
      </c>
      <c r="AA1250" s="1018"/>
      <c r="AB1250" s="1013"/>
      <c r="AC1250" s="1017">
        <v>100000</v>
      </c>
      <c r="AD1250" s="1017">
        <v>0</v>
      </c>
      <c r="AE1250" s="1013">
        <v>40197.1171875</v>
      </c>
      <c r="AF1250" s="1019"/>
      <c r="AG1250" s="1019">
        <f t="shared" si="246"/>
        <v>7270560</v>
      </c>
      <c r="AH1250" s="1014">
        <v>56</v>
      </c>
      <c r="AI1250" s="1014">
        <v>0</v>
      </c>
      <c r="AJ1250" s="1014">
        <v>0</v>
      </c>
      <c r="AK1250" s="1018">
        <v>0</v>
      </c>
      <c r="AL1250" s="1020">
        <v>0</v>
      </c>
      <c r="AM1250" s="1013">
        <f t="shared" si="245"/>
        <v>2251039</v>
      </c>
      <c r="AN1250" s="1045">
        <f t="shared" si="247"/>
        <v>9521599</v>
      </c>
      <c r="AO1250" s="1013">
        <v>585270</v>
      </c>
      <c r="AP1250" s="1013">
        <v>44100</v>
      </c>
      <c r="AQ1250" s="1013">
        <v>0</v>
      </c>
      <c r="AR1250" s="1013">
        <v>0</v>
      </c>
      <c r="AS1250" s="1013">
        <v>0</v>
      </c>
      <c r="AT1250" s="1045">
        <f t="shared" si="243"/>
        <v>8892229</v>
      </c>
      <c r="AU1250" s="1004"/>
      <c r="AV1250" s="870"/>
      <c r="AW1250" s="782" t="s">
        <v>5641</v>
      </c>
      <c r="AX1250" s="782" t="s">
        <v>5642</v>
      </c>
      <c r="AY1250" s="1007" t="s">
        <v>221</v>
      </c>
      <c r="AZ1250" s="1007">
        <v>622</v>
      </c>
      <c r="BA1250" s="347" t="str">
        <f t="shared" si="244"/>
        <v>Bag</v>
      </c>
      <c r="BB1250" s="1008"/>
      <c r="BC1250" s="1009"/>
      <c r="BD1250" s="1009"/>
    </row>
    <row r="1251" spans="1:56" s="1010" customFormat="1" ht="36.75" customHeight="1">
      <c r="A1251" s="661">
        <f>SUBTOTAL(3,B$6:B1251)</f>
        <v>1246</v>
      </c>
      <c r="B1251" s="661" t="s">
        <v>3254</v>
      </c>
      <c r="C1251" s="662" t="s">
        <v>3255</v>
      </c>
      <c r="D1251" s="1011">
        <v>45547</v>
      </c>
      <c r="E1251" s="1011" t="s">
        <v>221</v>
      </c>
      <c r="F1251" s="787" t="s">
        <v>258</v>
      </c>
      <c r="G1251" s="996" t="s">
        <v>1081</v>
      </c>
      <c r="H1251" s="1012">
        <v>5274000</v>
      </c>
      <c r="I1251" s="1012">
        <v>300000</v>
      </c>
      <c r="J1251" s="1012">
        <v>0</v>
      </c>
      <c r="K1251" s="1012">
        <v>0</v>
      </c>
      <c r="L1251" s="1013">
        <f t="shared" si="238"/>
        <v>5574000</v>
      </c>
      <c r="M1251" s="1014">
        <v>20.8</v>
      </c>
      <c r="N1251" s="1013">
        <f t="shared" si="239"/>
        <v>4459200</v>
      </c>
      <c r="O1251" s="1015">
        <v>2</v>
      </c>
      <c r="P1251" s="1013">
        <f t="shared" si="240"/>
        <v>428769</v>
      </c>
      <c r="Q1251" s="1016">
        <v>0</v>
      </c>
      <c r="R1251" s="1013">
        <f t="shared" si="241"/>
        <v>0</v>
      </c>
      <c r="S1251" s="1013">
        <f t="shared" si="242"/>
        <v>4887969</v>
      </c>
      <c r="T1251" s="1017">
        <v>0</v>
      </c>
      <c r="U1251" s="785">
        <v>0</v>
      </c>
      <c r="V1251" s="785">
        <v>200000</v>
      </c>
      <c r="W1251" s="1017">
        <v>0</v>
      </c>
      <c r="X1251" s="1017">
        <v>0</v>
      </c>
      <c r="Y1251" s="1017">
        <v>0</v>
      </c>
      <c r="Z1251" s="1017">
        <v>386398</v>
      </c>
      <c r="AA1251" s="1018"/>
      <c r="AB1251" s="1013"/>
      <c r="AC1251" s="1017">
        <v>0</v>
      </c>
      <c r="AD1251" s="1017">
        <v>0</v>
      </c>
      <c r="AE1251" s="1013">
        <v>40197.115384615383</v>
      </c>
      <c r="AF1251" s="1019"/>
      <c r="AG1251" s="1019">
        <f t="shared" si="246"/>
        <v>5514564</v>
      </c>
      <c r="AH1251" s="1014">
        <v>48</v>
      </c>
      <c r="AI1251" s="1014">
        <v>0</v>
      </c>
      <c r="AJ1251" s="1014">
        <v>0</v>
      </c>
      <c r="AK1251" s="1018">
        <v>0</v>
      </c>
      <c r="AL1251" s="1020">
        <v>0</v>
      </c>
      <c r="AM1251" s="1013">
        <f t="shared" si="245"/>
        <v>1929462</v>
      </c>
      <c r="AN1251" s="1045">
        <f t="shared" si="247"/>
        <v>7444026</v>
      </c>
      <c r="AO1251" s="1013">
        <v>585270</v>
      </c>
      <c r="AP1251" s="1013">
        <v>44100</v>
      </c>
      <c r="AQ1251" s="1013">
        <v>0</v>
      </c>
      <c r="AR1251" s="1013">
        <v>0</v>
      </c>
      <c r="AS1251" s="1013">
        <v>0</v>
      </c>
      <c r="AT1251" s="1045">
        <f t="shared" si="243"/>
        <v>6814656</v>
      </c>
      <c r="AU1251" s="1004"/>
      <c r="AV1251" s="870"/>
      <c r="AW1251" s="782" t="s">
        <v>5643</v>
      </c>
      <c r="AX1251" s="782" t="s">
        <v>5644</v>
      </c>
      <c r="AY1251" s="1007" t="s">
        <v>221</v>
      </c>
      <c r="AZ1251" s="1007">
        <v>622</v>
      </c>
      <c r="BA1251" s="347" t="str">
        <f t="shared" si="244"/>
        <v>Bag</v>
      </c>
      <c r="BB1251" s="1008"/>
      <c r="BC1251" s="1009"/>
      <c r="BD1251" s="1009"/>
    </row>
    <row r="1252" spans="1:56" s="1010" customFormat="1" ht="36.75" customHeight="1">
      <c r="A1252" s="661">
        <f>SUBTOTAL(3,B$6:B1252)</f>
        <v>1247</v>
      </c>
      <c r="B1252" s="661" t="s">
        <v>3256</v>
      </c>
      <c r="C1252" s="662" t="s">
        <v>3257</v>
      </c>
      <c r="D1252" s="1011">
        <v>45549</v>
      </c>
      <c r="E1252" s="1011" t="s">
        <v>221</v>
      </c>
      <c r="F1252" s="787" t="s">
        <v>258</v>
      </c>
      <c r="G1252" s="996" t="s">
        <v>1081</v>
      </c>
      <c r="H1252" s="1012">
        <v>5274000</v>
      </c>
      <c r="I1252" s="1012">
        <v>300000</v>
      </c>
      <c r="J1252" s="1012">
        <v>0</v>
      </c>
      <c r="K1252" s="1012">
        <v>0</v>
      </c>
      <c r="L1252" s="1013">
        <f t="shared" si="238"/>
        <v>5574000</v>
      </c>
      <c r="M1252" s="1014">
        <v>23</v>
      </c>
      <c r="N1252" s="1013">
        <f t="shared" si="239"/>
        <v>4930846</v>
      </c>
      <c r="O1252" s="1015">
        <v>3</v>
      </c>
      <c r="P1252" s="1013">
        <f t="shared" si="240"/>
        <v>643154</v>
      </c>
      <c r="Q1252" s="1016">
        <v>0</v>
      </c>
      <c r="R1252" s="1013">
        <f t="shared" si="241"/>
        <v>0</v>
      </c>
      <c r="S1252" s="1013">
        <f t="shared" si="242"/>
        <v>5574000</v>
      </c>
      <c r="T1252" s="1017">
        <v>0</v>
      </c>
      <c r="U1252" s="785">
        <v>0</v>
      </c>
      <c r="V1252" s="785">
        <v>200000</v>
      </c>
      <c r="W1252" s="1017">
        <v>500000</v>
      </c>
      <c r="X1252" s="1017">
        <v>0</v>
      </c>
      <c r="Y1252" s="1017">
        <v>400000</v>
      </c>
      <c r="Z1252" s="1017">
        <v>436386</v>
      </c>
      <c r="AA1252" s="1018"/>
      <c r="AB1252" s="1013"/>
      <c r="AC1252" s="1017">
        <v>0</v>
      </c>
      <c r="AD1252" s="1017">
        <v>0</v>
      </c>
      <c r="AE1252" s="1013">
        <v>40197.114130434784</v>
      </c>
      <c r="AF1252" s="1019"/>
      <c r="AG1252" s="1019">
        <f t="shared" si="246"/>
        <v>7150583</v>
      </c>
      <c r="AH1252" s="1014">
        <v>56</v>
      </c>
      <c r="AI1252" s="1014">
        <v>0</v>
      </c>
      <c r="AJ1252" s="1014">
        <v>0</v>
      </c>
      <c r="AK1252" s="1018">
        <v>0</v>
      </c>
      <c r="AL1252" s="1020">
        <v>0</v>
      </c>
      <c r="AM1252" s="1013">
        <f t="shared" si="245"/>
        <v>2251038</v>
      </c>
      <c r="AN1252" s="1045">
        <f t="shared" si="247"/>
        <v>9401621</v>
      </c>
      <c r="AO1252" s="1013">
        <v>585270</v>
      </c>
      <c r="AP1252" s="1013">
        <v>44100</v>
      </c>
      <c r="AQ1252" s="1013">
        <v>0</v>
      </c>
      <c r="AR1252" s="1013">
        <v>0</v>
      </c>
      <c r="AS1252" s="1013">
        <v>0</v>
      </c>
      <c r="AT1252" s="1045">
        <f t="shared" si="243"/>
        <v>8772251</v>
      </c>
      <c r="AU1252" s="1004"/>
      <c r="AV1252" s="870"/>
      <c r="AW1252" s="782" t="s">
        <v>5645</v>
      </c>
      <c r="AX1252" s="782" t="s">
        <v>5646</v>
      </c>
      <c r="AY1252" s="1007" t="s">
        <v>221</v>
      </c>
      <c r="AZ1252" s="1007">
        <v>622</v>
      </c>
      <c r="BA1252" s="347" t="str">
        <f t="shared" si="244"/>
        <v>Bag</v>
      </c>
      <c r="BB1252" s="1008"/>
      <c r="BC1252" s="1009"/>
      <c r="BD1252" s="1009"/>
    </row>
    <row r="1253" spans="1:56" s="1010" customFormat="1" ht="36.75" customHeight="1">
      <c r="A1253" s="661">
        <f>SUBTOTAL(3,B$6:B1253)</f>
        <v>1248</v>
      </c>
      <c r="B1253" s="661" t="s">
        <v>3258</v>
      </c>
      <c r="C1253" s="662" t="s">
        <v>2964</v>
      </c>
      <c r="D1253" s="1011">
        <v>45584</v>
      </c>
      <c r="E1253" s="1011" t="s">
        <v>221</v>
      </c>
      <c r="F1253" s="787" t="s">
        <v>258</v>
      </c>
      <c r="G1253" s="996" t="s">
        <v>1081</v>
      </c>
      <c r="H1253" s="1012">
        <v>5023000</v>
      </c>
      <c r="I1253" s="1012">
        <v>300000</v>
      </c>
      <c r="J1253" s="1012">
        <v>0</v>
      </c>
      <c r="K1253" s="1012">
        <v>0</v>
      </c>
      <c r="L1253" s="1013">
        <f t="shared" si="238"/>
        <v>5323000</v>
      </c>
      <c r="M1253" s="1014">
        <v>23.6</v>
      </c>
      <c r="N1253" s="1013">
        <f t="shared" si="239"/>
        <v>4831646</v>
      </c>
      <c r="O1253" s="1015">
        <v>2</v>
      </c>
      <c r="P1253" s="1013">
        <f t="shared" si="240"/>
        <v>409462</v>
      </c>
      <c r="Q1253" s="1016">
        <v>0</v>
      </c>
      <c r="R1253" s="1013">
        <f t="shared" si="241"/>
        <v>0</v>
      </c>
      <c r="S1253" s="1013">
        <f t="shared" si="242"/>
        <v>5241108</v>
      </c>
      <c r="T1253" s="1017">
        <v>0</v>
      </c>
      <c r="U1253" s="785">
        <v>0</v>
      </c>
      <c r="V1253" s="785">
        <v>200000</v>
      </c>
      <c r="W1253" s="1017">
        <v>500000</v>
      </c>
      <c r="X1253" s="1017">
        <v>0</v>
      </c>
      <c r="Y1253" s="1017">
        <v>400000</v>
      </c>
      <c r="Z1253" s="1017">
        <v>478497</v>
      </c>
      <c r="AA1253" s="1018"/>
      <c r="AB1253" s="1013"/>
      <c r="AC1253" s="1017">
        <v>0</v>
      </c>
      <c r="AD1253" s="1017">
        <v>0</v>
      </c>
      <c r="AE1253" s="1013">
        <v>38387.018008474573</v>
      </c>
      <c r="AF1253" s="1019"/>
      <c r="AG1253" s="1019">
        <f t="shared" si="246"/>
        <v>6857992</v>
      </c>
      <c r="AH1253" s="1014">
        <v>52</v>
      </c>
      <c r="AI1253" s="1014">
        <v>0</v>
      </c>
      <c r="AJ1253" s="1014">
        <v>0</v>
      </c>
      <c r="AK1253" s="1018">
        <v>0</v>
      </c>
      <c r="AL1253" s="1020">
        <v>0</v>
      </c>
      <c r="AM1253" s="1013">
        <f t="shared" si="245"/>
        <v>1996125</v>
      </c>
      <c r="AN1253" s="1045">
        <f t="shared" si="247"/>
        <v>8854117</v>
      </c>
      <c r="AO1253" s="1013">
        <v>558915</v>
      </c>
      <c r="AP1253" s="1013">
        <v>44100</v>
      </c>
      <c r="AQ1253" s="1013">
        <v>0</v>
      </c>
      <c r="AR1253" s="1013">
        <v>0</v>
      </c>
      <c r="AS1253" s="1013">
        <v>0</v>
      </c>
      <c r="AT1253" s="1045">
        <f t="shared" si="243"/>
        <v>8251102</v>
      </c>
      <c r="AU1253" s="1004"/>
      <c r="AV1253" s="870"/>
      <c r="AW1253" s="782" t="s">
        <v>5362</v>
      </c>
      <c r="AX1253" s="782" t="s">
        <v>5647</v>
      </c>
      <c r="AY1253" s="1007" t="s">
        <v>221</v>
      </c>
      <c r="AZ1253" s="1007">
        <v>622</v>
      </c>
      <c r="BA1253" s="347" t="str">
        <f t="shared" si="244"/>
        <v>Bag</v>
      </c>
      <c r="BB1253" s="1008"/>
      <c r="BC1253" s="1009"/>
      <c r="BD1253" s="1009"/>
    </row>
    <row r="1254" spans="1:56" s="1010" customFormat="1" ht="36.75" customHeight="1">
      <c r="A1254" s="661">
        <f>SUBTOTAL(3,B$6:B1254)</f>
        <v>1249</v>
      </c>
      <c r="B1254" s="661" t="s">
        <v>3259</v>
      </c>
      <c r="C1254" s="662" t="s">
        <v>3260</v>
      </c>
      <c r="D1254" s="1011">
        <v>45588</v>
      </c>
      <c r="E1254" s="1011" t="s">
        <v>221</v>
      </c>
      <c r="F1254" s="787" t="s">
        <v>258</v>
      </c>
      <c r="G1254" s="996" t="s">
        <v>1081</v>
      </c>
      <c r="H1254" s="1012">
        <v>5023000</v>
      </c>
      <c r="I1254" s="1012">
        <v>300000</v>
      </c>
      <c r="J1254" s="1012">
        <v>0</v>
      </c>
      <c r="K1254" s="1012">
        <v>0</v>
      </c>
      <c r="L1254" s="1013">
        <f t="shared" ref="L1254:L1277" si="248">SUM(H1254:K1254)</f>
        <v>5323000</v>
      </c>
      <c r="M1254" s="1014">
        <v>22.7</v>
      </c>
      <c r="N1254" s="1013">
        <f t="shared" si="239"/>
        <v>4647388</v>
      </c>
      <c r="O1254" s="1015">
        <v>2</v>
      </c>
      <c r="P1254" s="1013">
        <f t="shared" si="240"/>
        <v>409462</v>
      </c>
      <c r="Q1254" s="1016">
        <v>0</v>
      </c>
      <c r="R1254" s="1013">
        <f t="shared" si="241"/>
        <v>0</v>
      </c>
      <c r="S1254" s="1013">
        <f t="shared" si="242"/>
        <v>5056850</v>
      </c>
      <c r="T1254" s="1017">
        <v>0</v>
      </c>
      <c r="U1254" s="785">
        <v>0</v>
      </c>
      <c r="V1254" s="785">
        <v>200000</v>
      </c>
      <c r="W1254" s="1017">
        <v>0</v>
      </c>
      <c r="X1254" s="1017">
        <v>0</v>
      </c>
      <c r="Y1254" s="1017">
        <v>0</v>
      </c>
      <c r="Z1254" s="1017">
        <v>341038</v>
      </c>
      <c r="AA1254" s="1018"/>
      <c r="AB1254" s="1013"/>
      <c r="AC1254" s="1017">
        <v>0</v>
      </c>
      <c r="AD1254" s="1017">
        <v>0</v>
      </c>
      <c r="AE1254" s="1013">
        <v>38387.015418502204</v>
      </c>
      <c r="AF1254" s="1019"/>
      <c r="AG1254" s="1019">
        <f t="shared" si="246"/>
        <v>5636275</v>
      </c>
      <c r="AH1254" s="1014">
        <v>48</v>
      </c>
      <c r="AI1254" s="1014">
        <v>0</v>
      </c>
      <c r="AJ1254" s="1014">
        <v>0</v>
      </c>
      <c r="AK1254" s="1018">
        <v>0</v>
      </c>
      <c r="AL1254" s="1020">
        <v>0</v>
      </c>
      <c r="AM1254" s="1013">
        <f t="shared" si="245"/>
        <v>1842577</v>
      </c>
      <c r="AN1254" s="1045">
        <f t="shared" si="247"/>
        <v>7478852</v>
      </c>
      <c r="AO1254" s="1013">
        <v>558915</v>
      </c>
      <c r="AP1254" s="1013">
        <v>44100</v>
      </c>
      <c r="AQ1254" s="1013">
        <v>0</v>
      </c>
      <c r="AR1254" s="1013">
        <v>0</v>
      </c>
      <c r="AS1254" s="1013">
        <v>0</v>
      </c>
      <c r="AT1254" s="1045">
        <f t="shared" si="243"/>
        <v>6875837</v>
      </c>
      <c r="AU1254" s="1004"/>
      <c r="AV1254" s="870"/>
      <c r="AW1254" s="782" t="s">
        <v>5648</v>
      </c>
      <c r="AX1254" s="782" t="s">
        <v>5649</v>
      </c>
      <c r="AY1254" s="1007" t="s">
        <v>221</v>
      </c>
      <c r="AZ1254" s="1007">
        <v>622</v>
      </c>
      <c r="BA1254" s="347" t="str">
        <f t="shared" si="244"/>
        <v>Bag</v>
      </c>
      <c r="BB1254" s="1008"/>
      <c r="BC1254" s="1009"/>
      <c r="BD1254" s="1009"/>
    </row>
    <row r="1255" spans="1:56" s="1010" customFormat="1" ht="36.75" customHeight="1">
      <c r="A1255" s="661">
        <f>SUBTOTAL(3,B$6:B1255)</f>
        <v>1250</v>
      </c>
      <c r="B1255" s="661" t="s">
        <v>3261</v>
      </c>
      <c r="C1255" s="662" t="s">
        <v>3262</v>
      </c>
      <c r="D1255" s="1011">
        <v>45594</v>
      </c>
      <c r="E1255" s="1011" t="s">
        <v>221</v>
      </c>
      <c r="F1255" s="787" t="s">
        <v>258</v>
      </c>
      <c r="G1255" s="996" t="s">
        <v>1081</v>
      </c>
      <c r="H1255" s="1012">
        <v>5023000</v>
      </c>
      <c r="I1255" s="1012">
        <v>300000</v>
      </c>
      <c r="J1255" s="1012">
        <v>252000</v>
      </c>
      <c r="K1255" s="1012">
        <v>0</v>
      </c>
      <c r="L1255" s="1013">
        <f t="shared" si="248"/>
        <v>5575000</v>
      </c>
      <c r="M1255" s="1014">
        <v>23</v>
      </c>
      <c r="N1255" s="1013">
        <f t="shared" ref="N1255:N1277" si="249">ROUND((H1255+I1255+J1255+K1255)/IF($M$2&gt;26,26,$M$2)*M1255,0)</f>
        <v>4931731</v>
      </c>
      <c r="O1255" s="1015">
        <v>3</v>
      </c>
      <c r="P1255" s="1013">
        <f t="shared" ref="P1255:P1277" si="250">ROUND((H1255+I1255+J1255+K1255)/IF($M$2&gt;26,26,$M$2)*O1255,0)</f>
        <v>643269</v>
      </c>
      <c r="Q1255" s="1016">
        <v>0</v>
      </c>
      <c r="R1255" s="1013">
        <f t="shared" ref="R1255:R1277" si="251">IF(M1255&gt;0,ROUND(N1255/IF(M1255&gt;26,26,M1255)/8*Q1255*30%,0),0)</f>
        <v>0</v>
      </c>
      <c r="S1255" s="1013">
        <f t="shared" ref="S1255:S1277" si="252">N1255+P1255+R1255</f>
        <v>5575000</v>
      </c>
      <c r="T1255" s="1017">
        <v>0</v>
      </c>
      <c r="U1255" s="785">
        <v>0</v>
      </c>
      <c r="V1255" s="785">
        <v>200000</v>
      </c>
      <c r="W1255" s="1017">
        <v>500000</v>
      </c>
      <c r="X1255" s="1017">
        <v>0</v>
      </c>
      <c r="Y1255" s="1017">
        <v>400000</v>
      </c>
      <c r="Z1255" s="1017">
        <v>448613</v>
      </c>
      <c r="AA1255" s="1018"/>
      <c r="AB1255" s="1013"/>
      <c r="AC1255" s="1017">
        <v>0</v>
      </c>
      <c r="AD1255" s="1017">
        <v>0</v>
      </c>
      <c r="AE1255" s="1013">
        <v>40204.328804347824</v>
      </c>
      <c r="AF1255" s="1019"/>
      <c r="AG1255" s="1019">
        <f t="shared" si="246"/>
        <v>7163817</v>
      </c>
      <c r="AH1255" s="1014">
        <v>56</v>
      </c>
      <c r="AI1255" s="1014">
        <v>0</v>
      </c>
      <c r="AJ1255" s="1014">
        <v>0</v>
      </c>
      <c r="AK1255" s="1018">
        <v>0</v>
      </c>
      <c r="AL1255" s="1020">
        <v>0</v>
      </c>
      <c r="AM1255" s="1013">
        <f t="shared" si="245"/>
        <v>2251442</v>
      </c>
      <c r="AN1255" s="1045">
        <f t="shared" si="247"/>
        <v>9415259</v>
      </c>
      <c r="AO1255" s="1013">
        <v>585375</v>
      </c>
      <c r="AP1255" s="1013">
        <v>44100</v>
      </c>
      <c r="AQ1255" s="1013">
        <v>0</v>
      </c>
      <c r="AR1255" s="1013">
        <v>0</v>
      </c>
      <c r="AS1255" s="1013">
        <v>0</v>
      </c>
      <c r="AT1255" s="1045">
        <f t="shared" si="243"/>
        <v>8785784</v>
      </c>
      <c r="AU1255" s="1004"/>
      <c r="AV1255" s="870"/>
      <c r="AW1255" s="782" t="s">
        <v>5650</v>
      </c>
      <c r="AX1255" s="782" t="s">
        <v>5651</v>
      </c>
      <c r="AY1255" s="1007" t="s">
        <v>221</v>
      </c>
      <c r="AZ1255" s="1007">
        <v>622</v>
      </c>
      <c r="BA1255" s="347" t="str">
        <f t="shared" si="244"/>
        <v>Bag</v>
      </c>
      <c r="BB1255" s="1008"/>
      <c r="BC1255" s="1009"/>
      <c r="BD1255" s="1009"/>
    </row>
    <row r="1256" spans="1:56" s="1010" customFormat="1" ht="36.75" customHeight="1">
      <c r="A1256" s="661">
        <f>SUBTOTAL(3,B$6:B1256)</f>
        <v>1251</v>
      </c>
      <c r="B1256" s="661" t="s">
        <v>5815</v>
      </c>
      <c r="C1256" s="662" t="s">
        <v>5816</v>
      </c>
      <c r="D1256" s="1011">
        <v>45769</v>
      </c>
      <c r="E1256" s="1011" t="s">
        <v>221</v>
      </c>
      <c r="F1256" s="787" t="s">
        <v>258</v>
      </c>
      <c r="G1256" s="996" t="s">
        <v>554</v>
      </c>
      <c r="H1256" s="1012">
        <v>4694000</v>
      </c>
      <c r="I1256" s="1012">
        <v>0</v>
      </c>
      <c r="J1256" s="1012">
        <v>0</v>
      </c>
      <c r="K1256" s="1012">
        <v>0</v>
      </c>
      <c r="L1256" s="1013">
        <f t="shared" si="248"/>
        <v>4694000</v>
      </c>
      <c r="M1256" s="1014">
        <v>6.9</v>
      </c>
      <c r="N1256" s="1013">
        <f t="shared" si="249"/>
        <v>1245715</v>
      </c>
      <c r="O1256" s="1015">
        <v>1</v>
      </c>
      <c r="P1256" s="1013">
        <f t="shared" si="250"/>
        <v>180538</v>
      </c>
      <c r="Q1256" s="1016">
        <v>0</v>
      </c>
      <c r="R1256" s="1013">
        <f t="shared" si="251"/>
        <v>0</v>
      </c>
      <c r="S1256" s="1013">
        <f t="shared" si="252"/>
        <v>1426253</v>
      </c>
      <c r="T1256" s="1017">
        <v>0</v>
      </c>
      <c r="U1256" s="785">
        <v>0</v>
      </c>
      <c r="V1256" s="785">
        <v>61000</v>
      </c>
      <c r="W1256" s="1017">
        <v>152000</v>
      </c>
      <c r="X1256" s="1017">
        <v>0</v>
      </c>
      <c r="Y1256" s="1017">
        <v>46000</v>
      </c>
      <c r="Z1256" s="1017">
        <v>0</v>
      </c>
      <c r="AA1256" s="1018"/>
      <c r="AB1256" s="1013"/>
      <c r="AC1256" s="1017">
        <v>0</v>
      </c>
      <c r="AD1256" s="1017">
        <v>0</v>
      </c>
      <c r="AE1256" s="1013">
        <v>0</v>
      </c>
      <c r="AF1256" s="1019"/>
      <c r="AG1256" s="1019">
        <f t="shared" si="246"/>
        <v>1685253</v>
      </c>
      <c r="AH1256" s="1014">
        <v>16</v>
      </c>
      <c r="AI1256" s="1014">
        <v>0</v>
      </c>
      <c r="AJ1256" s="1014">
        <v>0</v>
      </c>
      <c r="AK1256" s="1018">
        <v>0</v>
      </c>
      <c r="AL1256" s="1020">
        <v>0</v>
      </c>
      <c r="AM1256" s="1013">
        <f t="shared" si="245"/>
        <v>541615</v>
      </c>
      <c r="AN1256" s="1045">
        <f t="shared" si="247"/>
        <v>2226868</v>
      </c>
      <c r="AO1256" s="1013">
        <v>0</v>
      </c>
      <c r="AP1256" s="1013">
        <v>0</v>
      </c>
      <c r="AQ1256" s="1013">
        <v>0</v>
      </c>
      <c r="AR1256" s="1013">
        <v>0</v>
      </c>
      <c r="AS1256" s="1013">
        <v>0</v>
      </c>
      <c r="AT1256" s="1045">
        <f t="shared" si="243"/>
        <v>2226868</v>
      </c>
      <c r="AU1256" s="1004"/>
      <c r="AV1256" s="870"/>
      <c r="AW1256" s="782" t="s">
        <v>5910</v>
      </c>
      <c r="AX1256" s="782" t="s">
        <v>5911</v>
      </c>
      <c r="AY1256" s="1007" t="s">
        <v>221</v>
      </c>
      <c r="AZ1256" s="1007">
        <v>622</v>
      </c>
      <c r="BA1256" s="347" t="str">
        <f t="shared" si="244"/>
        <v>Bag</v>
      </c>
      <c r="BB1256" s="1008"/>
      <c r="BC1256" s="1009"/>
      <c r="BD1256" s="1009"/>
    </row>
    <row r="1257" spans="1:56" s="1010" customFormat="1" ht="36.75" customHeight="1">
      <c r="A1257" s="661">
        <f>SUBTOTAL(3,B$6:B1257)</f>
        <v>1252</v>
      </c>
      <c r="B1257" s="661" t="s">
        <v>3263</v>
      </c>
      <c r="C1257" s="662" t="s">
        <v>3264</v>
      </c>
      <c r="D1257" s="1011">
        <v>40966</v>
      </c>
      <c r="E1257" s="1011" t="s">
        <v>221</v>
      </c>
      <c r="F1257" s="787" t="s">
        <v>258</v>
      </c>
      <c r="G1257" s="996" t="s">
        <v>2024</v>
      </c>
      <c r="H1257" s="1012">
        <v>5931000</v>
      </c>
      <c r="I1257" s="1012">
        <v>2600000</v>
      </c>
      <c r="J1257" s="1012">
        <v>0</v>
      </c>
      <c r="K1257" s="1012">
        <v>500000</v>
      </c>
      <c r="L1257" s="1013">
        <f t="shared" si="248"/>
        <v>9031000</v>
      </c>
      <c r="M1257" s="1014">
        <v>22.8</v>
      </c>
      <c r="N1257" s="1013">
        <f t="shared" si="249"/>
        <v>7919492</v>
      </c>
      <c r="O1257" s="1015">
        <v>3</v>
      </c>
      <c r="P1257" s="1013">
        <f t="shared" si="250"/>
        <v>1042038</v>
      </c>
      <c r="Q1257" s="1016">
        <v>0</v>
      </c>
      <c r="R1257" s="1013">
        <f t="shared" si="251"/>
        <v>0</v>
      </c>
      <c r="S1257" s="1013">
        <f t="shared" si="252"/>
        <v>8961530</v>
      </c>
      <c r="T1257" s="1017">
        <v>0</v>
      </c>
      <c r="U1257" s="785">
        <v>0</v>
      </c>
      <c r="V1257" s="785">
        <v>200000</v>
      </c>
      <c r="W1257" s="1017">
        <v>500000</v>
      </c>
      <c r="X1257" s="1017">
        <v>0</v>
      </c>
      <c r="Y1257" s="1017">
        <v>400000</v>
      </c>
      <c r="Z1257" s="1017">
        <v>405917</v>
      </c>
      <c r="AA1257" s="1018"/>
      <c r="AB1257" s="1013"/>
      <c r="AC1257" s="1017">
        <v>0</v>
      </c>
      <c r="AD1257" s="1017">
        <v>0</v>
      </c>
      <c r="AE1257" s="1013">
        <v>65127.401315789473</v>
      </c>
      <c r="AF1257" s="1019"/>
      <c r="AG1257" s="1019">
        <f t="shared" si="246"/>
        <v>10532574</v>
      </c>
      <c r="AH1257" s="1014">
        <v>51</v>
      </c>
      <c r="AI1257" s="1014">
        <v>0</v>
      </c>
      <c r="AJ1257" s="1014">
        <v>0</v>
      </c>
      <c r="AK1257" s="1018">
        <v>0</v>
      </c>
      <c r="AL1257" s="1020">
        <v>0</v>
      </c>
      <c r="AM1257" s="1013">
        <f t="shared" si="245"/>
        <v>3321497</v>
      </c>
      <c r="AN1257" s="1045">
        <f t="shared" si="247"/>
        <v>13854071</v>
      </c>
      <c r="AO1257" s="1013">
        <v>948255</v>
      </c>
      <c r="AP1257" s="1013">
        <v>44100</v>
      </c>
      <c r="AQ1257" s="1013">
        <v>44933</v>
      </c>
      <c r="AR1257" s="1013">
        <v>0</v>
      </c>
      <c r="AS1257" s="1013">
        <v>0</v>
      </c>
      <c r="AT1257" s="1045">
        <f t="shared" si="243"/>
        <v>12816783</v>
      </c>
      <c r="AU1257" s="1004"/>
      <c r="AV1257" s="870"/>
      <c r="AW1257" s="782" t="s">
        <v>5652</v>
      </c>
      <c r="AX1257" s="782" t="s">
        <v>5653</v>
      </c>
      <c r="AY1257" s="1007" t="s">
        <v>221</v>
      </c>
      <c r="AZ1257" s="1007">
        <v>622</v>
      </c>
      <c r="BA1257" s="347" t="str">
        <f t="shared" si="244"/>
        <v>Bag</v>
      </c>
      <c r="BB1257" s="1008"/>
      <c r="BC1257" s="1009"/>
      <c r="BD1257" s="1009"/>
    </row>
    <row r="1258" spans="1:56" s="1010" customFormat="1" ht="36.75" customHeight="1">
      <c r="A1258" s="661">
        <f>SUBTOTAL(3,B$6:B1258)</f>
        <v>1253</v>
      </c>
      <c r="B1258" s="661" t="s">
        <v>3265</v>
      </c>
      <c r="C1258" s="662" t="s">
        <v>3266</v>
      </c>
      <c r="D1258" s="1011">
        <v>41215</v>
      </c>
      <c r="E1258" s="1011" t="s">
        <v>221</v>
      </c>
      <c r="F1258" s="787" t="s">
        <v>258</v>
      </c>
      <c r="G1258" s="996" t="s">
        <v>1081</v>
      </c>
      <c r="H1258" s="1012">
        <v>5931000</v>
      </c>
      <c r="I1258" s="1012">
        <v>500000</v>
      </c>
      <c r="J1258" s="1012">
        <v>298000</v>
      </c>
      <c r="K1258" s="1012">
        <v>0</v>
      </c>
      <c r="L1258" s="1013">
        <f t="shared" si="248"/>
        <v>6729000</v>
      </c>
      <c r="M1258" s="1014">
        <v>22.6</v>
      </c>
      <c r="N1258" s="1013">
        <f t="shared" si="249"/>
        <v>5849054</v>
      </c>
      <c r="O1258" s="1015">
        <v>3</v>
      </c>
      <c r="P1258" s="1013">
        <f t="shared" si="250"/>
        <v>776423</v>
      </c>
      <c r="Q1258" s="1016">
        <v>0</v>
      </c>
      <c r="R1258" s="1013">
        <f t="shared" si="251"/>
        <v>0</v>
      </c>
      <c r="S1258" s="1013">
        <f t="shared" si="252"/>
        <v>6625477</v>
      </c>
      <c r="T1258" s="1017">
        <v>0</v>
      </c>
      <c r="U1258" s="785">
        <v>0</v>
      </c>
      <c r="V1258" s="785">
        <v>200000</v>
      </c>
      <c r="W1258" s="1017">
        <v>500000</v>
      </c>
      <c r="X1258" s="1017">
        <v>0</v>
      </c>
      <c r="Y1258" s="1017">
        <v>400000</v>
      </c>
      <c r="Z1258" s="1017">
        <v>444639</v>
      </c>
      <c r="AA1258" s="1018"/>
      <c r="AB1258" s="1013"/>
      <c r="AC1258" s="1017">
        <v>0</v>
      </c>
      <c r="AD1258" s="1017">
        <v>0</v>
      </c>
      <c r="AE1258" s="1013">
        <v>48526.443584070796</v>
      </c>
      <c r="AF1258" s="1019"/>
      <c r="AG1258" s="1019">
        <f t="shared" si="246"/>
        <v>8218642</v>
      </c>
      <c r="AH1258" s="1014">
        <v>52</v>
      </c>
      <c r="AI1258" s="1014">
        <v>0</v>
      </c>
      <c r="AJ1258" s="1014">
        <v>0</v>
      </c>
      <c r="AK1258" s="1018">
        <v>0</v>
      </c>
      <c r="AL1258" s="1020">
        <v>0</v>
      </c>
      <c r="AM1258" s="1013">
        <f t="shared" si="245"/>
        <v>2523375</v>
      </c>
      <c r="AN1258" s="1045">
        <f t="shared" si="247"/>
        <v>10742017</v>
      </c>
      <c r="AO1258" s="1013">
        <v>706545</v>
      </c>
      <c r="AP1258" s="1013">
        <v>44100</v>
      </c>
      <c r="AQ1258" s="1013">
        <v>0</v>
      </c>
      <c r="AR1258" s="1013">
        <v>0</v>
      </c>
      <c r="AS1258" s="1013">
        <v>0</v>
      </c>
      <c r="AT1258" s="1045">
        <f t="shared" si="243"/>
        <v>9991372</v>
      </c>
      <c r="AU1258" s="1004"/>
      <c r="AV1258" s="870"/>
      <c r="AW1258" s="782" t="s">
        <v>5654</v>
      </c>
      <c r="AX1258" s="782" t="s">
        <v>5655</v>
      </c>
      <c r="AY1258" s="1007" t="s">
        <v>221</v>
      </c>
      <c r="AZ1258" s="1007">
        <v>622</v>
      </c>
      <c r="BA1258" s="347" t="str">
        <f t="shared" si="244"/>
        <v>Bag</v>
      </c>
      <c r="BB1258" s="1008"/>
      <c r="BC1258" s="1009"/>
      <c r="BD1258" s="1009"/>
    </row>
    <row r="1259" spans="1:56" s="1010" customFormat="1" ht="36.75" customHeight="1">
      <c r="A1259" s="661">
        <f>SUBTOTAL(3,B$6:B1259)</f>
        <v>1254</v>
      </c>
      <c r="B1259" s="661" t="s">
        <v>3267</v>
      </c>
      <c r="C1259" s="662" t="s">
        <v>3268</v>
      </c>
      <c r="D1259" s="1011">
        <v>41277</v>
      </c>
      <c r="E1259" s="1011" t="s">
        <v>221</v>
      </c>
      <c r="F1259" s="787" t="s">
        <v>258</v>
      </c>
      <c r="G1259" s="996" t="s">
        <v>1081</v>
      </c>
      <c r="H1259" s="1012">
        <v>5931000</v>
      </c>
      <c r="I1259" s="1012">
        <v>700000</v>
      </c>
      <c r="J1259" s="1012">
        <v>0</v>
      </c>
      <c r="K1259" s="1012">
        <v>0</v>
      </c>
      <c r="L1259" s="1013">
        <f t="shared" si="248"/>
        <v>6631000</v>
      </c>
      <c r="M1259" s="1014">
        <v>24</v>
      </c>
      <c r="N1259" s="1013">
        <f t="shared" si="249"/>
        <v>6120923</v>
      </c>
      <c r="O1259" s="1015">
        <v>2</v>
      </c>
      <c r="P1259" s="1013">
        <f t="shared" si="250"/>
        <v>510077</v>
      </c>
      <c r="Q1259" s="1016">
        <v>0</v>
      </c>
      <c r="R1259" s="1013">
        <f t="shared" si="251"/>
        <v>0</v>
      </c>
      <c r="S1259" s="1013">
        <f t="shared" si="252"/>
        <v>6631000</v>
      </c>
      <c r="T1259" s="1017">
        <v>0</v>
      </c>
      <c r="U1259" s="785">
        <v>0</v>
      </c>
      <c r="V1259" s="785">
        <v>200000</v>
      </c>
      <c r="W1259" s="1017">
        <v>500000</v>
      </c>
      <c r="X1259" s="1017">
        <v>200000</v>
      </c>
      <c r="Y1259" s="1017">
        <v>400000</v>
      </c>
      <c r="Z1259" s="1017">
        <v>475919</v>
      </c>
      <c r="AA1259" s="1018"/>
      <c r="AB1259" s="1013"/>
      <c r="AC1259" s="1017">
        <v>0</v>
      </c>
      <c r="AD1259" s="1017">
        <v>0</v>
      </c>
      <c r="AE1259" s="1013">
        <v>47819.7109375</v>
      </c>
      <c r="AF1259" s="1019"/>
      <c r="AG1259" s="1019">
        <f t="shared" si="246"/>
        <v>8454739</v>
      </c>
      <c r="AH1259" s="1014">
        <v>56</v>
      </c>
      <c r="AI1259" s="1014">
        <v>0</v>
      </c>
      <c r="AJ1259" s="1014">
        <v>0</v>
      </c>
      <c r="AK1259" s="1018">
        <v>0</v>
      </c>
      <c r="AL1259" s="1020">
        <v>0</v>
      </c>
      <c r="AM1259" s="1013">
        <f t="shared" si="245"/>
        <v>2677904</v>
      </c>
      <c r="AN1259" s="1045">
        <f t="shared" si="247"/>
        <v>11132643</v>
      </c>
      <c r="AO1259" s="1013">
        <v>696255</v>
      </c>
      <c r="AP1259" s="1013">
        <v>44100</v>
      </c>
      <c r="AQ1259" s="1013">
        <v>0</v>
      </c>
      <c r="AR1259" s="1013">
        <v>0</v>
      </c>
      <c r="AS1259" s="1013">
        <v>0</v>
      </c>
      <c r="AT1259" s="1045">
        <f t="shared" si="243"/>
        <v>10392288</v>
      </c>
      <c r="AU1259" s="1004"/>
      <c r="AV1259" s="870"/>
      <c r="AW1259" s="782" t="s">
        <v>5656</v>
      </c>
      <c r="AX1259" s="782" t="s">
        <v>5657</v>
      </c>
      <c r="AY1259" s="1007" t="s">
        <v>221</v>
      </c>
      <c r="AZ1259" s="1007">
        <v>622</v>
      </c>
      <c r="BA1259" s="347" t="str">
        <f t="shared" si="244"/>
        <v>Bag</v>
      </c>
      <c r="BB1259" s="1008"/>
      <c r="BC1259" s="1009"/>
      <c r="BD1259" s="1009"/>
    </row>
    <row r="1260" spans="1:56" s="1010" customFormat="1" ht="36.75" customHeight="1">
      <c r="A1260" s="661">
        <f>SUBTOTAL(3,B$6:B1260)</f>
        <v>1255</v>
      </c>
      <c r="B1260" s="661" t="s">
        <v>3269</v>
      </c>
      <c r="C1260" s="662" t="s">
        <v>3270</v>
      </c>
      <c r="D1260" s="1011">
        <v>42620</v>
      </c>
      <c r="E1260" s="1011" t="s">
        <v>221</v>
      </c>
      <c r="F1260" s="787" t="s">
        <v>258</v>
      </c>
      <c r="G1260" s="996" t="s">
        <v>1081</v>
      </c>
      <c r="H1260" s="1012">
        <v>5931000</v>
      </c>
      <c r="I1260" s="1012">
        <v>700000</v>
      </c>
      <c r="J1260" s="1012">
        <v>298000</v>
      </c>
      <c r="K1260" s="1012">
        <v>0</v>
      </c>
      <c r="L1260" s="1013">
        <f t="shared" si="248"/>
        <v>6929000</v>
      </c>
      <c r="M1260" s="1014">
        <v>23.9</v>
      </c>
      <c r="N1260" s="1013">
        <f t="shared" si="249"/>
        <v>6369350</v>
      </c>
      <c r="O1260" s="1015">
        <v>2</v>
      </c>
      <c r="P1260" s="1013">
        <f t="shared" si="250"/>
        <v>533000</v>
      </c>
      <c r="Q1260" s="1016">
        <v>0</v>
      </c>
      <c r="R1260" s="1013">
        <f t="shared" si="251"/>
        <v>0</v>
      </c>
      <c r="S1260" s="1013">
        <f t="shared" si="252"/>
        <v>6902350</v>
      </c>
      <c r="T1260" s="1017">
        <v>0</v>
      </c>
      <c r="U1260" s="785">
        <v>0</v>
      </c>
      <c r="V1260" s="785">
        <v>200000</v>
      </c>
      <c r="W1260" s="1017">
        <v>500000</v>
      </c>
      <c r="X1260" s="1017">
        <v>0</v>
      </c>
      <c r="Y1260" s="1017">
        <v>400000</v>
      </c>
      <c r="Z1260" s="1017">
        <v>472728</v>
      </c>
      <c r="AA1260" s="1018"/>
      <c r="AB1260" s="1013"/>
      <c r="AC1260" s="1017">
        <v>0</v>
      </c>
      <c r="AD1260" s="1017">
        <v>0</v>
      </c>
      <c r="AE1260" s="1013">
        <v>49968.75</v>
      </c>
      <c r="AF1260" s="1019"/>
      <c r="AG1260" s="1019">
        <f t="shared" si="246"/>
        <v>8525047</v>
      </c>
      <c r="AH1260" s="1014">
        <v>56</v>
      </c>
      <c r="AI1260" s="1014">
        <v>0</v>
      </c>
      <c r="AJ1260" s="1014">
        <v>0</v>
      </c>
      <c r="AK1260" s="1018">
        <v>0</v>
      </c>
      <c r="AL1260" s="1020">
        <v>0</v>
      </c>
      <c r="AM1260" s="1013">
        <f t="shared" si="245"/>
        <v>2798250</v>
      </c>
      <c r="AN1260" s="1045">
        <f t="shared" si="247"/>
        <v>11323297</v>
      </c>
      <c r="AO1260" s="1013">
        <v>727545</v>
      </c>
      <c r="AP1260" s="1013">
        <v>44100</v>
      </c>
      <c r="AQ1260" s="1013">
        <v>0</v>
      </c>
      <c r="AR1260" s="1013">
        <v>0</v>
      </c>
      <c r="AS1260" s="1013">
        <v>0</v>
      </c>
      <c r="AT1260" s="1045">
        <f t="shared" si="243"/>
        <v>10551652</v>
      </c>
      <c r="AU1260" s="1004"/>
      <c r="AV1260" s="870"/>
      <c r="AW1260" s="782" t="s">
        <v>5658</v>
      </c>
      <c r="AX1260" s="782" t="s">
        <v>5659</v>
      </c>
      <c r="AY1260" s="1007" t="s">
        <v>221</v>
      </c>
      <c r="AZ1260" s="1007">
        <v>622</v>
      </c>
      <c r="BA1260" s="347" t="str">
        <f t="shared" si="244"/>
        <v>Bag</v>
      </c>
      <c r="BB1260" s="1008"/>
      <c r="BC1260" s="1009"/>
      <c r="BD1260" s="1009"/>
    </row>
    <row r="1261" spans="1:56" s="1010" customFormat="1" ht="36.75" customHeight="1">
      <c r="A1261" s="661">
        <f>SUBTOTAL(3,B$6:B1261)</f>
        <v>1256</v>
      </c>
      <c r="B1261" s="661" t="s">
        <v>3271</v>
      </c>
      <c r="C1261" s="662" t="s">
        <v>3272</v>
      </c>
      <c r="D1261" s="1011">
        <v>43536</v>
      </c>
      <c r="E1261" s="1011" t="s">
        <v>221</v>
      </c>
      <c r="F1261" s="787" t="s">
        <v>258</v>
      </c>
      <c r="G1261" s="996" t="s">
        <v>1081</v>
      </c>
      <c r="H1261" s="1012">
        <v>5931000</v>
      </c>
      <c r="I1261" s="1012">
        <v>700000</v>
      </c>
      <c r="J1261" s="1012">
        <v>0</v>
      </c>
      <c r="K1261" s="1012">
        <v>0</v>
      </c>
      <c r="L1261" s="1013">
        <f t="shared" si="248"/>
        <v>6631000</v>
      </c>
      <c r="M1261" s="1014">
        <v>15.9</v>
      </c>
      <c r="N1261" s="1013">
        <f t="shared" si="249"/>
        <v>4055112</v>
      </c>
      <c r="O1261" s="1015">
        <v>2</v>
      </c>
      <c r="P1261" s="1013">
        <f t="shared" si="250"/>
        <v>510077</v>
      </c>
      <c r="Q1261" s="1016">
        <v>0</v>
      </c>
      <c r="R1261" s="1013">
        <f t="shared" si="251"/>
        <v>0</v>
      </c>
      <c r="S1261" s="1013">
        <f t="shared" si="252"/>
        <v>4565189</v>
      </c>
      <c r="T1261" s="1017">
        <v>0</v>
      </c>
      <c r="U1261" s="785">
        <v>0</v>
      </c>
      <c r="V1261" s="785">
        <v>200000</v>
      </c>
      <c r="W1261" s="1017">
        <v>0</v>
      </c>
      <c r="X1261" s="1017">
        <v>0</v>
      </c>
      <c r="Y1261" s="1017">
        <v>0</v>
      </c>
      <c r="Z1261" s="1017">
        <v>284480</v>
      </c>
      <c r="AA1261" s="1018"/>
      <c r="AB1261" s="1013"/>
      <c r="AC1261" s="1017">
        <v>0</v>
      </c>
      <c r="AD1261" s="1017">
        <v>0</v>
      </c>
      <c r="AE1261" s="1013">
        <v>47819.716981132078</v>
      </c>
      <c r="AF1261" s="1019"/>
      <c r="AG1261" s="1019">
        <f t="shared" si="246"/>
        <v>5097489</v>
      </c>
      <c r="AH1261" s="1014">
        <v>35</v>
      </c>
      <c r="AI1261" s="1014">
        <v>0</v>
      </c>
      <c r="AJ1261" s="1014">
        <v>0</v>
      </c>
      <c r="AK1261" s="1018">
        <v>0</v>
      </c>
      <c r="AL1261" s="1020">
        <v>0</v>
      </c>
      <c r="AM1261" s="1013">
        <f t="shared" si="245"/>
        <v>1673690</v>
      </c>
      <c r="AN1261" s="1045">
        <f t="shared" si="247"/>
        <v>6771179</v>
      </c>
      <c r="AO1261" s="1013">
        <v>696255</v>
      </c>
      <c r="AP1261" s="1013">
        <v>44100</v>
      </c>
      <c r="AQ1261" s="1013">
        <v>0</v>
      </c>
      <c r="AR1261" s="1013">
        <v>0</v>
      </c>
      <c r="AS1261" s="1013">
        <v>0</v>
      </c>
      <c r="AT1261" s="1045">
        <f t="shared" si="243"/>
        <v>6030824</v>
      </c>
      <c r="AU1261" s="1004"/>
      <c r="AV1261" s="870"/>
      <c r="AW1261" s="782" t="s">
        <v>5660</v>
      </c>
      <c r="AX1261" s="782" t="s">
        <v>5661</v>
      </c>
      <c r="AY1261" s="1007" t="s">
        <v>221</v>
      </c>
      <c r="AZ1261" s="1007">
        <v>622</v>
      </c>
      <c r="BA1261" s="347" t="str">
        <f t="shared" si="244"/>
        <v>Bag</v>
      </c>
      <c r="BB1261" s="1008"/>
      <c r="BC1261" s="1009"/>
      <c r="BD1261" s="1009"/>
    </row>
    <row r="1262" spans="1:56" s="1010" customFormat="1" ht="36.75" customHeight="1">
      <c r="A1262" s="661">
        <f>SUBTOTAL(3,B$6:B1262)</f>
        <v>1257</v>
      </c>
      <c r="B1262" s="661" t="s">
        <v>3273</v>
      </c>
      <c r="C1262" s="662" t="s">
        <v>3274</v>
      </c>
      <c r="D1262" s="1011">
        <v>44292</v>
      </c>
      <c r="E1262" s="1011" t="s">
        <v>221</v>
      </c>
      <c r="F1262" s="787" t="s">
        <v>259</v>
      </c>
      <c r="G1262" s="996" t="s">
        <v>2037</v>
      </c>
      <c r="H1262" s="1012">
        <v>5931000</v>
      </c>
      <c r="I1262" s="1012">
        <v>700000</v>
      </c>
      <c r="J1262" s="1012">
        <v>0</v>
      </c>
      <c r="K1262" s="1012">
        <v>0</v>
      </c>
      <c r="L1262" s="1013">
        <f t="shared" si="248"/>
        <v>6631000</v>
      </c>
      <c r="M1262" s="1014">
        <v>23.8</v>
      </c>
      <c r="N1262" s="1013">
        <f t="shared" si="249"/>
        <v>6069915</v>
      </c>
      <c r="O1262" s="1015">
        <v>2</v>
      </c>
      <c r="P1262" s="1013">
        <f t="shared" si="250"/>
        <v>510077</v>
      </c>
      <c r="Q1262" s="1016">
        <v>0</v>
      </c>
      <c r="R1262" s="1013">
        <f t="shared" si="251"/>
        <v>0</v>
      </c>
      <c r="S1262" s="1013">
        <f t="shared" si="252"/>
        <v>6579992</v>
      </c>
      <c r="T1262" s="1017">
        <v>0</v>
      </c>
      <c r="U1262" s="785">
        <v>0</v>
      </c>
      <c r="V1262" s="785">
        <v>200000</v>
      </c>
      <c r="W1262" s="1017">
        <v>500000</v>
      </c>
      <c r="X1262" s="1017">
        <v>0</v>
      </c>
      <c r="Y1262" s="1017">
        <v>400000</v>
      </c>
      <c r="Z1262" s="1017">
        <v>428754</v>
      </c>
      <c r="AA1262" s="1018"/>
      <c r="AB1262" s="1013"/>
      <c r="AC1262" s="1017">
        <v>100000</v>
      </c>
      <c r="AD1262" s="1017">
        <v>0</v>
      </c>
      <c r="AE1262" s="1013">
        <v>0</v>
      </c>
      <c r="AF1262" s="1019"/>
      <c r="AG1262" s="1019">
        <f t="shared" si="246"/>
        <v>8208746</v>
      </c>
      <c r="AH1262" s="1014">
        <v>55</v>
      </c>
      <c r="AI1262" s="1014">
        <v>0</v>
      </c>
      <c r="AJ1262" s="1014">
        <v>0</v>
      </c>
      <c r="AK1262" s="1018">
        <v>0</v>
      </c>
      <c r="AL1262" s="1020">
        <v>0</v>
      </c>
      <c r="AM1262" s="1013">
        <f t="shared" si="245"/>
        <v>2630084</v>
      </c>
      <c r="AN1262" s="1045">
        <f t="shared" si="247"/>
        <v>10838830</v>
      </c>
      <c r="AO1262" s="1013">
        <v>696255</v>
      </c>
      <c r="AP1262" s="1013">
        <v>44100</v>
      </c>
      <c r="AQ1262" s="1013">
        <v>0</v>
      </c>
      <c r="AR1262" s="1013">
        <v>0</v>
      </c>
      <c r="AS1262" s="1013">
        <v>0</v>
      </c>
      <c r="AT1262" s="1045">
        <f t="shared" si="243"/>
        <v>10098475</v>
      </c>
      <c r="AU1262" s="1004"/>
      <c r="AV1262" s="870"/>
      <c r="AW1262" s="782" t="s">
        <v>5662</v>
      </c>
      <c r="AX1262" s="782" t="s">
        <v>5663</v>
      </c>
      <c r="AY1262" s="1007" t="s">
        <v>221</v>
      </c>
      <c r="AZ1262" s="1007">
        <v>622</v>
      </c>
      <c r="BA1262" s="347" t="str">
        <f t="shared" si="244"/>
        <v>Bag</v>
      </c>
      <c r="BB1262" s="1008"/>
      <c r="BC1262" s="1009"/>
      <c r="BD1262" s="1009"/>
    </row>
    <row r="1263" spans="1:56" s="1010" customFormat="1" ht="36.75" customHeight="1">
      <c r="A1263" s="661">
        <f>SUBTOTAL(3,B$6:B1263)</f>
        <v>1258</v>
      </c>
      <c r="B1263" s="661" t="s">
        <v>3275</v>
      </c>
      <c r="C1263" s="662" t="s">
        <v>3276</v>
      </c>
      <c r="D1263" s="1011">
        <v>44308</v>
      </c>
      <c r="E1263" s="1011" t="s">
        <v>221</v>
      </c>
      <c r="F1263" s="787" t="s">
        <v>259</v>
      </c>
      <c r="G1263" s="996" t="s">
        <v>1172</v>
      </c>
      <c r="H1263" s="1012">
        <v>5931000</v>
      </c>
      <c r="I1263" s="1012">
        <v>300000</v>
      </c>
      <c r="J1263" s="1012">
        <v>298000</v>
      </c>
      <c r="K1263" s="1012">
        <v>0</v>
      </c>
      <c r="L1263" s="1013">
        <f t="shared" si="248"/>
        <v>6529000</v>
      </c>
      <c r="M1263" s="1014">
        <v>23</v>
      </c>
      <c r="N1263" s="1013">
        <f t="shared" si="249"/>
        <v>5775654</v>
      </c>
      <c r="O1263" s="1015">
        <v>3</v>
      </c>
      <c r="P1263" s="1013">
        <f t="shared" si="250"/>
        <v>753346</v>
      </c>
      <c r="Q1263" s="1016">
        <v>0</v>
      </c>
      <c r="R1263" s="1013">
        <f t="shared" si="251"/>
        <v>0</v>
      </c>
      <c r="S1263" s="1013">
        <f t="shared" si="252"/>
        <v>6529000</v>
      </c>
      <c r="T1263" s="1017">
        <v>0</v>
      </c>
      <c r="U1263" s="785">
        <v>0</v>
      </c>
      <c r="V1263" s="785">
        <v>200000</v>
      </c>
      <c r="W1263" s="1017">
        <v>500000</v>
      </c>
      <c r="X1263" s="1017">
        <v>0</v>
      </c>
      <c r="Y1263" s="1017">
        <v>400000</v>
      </c>
      <c r="Z1263" s="1017">
        <v>448613</v>
      </c>
      <c r="AA1263" s="1018"/>
      <c r="AB1263" s="1013"/>
      <c r="AC1263" s="1017">
        <v>0</v>
      </c>
      <c r="AD1263" s="1017">
        <v>0</v>
      </c>
      <c r="AE1263" s="1013">
        <v>0</v>
      </c>
      <c r="AF1263" s="1019"/>
      <c r="AG1263" s="1019">
        <f t="shared" si="246"/>
        <v>8077613</v>
      </c>
      <c r="AH1263" s="1014">
        <v>52</v>
      </c>
      <c r="AI1263" s="1014">
        <v>0</v>
      </c>
      <c r="AJ1263" s="1014">
        <v>0</v>
      </c>
      <c r="AK1263" s="1018">
        <v>0</v>
      </c>
      <c r="AL1263" s="1020">
        <v>0</v>
      </c>
      <c r="AM1263" s="1013">
        <f t="shared" si="245"/>
        <v>2448375</v>
      </c>
      <c r="AN1263" s="1045">
        <f t="shared" si="247"/>
        <v>10525988</v>
      </c>
      <c r="AO1263" s="1013">
        <v>685545</v>
      </c>
      <c r="AP1263" s="1013">
        <v>0</v>
      </c>
      <c r="AQ1263" s="1013">
        <v>0</v>
      </c>
      <c r="AR1263" s="1013">
        <v>0</v>
      </c>
      <c r="AS1263" s="1013">
        <v>0</v>
      </c>
      <c r="AT1263" s="1045">
        <f t="shared" si="243"/>
        <v>9840443</v>
      </c>
      <c r="AU1263" s="1004"/>
      <c r="AV1263" s="870"/>
      <c r="AW1263" s="782" t="s">
        <v>5664</v>
      </c>
      <c r="AX1263" s="782" t="s">
        <v>5665</v>
      </c>
      <c r="AY1263" s="1007" t="s">
        <v>221</v>
      </c>
      <c r="AZ1263" s="1007">
        <v>622</v>
      </c>
      <c r="BA1263" s="347" t="str">
        <f t="shared" si="244"/>
        <v>Bag</v>
      </c>
      <c r="BB1263" s="1008"/>
      <c r="BC1263" s="1009"/>
      <c r="BD1263" s="1009"/>
    </row>
    <row r="1264" spans="1:56" s="1010" customFormat="1" ht="36.75" customHeight="1">
      <c r="A1264" s="661">
        <f>SUBTOTAL(3,B$6:B1264)</f>
        <v>1259</v>
      </c>
      <c r="B1264" s="661" t="s">
        <v>3277</v>
      </c>
      <c r="C1264" s="662" t="s">
        <v>3278</v>
      </c>
      <c r="D1264" s="1011">
        <v>44607</v>
      </c>
      <c r="E1264" s="1011" t="s">
        <v>221</v>
      </c>
      <c r="F1264" s="787" t="s">
        <v>259</v>
      </c>
      <c r="G1264" s="996" t="s">
        <v>1172</v>
      </c>
      <c r="H1264" s="1012">
        <v>5931000</v>
      </c>
      <c r="I1264" s="1012">
        <v>500000</v>
      </c>
      <c r="J1264" s="1012">
        <v>0</v>
      </c>
      <c r="K1264" s="1012">
        <v>0</v>
      </c>
      <c r="L1264" s="1013">
        <f t="shared" si="248"/>
        <v>6431000</v>
      </c>
      <c r="M1264" s="1014">
        <v>23.5</v>
      </c>
      <c r="N1264" s="1013">
        <f t="shared" si="249"/>
        <v>5812635</v>
      </c>
      <c r="O1264" s="1015">
        <v>2</v>
      </c>
      <c r="P1264" s="1013">
        <f t="shared" si="250"/>
        <v>494692</v>
      </c>
      <c r="Q1264" s="1016">
        <v>0</v>
      </c>
      <c r="R1264" s="1013">
        <f t="shared" si="251"/>
        <v>0</v>
      </c>
      <c r="S1264" s="1013">
        <f t="shared" si="252"/>
        <v>6307327</v>
      </c>
      <c r="T1264" s="1017">
        <v>0</v>
      </c>
      <c r="U1264" s="785">
        <v>0</v>
      </c>
      <c r="V1264" s="785">
        <v>200000</v>
      </c>
      <c r="W1264" s="1017">
        <v>500000</v>
      </c>
      <c r="X1264" s="1017">
        <v>0</v>
      </c>
      <c r="Y1264" s="1017">
        <v>400000</v>
      </c>
      <c r="Z1264" s="1017">
        <v>487100</v>
      </c>
      <c r="AA1264" s="1018"/>
      <c r="AB1264" s="1013"/>
      <c r="AC1264" s="1017">
        <v>100000</v>
      </c>
      <c r="AD1264" s="1017">
        <v>0</v>
      </c>
      <c r="AE1264" s="1013">
        <v>0</v>
      </c>
      <c r="AF1264" s="1019"/>
      <c r="AG1264" s="1019">
        <f t="shared" si="246"/>
        <v>7994427</v>
      </c>
      <c r="AH1264" s="1014">
        <v>52</v>
      </c>
      <c r="AI1264" s="1014">
        <v>0</v>
      </c>
      <c r="AJ1264" s="1014">
        <v>0</v>
      </c>
      <c r="AK1264" s="1018">
        <v>0</v>
      </c>
      <c r="AL1264" s="1020">
        <v>0</v>
      </c>
      <c r="AM1264" s="1013">
        <f t="shared" si="245"/>
        <v>2411625</v>
      </c>
      <c r="AN1264" s="1045">
        <f t="shared" si="247"/>
        <v>10406052</v>
      </c>
      <c r="AO1264" s="1013">
        <v>675255</v>
      </c>
      <c r="AP1264" s="1013">
        <v>44100</v>
      </c>
      <c r="AQ1264" s="1013">
        <v>0</v>
      </c>
      <c r="AR1264" s="1013">
        <v>0</v>
      </c>
      <c r="AS1264" s="1013">
        <v>0</v>
      </c>
      <c r="AT1264" s="1045">
        <f t="shared" si="243"/>
        <v>9686697</v>
      </c>
      <c r="AU1264" s="1004"/>
      <c r="AV1264" s="870"/>
      <c r="AW1264" s="782" t="s">
        <v>5666</v>
      </c>
      <c r="AX1264" s="782" t="s">
        <v>5667</v>
      </c>
      <c r="AY1264" s="1007" t="s">
        <v>221</v>
      </c>
      <c r="AZ1264" s="1007">
        <v>622</v>
      </c>
      <c r="BA1264" s="347" t="str">
        <f t="shared" si="244"/>
        <v>Bag</v>
      </c>
      <c r="BB1264" s="1008"/>
      <c r="BC1264" s="1009"/>
      <c r="BD1264" s="1009"/>
    </row>
    <row r="1265" spans="1:56" s="1010" customFormat="1" ht="36.75" customHeight="1">
      <c r="A1265" s="661">
        <f>SUBTOTAL(3,B$6:B1265)</f>
        <v>1260</v>
      </c>
      <c r="B1265" s="661" t="s">
        <v>3279</v>
      </c>
      <c r="C1265" s="662" t="s">
        <v>3280</v>
      </c>
      <c r="D1265" s="1011">
        <v>44618</v>
      </c>
      <c r="E1265" s="1011" t="s">
        <v>221</v>
      </c>
      <c r="F1265" s="787" t="s">
        <v>259</v>
      </c>
      <c r="G1265" s="996" t="s">
        <v>1172</v>
      </c>
      <c r="H1265" s="1012">
        <v>5931000</v>
      </c>
      <c r="I1265" s="1012">
        <v>500000</v>
      </c>
      <c r="J1265" s="1012">
        <v>0</v>
      </c>
      <c r="K1265" s="1012">
        <v>0</v>
      </c>
      <c r="L1265" s="1013">
        <f t="shared" si="248"/>
        <v>6431000</v>
      </c>
      <c r="M1265" s="1014">
        <v>23.7</v>
      </c>
      <c r="N1265" s="1013">
        <f t="shared" si="249"/>
        <v>5862104</v>
      </c>
      <c r="O1265" s="1015">
        <v>2</v>
      </c>
      <c r="P1265" s="1013">
        <f t="shared" si="250"/>
        <v>494692</v>
      </c>
      <c r="Q1265" s="1016">
        <v>0</v>
      </c>
      <c r="R1265" s="1013">
        <f t="shared" si="251"/>
        <v>0</v>
      </c>
      <c r="S1265" s="1013">
        <f t="shared" si="252"/>
        <v>6356796</v>
      </c>
      <c r="T1265" s="1017">
        <v>0</v>
      </c>
      <c r="U1265" s="785">
        <v>0</v>
      </c>
      <c r="V1265" s="785">
        <v>200000</v>
      </c>
      <c r="W1265" s="1017">
        <v>500000</v>
      </c>
      <c r="X1265" s="1017">
        <v>0</v>
      </c>
      <c r="Y1265" s="1017">
        <v>400000</v>
      </c>
      <c r="Z1265" s="1017">
        <v>469860</v>
      </c>
      <c r="AA1265" s="1018"/>
      <c r="AB1265" s="1013"/>
      <c r="AC1265" s="1017">
        <v>0</v>
      </c>
      <c r="AD1265" s="1017">
        <v>0</v>
      </c>
      <c r="AE1265" s="1013">
        <v>0</v>
      </c>
      <c r="AF1265" s="1019"/>
      <c r="AG1265" s="1019">
        <f t="shared" si="246"/>
        <v>7926656</v>
      </c>
      <c r="AH1265" s="1014">
        <v>52</v>
      </c>
      <c r="AI1265" s="1014">
        <v>0</v>
      </c>
      <c r="AJ1265" s="1014">
        <v>0</v>
      </c>
      <c r="AK1265" s="1018">
        <v>0</v>
      </c>
      <c r="AL1265" s="1020">
        <v>0</v>
      </c>
      <c r="AM1265" s="1013">
        <f t="shared" si="245"/>
        <v>2411625</v>
      </c>
      <c r="AN1265" s="1045">
        <f t="shared" si="247"/>
        <v>10338281</v>
      </c>
      <c r="AO1265" s="1013">
        <v>675255</v>
      </c>
      <c r="AP1265" s="1013">
        <v>44100</v>
      </c>
      <c r="AQ1265" s="1013">
        <v>0</v>
      </c>
      <c r="AR1265" s="1013">
        <v>0</v>
      </c>
      <c r="AS1265" s="1013">
        <v>0</v>
      </c>
      <c r="AT1265" s="1045">
        <f t="shared" si="243"/>
        <v>9618926</v>
      </c>
      <c r="AU1265" s="1004"/>
      <c r="AV1265" s="870"/>
      <c r="AW1265" s="782" t="s">
        <v>5668</v>
      </c>
      <c r="AX1265" s="782" t="s">
        <v>5669</v>
      </c>
      <c r="AY1265" s="1007" t="s">
        <v>221</v>
      </c>
      <c r="AZ1265" s="1007">
        <v>622</v>
      </c>
      <c r="BA1265" s="347" t="str">
        <f t="shared" si="244"/>
        <v>Bag</v>
      </c>
      <c r="BB1265" s="1008"/>
      <c r="BC1265" s="1009"/>
      <c r="BD1265" s="1009"/>
    </row>
    <row r="1266" spans="1:56" s="1010" customFormat="1" ht="36.75" customHeight="1">
      <c r="A1266" s="661">
        <f>SUBTOTAL(3,B$6:B1266)</f>
        <v>1261</v>
      </c>
      <c r="B1266" s="661" t="s">
        <v>3281</v>
      </c>
      <c r="C1266" s="662" t="s">
        <v>3282</v>
      </c>
      <c r="D1266" s="1011">
        <v>44657</v>
      </c>
      <c r="E1266" s="1011" t="s">
        <v>221</v>
      </c>
      <c r="F1266" s="787" t="s">
        <v>259</v>
      </c>
      <c r="G1266" s="996" t="s">
        <v>1172</v>
      </c>
      <c r="H1266" s="1012">
        <v>5931000</v>
      </c>
      <c r="I1266" s="1012">
        <v>400000</v>
      </c>
      <c r="J1266" s="1012">
        <v>298000</v>
      </c>
      <c r="K1266" s="1012">
        <v>0</v>
      </c>
      <c r="L1266" s="1013">
        <f t="shared" si="248"/>
        <v>6629000</v>
      </c>
      <c r="M1266" s="1014">
        <v>23</v>
      </c>
      <c r="N1266" s="1013">
        <f t="shared" si="249"/>
        <v>5864115</v>
      </c>
      <c r="O1266" s="1015">
        <v>3</v>
      </c>
      <c r="P1266" s="1013">
        <f t="shared" si="250"/>
        <v>764885</v>
      </c>
      <c r="Q1266" s="1016">
        <v>0</v>
      </c>
      <c r="R1266" s="1013">
        <f t="shared" si="251"/>
        <v>0</v>
      </c>
      <c r="S1266" s="1013">
        <f t="shared" si="252"/>
        <v>6629000</v>
      </c>
      <c r="T1266" s="1017">
        <v>0</v>
      </c>
      <c r="U1266" s="785">
        <v>0</v>
      </c>
      <c r="V1266" s="785">
        <v>200000</v>
      </c>
      <c r="W1266" s="1017">
        <v>500000</v>
      </c>
      <c r="X1266" s="1017">
        <v>0</v>
      </c>
      <c r="Y1266" s="1017">
        <v>400000</v>
      </c>
      <c r="Z1266" s="1017">
        <v>452508</v>
      </c>
      <c r="AA1266" s="1018"/>
      <c r="AB1266" s="1013"/>
      <c r="AC1266" s="1017">
        <v>0</v>
      </c>
      <c r="AD1266" s="1017">
        <v>0</v>
      </c>
      <c r="AE1266" s="1013">
        <v>0</v>
      </c>
      <c r="AF1266" s="1019"/>
      <c r="AG1266" s="1019">
        <f t="shared" si="246"/>
        <v>8181508</v>
      </c>
      <c r="AH1266" s="1014">
        <v>52</v>
      </c>
      <c r="AI1266" s="1014">
        <v>0</v>
      </c>
      <c r="AJ1266" s="1014">
        <v>0</v>
      </c>
      <c r="AK1266" s="1018">
        <v>0</v>
      </c>
      <c r="AL1266" s="1020">
        <v>0</v>
      </c>
      <c r="AM1266" s="1013">
        <f t="shared" si="245"/>
        <v>2485875</v>
      </c>
      <c r="AN1266" s="1045">
        <f t="shared" si="247"/>
        <v>10667383</v>
      </c>
      <c r="AO1266" s="1013">
        <v>696045</v>
      </c>
      <c r="AP1266" s="1013">
        <v>44100</v>
      </c>
      <c r="AQ1266" s="1013">
        <v>0</v>
      </c>
      <c r="AR1266" s="1013">
        <v>0</v>
      </c>
      <c r="AS1266" s="1013">
        <v>0</v>
      </c>
      <c r="AT1266" s="1045">
        <f t="shared" si="243"/>
        <v>9927238</v>
      </c>
      <c r="AU1266" s="1004"/>
      <c r="AV1266" s="870"/>
      <c r="AW1266" s="782" t="s">
        <v>5670</v>
      </c>
      <c r="AX1266" s="782" t="s">
        <v>5671</v>
      </c>
      <c r="AY1266" s="1007" t="s">
        <v>221</v>
      </c>
      <c r="AZ1266" s="1007">
        <v>622</v>
      </c>
      <c r="BA1266" s="347" t="str">
        <f t="shared" si="244"/>
        <v>Bag</v>
      </c>
      <c r="BB1266" s="1008"/>
      <c r="BC1266" s="1009"/>
      <c r="BD1266" s="1009"/>
    </row>
    <row r="1267" spans="1:56" s="1010" customFormat="1" ht="36.75" customHeight="1">
      <c r="A1267" s="661">
        <f>SUBTOTAL(3,B$6:B1267)</f>
        <v>1262</v>
      </c>
      <c r="B1267" s="661" t="s">
        <v>3283</v>
      </c>
      <c r="C1267" s="662" t="s">
        <v>3284</v>
      </c>
      <c r="D1267" s="1011">
        <v>45296</v>
      </c>
      <c r="E1267" s="1011" t="s">
        <v>221</v>
      </c>
      <c r="F1267" s="787" t="s">
        <v>259</v>
      </c>
      <c r="G1267" s="996" t="s">
        <v>1172</v>
      </c>
      <c r="H1267" s="1012">
        <v>5538000</v>
      </c>
      <c r="I1267" s="1012">
        <v>300000</v>
      </c>
      <c r="J1267" s="1012">
        <v>0</v>
      </c>
      <c r="K1267" s="1012">
        <v>0</v>
      </c>
      <c r="L1267" s="1013">
        <f t="shared" si="248"/>
        <v>5838000</v>
      </c>
      <c r="M1267" s="1014">
        <v>24</v>
      </c>
      <c r="N1267" s="1013">
        <f t="shared" si="249"/>
        <v>5388923</v>
      </c>
      <c r="O1267" s="1015">
        <v>2</v>
      </c>
      <c r="P1267" s="1013">
        <f t="shared" si="250"/>
        <v>449077</v>
      </c>
      <c r="Q1267" s="1016">
        <v>0</v>
      </c>
      <c r="R1267" s="1013">
        <f t="shared" si="251"/>
        <v>0</v>
      </c>
      <c r="S1267" s="1013">
        <f t="shared" si="252"/>
        <v>5838000</v>
      </c>
      <c r="T1267" s="1017">
        <v>0</v>
      </c>
      <c r="U1267" s="785">
        <v>0</v>
      </c>
      <c r="V1267" s="785">
        <v>200000</v>
      </c>
      <c r="W1267" s="1017">
        <v>500000</v>
      </c>
      <c r="X1267" s="1017">
        <v>0</v>
      </c>
      <c r="Y1267" s="1017">
        <v>300000</v>
      </c>
      <c r="Z1267" s="1017">
        <v>360569</v>
      </c>
      <c r="AA1267" s="1018"/>
      <c r="AB1267" s="1013"/>
      <c r="AC1267" s="1017">
        <v>0</v>
      </c>
      <c r="AD1267" s="1017">
        <v>0</v>
      </c>
      <c r="AE1267" s="1013">
        <v>0</v>
      </c>
      <c r="AF1267" s="1019"/>
      <c r="AG1267" s="1019">
        <f t="shared" si="246"/>
        <v>7198569</v>
      </c>
      <c r="AH1267" s="1014">
        <v>56</v>
      </c>
      <c r="AI1267" s="1014">
        <v>0</v>
      </c>
      <c r="AJ1267" s="1014">
        <v>0</v>
      </c>
      <c r="AK1267" s="1018">
        <v>0</v>
      </c>
      <c r="AL1267" s="1020">
        <v>0</v>
      </c>
      <c r="AM1267" s="1013">
        <f t="shared" si="245"/>
        <v>2357654</v>
      </c>
      <c r="AN1267" s="1045">
        <f t="shared" si="247"/>
        <v>9556223</v>
      </c>
      <c r="AO1267" s="1013">
        <v>612990</v>
      </c>
      <c r="AP1267" s="1013">
        <v>44100</v>
      </c>
      <c r="AQ1267" s="1013">
        <v>0</v>
      </c>
      <c r="AR1267" s="1013">
        <v>0</v>
      </c>
      <c r="AS1267" s="1013">
        <v>0</v>
      </c>
      <c r="AT1267" s="1045">
        <f t="shared" si="243"/>
        <v>8899133</v>
      </c>
      <c r="AU1267" s="1004"/>
      <c r="AV1267" s="870"/>
      <c r="AW1267" s="782" t="s">
        <v>5672</v>
      </c>
      <c r="AX1267" s="782" t="s">
        <v>5673</v>
      </c>
      <c r="AY1267" s="1007" t="s">
        <v>221</v>
      </c>
      <c r="AZ1267" s="1007">
        <v>622</v>
      </c>
      <c r="BA1267" s="347" t="str">
        <f t="shared" ref="BA1267:BA1276" si="253">+IF(AY1267="SK1 Box","Box",IF(AY1267="Seaman","Seaman","Bag"))</f>
        <v>Bag</v>
      </c>
      <c r="BB1267" s="1008"/>
      <c r="BC1267" s="1009"/>
      <c r="BD1267" s="1009"/>
    </row>
    <row r="1268" spans="1:56" s="1010" customFormat="1" ht="36.75" customHeight="1">
      <c r="A1268" s="661">
        <f>SUBTOTAL(3,B$6:B1268)</f>
        <v>1263</v>
      </c>
      <c r="B1268" s="661" t="s">
        <v>3285</v>
      </c>
      <c r="C1268" s="662" t="s">
        <v>3286</v>
      </c>
      <c r="D1268" s="1011">
        <v>45533</v>
      </c>
      <c r="E1268" s="1011" t="s">
        <v>221</v>
      </c>
      <c r="F1268" s="787" t="s">
        <v>259</v>
      </c>
      <c r="G1268" s="996" t="s">
        <v>1172</v>
      </c>
      <c r="H1268" s="1012">
        <v>5274000</v>
      </c>
      <c r="I1268" s="1012">
        <v>200000</v>
      </c>
      <c r="J1268" s="1012">
        <v>0</v>
      </c>
      <c r="K1268" s="1012">
        <v>0</v>
      </c>
      <c r="L1268" s="1013">
        <f t="shared" si="248"/>
        <v>5474000</v>
      </c>
      <c r="M1268" s="1014">
        <v>23.8</v>
      </c>
      <c r="N1268" s="1013">
        <f t="shared" si="249"/>
        <v>5010815</v>
      </c>
      <c r="O1268" s="1015">
        <v>2</v>
      </c>
      <c r="P1268" s="1013">
        <f t="shared" si="250"/>
        <v>421077</v>
      </c>
      <c r="Q1268" s="1016">
        <v>0</v>
      </c>
      <c r="R1268" s="1013">
        <f t="shared" si="251"/>
        <v>0</v>
      </c>
      <c r="S1268" s="1013">
        <f t="shared" si="252"/>
        <v>5431892</v>
      </c>
      <c r="T1268" s="1017">
        <v>0</v>
      </c>
      <c r="U1268" s="785">
        <v>0</v>
      </c>
      <c r="V1268" s="785">
        <v>200000</v>
      </c>
      <c r="W1268" s="1017">
        <v>500000</v>
      </c>
      <c r="X1268" s="1017">
        <v>0</v>
      </c>
      <c r="Y1268" s="1017">
        <v>400000</v>
      </c>
      <c r="Z1268" s="1017">
        <v>471953</v>
      </c>
      <c r="AA1268" s="1018"/>
      <c r="AB1268" s="1013"/>
      <c r="AC1268" s="1017">
        <v>0</v>
      </c>
      <c r="AD1268" s="1017">
        <v>0</v>
      </c>
      <c r="AE1268" s="1013">
        <v>0</v>
      </c>
      <c r="AF1268" s="1019"/>
      <c r="AG1268" s="1019">
        <f t="shared" si="246"/>
        <v>7003845</v>
      </c>
      <c r="AH1268" s="1014">
        <v>56</v>
      </c>
      <c r="AI1268" s="1014">
        <v>0</v>
      </c>
      <c r="AJ1268" s="1014">
        <v>0</v>
      </c>
      <c r="AK1268" s="1018">
        <v>0</v>
      </c>
      <c r="AL1268" s="1020">
        <v>0</v>
      </c>
      <c r="AM1268" s="1013">
        <f t="shared" si="245"/>
        <v>2210654</v>
      </c>
      <c r="AN1268" s="1045">
        <f t="shared" si="247"/>
        <v>9214499</v>
      </c>
      <c r="AO1268" s="1013">
        <v>574770</v>
      </c>
      <c r="AP1268" s="1013">
        <v>44100</v>
      </c>
      <c r="AQ1268" s="1013">
        <v>0</v>
      </c>
      <c r="AR1268" s="1013">
        <v>0</v>
      </c>
      <c r="AS1268" s="1013">
        <v>0</v>
      </c>
      <c r="AT1268" s="1045">
        <f t="shared" si="243"/>
        <v>8595629</v>
      </c>
      <c r="AU1268" s="1004"/>
      <c r="AV1268" s="870"/>
      <c r="AW1268" s="782" t="s">
        <v>5674</v>
      </c>
      <c r="AX1268" s="782" t="s">
        <v>5675</v>
      </c>
      <c r="AY1268" s="1007" t="s">
        <v>221</v>
      </c>
      <c r="AZ1268" s="1007">
        <v>622</v>
      </c>
      <c r="BA1268" s="347" t="str">
        <f t="shared" si="253"/>
        <v>Bag</v>
      </c>
      <c r="BB1268" s="1008"/>
      <c r="BC1268" s="1009"/>
      <c r="BD1268" s="1009"/>
    </row>
    <row r="1269" spans="1:56" s="1010" customFormat="1" ht="36.75" customHeight="1">
      <c r="A1269" s="661">
        <f>SUBTOTAL(3,B$6:B1269)</f>
        <v>1264</v>
      </c>
      <c r="B1269" s="661" t="s">
        <v>3287</v>
      </c>
      <c r="C1269" s="662" t="s">
        <v>3288</v>
      </c>
      <c r="D1269" s="1011">
        <v>45742</v>
      </c>
      <c r="E1269" s="1011" t="s">
        <v>221</v>
      </c>
      <c r="F1269" s="787" t="s">
        <v>259</v>
      </c>
      <c r="G1269" s="996" t="s">
        <v>1172</v>
      </c>
      <c r="H1269" s="1012">
        <v>4694000</v>
      </c>
      <c r="I1269" s="1012">
        <v>0</v>
      </c>
      <c r="J1269" s="1012">
        <v>235000</v>
      </c>
      <c r="K1269" s="1012">
        <v>0</v>
      </c>
      <c r="L1269" s="1013">
        <f t="shared" si="248"/>
        <v>4929000</v>
      </c>
      <c r="M1269" s="1014">
        <v>24</v>
      </c>
      <c r="N1269" s="1013">
        <f t="shared" si="249"/>
        <v>4549846</v>
      </c>
      <c r="O1269" s="1015">
        <v>2</v>
      </c>
      <c r="P1269" s="1013">
        <f t="shared" si="250"/>
        <v>379154</v>
      </c>
      <c r="Q1269" s="1016">
        <v>0</v>
      </c>
      <c r="R1269" s="1013">
        <f t="shared" si="251"/>
        <v>0</v>
      </c>
      <c r="S1269" s="1013">
        <f t="shared" si="252"/>
        <v>4929000</v>
      </c>
      <c r="T1269" s="1017">
        <v>0</v>
      </c>
      <c r="U1269" s="785">
        <v>0</v>
      </c>
      <c r="V1269" s="785">
        <v>200000</v>
      </c>
      <c r="W1269" s="1017">
        <v>500000</v>
      </c>
      <c r="X1269" s="1017">
        <v>0</v>
      </c>
      <c r="Y1269" s="1017">
        <v>400000</v>
      </c>
      <c r="Z1269" s="1017">
        <v>474705</v>
      </c>
      <c r="AA1269" s="1018"/>
      <c r="AB1269" s="1013"/>
      <c r="AC1269" s="1017">
        <v>0</v>
      </c>
      <c r="AD1269" s="1017">
        <v>115499</v>
      </c>
      <c r="AE1269" s="1013">
        <v>0</v>
      </c>
      <c r="AF1269" s="1019"/>
      <c r="AG1269" s="1019">
        <f t="shared" si="246"/>
        <v>6619204</v>
      </c>
      <c r="AH1269" s="1014">
        <v>56</v>
      </c>
      <c r="AI1269" s="1014">
        <v>0</v>
      </c>
      <c r="AJ1269" s="1014">
        <v>0</v>
      </c>
      <c r="AK1269" s="1018">
        <v>0</v>
      </c>
      <c r="AL1269" s="1020">
        <v>0</v>
      </c>
      <c r="AM1269" s="1013">
        <f t="shared" si="245"/>
        <v>1990558</v>
      </c>
      <c r="AN1269" s="1045">
        <f t="shared" si="247"/>
        <v>8609762</v>
      </c>
      <c r="AO1269" s="1013">
        <v>0</v>
      </c>
      <c r="AP1269" s="1013">
        <v>0</v>
      </c>
      <c r="AQ1269" s="1013">
        <v>0</v>
      </c>
      <c r="AR1269" s="1013">
        <v>0</v>
      </c>
      <c r="AS1269" s="1013">
        <v>0</v>
      </c>
      <c r="AT1269" s="1045">
        <f t="shared" si="243"/>
        <v>8609762</v>
      </c>
      <c r="AU1269" s="1004"/>
      <c r="AV1269" s="870"/>
      <c r="AW1269" s="782" t="s">
        <v>5676</v>
      </c>
      <c r="AX1269" s="782" t="s">
        <v>5677</v>
      </c>
      <c r="AY1269" s="1007" t="s">
        <v>221</v>
      </c>
      <c r="AZ1269" s="1007">
        <v>622</v>
      </c>
      <c r="BA1269" s="347" t="str">
        <f t="shared" si="253"/>
        <v>Bag</v>
      </c>
      <c r="BB1269" s="1008"/>
      <c r="BC1269" s="1009"/>
      <c r="BD1269" s="1009"/>
    </row>
    <row r="1270" spans="1:56" s="1010" customFormat="1" ht="36.75" customHeight="1">
      <c r="A1270" s="661">
        <f>SUBTOTAL(3,B$6:B1270)</f>
        <v>1265</v>
      </c>
      <c r="B1270" s="661" t="s">
        <v>5817</v>
      </c>
      <c r="C1270" s="662" t="s">
        <v>5818</v>
      </c>
      <c r="D1270" s="1011">
        <v>45757</v>
      </c>
      <c r="E1270" s="1011" t="s">
        <v>221</v>
      </c>
      <c r="F1270" s="787" t="s">
        <v>259</v>
      </c>
      <c r="G1270" s="996" t="s">
        <v>554</v>
      </c>
      <c r="H1270" s="1012">
        <v>4694000</v>
      </c>
      <c r="I1270" s="1012">
        <v>0</v>
      </c>
      <c r="J1270" s="1012">
        <v>0</v>
      </c>
      <c r="K1270" s="1012">
        <v>0</v>
      </c>
      <c r="L1270" s="1013">
        <f t="shared" si="248"/>
        <v>4694000</v>
      </c>
      <c r="M1270" s="1014">
        <v>16</v>
      </c>
      <c r="N1270" s="1013">
        <f t="shared" si="249"/>
        <v>2888615</v>
      </c>
      <c r="O1270" s="1015">
        <v>1</v>
      </c>
      <c r="P1270" s="1013">
        <f t="shared" si="250"/>
        <v>180538</v>
      </c>
      <c r="Q1270" s="1016">
        <v>0</v>
      </c>
      <c r="R1270" s="1013">
        <f t="shared" si="251"/>
        <v>0</v>
      </c>
      <c r="S1270" s="1013">
        <f t="shared" si="252"/>
        <v>3069153</v>
      </c>
      <c r="T1270" s="1017">
        <v>0</v>
      </c>
      <c r="U1270" s="785">
        <v>0</v>
      </c>
      <c r="V1270" s="785">
        <v>131000</v>
      </c>
      <c r="W1270" s="1017">
        <v>327000</v>
      </c>
      <c r="X1270" s="1017">
        <v>0</v>
      </c>
      <c r="Y1270" s="1017">
        <v>98000</v>
      </c>
      <c r="Z1270" s="1017">
        <v>289253</v>
      </c>
      <c r="AA1270" s="1018"/>
      <c r="AB1270" s="1013"/>
      <c r="AC1270" s="1017">
        <v>0</v>
      </c>
      <c r="AD1270" s="1017">
        <v>0</v>
      </c>
      <c r="AE1270" s="1013">
        <v>0</v>
      </c>
      <c r="AF1270" s="1019"/>
      <c r="AG1270" s="1019">
        <f t="shared" si="246"/>
        <v>3914406</v>
      </c>
      <c r="AH1270" s="1014">
        <v>29</v>
      </c>
      <c r="AI1270" s="1014">
        <v>0</v>
      </c>
      <c r="AJ1270" s="1014">
        <v>0</v>
      </c>
      <c r="AK1270" s="1018">
        <v>0</v>
      </c>
      <c r="AL1270" s="1020">
        <v>0</v>
      </c>
      <c r="AM1270" s="1013">
        <f t="shared" si="245"/>
        <v>981678</v>
      </c>
      <c r="AN1270" s="1045">
        <f t="shared" si="247"/>
        <v>4896084</v>
      </c>
      <c r="AO1270" s="1013">
        <v>0</v>
      </c>
      <c r="AP1270" s="1013">
        <v>0</v>
      </c>
      <c r="AQ1270" s="1013">
        <v>0</v>
      </c>
      <c r="AR1270" s="1013">
        <v>0</v>
      </c>
      <c r="AS1270" s="1013">
        <v>0</v>
      </c>
      <c r="AT1270" s="1045">
        <f t="shared" si="243"/>
        <v>4896084</v>
      </c>
      <c r="AU1270" s="1004"/>
      <c r="AV1270" s="870"/>
      <c r="AW1270" s="782" t="s">
        <v>5912</v>
      </c>
      <c r="AX1270" s="782" t="s">
        <v>5913</v>
      </c>
      <c r="AY1270" s="1007" t="s">
        <v>221</v>
      </c>
      <c r="AZ1270" s="1007">
        <v>622</v>
      </c>
      <c r="BA1270" s="347" t="str">
        <f t="shared" si="253"/>
        <v>Bag</v>
      </c>
      <c r="BB1270" s="1008"/>
      <c r="BC1270" s="1009"/>
      <c r="BD1270" s="1009"/>
    </row>
    <row r="1271" spans="1:56" s="1010" customFormat="1" ht="36.75" customHeight="1">
      <c r="A1271" s="661">
        <f>SUBTOTAL(3,B$6:B1271)</f>
        <v>1266</v>
      </c>
      <c r="B1271" s="661" t="s">
        <v>3289</v>
      </c>
      <c r="C1271" s="662" t="s">
        <v>3290</v>
      </c>
      <c r="D1271" s="1011">
        <v>43253</v>
      </c>
      <c r="E1271" s="1011" t="s">
        <v>221</v>
      </c>
      <c r="F1271" s="787" t="s">
        <v>259</v>
      </c>
      <c r="G1271" s="996" t="s">
        <v>1172</v>
      </c>
      <c r="H1271" s="1012">
        <v>5931000</v>
      </c>
      <c r="I1271" s="1012">
        <v>600000</v>
      </c>
      <c r="J1271" s="1012">
        <v>0</v>
      </c>
      <c r="K1271" s="1012">
        <v>0</v>
      </c>
      <c r="L1271" s="1013">
        <f t="shared" si="248"/>
        <v>6531000</v>
      </c>
      <c r="M1271" s="1014">
        <v>24</v>
      </c>
      <c r="N1271" s="1013">
        <f t="shared" si="249"/>
        <v>6028615</v>
      </c>
      <c r="O1271" s="1015">
        <v>2</v>
      </c>
      <c r="P1271" s="1013">
        <f t="shared" si="250"/>
        <v>502385</v>
      </c>
      <c r="Q1271" s="1016">
        <v>0</v>
      </c>
      <c r="R1271" s="1013">
        <f t="shared" si="251"/>
        <v>0</v>
      </c>
      <c r="S1271" s="1013">
        <f t="shared" si="252"/>
        <v>6531000</v>
      </c>
      <c r="T1271" s="1017">
        <v>0</v>
      </c>
      <c r="U1271" s="785">
        <v>0</v>
      </c>
      <c r="V1271" s="785">
        <v>200000</v>
      </c>
      <c r="W1271" s="1017">
        <v>500000</v>
      </c>
      <c r="X1271" s="1017">
        <v>0</v>
      </c>
      <c r="Y1271" s="1017">
        <v>400000</v>
      </c>
      <c r="Z1271" s="1017">
        <v>456363</v>
      </c>
      <c r="AA1271" s="1018"/>
      <c r="AB1271" s="1013"/>
      <c r="AC1271" s="1017">
        <v>100000</v>
      </c>
      <c r="AD1271" s="1017">
        <v>0</v>
      </c>
      <c r="AE1271" s="1013">
        <v>0</v>
      </c>
      <c r="AF1271" s="1019"/>
      <c r="AG1271" s="1019">
        <f t="shared" si="246"/>
        <v>8187363</v>
      </c>
      <c r="AH1271" s="1014">
        <v>56</v>
      </c>
      <c r="AI1271" s="1014">
        <v>0</v>
      </c>
      <c r="AJ1271" s="1014">
        <v>0</v>
      </c>
      <c r="AK1271" s="1018">
        <v>0</v>
      </c>
      <c r="AL1271" s="1020">
        <v>0</v>
      </c>
      <c r="AM1271" s="1013">
        <f t="shared" si="245"/>
        <v>2637519</v>
      </c>
      <c r="AN1271" s="1045">
        <f t="shared" si="247"/>
        <v>10824882</v>
      </c>
      <c r="AO1271" s="1013">
        <v>685755</v>
      </c>
      <c r="AP1271" s="1013">
        <v>44100</v>
      </c>
      <c r="AQ1271" s="1013">
        <v>0</v>
      </c>
      <c r="AR1271" s="1013">
        <v>0</v>
      </c>
      <c r="AS1271" s="1013">
        <v>0</v>
      </c>
      <c r="AT1271" s="1045">
        <f t="shared" si="243"/>
        <v>10095027</v>
      </c>
      <c r="AU1271" s="1004"/>
      <c r="AV1271" s="870"/>
      <c r="AW1271" s="782" t="s">
        <v>5678</v>
      </c>
      <c r="AX1271" s="782" t="s">
        <v>5679</v>
      </c>
      <c r="AY1271" s="1007" t="s">
        <v>221</v>
      </c>
      <c r="AZ1271" s="1007">
        <v>622</v>
      </c>
      <c r="BA1271" s="347" t="str">
        <f t="shared" si="253"/>
        <v>Bag</v>
      </c>
      <c r="BB1271" s="1008"/>
      <c r="BC1271" s="1009"/>
      <c r="BD1271" s="1009"/>
    </row>
    <row r="1272" spans="1:56" s="1010" customFormat="1" ht="36.75" customHeight="1">
      <c r="A1272" s="661">
        <f>SUBTOTAL(3,B$6:B1272)</f>
        <v>1267</v>
      </c>
      <c r="B1272" s="661" t="s">
        <v>3291</v>
      </c>
      <c r="C1272" s="662" t="s">
        <v>3292</v>
      </c>
      <c r="D1272" s="1011">
        <v>43384</v>
      </c>
      <c r="E1272" s="1011" t="s">
        <v>221</v>
      </c>
      <c r="F1272" s="787" t="s">
        <v>259</v>
      </c>
      <c r="G1272" s="996" t="s">
        <v>1172</v>
      </c>
      <c r="H1272" s="1012">
        <v>5931000</v>
      </c>
      <c r="I1272" s="1012">
        <v>600000</v>
      </c>
      <c r="J1272" s="1012">
        <v>0</v>
      </c>
      <c r="K1272" s="1012">
        <v>0</v>
      </c>
      <c r="L1272" s="1013">
        <f t="shared" si="248"/>
        <v>6531000</v>
      </c>
      <c r="M1272" s="1014">
        <v>23.9</v>
      </c>
      <c r="N1272" s="1013">
        <f t="shared" si="249"/>
        <v>6003496</v>
      </c>
      <c r="O1272" s="1015">
        <v>2</v>
      </c>
      <c r="P1272" s="1013">
        <f t="shared" si="250"/>
        <v>502385</v>
      </c>
      <c r="Q1272" s="1016">
        <v>0</v>
      </c>
      <c r="R1272" s="1013">
        <f t="shared" si="251"/>
        <v>0</v>
      </c>
      <c r="S1272" s="1013">
        <f t="shared" si="252"/>
        <v>6505881</v>
      </c>
      <c r="T1272" s="1017">
        <v>0</v>
      </c>
      <c r="U1272" s="785">
        <v>0</v>
      </c>
      <c r="V1272" s="785">
        <v>200000</v>
      </c>
      <c r="W1272" s="1017">
        <v>500000</v>
      </c>
      <c r="X1272" s="1017">
        <v>0</v>
      </c>
      <c r="Y1272" s="1017">
        <v>400000</v>
      </c>
      <c r="Z1272" s="1017">
        <v>443987</v>
      </c>
      <c r="AA1272" s="1018"/>
      <c r="AB1272" s="1013"/>
      <c r="AC1272" s="1017">
        <v>0</v>
      </c>
      <c r="AD1272" s="1017">
        <v>0</v>
      </c>
      <c r="AE1272" s="1013">
        <v>0</v>
      </c>
      <c r="AF1272" s="1019"/>
      <c r="AG1272" s="1019">
        <f t="shared" si="246"/>
        <v>8049868</v>
      </c>
      <c r="AH1272" s="1014">
        <v>56</v>
      </c>
      <c r="AI1272" s="1014">
        <v>0</v>
      </c>
      <c r="AJ1272" s="1014">
        <v>0</v>
      </c>
      <c r="AK1272" s="1018">
        <v>0</v>
      </c>
      <c r="AL1272" s="1020">
        <v>0</v>
      </c>
      <c r="AM1272" s="1013">
        <f t="shared" si="245"/>
        <v>2637519</v>
      </c>
      <c r="AN1272" s="1045">
        <f t="shared" si="247"/>
        <v>10687387</v>
      </c>
      <c r="AO1272" s="1013">
        <v>685755</v>
      </c>
      <c r="AP1272" s="1013">
        <v>44100</v>
      </c>
      <c r="AQ1272" s="1013">
        <v>0</v>
      </c>
      <c r="AR1272" s="1013">
        <v>0</v>
      </c>
      <c r="AS1272" s="1013">
        <v>0</v>
      </c>
      <c r="AT1272" s="1045">
        <f t="shared" si="243"/>
        <v>9957532</v>
      </c>
      <c r="AU1272" s="1004"/>
      <c r="AV1272" s="870"/>
      <c r="AW1272" s="782" t="s">
        <v>5680</v>
      </c>
      <c r="AX1272" s="782" t="s">
        <v>5681</v>
      </c>
      <c r="AY1272" s="1007" t="s">
        <v>221</v>
      </c>
      <c r="AZ1272" s="1007">
        <v>622</v>
      </c>
      <c r="BA1272" s="347" t="str">
        <f t="shared" si="253"/>
        <v>Bag</v>
      </c>
      <c r="BB1272" s="1008"/>
      <c r="BC1272" s="1009"/>
      <c r="BD1272" s="1009"/>
    </row>
    <row r="1273" spans="1:56" s="1010" customFormat="1" ht="36.75" customHeight="1">
      <c r="A1273" s="661">
        <f>SUBTOTAL(3,B$6:B1273)</f>
        <v>1268</v>
      </c>
      <c r="B1273" s="661" t="s">
        <v>3293</v>
      </c>
      <c r="C1273" s="662" t="s">
        <v>3294</v>
      </c>
      <c r="D1273" s="1011">
        <v>43509</v>
      </c>
      <c r="E1273" s="1011" t="s">
        <v>221</v>
      </c>
      <c r="F1273" s="787" t="s">
        <v>259</v>
      </c>
      <c r="G1273" s="996" t="s">
        <v>2037</v>
      </c>
      <c r="H1273" s="1012">
        <v>5931000</v>
      </c>
      <c r="I1273" s="1012">
        <v>2300000</v>
      </c>
      <c r="J1273" s="1012">
        <v>298000</v>
      </c>
      <c r="K1273" s="1012">
        <v>700000</v>
      </c>
      <c r="L1273" s="1013">
        <f t="shared" si="248"/>
        <v>9229000</v>
      </c>
      <c r="M1273" s="1014">
        <v>23</v>
      </c>
      <c r="N1273" s="1013">
        <f t="shared" si="249"/>
        <v>8164115</v>
      </c>
      <c r="O1273" s="1015">
        <v>3</v>
      </c>
      <c r="P1273" s="1013">
        <f t="shared" si="250"/>
        <v>1064885</v>
      </c>
      <c r="Q1273" s="1016">
        <v>0</v>
      </c>
      <c r="R1273" s="1013">
        <f t="shared" si="251"/>
        <v>0</v>
      </c>
      <c r="S1273" s="1013">
        <f t="shared" si="252"/>
        <v>9229000</v>
      </c>
      <c r="T1273" s="1017">
        <v>0</v>
      </c>
      <c r="U1273" s="785">
        <v>0</v>
      </c>
      <c r="V1273" s="785">
        <v>200000</v>
      </c>
      <c r="W1273" s="1017">
        <v>500000</v>
      </c>
      <c r="X1273" s="1017">
        <v>0</v>
      </c>
      <c r="Y1273" s="1017">
        <v>400000</v>
      </c>
      <c r="Z1273" s="1017">
        <v>442582</v>
      </c>
      <c r="AA1273" s="1018"/>
      <c r="AB1273" s="1013"/>
      <c r="AC1273" s="1017">
        <v>0</v>
      </c>
      <c r="AD1273" s="1017">
        <v>0</v>
      </c>
      <c r="AE1273" s="1013">
        <v>0</v>
      </c>
      <c r="AF1273" s="1019"/>
      <c r="AG1273" s="1019">
        <f t="shared" si="246"/>
        <v>10771582</v>
      </c>
      <c r="AH1273" s="1014">
        <v>48</v>
      </c>
      <c r="AI1273" s="1014">
        <v>0</v>
      </c>
      <c r="AJ1273" s="1014">
        <v>0</v>
      </c>
      <c r="AK1273" s="1018">
        <v>0</v>
      </c>
      <c r="AL1273" s="1020">
        <v>0</v>
      </c>
      <c r="AM1273" s="1013">
        <f t="shared" si="245"/>
        <v>3194654</v>
      </c>
      <c r="AN1273" s="1045">
        <f t="shared" si="247"/>
        <v>13966236</v>
      </c>
      <c r="AO1273" s="1013">
        <v>969045</v>
      </c>
      <c r="AP1273" s="1013">
        <v>44100</v>
      </c>
      <c r="AQ1273" s="1013">
        <v>51615</v>
      </c>
      <c r="AR1273" s="1013">
        <v>0</v>
      </c>
      <c r="AS1273" s="1013">
        <v>0</v>
      </c>
      <c r="AT1273" s="1045">
        <f t="shared" si="243"/>
        <v>12901476</v>
      </c>
      <c r="AU1273" s="1004"/>
      <c r="AV1273" s="870"/>
      <c r="AW1273" s="782" t="s">
        <v>5682</v>
      </c>
      <c r="AX1273" s="782" t="s">
        <v>5683</v>
      </c>
      <c r="AY1273" s="1007" t="s">
        <v>221</v>
      </c>
      <c r="AZ1273" s="1007">
        <v>622</v>
      </c>
      <c r="BA1273" s="347" t="str">
        <f t="shared" si="253"/>
        <v>Bag</v>
      </c>
      <c r="BB1273" s="1008"/>
      <c r="BC1273" s="1009"/>
      <c r="BD1273" s="1009"/>
    </row>
    <row r="1274" spans="1:56" s="1010" customFormat="1" ht="36.75" customHeight="1">
      <c r="A1274" s="661">
        <f>SUBTOTAL(3,B$6:B1274)</f>
        <v>1269</v>
      </c>
      <c r="B1274" s="661" t="s">
        <v>3295</v>
      </c>
      <c r="C1274" s="662" t="s">
        <v>3296</v>
      </c>
      <c r="D1274" s="1011">
        <v>40282</v>
      </c>
      <c r="E1274" s="1011" t="s">
        <v>221</v>
      </c>
      <c r="F1274" s="787" t="s">
        <v>260</v>
      </c>
      <c r="G1274" s="996" t="s">
        <v>1310</v>
      </c>
      <c r="H1274" s="1012">
        <v>10100000</v>
      </c>
      <c r="I1274" s="1012">
        <v>7300000</v>
      </c>
      <c r="J1274" s="1012">
        <v>505000</v>
      </c>
      <c r="K1274" s="1012">
        <v>0</v>
      </c>
      <c r="L1274" s="1013">
        <f t="shared" si="248"/>
        <v>17905000</v>
      </c>
      <c r="M1274" s="1014">
        <v>24</v>
      </c>
      <c r="N1274" s="1013">
        <f t="shared" si="249"/>
        <v>16527692</v>
      </c>
      <c r="O1274" s="1015">
        <v>2</v>
      </c>
      <c r="P1274" s="1013">
        <f t="shared" si="250"/>
        <v>1377308</v>
      </c>
      <c r="Q1274" s="1016">
        <v>0</v>
      </c>
      <c r="R1274" s="1013">
        <f t="shared" si="251"/>
        <v>0</v>
      </c>
      <c r="S1274" s="1013">
        <f t="shared" si="252"/>
        <v>17905000</v>
      </c>
      <c r="T1274" s="1017">
        <v>0</v>
      </c>
      <c r="U1274" s="785">
        <v>0</v>
      </c>
      <c r="V1274" s="785">
        <v>200000</v>
      </c>
      <c r="W1274" s="1017">
        <v>500000</v>
      </c>
      <c r="X1274" s="1017">
        <v>0</v>
      </c>
      <c r="Y1274" s="1017">
        <v>400000</v>
      </c>
      <c r="Z1274" s="1017">
        <v>0</v>
      </c>
      <c r="AA1274" s="1018"/>
      <c r="AB1274" s="1013"/>
      <c r="AC1274" s="1017">
        <v>100000</v>
      </c>
      <c r="AD1274" s="1017">
        <v>0</v>
      </c>
      <c r="AE1274" s="1013">
        <v>129122.59375</v>
      </c>
      <c r="AF1274" s="1019"/>
      <c r="AG1274" s="1019">
        <f t="shared" si="246"/>
        <v>19234123</v>
      </c>
      <c r="AH1274" s="1014">
        <v>55</v>
      </c>
      <c r="AI1274" s="1014">
        <v>0</v>
      </c>
      <c r="AJ1274" s="1014">
        <v>0</v>
      </c>
      <c r="AK1274" s="1018">
        <v>0</v>
      </c>
      <c r="AL1274" s="1020">
        <v>0</v>
      </c>
      <c r="AM1274" s="1013">
        <f t="shared" si="245"/>
        <v>7101743</v>
      </c>
      <c r="AN1274" s="1045">
        <f t="shared" si="247"/>
        <v>26335866</v>
      </c>
      <c r="AO1274" s="1013">
        <v>1880025</v>
      </c>
      <c r="AP1274" s="1013">
        <v>44100</v>
      </c>
      <c r="AQ1274" s="1013">
        <v>0</v>
      </c>
      <c r="AR1274" s="1013">
        <v>0</v>
      </c>
      <c r="AS1274" s="1013">
        <v>0</v>
      </c>
      <c r="AT1274" s="1045">
        <f t="shared" si="243"/>
        <v>24411741</v>
      </c>
      <c r="AU1274" s="1004"/>
      <c r="AV1274" s="870"/>
      <c r="AW1274" s="782" t="s">
        <v>5684</v>
      </c>
      <c r="AX1274" s="782" t="s">
        <v>5685</v>
      </c>
      <c r="AY1274" s="1007" t="s">
        <v>221</v>
      </c>
      <c r="AZ1274" s="1007">
        <v>627</v>
      </c>
      <c r="BA1274" s="347" t="str">
        <f t="shared" si="253"/>
        <v>Bag</v>
      </c>
      <c r="BB1274" s="1008"/>
      <c r="BC1274" s="1009"/>
      <c r="BD1274" s="1009"/>
    </row>
    <row r="1275" spans="1:56" s="1010" customFormat="1" ht="36.75" customHeight="1">
      <c r="A1275" s="661">
        <f>SUBTOTAL(3,B$6:B1275)</f>
        <v>1270</v>
      </c>
      <c r="B1275" s="661" t="s">
        <v>3297</v>
      </c>
      <c r="C1275" s="662" t="s">
        <v>3298</v>
      </c>
      <c r="D1275" s="1011">
        <v>41141</v>
      </c>
      <c r="E1275" s="1011" t="s">
        <v>221</v>
      </c>
      <c r="F1275" s="787" t="s">
        <v>260</v>
      </c>
      <c r="G1275" s="996" t="s">
        <v>1310</v>
      </c>
      <c r="H1275" s="1012">
        <v>9800000</v>
      </c>
      <c r="I1275" s="1012">
        <v>7300000</v>
      </c>
      <c r="J1275" s="1012">
        <v>0</v>
      </c>
      <c r="K1275" s="1012">
        <v>0</v>
      </c>
      <c r="L1275" s="1013">
        <f t="shared" si="248"/>
        <v>17100000</v>
      </c>
      <c r="M1275" s="1014">
        <v>22.9</v>
      </c>
      <c r="N1275" s="1013">
        <f t="shared" si="249"/>
        <v>15061154</v>
      </c>
      <c r="O1275" s="1015">
        <v>3</v>
      </c>
      <c r="P1275" s="1013">
        <f t="shared" si="250"/>
        <v>1973077</v>
      </c>
      <c r="Q1275" s="1016">
        <v>0</v>
      </c>
      <c r="R1275" s="1013">
        <f t="shared" si="251"/>
        <v>0</v>
      </c>
      <c r="S1275" s="1013">
        <f t="shared" si="252"/>
        <v>17034231</v>
      </c>
      <c r="T1275" s="1017">
        <v>0</v>
      </c>
      <c r="U1275" s="785">
        <v>0</v>
      </c>
      <c r="V1275" s="785">
        <v>200000</v>
      </c>
      <c r="W1275" s="1017">
        <v>500000</v>
      </c>
      <c r="X1275" s="1017">
        <v>0</v>
      </c>
      <c r="Y1275" s="1017">
        <v>400000</v>
      </c>
      <c r="Z1275" s="1017">
        <v>0</v>
      </c>
      <c r="AA1275" s="1018"/>
      <c r="AB1275" s="1013"/>
      <c r="AC1275" s="1017">
        <v>0</v>
      </c>
      <c r="AD1275" s="1017">
        <v>0</v>
      </c>
      <c r="AE1275" s="1013">
        <v>123317.30895196508</v>
      </c>
      <c r="AF1275" s="1019"/>
      <c r="AG1275" s="1019">
        <f t="shared" si="246"/>
        <v>18257548</v>
      </c>
      <c r="AH1275" s="1014">
        <v>51</v>
      </c>
      <c r="AI1275" s="1014">
        <v>0</v>
      </c>
      <c r="AJ1275" s="1014">
        <v>0</v>
      </c>
      <c r="AK1275" s="1018">
        <v>0</v>
      </c>
      <c r="AL1275" s="1020">
        <v>0</v>
      </c>
      <c r="AM1275" s="1013">
        <f t="shared" si="245"/>
        <v>6289183</v>
      </c>
      <c r="AN1275" s="1045">
        <f t="shared" si="247"/>
        <v>24546731</v>
      </c>
      <c r="AO1275" s="1013">
        <v>1795500</v>
      </c>
      <c r="AP1275" s="1013">
        <v>44100</v>
      </c>
      <c r="AQ1275" s="1013">
        <v>42742</v>
      </c>
      <c r="AR1275" s="1013">
        <v>0</v>
      </c>
      <c r="AS1275" s="1013">
        <v>0</v>
      </c>
      <c r="AT1275" s="1045">
        <f t="shared" si="243"/>
        <v>22664389</v>
      </c>
      <c r="AU1275" s="1004"/>
      <c r="AV1275" s="870"/>
      <c r="AW1275" s="782" t="s">
        <v>5686</v>
      </c>
      <c r="AX1275" s="782" t="s">
        <v>5687</v>
      </c>
      <c r="AY1275" s="1007" t="s">
        <v>221</v>
      </c>
      <c r="AZ1275" s="1007">
        <v>627</v>
      </c>
      <c r="BA1275" s="347" t="str">
        <f t="shared" si="253"/>
        <v>Bag</v>
      </c>
      <c r="BB1275" s="1008"/>
      <c r="BC1275" s="1009"/>
      <c r="BD1275" s="1009"/>
    </row>
    <row r="1276" spans="1:56" s="1010" customFormat="1" ht="36.75" customHeight="1">
      <c r="A1276" s="661">
        <f>SUBTOTAL(3,B$6:B1276)</f>
        <v>1271</v>
      </c>
      <c r="B1276" s="661" t="s">
        <v>3299</v>
      </c>
      <c r="C1276" s="662" t="s">
        <v>3300</v>
      </c>
      <c r="D1276" s="1011">
        <v>43461</v>
      </c>
      <c r="E1276" s="1011" t="s">
        <v>221</v>
      </c>
      <c r="F1276" s="787" t="s">
        <v>260</v>
      </c>
      <c r="G1276" s="996" t="s">
        <v>1314</v>
      </c>
      <c r="H1276" s="1012">
        <v>6776000</v>
      </c>
      <c r="I1276" s="1012">
        <v>2500000</v>
      </c>
      <c r="J1276" s="1012">
        <v>0</v>
      </c>
      <c r="K1276" s="1012">
        <v>0</v>
      </c>
      <c r="L1276" s="1013">
        <f t="shared" si="248"/>
        <v>9276000</v>
      </c>
      <c r="M1276" s="1014">
        <v>23</v>
      </c>
      <c r="N1276" s="1013">
        <f t="shared" si="249"/>
        <v>8205692</v>
      </c>
      <c r="O1276" s="1015">
        <v>3</v>
      </c>
      <c r="P1276" s="1013">
        <f t="shared" si="250"/>
        <v>1070308</v>
      </c>
      <c r="Q1276" s="1016">
        <v>0</v>
      </c>
      <c r="R1276" s="1013">
        <f t="shared" si="251"/>
        <v>0</v>
      </c>
      <c r="S1276" s="1013">
        <f t="shared" si="252"/>
        <v>9276000</v>
      </c>
      <c r="T1276" s="1017">
        <v>0</v>
      </c>
      <c r="U1276" s="785">
        <v>0</v>
      </c>
      <c r="V1276" s="785">
        <v>200000</v>
      </c>
      <c r="W1276" s="1017">
        <v>500000</v>
      </c>
      <c r="X1276" s="1017">
        <v>0</v>
      </c>
      <c r="Y1276" s="1017">
        <v>400000</v>
      </c>
      <c r="Z1276" s="1017">
        <v>409478</v>
      </c>
      <c r="AA1276" s="1018"/>
      <c r="AB1276" s="1013"/>
      <c r="AC1276" s="1017">
        <v>100000</v>
      </c>
      <c r="AD1276" s="1017">
        <v>0</v>
      </c>
      <c r="AE1276" s="1013">
        <v>66894.228260869568</v>
      </c>
      <c r="AF1276" s="1019"/>
      <c r="AG1276" s="1019">
        <f t="shared" si="246"/>
        <v>10952372</v>
      </c>
      <c r="AH1276" s="1014">
        <v>24</v>
      </c>
      <c r="AI1276" s="1014">
        <v>0</v>
      </c>
      <c r="AJ1276" s="1014">
        <v>0</v>
      </c>
      <c r="AK1276" s="1018">
        <v>0</v>
      </c>
      <c r="AL1276" s="1020">
        <v>0</v>
      </c>
      <c r="AM1276" s="1013">
        <f t="shared" si="245"/>
        <v>1605461</v>
      </c>
      <c r="AN1276" s="1045">
        <f t="shared" si="247"/>
        <v>12557833</v>
      </c>
      <c r="AO1276" s="1013">
        <v>973980</v>
      </c>
      <c r="AP1276" s="1013">
        <v>44100</v>
      </c>
      <c r="AQ1276" s="1013">
        <v>0</v>
      </c>
      <c r="AR1276" s="1013">
        <v>0</v>
      </c>
      <c r="AS1276" s="1013">
        <v>0</v>
      </c>
      <c r="AT1276" s="1045">
        <f t="shared" si="243"/>
        <v>11539753</v>
      </c>
      <c r="AU1276" s="1004"/>
      <c r="AV1276" s="870"/>
      <c r="AW1276" s="782" t="s">
        <v>5914</v>
      </c>
      <c r="AX1276" s="782" t="s">
        <v>5915</v>
      </c>
      <c r="AY1276" s="1007" t="s">
        <v>221</v>
      </c>
      <c r="AZ1276" s="1007">
        <v>627</v>
      </c>
      <c r="BA1276" s="347" t="str">
        <f t="shared" si="253"/>
        <v>Bag</v>
      </c>
      <c r="BB1276" s="1008"/>
      <c r="BC1276" s="1009"/>
      <c r="BD1276" s="1009"/>
    </row>
    <row r="1277" spans="1:56" s="1010" customFormat="1" ht="36.75" customHeight="1">
      <c r="A1277" s="661">
        <f>SUBTOTAL(3,B$6:B1277)</f>
        <v>1272</v>
      </c>
      <c r="B1277" s="661" t="s">
        <v>179</v>
      </c>
      <c r="C1277" s="662" t="s">
        <v>180</v>
      </c>
      <c r="D1277" s="1011">
        <v>39996</v>
      </c>
      <c r="E1277" s="1011" t="s">
        <v>221</v>
      </c>
      <c r="F1277" s="787" t="s">
        <v>260</v>
      </c>
      <c r="G1277" s="996" t="s">
        <v>1311</v>
      </c>
      <c r="H1277" s="1012">
        <v>15540000</v>
      </c>
      <c r="I1277" s="1012">
        <v>15900000</v>
      </c>
      <c r="J1277" s="1012">
        <v>0</v>
      </c>
      <c r="K1277" s="1012">
        <v>0</v>
      </c>
      <c r="L1277" s="1013">
        <f t="shared" si="248"/>
        <v>31440000</v>
      </c>
      <c r="M1277" s="1014">
        <v>22</v>
      </c>
      <c r="N1277" s="1013">
        <f t="shared" si="249"/>
        <v>26603077</v>
      </c>
      <c r="O1277" s="1015">
        <v>2</v>
      </c>
      <c r="P1277" s="1013">
        <f t="shared" si="250"/>
        <v>2418462</v>
      </c>
      <c r="Q1277" s="1016">
        <v>0</v>
      </c>
      <c r="R1277" s="1013">
        <f t="shared" si="251"/>
        <v>0</v>
      </c>
      <c r="S1277" s="1013">
        <f t="shared" si="252"/>
        <v>29021539</v>
      </c>
      <c r="T1277" s="1017">
        <v>646154</v>
      </c>
      <c r="U1277" s="785">
        <v>0</v>
      </c>
      <c r="V1277" s="785">
        <v>0</v>
      </c>
      <c r="W1277" s="1017">
        <v>0</v>
      </c>
      <c r="X1277" s="1017">
        <v>0</v>
      </c>
      <c r="Y1277" s="1017">
        <v>0</v>
      </c>
      <c r="Z1277" s="1017">
        <v>0</v>
      </c>
      <c r="AA1277" s="1018"/>
      <c r="AB1277" s="1013"/>
      <c r="AC1277" s="1017">
        <v>100000</v>
      </c>
      <c r="AD1277" s="1017">
        <v>0</v>
      </c>
      <c r="AE1277" s="1013">
        <v>226730.76988636365</v>
      </c>
      <c r="AF1277" s="1019"/>
      <c r="AG1277" s="1019">
        <f t="shared" si="246"/>
        <v>29994424</v>
      </c>
      <c r="AH1277" s="1014">
        <v>0</v>
      </c>
      <c r="AI1277" s="1014">
        <v>0</v>
      </c>
      <c r="AJ1277" s="1014">
        <v>0</v>
      </c>
      <c r="AK1277" s="1018">
        <v>0</v>
      </c>
      <c r="AL1277" s="1020">
        <v>0</v>
      </c>
      <c r="AM1277" s="1013">
        <f t="shared" si="245"/>
        <v>0</v>
      </c>
      <c r="AN1277" s="1045">
        <f t="shared" si="247"/>
        <v>29994424</v>
      </c>
      <c r="AO1277" s="1013">
        <v>3301200</v>
      </c>
      <c r="AP1277" s="1013">
        <v>44100</v>
      </c>
      <c r="AQ1277" s="1013">
        <v>97353</v>
      </c>
      <c r="AR1277" s="1013">
        <v>0</v>
      </c>
      <c r="AS1277" s="1013">
        <v>0</v>
      </c>
      <c r="AT1277" s="1045">
        <f t="shared" si="243"/>
        <v>26551771</v>
      </c>
      <c r="AU1277" s="1004"/>
      <c r="AV1277" s="870"/>
      <c r="AW1277" s="782" t="s">
        <v>5604</v>
      </c>
      <c r="AX1277" s="782" t="s">
        <v>5688</v>
      </c>
      <c r="AY1277" s="1007" t="s">
        <v>221</v>
      </c>
      <c r="AZ1277" s="1007">
        <v>627</v>
      </c>
      <c r="BA1277" s="347" t="s">
        <v>78</v>
      </c>
      <c r="BB1277" s="1008"/>
      <c r="BC1277" s="1009"/>
      <c r="BD1277" s="1009"/>
    </row>
    <row r="1278" spans="1:56" s="1010" customFormat="1" ht="36.75" customHeight="1">
      <c r="A1278" s="661">
        <f>SUBTOTAL(3,B$6:B1278)</f>
        <v>1273</v>
      </c>
      <c r="B1278" s="661" t="s">
        <v>3301</v>
      </c>
      <c r="C1278" s="662" t="s">
        <v>3302</v>
      </c>
      <c r="D1278" s="1011">
        <v>44984</v>
      </c>
      <c r="E1278" s="1011" t="s">
        <v>221</v>
      </c>
      <c r="F1278" s="787" t="s">
        <v>261</v>
      </c>
      <c r="G1278" s="996" t="s">
        <v>1322</v>
      </c>
      <c r="H1278" s="1012">
        <v>5815000</v>
      </c>
      <c r="I1278" s="1012">
        <v>900000</v>
      </c>
      <c r="J1278" s="1012">
        <v>0</v>
      </c>
      <c r="K1278" s="1012">
        <v>0</v>
      </c>
      <c r="L1278" s="1013">
        <f t="shared" ref="L1278:L1291" si="254">SUM(H1278:K1278)</f>
        <v>6715000</v>
      </c>
      <c r="M1278" s="1014">
        <v>23</v>
      </c>
      <c r="N1278" s="1013">
        <f t="shared" ref="N1278:N1291" si="255">ROUND((H1278+I1278+J1278+K1278)/IF($M$2&gt;26,26,$M$2)*M1278,0)</f>
        <v>5940192</v>
      </c>
      <c r="O1278" s="1015">
        <v>3</v>
      </c>
      <c r="P1278" s="1013">
        <f t="shared" ref="P1278:P1291" si="256">ROUND((H1278+I1278+J1278+K1278)/IF($M$2&gt;26,26,$M$2)*O1278,0)</f>
        <v>774808</v>
      </c>
      <c r="Q1278" s="1016">
        <v>0</v>
      </c>
      <c r="R1278" s="1013">
        <f t="shared" ref="R1278:R1291" si="257">IF(M1278&gt;0,ROUND(N1278/IF(M1278&gt;26,26,M1278)/8*Q1278*30%,0),0)</f>
        <v>0</v>
      </c>
      <c r="S1278" s="1013">
        <f t="shared" ref="S1278:S1291" si="258">N1278+P1278+R1278</f>
        <v>6715000</v>
      </c>
      <c r="T1278" s="1017">
        <v>0</v>
      </c>
      <c r="U1278" s="785">
        <v>0</v>
      </c>
      <c r="V1278" s="785">
        <v>200000</v>
      </c>
      <c r="W1278" s="1017">
        <v>500000</v>
      </c>
      <c r="X1278" s="1017">
        <v>0</v>
      </c>
      <c r="Y1278" s="1017">
        <v>400000</v>
      </c>
      <c r="Z1278" s="1017">
        <v>383300</v>
      </c>
      <c r="AA1278" s="1018"/>
      <c r="AB1278" s="1013"/>
      <c r="AC1278" s="1017">
        <v>0</v>
      </c>
      <c r="AD1278" s="1017">
        <v>0</v>
      </c>
      <c r="AE1278" s="1013">
        <v>48425.478260869568</v>
      </c>
      <c r="AF1278" s="1019"/>
      <c r="AG1278" s="1019">
        <f t="shared" ref="AG1278:AG1291" si="259">ROUND(SUM(S1278:AF1278)-AA1278,0)</f>
        <v>8246725</v>
      </c>
      <c r="AH1278" s="1014">
        <v>56</v>
      </c>
      <c r="AI1278" s="1014">
        <v>0</v>
      </c>
      <c r="AJ1278" s="1014">
        <v>0</v>
      </c>
      <c r="AK1278" s="1018">
        <v>0</v>
      </c>
      <c r="AL1278" s="1020">
        <v>0</v>
      </c>
      <c r="AM1278" s="1013">
        <f t="shared" si="245"/>
        <v>2711827</v>
      </c>
      <c r="AN1278" s="1045">
        <f t="shared" ref="AN1278:AN1291" si="260">ROUND(AG1278+AM1278,0)</f>
        <v>10958552</v>
      </c>
      <c r="AO1278" s="1013">
        <v>705075</v>
      </c>
      <c r="AP1278" s="1013">
        <v>44100</v>
      </c>
      <c r="AQ1278" s="1013">
        <v>0</v>
      </c>
      <c r="AR1278" s="1013">
        <v>0</v>
      </c>
      <c r="AS1278" s="1013">
        <v>0</v>
      </c>
      <c r="AT1278" s="1045">
        <f t="shared" ref="AT1278:AT1291" si="261">+ROUND(SUM(AN1278:AN1278)-SUM(AO1278:AS1278),0)</f>
        <v>10209377</v>
      </c>
      <c r="AU1278" s="1004"/>
      <c r="AV1278" s="870"/>
      <c r="AW1278" s="782" t="s">
        <v>5689</v>
      </c>
      <c r="AX1278" s="782" t="s">
        <v>5690</v>
      </c>
      <c r="AY1278" s="1007" t="s">
        <v>221</v>
      </c>
      <c r="AZ1278" s="1007">
        <v>622</v>
      </c>
      <c r="BA1278" s="347" t="str">
        <f t="shared" ref="BA1278:BA1291" si="262">+IF(AY1278="SK1 Box","Box",IF(AY1278="Seaman","Seaman","Bag"))</f>
        <v>Bag</v>
      </c>
      <c r="BB1278" s="1008"/>
      <c r="BC1278" s="1009"/>
      <c r="BD1278" s="1009"/>
    </row>
    <row r="1279" spans="1:56" s="1010" customFormat="1" ht="36.75" customHeight="1">
      <c r="A1279" s="661">
        <f>SUBTOTAL(3,B$6:B1279)</f>
        <v>1274</v>
      </c>
      <c r="B1279" s="661" t="s">
        <v>3303</v>
      </c>
      <c r="C1279" s="662" t="s">
        <v>3304</v>
      </c>
      <c r="D1279" s="1011">
        <v>44988</v>
      </c>
      <c r="E1279" s="1011" t="s">
        <v>221</v>
      </c>
      <c r="F1279" s="787" t="s">
        <v>261</v>
      </c>
      <c r="G1279" s="996" t="s">
        <v>1322</v>
      </c>
      <c r="H1279" s="1012">
        <v>5815000</v>
      </c>
      <c r="I1279" s="1012">
        <v>900000</v>
      </c>
      <c r="J1279" s="1012">
        <v>0</v>
      </c>
      <c r="K1279" s="1012">
        <v>0</v>
      </c>
      <c r="L1279" s="1013">
        <f t="shared" si="254"/>
        <v>6715000</v>
      </c>
      <c r="M1279" s="1014">
        <v>23.6</v>
      </c>
      <c r="N1279" s="1013">
        <f t="shared" si="255"/>
        <v>6095154</v>
      </c>
      <c r="O1279" s="1015">
        <v>2</v>
      </c>
      <c r="P1279" s="1013">
        <f t="shared" si="256"/>
        <v>516538</v>
      </c>
      <c r="Q1279" s="1016">
        <v>0</v>
      </c>
      <c r="R1279" s="1013">
        <f t="shared" si="257"/>
        <v>0</v>
      </c>
      <c r="S1279" s="1013">
        <f t="shared" si="258"/>
        <v>6611692</v>
      </c>
      <c r="T1279" s="1017">
        <v>0</v>
      </c>
      <c r="U1279" s="785">
        <v>0</v>
      </c>
      <c r="V1279" s="785">
        <v>200000</v>
      </c>
      <c r="W1279" s="1017">
        <v>500000</v>
      </c>
      <c r="X1279" s="1017">
        <v>0</v>
      </c>
      <c r="Y1279" s="1017">
        <v>400000</v>
      </c>
      <c r="Z1279" s="1017">
        <v>393300</v>
      </c>
      <c r="AA1279" s="1018"/>
      <c r="AB1279" s="1013"/>
      <c r="AC1279" s="1017">
        <v>100000</v>
      </c>
      <c r="AD1279" s="1017">
        <v>0</v>
      </c>
      <c r="AE1279" s="1013">
        <v>48425.481991525419</v>
      </c>
      <c r="AF1279" s="1019"/>
      <c r="AG1279" s="1019">
        <f t="shared" si="259"/>
        <v>8253417</v>
      </c>
      <c r="AH1279" s="1014">
        <v>55</v>
      </c>
      <c r="AI1279" s="1014">
        <v>0</v>
      </c>
      <c r="AJ1279" s="1014">
        <v>0</v>
      </c>
      <c r="AK1279" s="1018">
        <v>0</v>
      </c>
      <c r="AL1279" s="1020">
        <v>0</v>
      </c>
      <c r="AM1279" s="1013">
        <f t="shared" si="245"/>
        <v>2663402</v>
      </c>
      <c r="AN1279" s="1045">
        <f t="shared" si="260"/>
        <v>10916819</v>
      </c>
      <c r="AO1279" s="1013">
        <v>705075</v>
      </c>
      <c r="AP1279" s="1013">
        <v>44100</v>
      </c>
      <c r="AQ1279" s="1013">
        <v>0</v>
      </c>
      <c r="AR1279" s="1013">
        <v>0</v>
      </c>
      <c r="AS1279" s="1013">
        <v>0</v>
      </c>
      <c r="AT1279" s="1045">
        <f t="shared" si="261"/>
        <v>10167644</v>
      </c>
      <c r="AU1279" s="1004"/>
      <c r="AV1279" s="870"/>
      <c r="AW1279" s="782" t="s">
        <v>5691</v>
      </c>
      <c r="AX1279" s="782" t="s">
        <v>5692</v>
      </c>
      <c r="AY1279" s="1007" t="s">
        <v>221</v>
      </c>
      <c r="AZ1279" s="1007">
        <v>622</v>
      </c>
      <c r="BA1279" s="347" t="str">
        <f t="shared" si="262"/>
        <v>Bag</v>
      </c>
      <c r="BB1279" s="1008"/>
      <c r="BC1279" s="1009"/>
      <c r="BD1279" s="1009"/>
    </row>
    <row r="1280" spans="1:56" s="1010" customFormat="1" ht="36.75" customHeight="1">
      <c r="A1280" s="661">
        <f>SUBTOTAL(3,B$6:B1280)</f>
        <v>1275</v>
      </c>
      <c r="B1280" s="661" t="s">
        <v>3305</v>
      </c>
      <c r="C1280" s="662" t="s">
        <v>3306</v>
      </c>
      <c r="D1280" s="1011">
        <v>45308</v>
      </c>
      <c r="E1280" s="1011" t="s">
        <v>221</v>
      </c>
      <c r="F1280" s="787" t="s">
        <v>261</v>
      </c>
      <c r="G1280" s="996" t="s">
        <v>1322</v>
      </c>
      <c r="H1280" s="1012">
        <v>5538000</v>
      </c>
      <c r="I1280" s="1012">
        <v>700000</v>
      </c>
      <c r="J1280" s="1012">
        <v>0</v>
      </c>
      <c r="K1280" s="1012">
        <v>0</v>
      </c>
      <c r="L1280" s="1013">
        <f t="shared" si="254"/>
        <v>6238000</v>
      </c>
      <c r="M1280" s="1014">
        <v>23</v>
      </c>
      <c r="N1280" s="1013">
        <f t="shared" si="255"/>
        <v>5518231</v>
      </c>
      <c r="O1280" s="1015">
        <v>3</v>
      </c>
      <c r="P1280" s="1013">
        <f t="shared" si="256"/>
        <v>719769</v>
      </c>
      <c r="Q1280" s="1016">
        <v>0</v>
      </c>
      <c r="R1280" s="1013">
        <f t="shared" si="257"/>
        <v>0</v>
      </c>
      <c r="S1280" s="1013">
        <f t="shared" si="258"/>
        <v>6238000</v>
      </c>
      <c r="T1280" s="1017">
        <v>0</v>
      </c>
      <c r="U1280" s="785">
        <v>0</v>
      </c>
      <c r="V1280" s="785">
        <v>200000</v>
      </c>
      <c r="W1280" s="1017">
        <v>500000</v>
      </c>
      <c r="X1280" s="1017">
        <v>0</v>
      </c>
      <c r="Y1280" s="1017">
        <v>400000</v>
      </c>
      <c r="Z1280" s="1017">
        <v>383300</v>
      </c>
      <c r="AA1280" s="1018"/>
      <c r="AB1280" s="1013"/>
      <c r="AC1280" s="1017">
        <v>0</v>
      </c>
      <c r="AD1280" s="1017">
        <v>0</v>
      </c>
      <c r="AE1280" s="1013">
        <v>44985.578804347824</v>
      </c>
      <c r="AF1280" s="1019"/>
      <c r="AG1280" s="1019">
        <f t="shared" si="259"/>
        <v>7766286</v>
      </c>
      <c r="AH1280" s="1014">
        <v>56</v>
      </c>
      <c r="AI1280" s="1014">
        <v>0</v>
      </c>
      <c r="AJ1280" s="1014">
        <v>0</v>
      </c>
      <c r="AK1280" s="1018">
        <v>0</v>
      </c>
      <c r="AL1280" s="1020">
        <v>0</v>
      </c>
      <c r="AM1280" s="1013">
        <f t="shared" si="245"/>
        <v>2519192</v>
      </c>
      <c r="AN1280" s="1045">
        <f t="shared" si="260"/>
        <v>10285478</v>
      </c>
      <c r="AO1280" s="1013">
        <v>654990</v>
      </c>
      <c r="AP1280" s="1013">
        <v>44100</v>
      </c>
      <c r="AQ1280" s="1013">
        <v>0</v>
      </c>
      <c r="AR1280" s="1013">
        <v>0</v>
      </c>
      <c r="AS1280" s="1013">
        <v>0</v>
      </c>
      <c r="AT1280" s="1045">
        <f t="shared" si="261"/>
        <v>9586388</v>
      </c>
      <c r="AU1280" s="1004"/>
      <c r="AV1280" s="870"/>
      <c r="AW1280" s="782" t="s">
        <v>5693</v>
      </c>
      <c r="AX1280" s="782" t="s">
        <v>5694</v>
      </c>
      <c r="AY1280" s="1007" t="s">
        <v>221</v>
      </c>
      <c r="AZ1280" s="1007">
        <v>622</v>
      </c>
      <c r="BA1280" s="347" t="str">
        <f t="shared" si="262"/>
        <v>Bag</v>
      </c>
      <c r="BB1280" s="1008"/>
      <c r="BC1280" s="1009"/>
      <c r="BD1280" s="1009"/>
    </row>
    <row r="1281" spans="1:63" s="1010" customFormat="1" ht="36.75" customHeight="1">
      <c r="A1281" s="661">
        <f>SUBTOTAL(3,B$6:B1281)</f>
        <v>1276</v>
      </c>
      <c r="B1281" s="661" t="s">
        <v>3307</v>
      </c>
      <c r="C1281" s="662" t="s">
        <v>1318</v>
      </c>
      <c r="D1281" s="1011">
        <v>45355</v>
      </c>
      <c r="E1281" s="1011" t="s">
        <v>221</v>
      </c>
      <c r="F1281" s="787" t="s">
        <v>261</v>
      </c>
      <c r="G1281" s="996" t="s">
        <v>1322</v>
      </c>
      <c r="H1281" s="1012">
        <v>5538000</v>
      </c>
      <c r="I1281" s="1012">
        <v>700000</v>
      </c>
      <c r="J1281" s="1012">
        <v>0</v>
      </c>
      <c r="K1281" s="1012">
        <v>0</v>
      </c>
      <c r="L1281" s="1013">
        <f t="shared" si="254"/>
        <v>6238000</v>
      </c>
      <c r="M1281" s="1014">
        <v>23.7</v>
      </c>
      <c r="N1281" s="1013">
        <f t="shared" si="255"/>
        <v>5686177</v>
      </c>
      <c r="O1281" s="1015">
        <v>2</v>
      </c>
      <c r="P1281" s="1013">
        <f t="shared" si="256"/>
        <v>479846</v>
      </c>
      <c r="Q1281" s="1016">
        <v>0</v>
      </c>
      <c r="R1281" s="1013">
        <f t="shared" si="257"/>
        <v>0</v>
      </c>
      <c r="S1281" s="1013">
        <f t="shared" si="258"/>
        <v>6166023</v>
      </c>
      <c r="T1281" s="1017">
        <v>0</v>
      </c>
      <c r="U1281" s="785">
        <v>0</v>
      </c>
      <c r="V1281" s="785">
        <v>200000</v>
      </c>
      <c r="W1281" s="1017">
        <v>500000</v>
      </c>
      <c r="X1281" s="1017">
        <v>0</v>
      </c>
      <c r="Y1281" s="1017">
        <v>400000</v>
      </c>
      <c r="Z1281" s="1017">
        <v>395000</v>
      </c>
      <c r="AA1281" s="1018"/>
      <c r="AB1281" s="1013"/>
      <c r="AC1281" s="1017">
        <v>100000</v>
      </c>
      <c r="AD1281" s="1017">
        <v>0</v>
      </c>
      <c r="AE1281" s="1013">
        <v>44985.577531645569</v>
      </c>
      <c r="AF1281" s="1019"/>
      <c r="AG1281" s="1019">
        <f t="shared" si="259"/>
        <v>7806009</v>
      </c>
      <c r="AH1281" s="1014">
        <v>56</v>
      </c>
      <c r="AI1281" s="1014">
        <v>0</v>
      </c>
      <c r="AJ1281" s="1014">
        <v>0</v>
      </c>
      <c r="AK1281" s="1018">
        <v>0</v>
      </c>
      <c r="AL1281" s="1020">
        <v>0</v>
      </c>
      <c r="AM1281" s="1013">
        <f t="shared" si="245"/>
        <v>2519192</v>
      </c>
      <c r="AN1281" s="1045">
        <f t="shared" si="260"/>
        <v>10325201</v>
      </c>
      <c r="AO1281" s="1013">
        <v>654990</v>
      </c>
      <c r="AP1281" s="1013">
        <v>44100</v>
      </c>
      <c r="AQ1281" s="1013">
        <v>0</v>
      </c>
      <c r="AR1281" s="1013">
        <v>0</v>
      </c>
      <c r="AS1281" s="1013">
        <v>0</v>
      </c>
      <c r="AT1281" s="1045">
        <f t="shared" si="261"/>
        <v>9626111</v>
      </c>
      <c r="AU1281" s="1004"/>
      <c r="AV1281" s="870"/>
      <c r="AW1281" s="782" t="s">
        <v>3831</v>
      </c>
      <c r="AX1281" s="782" t="s">
        <v>5695</v>
      </c>
      <c r="AY1281" s="1007" t="s">
        <v>221</v>
      </c>
      <c r="AZ1281" s="1007">
        <v>622</v>
      </c>
      <c r="BA1281" s="347" t="str">
        <f t="shared" si="262"/>
        <v>Bag</v>
      </c>
      <c r="BB1281" s="1008"/>
      <c r="BC1281" s="1009"/>
      <c r="BD1281" s="1009"/>
    </row>
    <row r="1282" spans="1:63" s="1010" customFormat="1" ht="36.75" customHeight="1">
      <c r="A1282" s="661">
        <f>SUBTOTAL(3,B$6:B1282)</f>
        <v>1277</v>
      </c>
      <c r="B1282" s="661" t="s">
        <v>3308</v>
      </c>
      <c r="C1282" s="662" t="s">
        <v>3309</v>
      </c>
      <c r="D1282" s="1011">
        <v>45541</v>
      </c>
      <c r="E1282" s="1011" t="s">
        <v>221</v>
      </c>
      <c r="F1282" s="787" t="s">
        <v>261</v>
      </c>
      <c r="G1282" s="996" t="s">
        <v>1571</v>
      </c>
      <c r="H1282" s="1012">
        <v>5274000</v>
      </c>
      <c r="I1282" s="1012">
        <v>700000</v>
      </c>
      <c r="J1282" s="1012">
        <v>0</v>
      </c>
      <c r="K1282" s="1012">
        <v>300000</v>
      </c>
      <c r="L1282" s="1013">
        <f t="shared" si="254"/>
        <v>6274000</v>
      </c>
      <c r="M1282" s="1014">
        <v>23.9</v>
      </c>
      <c r="N1282" s="1013">
        <f t="shared" si="255"/>
        <v>5767254</v>
      </c>
      <c r="O1282" s="1015">
        <v>2</v>
      </c>
      <c r="P1282" s="1013">
        <f t="shared" si="256"/>
        <v>482615</v>
      </c>
      <c r="Q1282" s="1016">
        <v>0</v>
      </c>
      <c r="R1282" s="1013">
        <f t="shared" si="257"/>
        <v>0</v>
      </c>
      <c r="S1282" s="1013">
        <f t="shared" si="258"/>
        <v>6249869</v>
      </c>
      <c r="T1282" s="1017">
        <v>0</v>
      </c>
      <c r="U1282" s="785">
        <v>0</v>
      </c>
      <c r="V1282" s="785">
        <v>200000</v>
      </c>
      <c r="W1282" s="1017">
        <v>500000</v>
      </c>
      <c r="X1282" s="1017">
        <v>0</v>
      </c>
      <c r="Y1282" s="1017">
        <v>400000</v>
      </c>
      <c r="Z1282" s="1017">
        <v>398300</v>
      </c>
      <c r="AA1282" s="1018"/>
      <c r="AB1282" s="1013"/>
      <c r="AC1282" s="1017">
        <v>0</v>
      </c>
      <c r="AD1282" s="1017">
        <v>0</v>
      </c>
      <c r="AE1282" s="1013">
        <v>0</v>
      </c>
      <c r="AF1282" s="1019"/>
      <c r="AG1282" s="1019">
        <f t="shared" si="259"/>
        <v>7748169</v>
      </c>
      <c r="AH1282" s="1014">
        <v>0</v>
      </c>
      <c r="AI1282" s="1014">
        <v>0</v>
      </c>
      <c r="AJ1282" s="1014">
        <v>0</v>
      </c>
      <c r="AK1282" s="1018">
        <v>0</v>
      </c>
      <c r="AL1282" s="1020">
        <v>0</v>
      </c>
      <c r="AM1282" s="1013">
        <f t="shared" si="245"/>
        <v>0</v>
      </c>
      <c r="AN1282" s="1045">
        <f t="shared" si="260"/>
        <v>7748169</v>
      </c>
      <c r="AO1282" s="1013">
        <v>658770</v>
      </c>
      <c r="AP1282" s="1013">
        <v>44100</v>
      </c>
      <c r="AQ1282" s="1013">
        <v>0</v>
      </c>
      <c r="AR1282" s="1013">
        <v>0</v>
      </c>
      <c r="AS1282" s="1013">
        <v>0</v>
      </c>
      <c r="AT1282" s="1045">
        <f t="shared" si="261"/>
        <v>7045299</v>
      </c>
      <c r="AU1282" s="1004"/>
      <c r="AV1282" s="870"/>
      <c r="AW1282" s="782" t="s">
        <v>5696</v>
      </c>
      <c r="AX1282" s="782" t="s">
        <v>5697</v>
      </c>
      <c r="AY1282" s="1007" t="s">
        <v>221</v>
      </c>
      <c r="AZ1282" s="1007">
        <v>622</v>
      </c>
      <c r="BA1282" s="347" t="str">
        <f t="shared" si="262"/>
        <v>Bag</v>
      </c>
      <c r="BB1282" s="1008"/>
      <c r="BC1282" s="1009"/>
      <c r="BD1282" s="1009"/>
    </row>
    <row r="1283" spans="1:63" s="1010" customFormat="1" ht="36.75" customHeight="1">
      <c r="A1283" s="661">
        <f>SUBTOTAL(3,B$6:B1283)</f>
        <v>1278</v>
      </c>
      <c r="B1283" s="661" t="s">
        <v>3310</v>
      </c>
      <c r="C1283" s="662" t="s">
        <v>3311</v>
      </c>
      <c r="D1283" s="1011">
        <v>45600</v>
      </c>
      <c r="E1283" s="1011" t="s">
        <v>221</v>
      </c>
      <c r="F1283" s="787" t="s">
        <v>261</v>
      </c>
      <c r="G1283" s="996" t="s">
        <v>1322</v>
      </c>
      <c r="H1283" s="1012">
        <v>5023000</v>
      </c>
      <c r="I1283" s="1012">
        <v>500000</v>
      </c>
      <c r="J1283" s="1012">
        <v>0</v>
      </c>
      <c r="K1283" s="1012">
        <v>0</v>
      </c>
      <c r="L1283" s="1013">
        <f t="shared" si="254"/>
        <v>5523000</v>
      </c>
      <c r="M1283" s="1014">
        <v>23.9</v>
      </c>
      <c r="N1283" s="1013">
        <f t="shared" si="255"/>
        <v>5076912</v>
      </c>
      <c r="O1283" s="1015">
        <v>2</v>
      </c>
      <c r="P1283" s="1013">
        <f t="shared" si="256"/>
        <v>424846</v>
      </c>
      <c r="Q1283" s="1016">
        <v>0</v>
      </c>
      <c r="R1283" s="1013">
        <f t="shared" si="257"/>
        <v>0</v>
      </c>
      <c r="S1283" s="1013">
        <f t="shared" si="258"/>
        <v>5501758</v>
      </c>
      <c r="T1283" s="1017">
        <v>0</v>
      </c>
      <c r="U1283" s="785">
        <v>0</v>
      </c>
      <c r="V1283" s="785">
        <v>200000</v>
      </c>
      <c r="W1283" s="1017">
        <v>500000</v>
      </c>
      <c r="X1283" s="1017">
        <v>0</v>
      </c>
      <c r="Y1283" s="1017">
        <v>400000</v>
      </c>
      <c r="Z1283" s="1017">
        <v>398300</v>
      </c>
      <c r="AA1283" s="1018"/>
      <c r="AB1283" s="1013"/>
      <c r="AC1283" s="1017">
        <v>0</v>
      </c>
      <c r="AD1283" s="1017">
        <v>0</v>
      </c>
      <c r="AE1283" s="1013">
        <v>39829.330543933058</v>
      </c>
      <c r="AF1283" s="1019"/>
      <c r="AG1283" s="1019">
        <f t="shared" si="259"/>
        <v>7039887</v>
      </c>
      <c r="AH1283" s="1014">
        <v>56</v>
      </c>
      <c r="AI1283" s="1014">
        <v>0</v>
      </c>
      <c r="AJ1283" s="1014">
        <v>0</v>
      </c>
      <c r="AK1283" s="1018">
        <v>0</v>
      </c>
      <c r="AL1283" s="1020">
        <v>0</v>
      </c>
      <c r="AM1283" s="1013">
        <f t="shared" si="245"/>
        <v>2230443</v>
      </c>
      <c r="AN1283" s="1045">
        <f t="shared" si="260"/>
        <v>9270330</v>
      </c>
      <c r="AO1283" s="1013">
        <v>579915</v>
      </c>
      <c r="AP1283" s="1013">
        <v>44100</v>
      </c>
      <c r="AQ1283" s="1013">
        <v>0</v>
      </c>
      <c r="AR1283" s="1013">
        <v>0</v>
      </c>
      <c r="AS1283" s="1013">
        <v>0</v>
      </c>
      <c r="AT1283" s="1045">
        <f t="shared" si="261"/>
        <v>8646315</v>
      </c>
      <c r="AU1283" s="1004"/>
      <c r="AV1283" s="870"/>
      <c r="AW1283" s="782" t="s">
        <v>5698</v>
      </c>
      <c r="AX1283" s="782" t="s">
        <v>5699</v>
      </c>
      <c r="AY1283" s="1007" t="s">
        <v>221</v>
      </c>
      <c r="AZ1283" s="1007">
        <v>622</v>
      </c>
      <c r="BA1283" s="347" t="str">
        <f t="shared" si="262"/>
        <v>Bag</v>
      </c>
      <c r="BB1283" s="1008"/>
      <c r="BC1283" s="1009"/>
      <c r="BD1283" s="1009"/>
    </row>
    <row r="1284" spans="1:63" s="1010" customFormat="1" ht="36.75" customHeight="1">
      <c r="A1284" s="661">
        <f>SUBTOTAL(3,B$6:B1284)</f>
        <v>1279</v>
      </c>
      <c r="B1284" s="661" t="s">
        <v>3312</v>
      </c>
      <c r="C1284" s="662" t="s">
        <v>3313</v>
      </c>
      <c r="D1284" s="1011">
        <v>45665</v>
      </c>
      <c r="E1284" s="1011" t="s">
        <v>221</v>
      </c>
      <c r="F1284" s="787" t="s">
        <v>261</v>
      </c>
      <c r="G1284" s="996" t="s">
        <v>1322</v>
      </c>
      <c r="H1284" s="1012">
        <v>5023000</v>
      </c>
      <c r="I1284" s="1012">
        <v>500000</v>
      </c>
      <c r="J1284" s="1012">
        <v>252000</v>
      </c>
      <c r="K1284" s="1012">
        <v>0</v>
      </c>
      <c r="L1284" s="1013">
        <f t="shared" si="254"/>
        <v>5775000</v>
      </c>
      <c r="M1284" s="1014">
        <v>17.8</v>
      </c>
      <c r="N1284" s="1013">
        <f t="shared" si="255"/>
        <v>3953654</v>
      </c>
      <c r="O1284" s="1015">
        <v>3</v>
      </c>
      <c r="P1284" s="1013">
        <f t="shared" si="256"/>
        <v>666346</v>
      </c>
      <c r="Q1284" s="1016">
        <v>0</v>
      </c>
      <c r="R1284" s="1013">
        <f t="shared" si="257"/>
        <v>0</v>
      </c>
      <c r="S1284" s="1013">
        <f t="shared" si="258"/>
        <v>4620000</v>
      </c>
      <c r="T1284" s="1017">
        <v>0</v>
      </c>
      <c r="U1284" s="785">
        <v>0</v>
      </c>
      <c r="V1284" s="785">
        <v>200000</v>
      </c>
      <c r="W1284" s="1017">
        <v>0</v>
      </c>
      <c r="X1284" s="1017">
        <v>0</v>
      </c>
      <c r="Y1284" s="1017">
        <v>0</v>
      </c>
      <c r="Z1284" s="1017">
        <v>74200</v>
      </c>
      <c r="AA1284" s="1018"/>
      <c r="AB1284" s="1013"/>
      <c r="AC1284" s="1017">
        <v>0</v>
      </c>
      <c r="AD1284" s="1017">
        <v>0</v>
      </c>
      <c r="AE1284" s="1013">
        <v>41646.636235955055</v>
      </c>
      <c r="AF1284" s="1019"/>
      <c r="AG1284" s="1019">
        <f t="shared" si="259"/>
        <v>4935847</v>
      </c>
      <c r="AH1284" s="1014">
        <v>22.5</v>
      </c>
      <c r="AI1284" s="1014">
        <v>0</v>
      </c>
      <c r="AJ1284" s="1014">
        <v>0</v>
      </c>
      <c r="AK1284" s="1018">
        <v>0</v>
      </c>
      <c r="AL1284" s="1020">
        <v>0</v>
      </c>
      <c r="AM1284" s="1013">
        <f t="shared" si="245"/>
        <v>937049</v>
      </c>
      <c r="AN1284" s="1045">
        <f t="shared" si="260"/>
        <v>5872896</v>
      </c>
      <c r="AO1284" s="1013">
        <v>606375</v>
      </c>
      <c r="AP1284" s="1013">
        <v>44100</v>
      </c>
      <c r="AQ1284" s="1013">
        <v>0</v>
      </c>
      <c r="AR1284" s="1013">
        <v>0</v>
      </c>
      <c r="AS1284" s="1013">
        <v>0</v>
      </c>
      <c r="AT1284" s="1045">
        <f t="shared" si="261"/>
        <v>5222421</v>
      </c>
      <c r="AU1284" s="1004"/>
      <c r="AV1284" s="870"/>
      <c r="AW1284" s="782" t="s">
        <v>5700</v>
      </c>
      <c r="AX1284" s="782" t="s">
        <v>5701</v>
      </c>
      <c r="AY1284" s="1007" t="s">
        <v>221</v>
      </c>
      <c r="AZ1284" s="1007">
        <v>622</v>
      </c>
      <c r="BA1284" s="347" t="str">
        <f t="shared" si="262"/>
        <v>Bag</v>
      </c>
      <c r="BB1284" s="1008"/>
      <c r="BC1284" s="1009"/>
      <c r="BD1284" s="1009"/>
    </row>
    <row r="1285" spans="1:63" s="1010" customFormat="1" ht="36.75" customHeight="1">
      <c r="A1285" s="661">
        <f>SUBTOTAL(3,B$6:B1285)</f>
        <v>1280</v>
      </c>
      <c r="B1285" s="661" t="s">
        <v>5819</v>
      </c>
      <c r="C1285" s="662" t="s">
        <v>5820</v>
      </c>
      <c r="D1285" s="1011">
        <v>45772</v>
      </c>
      <c r="E1285" s="1011" t="s">
        <v>221</v>
      </c>
      <c r="F1285" s="787" t="s">
        <v>261</v>
      </c>
      <c r="G1285" s="996" t="s">
        <v>554</v>
      </c>
      <c r="H1285" s="1012">
        <v>4694000</v>
      </c>
      <c r="I1285" s="1012">
        <v>0</v>
      </c>
      <c r="J1285" s="1012">
        <v>0</v>
      </c>
      <c r="K1285" s="1012">
        <v>0</v>
      </c>
      <c r="L1285" s="1013">
        <f t="shared" si="254"/>
        <v>4694000</v>
      </c>
      <c r="M1285" s="1014">
        <v>3</v>
      </c>
      <c r="N1285" s="1013">
        <f t="shared" si="255"/>
        <v>541615</v>
      </c>
      <c r="O1285" s="1015">
        <v>1</v>
      </c>
      <c r="P1285" s="1013">
        <f t="shared" si="256"/>
        <v>180538</v>
      </c>
      <c r="Q1285" s="1016">
        <v>0</v>
      </c>
      <c r="R1285" s="1013">
        <f t="shared" si="257"/>
        <v>0</v>
      </c>
      <c r="S1285" s="1013">
        <f t="shared" si="258"/>
        <v>722153</v>
      </c>
      <c r="T1285" s="1017">
        <v>0</v>
      </c>
      <c r="U1285" s="785">
        <v>0</v>
      </c>
      <c r="V1285" s="785">
        <v>31000</v>
      </c>
      <c r="W1285" s="1017">
        <v>77000</v>
      </c>
      <c r="X1285" s="1017">
        <v>0</v>
      </c>
      <c r="Y1285" s="1017">
        <v>23000</v>
      </c>
      <c r="Z1285" s="1017">
        <v>0</v>
      </c>
      <c r="AA1285" s="1018"/>
      <c r="AB1285" s="1013"/>
      <c r="AC1285" s="1017">
        <v>0</v>
      </c>
      <c r="AD1285" s="1017">
        <v>0</v>
      </c>
      <c r="AE1285" s="1013">
        <v>0</v>
      </c>
      <c r="AF1285" s="1019"/>
      <c r="AG1285" s="1019">
        <f t="shared" si="259"/>
        <v>853153</v>
      </c>
      <c r="AH1285" s="1014">
        <v>4</v>
      </c>
      <c r="AI1285" s="1014">
        <v>0</v>
      </c>
      <c r="AJ1285" s="1014">
        <v>0</v>
      </c>
      <c r="AK1285" s="1018">
        <v>0</v>
      </c>
      <c r="AL1285" s="1020">
        <v>0</v>
      </c>
      <c r="AM1285" s="1013">
        <f t="shared" si="245"/>
        <v>135404</v>
      </c>
      <c r="AN1285" s="1045">
        <f t="shared" si="260"/>
        <v>988557</v>
      </c>
      <c r="AO1285" s="1013">
        <v>0</v>
      </c>
      <c r="AP1285" s="1013">
        <v>0</v>
      </c>
      <c r="AQ1285" s="1013">
        <v>0</v>
      </c>
      <c r="AR1285" s="1013">
        <v>0</v>
      </c>
      <c r="AS1285" s="1013">
        <v>0</v>
      </c>
      <c r="AT1285" s="1045">
        <f t="shared" si="261"/>
        <v>988557</v>
      </c>
      <c r="AU1285" s="1004"/>
      <c r="AV1285" s="870"/>
      <c r="AW1285" s="782"/>
      <c r="AX1285" s="782" t="s">
        <v>3644</v>
      </c>
      <c r="AY1285" s="1007" t="s">
        <v>221</v>
      </c>
      <c r="AZ1285" s="1007">
        <v>622</v>
      </c>
      <c r="BA1285" s="347" t="str">
        <f t="shared" si="262"/>
        <v>Bag</v>
      </c>
      <c r="BB1285" s="1008"/>
      <c r="BC1285" s="1009"/>
      <c r="BD1285" s="1009"/>
    </row>
    <row r="1286" spans="1:63" s="1010" customFormat="1" ht="36.75" customHeight="1">
      <c r="A1286" s="661">
        <f>SUBTOTAL(3,B$6:B1286)</f>
        <v>1281</v>
      </c>
      <c r="B1286" s="661" t="s">
        <v>3314</v>
      </c>
      <c r="C1286" s="662" t="s">
        <v>3315</v>
      </c>
      <c r="D1286" s="1011">
        <v>41568</v>
      </c>
      <c r="E1286" s="1011" t="s">
        <v>221</v>
      </c>
      <c r="F1286" s="787" t="s">
        <v>261</v>
      </c>
      <c r="G1286" s="996" t="s">
        <v>1580</v>
      </c>
      <c r="H1286" s="1012">
        <v>5931000</v>
      </c>
      <c r="I1286" s="1012">
        <v>3200000</v>
      </c>
      <c r="J1286" s="1012">
        <v>0</v>
      </c>
      <c r="K1286" s="1012">
        <v>900000</v>
      </c>
      <c r="L1286" s="1013">
        <f t="shared" si="254"/>
        <v>10031000</v>
      </c>
      <c r="M1286" s="1014">
        <v>23</v>
      </c>
      <c r="N1286" s="1013">
        <f t="shared" si="255"/>
        <v>8873577</v>
      </c>
      <c r="O1286" s="1015">
        <v>2</v>
      </c>
      <c r="P1286" s="1013">
        <f t="shared" si="256"/>
        <v>771615</v>
      </c>
      <c r="Q1286" s="1016">
        <v>0</v>
      </c>
      <c r="R1286" s="1013">
        <f t="shared" si="257"/>
        <v>0</v>
      </c>
      <c r="S1286" s="1013">
        <f t="shared" si="258"/>
        <v>9645192</v>
      </c>
      <c r="T1286" s="1017">
        <v>0</v>
      </c>
      <c r="U1286" s="785">
        <v>0</v>
      </c>
      <c r="V1286" s="785">
        <v>200000</v>
      </c>
      <c r="W1286" s="1017">
        <v>500000</v>
      </c>
      <c r="X1286" s="1017">
        <v>0</v>
      </c>
      <c r="Y1286" s="1017">
        <v>400000</v>
      </c>
      <c r="Z1286" s="1017">
        <v>469600</v>
      </c>
      <c r="AA1286" s="1018"/>
      <c r="AB1286" s="1013"/>
      <c r="AC1286" s="1017">
        <v>0</v>
      </c>
      <c r="AD1286" s="1017">
        <v>0</v>
      </c>
      <c r="AE1286" s="1013">
        <v>72338.942934782608</v>
      </c>
      <c r="AF1286" s="1019"/>
      <c r="AG1286" s="1019">
        <f t="shared" si="259"/>
        <v>11287131</v>
      </c>
      <c r="AH1286" s="1014">
        <v>0</v>
      </c>
      <c r="AI1286" s="1014">
        <v>0</v>
      </c>
      <c r="AJ1286" s="1014">
        <v>0</v>
      </c>
      <c r="AK1286" s="1018">
        <v>0</v>
      </c>
      <c r="AL1286" s="1020">
        <v>0</v>
      </c>
      <c r="AM1286" s="1013">
        <f t="shared" si="245"/>
        <v>0</v>
      </c>
      <c r="AN1286" s="1045">
        <f t="shared" si="260"/>
        <v>11287131</v>
      </c>
      <c r="AO1286" s="1013">
        <v>1053255</v>
      </c>
      <c r="AP1286" s="1013">
        <v>44100</v>
      </c>
      <c r="AQ1286" s="1013">
        <v>0</v>
      </c>
      <c r="AR1286" s="1013">
        <v>0</v>
      </c>
      <c r="AS1286" s="1013">
        <v>0</v>
      </c>
      <c r="AT1286" s="1045">
        <f t="shared" si="261"/>
        <v>10189776</v>
      </c>
      <c r="AU1286" s="1004"/>
      <c r="AV1286" s="870"/>
      <c r="AW1286" s="782" t="s">
        <v>5444</v>
      </c>
      <c r="AX1286" s="782" t="s">
        <v>5702</v>
      </c>
      <c r="AY1286" s="1007" t="s">
        <v>221</v>
      </c>
      <c r="AZ1286" s="1007">
        <v>622</v>
      </c>
      <c r="BA1286" s="347" t="str">
        <f t="shared" si="262"/>
        <v>Bag</v>
      </c>
      <c r="BB1286" s="1008"/>
      <c r="BC1286" s="1009"/>
      <c r="BD1286" s="1009"/>
    </row>
    <row r="1287" spans="1:63" s="1010" customFormat="1" ht="36.75" customHeight="1">
      <c r="A1287" s="661">
        <f>SUBTOTAL(3,B$6:B1287)</f>
        <v>1282</v>
      </c>
      <c r="B1287" s="661" t="s">
        <v>3316</v>
      </c>
      <c r="C1287" s="662" t="s">
        <v>1710</v>
      </c>
      <c r="D1287" s="1011">
        <v>43529</v>
      </c>
      <c r="E1287" s="1011" t="s">
        <v>221</v>
      </c>
      <c r="F1287" s="787" t="s">
        <v>261</v>
      </c>
      <c r="G1287" s="996" t="s">
        <v>1322</v>
      </c>
      <c r="H1287" s="1012">
        <v>5931000</v>
      </c>
      <c r="I1287" s="1012">
        <v>1100000</v>
      </c>
      <c r="J1287" s="1012">
        <v>298000</v>
      </c>
      <c r="K1287" s="1012">
        <v>0</v>
      </c>
      <c r="L1287" s="1013">
        <f t="shared" si="254"/>
        <v>7329000</v>
      </c>
      <c r="M1287" s="1014">
        <v>23.7</v>
      </c>
      <c r="N1287" s="1013">
        <f t="shared" si="255"/>
        <v>6680665</v>
      </c>
      <c r="O1287" s="1015">
        <v>2</v>
      </c>
      <c r="P1287" s="1013">
        <f t="shared" si="256"/>
        <v>563769</v>
      </c>
      <c r="Q1287" s="1016">
        <v>0</v>
      </c>
      <c r="R1287" s="1013">
        <f t="shared" si="257"/>
        <v>0</v>
      </c>
      <c r="S1287" s="1013">
        <f t="shared" si="258"/>
        <v>7244434</v>
      </c>
      <c r="T1287" s="1017">
        <v>0</v>
      </c>
      <c r="U1287" s="785">
        <v>0</v>
      </c>
      <c r="V1287" s="785">
        <v>200000</v>
      </c>
      <c r="W1287" s="1017">
        <v>500000</v>
      </c>
      <c r="X1287" s="1017">
        <v>0</v>
      </c>
      <c r="Y1287" s="1017">
        <v>400000</v>
      </c>
      <c r="Z1287" s="1017">
        <v>395000</v>
      </c>
      <c r="AA1287" s="1018"/>
      <c r="AB1287" s="1013"/>
      <c r="AC1287" s="1017">
        <v>0</v>
      </c>
      <c r="AD1287" s="1017">
        <v>0</v>
      </c>
      <c r="AE1287" s="1013">
        <v>52853.362341772154</v>
      </c>
      <c r="AF1287" s="1019"/>
      <c r="AG1287" s="1019">
        <f t="shared" si="259"/>
        <v>8792287</v>
      </c>
      <c r="AH1287" s="1014">
        <v>56</v>
      </c>
      <c r="AI1287" s="1014">
        <v>0</v>
      </c>
      <c r="AJ1287" s="1014">
        <v>0</v>
      </c>
      <c r="AK1287" s="1018">
        <v>0</v>
      </c>
      <c r="AL1287" s="1020">
        <v>0</v>
      </c>
      <c r="AM1287" s="1013">
        <f t="shared" ref="AM1287:AM1291" si="263">ROUND((N1287/IF(M1287&gt;26,26,M1287)/8*(AH1287*$AH$5+AI1287*$AI$5+AJ1287*$AJ$5+AK1287*$AK$5+AL1287*$AL$5)),0)</f>
        <v>2959788</v>
      </c>
      <c r="AN1287" s="1045">
        <f t="shared" si="260"/>
        <v>11752075</v>
      </c>
      <c r="AO1287" s="1013">
        <v>769545</v>
      </c>
      <c r="AP1287" s="1013">
        <v>44100</v>
      </c>
      <c r="AQ1287" s="1013">
        <v>0</v>
      </c>
      <c r="AR1287" s="1013">
        <v>0</v>
      </c>
      <c r="AS1287" s="1013">
        <v>0</v>
      </c>
      <c r="AT1287" s="1045">
        <f t="shared" si="261"/>
        <v>10938430</v>
      </c>
      <c r="AU1287" s="1004"/>
      <c r="AV1287" s="870"/>
      <c r="AW1287" s="782" t="s">
        <v>4198</v>
      </c>
      <c r="AX1287" s="782" t="s">
        <v>5703</v>
      </c>
      <c r="AY1287" s="1007" t="s">
        <v>221</v>
      </c>
      <c r="AZ1287" s="1007">
        <v>622</v>
      </c>
      <c r="BA1287" s="347" t="str">
        <f t="shared" si="262"/>
        <v>Bag</v>
      </c>
      <c r="BB1287" s="1008"/>
      <c r="BC1287" s="1009"/>
      <c r="BD1287" s="1009"/>
    </row>
    <row r="1288" spans="1:63" s="1010" customFormat="1" ht="36.75" customHeight="1">
      <c r="A1288" s="661">
        <f>SUBTOTAL(3,B$6:B1288)</f>
        <v>1283</v>
      </c>
      <c r="B1288" s="661" t="s">
        <v>3317</v>
      </c>
      <c r="C1288" s="662" t="s">
        <v>3318</v>
      </c>
      <c r="D1288" s="1011">
        <v>43545</v>
      </c>
      <c r="E1288" s="1011" t="s">
        <v>221</v>
      </c>
      <c r="F1288" s="787" t="s">
        <v>262</v>
      </c>
      <c r="G1288" s="996" t="s">
        <v>1338</v>
      </c>
      <c r="H1288" s="1012">
        <v>5931000</v>
      </c>
      <c r="I1288" s="1012">
        <v>600000</v>
      </c>
      <c r="J1288" s="1012">
        <v>0</v>
      </c>
      <c r="K1288" s="1012">
        <v>0</v>
      </c>
      <c r="L1288" s="1013">
        <f t="shared" si="254"/>
        <v>6531000</v>
      </c>
      <c r="M1288" s="1014">
        <v>24</v>
      </c>
      <c r="N1288" s="1013">
        <f t="shared" si="255"/>
        <v>6028615</v>
      </c>
      <c r="O1288" s="1015">
        <v>2</v>
      </c>
      <c r="P1288" s="1013">
        <f t="shared" si="256"/>
        <v>502385</v>
      </c>
      <c r="Q1288" s="1016">
        <v>0</v>
      </c>
      <c r="R1288" s="1013">
        <f t="shared" si="257"/>
        <v>0</v>
      </c>
      <c r="S1288" s="1013">
        <f t="shared" si="258"/>
        <v>6531000</v>
      </c>
      <c r="T1288" s="1017">
        <v>0</v>
      </c>
      <c r="U1288" s="785">
        <v>0</v>
      </c>
      <c r="V1288" s="785">
        <v>200000</v>
      </c>
      <c r="W1288" s="1017">
        <v>500000</v>
      </c>
      <c r="X1288" s="1017">
        <v>200000</v>
      </c>
      <c r="Y1288" s="1017">
        <v>400000</v>
      </c>
      <c r="Z1288" s="1017">
        <v>427281</v>
      </c>
      <c r="AA1288" s="1018"/>
      <c r="AB1288" s="1013"/>
      <c r="AC1288" s="1017">
        <v>0</v>
      </c>
      <c r="AD1288" s="1017">
        <v>0</v>
      </c>
      <c r="AE1288" s="1013">
        <v>47098.5546875</v>
      </c>
      <c r="AF1288" s="1019"/>
      <c r="AG1288" s="1019">
        <f t="shared" si="259"/>
        <v>8305380</v>
      </c>
      <c r="AH1288" s="1014">
        <v>56</v>
      </c>
      <c r="AI1288" s="1014">
        <v>0</v>
      </c>
      <c r="AJ1288" s="1014">
        <v>0</v>
      </c>
      <c r="AK1288" s="1018">
        <v>0</v>
      </c>
      <c r="AL1288" s="1020">
        <v>0</v>
      </c>
      <c r="AM1288" s="1013">
        <f t="shared" si="263"/>
        <v>2637519</v>
      </c>
      <c r="AN1288" s="1045">
        <f t="shared" si="260"/>
        <v>10942899</v>
      </c>
      <c r="AO1288" s="1013">
        <v>685755</v>
      </c>
      <c r="AP1288" s="1013">
        <v>44100</v>
      </c>
      <c r="AQ1288" s="1013">
        <v>0</v>
      </c>
      <c r="AR1288" s="1013">
        <v>0</v>
      </c>
      <c r="AS1288" s="1013">
        <v>0</v>
      </c>
      <c r="AT1288" s="1045">
        <f t="shared" si="261"/>
        <v>10213044</v>
      </c>
      <c r="AU1288" s="1004"/>
      <c r="AV1288" s="870"/>
      <c r="AW1288" s="782" t="s">
        <v>5704</v>
      </c>
      <c r="AX1288" s="782" t="s">
        <v>5705</v>
      </c>
      <c r="AY1288" s="1007" t="s">
        <v>221</v>
      </c>
      <c r="AZ1288" s="1007">
        <v>622</v>
      </c>
      <c r="BA1288" s="347" t="str">
        <f t="shared" si="262"/>
        <v>Bag</v>
      </c>
      <c r="BB1288" s="1008"/>
      <c r="BC1288" s="1009"/>
      <c r="BD1288" s="1009"/>
    </row>
    <row r="1289" spans="1:63" s="1010" customFormat="1" ht="36.75" customHeight="1">
      <c r="A1289" s="661">
        <f>SUBTOTAL(3,B$6:B1289)</f>
        <v>1284</v>
      </c>
      <c r="B1289" s="661" t="s">
        <v>3319</v>
      </c>
      <c r="C1289" s="662" t="s">
        <v>3320</v>
      </c>
      <c r="D1289" s="1011">
        <v>43563</v>
      </c>
      <c r="E1289" s="1011" t="s">
        <v>221</v>
      </c>
      <c r="F1289" s="787" t="s">
        <v>262</v>
      </c>
      <c r="G1289" s="996" t="s">
        <v>1338</v>
      </c>
      <c r="H1289" s="1012">
        <v>5931000</v>
      </c>
      <c r="I1289" s="1012">
        <v>600000</v>
      </c>
      <c r="J1289" s="1012">
        <v>298000</v>
      </c>
      <c r="K1289" s="1012">
        <v>0</v>
      </c>
      <c r="L1289" s="1013">
        <f t="shared" si="254"/>
        <v>6829000</v>
      </c>
      <c r="M1289" s="1014">
        <v>24</v>
      </c>
      <c r="N1289" s="1013">
        <f t="shared" si="255"/>
        <v>6303692</v>
      </c>
      <c r="O1289" s="1015">
        <v>2</v>
      </c>
      <c r="P1289" s="1013">
        <f t="shared" si="256"/>
        <v>525308</v>
      </c>
      <c r="Q1289" s="1016">
        <v>0</v>
      </c>
      <c r="R1289" s="1013">
        <f t="shared" si="257"/>
        <v>0</v>
      </c>
      <c r="S1289" s="1013">
        <f t="shared" si="258"/>
        <v>6829000</v>
      </c>
      <c r="T1289" s="1017">
        <v>0</v>
      </c>
      <c r="U1289" s="785">
        <v>0</v>
      </c>
      <c r="V1289" s="785">
        <v>200000</v>
      </c>
      <c r="W1289" s="1017">
        <v>500000</v>
      </c>
      <c r="X1289" s="1017">
        <v>0</v>
      </c>
      <c r="Y1289" s="1017">
        <v>400000</v>
      </c>
      <c r="Z1289" s="1017">
        <v>427281</v>
      </c>
      <c r="AA1289" s="1018"/>
      <c r="AB1289" s="1013"/>
      <c r="AC1289" s="1017">
        <v>0</v>
      </c>
      <c r="AD1289" s="1017">
        <v>0</v>
      </c>
      <c r="AE1289" s="1013">
        <v>0</v>
      </c>
      <c r="AF1289" s="1019"/>
      <c r="AG1289" s="1019">
        <f t="shared" si="259"/>
        <v>8356281</v>
      </c>
      <c r="AH1289" s="1014">
        <v>56</v>
      </c>
      <c r="AI1289" s="1014">
        <v>0</v>
      </c>
      <c r="AJ1289" s="1014">
        <v>0</v>
      </c>
      <c r="AK1289" s="1018">
        <v>0</v>
      </c>
      <c r="AL1289" s="1020">
        <v>0</v>
      </c>
      <c r="AM1289" s="1013">
        <f t="shared" si="263"/>
        <v>2757865</v>
      </c>
      <c r="AN1289" s="1045">
        <f t="shared" si="260"/>
        <v>11114146</v>
      </c>
      <c r="AO1289" s="1013">
        <v>717045</v>
      </c>
      <c r="AP1289" s="1013">
        <v>44100</v>
      </c>
      <c r="AQ1289" s="1013">
        <v>0</v>
      </c>
      <c r="AR1289" s="1013">
        <v>0</v>
      </c>
      <c r="AS1289" s="1013">
        <v>0</v>
      </c>
      <c r="AT1289" s="1045">
        <f t="shared" si="261"/>
        <v>10353001</v>
      </c>
      <c r="AU1289" s="1004"/>
      <c r="AV1289" s="870"/>
      <c r="AW1289" s="782" t="s">
        <v>5706</v>
      </c>
      <c r="AX1289" s="782" t="s">
        <v>5707</v>
      </c>
      <c r="AY1289" s="1007" t="s">
        <v>221</v>
      </c>
      <c r="AZ1289" s="1007">
        <v>622</v>
      </c>
      <c r="BA1289" s="347" t="str">
        <f t="shared" si="262"/>
        <v>Bag</v>
      </c>
      <c r="BB1289" s="1008"/>
      <c r="BC1289" s="1009"/>
      <c r="BD1289" s="1009"/>
    </row>
    <row r="1290" spans="1:63" s="1010" customFormat="1" ht="36.75" customHeight="1">
      <c r="A1290" s="661">
        <f>SUBTOTAL(3,B$6:B1290)</f>
        <v>1285</v>
      </c>
      <c r="B1290" s="661" t="s">
        <v>3321</v>
      </c>
      <c r="C1290" s="662" t="s">
        <v>3322</v>
      </c>
      <c r="D1290" s="1011">
        <v>43782</v>
      </c>
      <c r="E1290" s="1011" t="s">
        <v>221</v>
      </c>
      <c r="F1290" s="787" t="s">
        <v>262</v>
      </c>
      <c r="G1290" s="996" t="s">
        <v>1338</v>
      </c>
      <c r="H1290" s="1012">
        <v>5931000</v>
      </c>
      <c r="I1290" s="1012">
        <v>500000</v>
      </c>
      <c r="J1290" s="1012">
        <v>298000</v>
      </c>
      <c r="K1290" s="1012">
        <v>0</v>
      </c>
      <c r="L1290" s="1013">
        <f t="shared" si="254"/>
        <v>6729000</v>
      </c>
      <c r="M1290" s="1014">
        <v>23.7</v>
      </c>
      <c r="N1290" s="1013">
        <f t="shared" si="255"/>
        <v>6133742</v>
      </c>
      <c r="O1290" s="1015">
        <v>2</v>
      </c>
      <c r="P1290" s="1013">
        <f t="shared" si="256"/>
        <v>517615</v>
      </c>
      <c r="Q1290" s="1016">
        <v>0</v>
      </c>
      <c r="R1290" s="1013">
        <f t="shared" si="257"/>
        <v>0</v>
      </c>
      <c r="S1290" s="1013">
        <f t="shared" si="258"/>
        <v>6651357</v>
      </c>
      <c r="T1290" s="1017">
        <v>0</v>
      </c>
      <c r="U1290" s="785">
        <v>0</v>
      </c>
      <c r="V1290" s="785">
        <v>200000</v>
      </c>
      <c r="W1290" s="1017">
        <v>500000</v>
      </c>
      <c r="X1290" s="1017">
        <v>0</v>
      </c>
      <c r="Y1290" s="1017">
        <v>400000</v>
      </c>
      <c r="Z1290" s="1017">
        <v>421940</v>
      </c>
      <c r="AA1290" s="1018"/>
      <c r="AB1290" s="1013"/>
      <c r="AC1290" s="1017">
        <v>100000</v>
      </c>
      <c r="AD1290" s="1017">
        <v>0</v>
      </c>
      <c r="AE1290" s="1013">
        <v>0</v>
      </c>
      <c r="AF1290" s="1019"/>
      <c r="AG1290" s="1019">
        <f t="shared" si="259"/>
        <v>8273297</v>
      </c>
      <c r="AH1290" s="1014">
        <v>52</v>
      </c>
      <c r="AI1290" s="1014">
        <v>0</v>
      </c>
      <c r="AJ1290" s="1014">
        <v>0</v>
      </c>
      <c r="AK1290" s="1018">
        <v>0</v>
      </c>
      <c r="AL1290" s="1020">
        <v>0</v>
      </c>
      <c r="AM1290" s="1013">
        <f t="shared" si="263"/>
        <v>2523375</v>
      </c>
      <c r="AN1290" s="1045">
        <f t="shared" si="260"/>
        <v>10796672</v>
      </c>
      <c r="AO1290" s="1013">
        <v>706545</v>
      </c>
      <c r="AP1290" s="1013">
        <v>44100</v>
      </c>
      <c r="AQ1290" s="1013">
        <v>0</v>
      </c>
      <c r="AR1290" s="1013">
        <v>0</v>
      </c>
      <c r="AS1290" s="1013">
        <v>0</v>
      </c>
      <c r="AT1290" s="1045">
        <f t="shared" si="261"/>
        <v>10046027</v>
      </c>
      <c r="AU1290" s="1004"/>
      <c r="AV1290" s="870"/>
      <c r="AW1290" s="782" t="s">
        <v>5708</v>
      </c>
      <c r="AX1290" s="782" t="s">
        <v>5709</v>
      </c>
      <c r="AY1290" s="1007" t="s">
        <v>221</v>
      </c>
      <c r="AZ1290" s="1007">
        <v>622</v>
      </c>
      <c r="BA1290" s="347" t="str">
        <f t="shared" si="262"/>
        <v>Bag</v>
      </c>
      <c r="BB1290" s="1008"/>
      <c r="BC1290" s="1009"/>
      <c r="BD1290" s="1009"/>
    </row>
    <row r="1291" spans="1:63" s="1010" customFormat="1" ht="36.75" customHeight="1">
      <c r="A1291" s="661">
        <f>SUBTOTAL(3,B$6:B1291)</f>
        <v>1286</v>
      </c>
      <c r="B1291" s="661" t="s">
        <v>3323</v>
      </c>
      <c r="C1291" s="662" t="s">
        <v>3324</v>
      </c>
      <c r="D1291" s="1011">
        <v>43203</v>
      </c>
      <c r="E1291" s="1011" t="s">
        <v>221</v>
      </c>
      <c r="F1291" s="787" t="s">
        <v>262</v>
      </c>
      <c r="G1291" s="996" t="s">
        <v>1338</v>
      </c>
      <c r="H1291" s="1012">
        <v>5931000</v>
      </c>
      <c r="I1291" s="1012">
        <v>600000</v>
      </c>
      <c r="J1291" s="1012">
        <v>0</v>
      </c>
      <c r="K1291" s="1012">
        <v>0</v>
      </c>
      <c r="L1291" s="1013">
        <f t="shared" si="254"/>
        <v>6531000</v>
      </c>
      <c r="M1291" s="1014">
        <v>23.8</v>
      </c>
      <c r="N1291" s="1013">
        <f t="shared" si="255"/>
        <v>5978377</v>
      </c>
      <c r="O1291" s="1015">
        <v>2</v>
      </c>
      <c r="P1291" s="1013">
        <f t="shared" si="256"/>
        <v>502385</v>
      </c>
      <c r="Q1291" s="1016">
        <v>0</v>
      </c>
      <c r="R1291" s="1013">
        <f t="shared" si="257"/>
        <v>0</v>
      </c>
      <c r="S1291" s="1013">
        <f t="shared" si="258"/>
        <v>6480762</v>
      </c>
      <c r="T1291" s="1017">
        <v>0</v>
      </c>
      <c r="U1291" s="785">
        <v>0</v>
      </c>
      <c r="V1291" s="785">
        <v>200000</v>
      </c>
      <c r="W1291" s="1017">
        <v>500000</v>
      </c>
      <c r="X1291" s="1017">
        <v>0</v>
      </c>
      <c r="Y1291" s="1017">
        <v>400000</v>
      </c>
      <c r="Z1291" s="1017">
        <v>423720</v>
      </c>
      <c r="AA1291" s="1018"/>
      <c r="AB1291" s="1013"/>
      <c r="AC1291" s="1017">
        <v>0</v>
      </c>
      <c r="AD1291" s="1017">
        <v>0</v>
      </c>
      <c r="AE1291" s="1013">
        <v>0</v>
      </c>
      <c r="AF1291" s="1019"/>
      <c r="AG1291" s="1019">
        <f t="shared" si="259"/>
        <v>8004482</v>
      </c>
      <c r="AH1291" s="1014">
        <v>52</v>
      </c>
      <c r="AI1291" s="1014">
        <v>0</v>
      </c>
      <c r="AJ1291" s="1014">
        <v>0</v>
      </c>
      <c r="AK1291" s="1018">
        <v>0</v>
      </c>
      <c r="AL1291" s="1020">
        <v>0</v>
      </c>
      <c r="AM1291" s="1013">
        <f t="shared" si="263"/>
        <v>2449125</v>
      </c>
      <c r="AN1291" s="1045">
        <f t="shared" si="260"/>
        <v>10453607</v>
      </c>
      <c r="AO1291" s="1013">
        <v>685755</v>
      </c>
      <c r="AP1291" s="1013">
        <v>44100</v>
      </c>
      <c r="AQ1291" s="1013">
        <v>0</v>
      </c>
      <c r="AR1291" s="1013">
        <v>0</v>
      </c>
      <c r="AS1291" s="1013">
        <v>0</v>
      </c>
      <c r="AT1291" s="1045">
        <f t="shared" si="261"/>
        <v>9723752</v>
      </c>
      <c r="AU1291" s="1004"/>
      <c r="AV1291" s="870"/>
      <c r="AW1291" s="782" t="s">
        <v>5710</v>
      </c>
      <c r="AX1291" s="782" t="s">
        <v>5711</v>
      </c>
      <c r="AY1291" s="1007" t="s">
        <v>221</v>
      </c>
      <c r="AZ1291" s="1007">
        <v>622</v>
      </c>
      <c r="BA1291" s="347" t="str">
        <f t="shared" si="262"/>
        <v>Bag</v>
      </c>
      <c r="BB1291" s="1008"/>
      <c r="BC1291" s="1009"/>
      <c r="BD1291" s="1009"/>
    </row>
    <row r="1292" spans="1:63" s="784" customFormat="1" ht="36.75" customHeight="1">
      <c r="A1292" s="871"/>
      <c r="B1292" s="872" t="s">
        <v>281</v>
      </c>
      <c r="C1292" s="873"/>
      <c r="D1292" s="874"/>
      <c r="E1292" s="874"/>
      <c r="F1292" s="873"/>
      <c r="G1292" s="875"/>
      <c r="H1292" s="876">
        <f t="shared" ref="H1292:AT1292" si="264">SUBTOTAL(9,H6:H1291)</f>
        <v>8040239000</v>
      </c>
      <c r="I1292" s="876">
        <f t="shared" si="264"/>
        <v>1613374000</v>
      </c>
      <c r="J1292" s="876">
        <f t="shared" si="264"/>
        <v>59441000</v>
      </c>
      <c r="K1292" s="876">
        <f t="shared" si="264"/>
        <v>108121000</v>
      </c>
      <c r="L1292" s="877">
        <f t="shared" si="264"/>
        <v>9821175000</v>
      </c>
      <c r="M1292" s="878">
        <f t="shared" si="264"/>
        <v>28967.600000000006</v>
      </c>
      <c r="N1292" s="877">
        <f t="shared" si="264"/>
        <v>8563435282</v>
      </c>
      <c r="O1292" s="879">
        <f t="shared" si="264"/>
        <v>2981</v>
      </c>
      <c r="P1292" s="877">
        <f t="shared" si="264"/>
        <v>867626949</v>
      </c>
      <c r="Q1292" s="880">
        <f t="shared" si="264"/>
        <v>4497</v>
      </c>
      <c r="R1292" s="877">
        <f t="shared" si="264"/>
        <v>53777886</v>
      </c>
      <c r="S1292" s="877">
        <f t="shared" si="264"/>
        <v>9484840117</v>
      </c>
      <c r="T1292" s="881">
        <f t="shared" si="264"/>
        <v>56913652</v>
      </c>
      <c r="U1292" s="882">
        <f t="shared" si="264"/>
        <v>25779000</v>
      </c>
      <c r="V1292" s="882">
        <f t="shared" si="264"/>
        <v>231155000</v>
      </c>
      <c r="W1292" s="881">
        <f t="shared" si="264"/>
        <v>493890000</v>
      </c>
      <c r="X1292" s="881">
        <f t="shared" si="264"/>
        <v>8492000</v>
      </c>
      <c r="Y1292" s="881">
        <f t="shared" si="264"/>
        <v>399671000</v>
      </c>
      <c r="Z1292" s="881">
        <f t="shared" si="264"/>
        <v>474450374</v>
      </c>
      <c r="AA1292" s="885">
        <f t="shared" si="264"/>
        <v>0</v>
      </c>
      <c r="AB1292" s="877">
        <f t="shared" si="264"/>
        <v>0</v>
      </c>
      <c r="AC1292" s="881">
        <f t="shared" si="264"/>
        <v>27300000</v>
      </c>
      <c r="AD1292" s="881">
        <f t="shared" si="264"/>
        <v>5198981</v>
      </c>
      <c r="AE1292" s="877">
        <f t="shared" si="264"/>
        <v>36848639.323890999</v>
      </c>
      <c r="AF1292" s="883">
        <f t="shared" si="264"/>
        <v>0</v>
      </c>
      <c r="AG1292" s="883">
        <f t="shared" si="264"/>
        <v>11244538840</v>
      </c>
      <c r="AH1292" s="878">
        <f t="shared" si="264"/>
        <v>46478.5</v>
      </c>
      <c r="AI1292" s="878">
        <f t="shared" si="264"/>
        <v>568</v>
      </c>
      <c r="AJ1292" s="878">
        <f t="shared" si="264"/>
        <v>423</v>
      </c>
      <c r="AK1292" s="885">
        <f t="shared" si="264"/>
        <v>0</v>
      </c>
      <c r="AL1292" s="969">
        <f t="shared" si="264"/>
        <v>136</v>
      </c>
      <c r="AM1292" s="877">
        <f t="shared" si="264"/>
        <v>2398260244</v>
      </c>
      <c r="AN1292" s="883">
        <f t="shared" si="264"/>
        <v>13642799084</v>
      </c>
      <c r="AO1292" s="881">
        <f t="shared" si="264"/>
        <v>984662257</v>
      </c>
      <c r="AP1292" s="881">
        <f t="shared" si="264"/>
        <v>52434900</v>
      </c>
      <c r="AQ1292" s="881">
        <f t="shared" si="264"/>
        <v>15709951</v>
      </c>
      <c r="AR1292" s="877">
        <f t="shared" si="264"/>
        <v>568500</v>
      </c>
      <c r="AS1292" s="877">
        <f t="shared" si="264"/>
        <v>3199861</v>
      </c>
      <c r="AT1292" s="877">
        <f t="shared" si="264"/>
        <v>12586223615</v>
      </c>
      <c r="AU1292" s="877"/>
      <c r="AV1292" s="870"/>
      <c r="AW1292" s="884"/>
      <c r="AX1292" s="782"/>
      <c r="AY1292" s="783"/>
      <c r="AZ1292" s="783"/>
      <c r="BA1292" s="782"/>
      <c r="BB1292" s="1008" t="s">
        <v>281</v>
      </c>
      <c r="BC1292" s="877">
        <f>SUBTOTAL(9,BC6:BC1291)</f>
        <v>0</v>
      </c>
      <c r="BD1292" s="877">
        <f>SUBTOTAL(9,BD6:BD1291)</f>
        <v>0</v>
      </c>
      <c r="BF1292" s="784" t="s">
        <v>721</v>
      </c>
      <c r="BG1292" s="784" t="s">
        <v>717</v>
      </c>
      <c r="BI1292" s="784" t="s">
        <v>221</v>
      </c>
      <c r="BJ1292" s="784" t="s">
        <v>732</v>
      </c>
      <c r="BK1292" s="784" t="s">
        <v>731</v>
      </c>
    </row>
    <row r="1293" spans="1:63" s="175" customFormat="1" ht="27" customHeight="1">
      <c r="D1293" s="176"/>
      <c r="E1293" s="176"/>
      <c r="F1293" s="176"/>
      <c r="G1293" s="176"/>
      <c r="H1293" s="177"/>
      <c r="I1293" s="177"/>
      <c r="J1293" s="177"/>
      <c r="K1293" s="177"/>
      <c r="L1293" s="177"/>
      <c r="M1293" s="3"/>
      <c r="N1293" s="348"/>
      <c r="O1293" s="348"/>
      <c r="P1293" s="348"/>
      <c r="Q1293" s="348"/>
      <c r="R1293" s="177"/>
      <c r="S1293" s="177"/>
      <c r="T1293" s="177"/>
      <c r="U1293" s="177"/>
      <c r="V1293" s="177"/>
      <c r="W1293" s="177"/>
      <c r="X1293" s="177"/>
      <c r="Y1293" s="1381"/>
      <c r="Z1293" s="1381"/>
      <c r="AA1293" s="1381"/>
      <c r="AB1293" s="1381"/>
      <c r="AC1293" s="1381"/>
      <c r="AD1293" s="177"/>
      <c r="AE1293" s="177"/>
      <c r="AF1293" s="982"/>
      <c r="AG1293" s="181"/>
      <c r="AH1293" s="182"/>
      <c r="AI1293" s="183"/>
      <c r="AJ1293" s="180"/>
      <c r="AK1293" s="180"/>
      <c r="AL1293" s="180"/>
      <c r="AM1293" s="181"/>
      <c r="AN1293" s="342"/>
      <c r="AO1293" s="606"/>
      <c r="AP1293" s="181"/>
      <c r="AQ1293" s="181"/>
      <c r="AR1293" s="769"/>
      <c r="AS1293" s="769"/>
      <c r="AT1293" s="348"/>
      <c r="AU1293" s="348"/>
      <c r="AV1293" s="870"/>
      <c r="AW1293" s="322"/>
      <c r="AX1293" s="320"/>
      <c r="AY1293" s="320"/>
      <c r="AZ1293" s="317"/>
      <c r="BA1293" s="575" t="s">
        <v>327</v>
      </c>
      <c r="BB1293" s="350">
        <f>SUMIFS($AN$6:$AN$1291,$BA$6:$BA$1291,BA1293)</f>
        <v>3950409416</v>
      </c>
      <c r="BC1293" s="576">
        <f>COUNTIF($BA$6:$BA$1291,BA1293)</f>
        <v>405</v>
      </c>
      <c r="BD1293" s="350">
        <f>+BB1293</f>
        <v>3950409416</v>
      </c>
      <c r="BF1293" s="350">
        <f>SUMIFS($M$6:$M$1291,$BA$6:$BA$1291,$BA1293)*8+SUMIFS($AH$6:$AH$1291,$BA$6:$BA$1291,$BA1293)+SUMIFS($AI$6:$AI$1291,$BA$6:$BA$1291,$BA1293)+SUMIFS($AJ$6:$AJ$1291,$BA$6:$BA$1291,$BA1293)+SUMIFS($AK$6:$AK$1291,$BA$6:$BA$1291,$BA1293)+SUMIFS($AL$6:$AL$1291,$BA$6:$BA$1291,$BA1293)</f>
        <v>89358.299999999988</v>
      </c>
      <c r="BG1293" s="350">
        <f>+COUNTIF($BA$6:$BA$1291,BA1293)</f>
        <v>405</v>
      </c>
      <c r="BH1293" s="350">
        <f>+SUMIFS($AN$6:$AN$1291,$BA$6:$BA$1291,BA1293)</f>
        <v>3950409416</v>
      </c>
      <c r="BI1293" s="350">
        <f>+SUMIFS($AN$6:$AN$1291,$AY$6:$AY$1291,$BI$1292,$BA$6:$BA$1291,BA1293)</f>
        <v>0</v>
      </c>
      <c r="BJ1293" s="350">
        <f t="shared" ref="BJ1293:BJ1298" si="265">+COUNTIFS($AY$6:$AY$1291,$BI$1292,$BA$6:$BA$1291,BA1293)</f>
        <v>0</v>
      </c>
      <c r="BK1293" s="350">
        <f t="shared" ref="BK1293:BK1298" si="266">SUMIFS($M$6:$M$1291,$BA$6:$BA$1291,$BA1293,$AY$6:$AY$1291,$BI$1292)*8+SUMIFS($AH$6:$AH$1291,$BA$6:$BA$1291,$BA1293,$AY$6:$AY$1291,$BI$1292)+SUMIFS($AI$6:$AI$1291,$BA$6:$BA$1291,$BA1293,$AY$6:$AY$1291,$BI$1292)+SUMIFS($AJ$6:$AJ$1291,$BA$6:$BA$1291,$BA1293,$AY$6:$AY$1291,$BI$1292)+SUMIFS($AK$6:$AK$1291,$BA$6:$BA$1291,$BA1293,$AY$6:$AY$1291,$BI$1292)+SUMIFS($AL$6:$AL$1291,$BA$6:$BA$1291,$BA1293,$AY$6:$AY$1291,$BI$1292)</f>
        <v>0</v>
      </c>
    </row>
    <row r="1294" spans="1:63" s="175" customFormat="1" ht="27" customHeight="1">
      <c r="D1294" s="176"/>
      <c r="E1294" s="176"/>
      <c r="F1294" s="176"/>
      <c r="G1294" s="176"/>
      <c r="H1294" s="177"/>
      <c r="I1294" s="177"/>
      <c r="J1294" s="177"/>
      <c r="K1294" s="177"/>
      <c r="L1294" s="177"/>
      <c r="M1294" s="178"/>
      <c r="N1294" s="348"/>
      <c r="O1294" s="348"/>
      <c r="P1294" s="348"/>
      <c r="Q1294" s="550"/>
      <c r="R1294" s="177"/>
      <c r="S1294" s="177"/>
      <c r="T1294" s="177"/>
      <c r="U1294" s="177"/>
      <c r="V1294" s="177"/>
      <c r="W1294" s="177"/>
      <c r="X1294" s="177"/>
      <c r="Y1294" s="1381"/>
      <c r="Z1294" s="177"/>
      <c r="AA1294" s="769"/>
      <c r="AB1294" s="769"/>
      <c r="AC1294" s="177"/>
      <c r="AD1294" s="177"/>
      <c r="AE1294" s="177"/>
      <c r="AF1294" s="983"/>
      <c r="AG1294" s="181"/>
      <c r="AH1294" s="182"/>
      <c r="AI1294" s="183"/>
      <c r="AJ1294" s="180"/>
      <c r="AK1294" s="180"/>
      <c r="AL1294" s="180"/>
      <c r="AM1294" s="181"/>
      <c r="AN1294" s="342"/>
      <c r="AO1294" s="181"/>
      <c r="AP1294" s="185" t="str">
        <f>+'TOTAL(payment)'!K123</f>
        <v>Bình Phước, Ngày 30 tháng 04 năm 2025</v>
      </c>
      <c r="AQ1294" s="181"/>
      <c r="AR1294" s="769"/>
      <c r="AS1294" s="769"/>
      <c r="AT1294" s="348"/>
      <c r="AU1294" s="348"/>
      <c r="AV1294" s="870"/>
      <c r="AW1294" s="564"/>
      <c r="AX1294" s="577"/>
      <c r="AY1294" s="324"/>
      <c r="AZ1294" s="319"/>
      <c r="BA1294" s="350" t="s">
        <v>328</v>
      </c>
      <c r="BB1294" s="350">
        <f>SUMIFS($AN$6:$AN$1291,$BA$6:$BA$1291,BA1294)</f>
        <v>8140013939</v>
      </c>
      <c r="BC1294" s="576">
        <f>COUNTIF($BA$6:$BA$1291,BA1294)</f>
        <v>796</v>
      </c>
      <c r="BD1294" s="350">
        <f t="shared" ref="BD1294:BD1297" si="267">+BB1294</f>
        <v>8140013939</v>
      </c>
      <c r="BE1294" s="350"/>
      <c r="BF1294" s="350">
        <f>SUMIFS($M$6:$M$1291,$BA$6:$BA$1291,BA1294)*8+SUMIFS($AH$6:$AH$1291,$BA$6:$BA$1291,$BA1294)+SUMIFS($AI$6:$AI$1291,$BA$6:$BA$1291,$BA1294)+SUMIFS($AJ$6:$AJ$1291,$BA$6:$BA$1291,$BA1294)+SUMIFS($AK$6:$AK$1291,$BA$6:$BA$1291,$BA1294)+SUMIFS($AL$6:$AL$1291,$BA$6:$BA$1291,$BA1294)</f>
        <v>174054.29999999984</v>
      </c>
      <c r="BG1294" s="350">
        <f>+COUNTIF($BA$6:$BA$1291,BA1294)</f>
        <v>796</v>
      </c>
      <c r="BH1294" s="350">
        <f>+SUMIFS($AN$6:$AN$1291,$BA$6:$BA$1291,BA1294)</f>
        <v>8140013939</v>
      </c>
      <c r="BI1294" s="350">
        <f>+SUMIFS($AN$6:$AN$1291,$AY$6:$AY$1291,$BI$1292,$BA$6:$BA$1291,BA1294)</f>
        <v>5157232808</v>
      </c>
      <c r="BJ1294" s="350">
        <f t="shared" si="265"/>
        <v>473</v>
      </c>
      <c r="BK1294" s="350">
        <f t="shared" si="266"/>
        <v>106615.89999999992</v>
      </c>
    </row>
    <row r="1295" spans="1:63" s="175" customFormat="1" ht="33.75" customHeight="1">
      <c r="D1295" s="176"/>
      <c r="E1295" s="176"/>
      <c r="F1295" s="186" t="s">
        <v>35</v>
      </c>
      <c r="G1295" s="176"/>
      <c r="H1295" s="2"/>
      <c r="I1295" s="133"/>
      <c r="J1295" s="177"/>
      <c r="K1295" s="177"/>
      <c r="L1295" s="177"/>
      <c r="M1295" s="178"/>
      <c r="N1295" s="348"/>
      <c r="O1295" s="551"/>
      <c r="P1295" s="348"/>
      <c r="Q1295" s="550"/>
      <c r="R1295" s="177"/>
      <c r="S1295" s="177"/>
      <c r="T1295" s="177"/>
      <c r="U1295" s="177"/>
      <c r="V1295" s="177"/>
      <c r="W1295" s="177"/>
      <c r="X1295" s="187" t="s">
        <v>222</v>
      </c>
      <c r="Y1295" s="177"/>
      <c r="Z1295" s="177"/>
      <c r="AA1295" s="769"/>
      <c r="AB1295" s="177"/>
      <c r="AC1295" s="177"/>
      <c r="AD1295" s="177"/>
      <c r="AF1295" s="177"/>
      <c r="AG1295" s="181"/>
      <c r="AH1295" s="182"/>
      <c r="AI1295" s="183"/>
      <c r="AJ1295" s="180"/>
      <c r="AK1295" s="180"/>
      <c r="AL1295" s="180"/>
      <c r="AM1295" s="181"/>
      <c r="AN1295" s="181"/>
      <c r="AO1295" s="181"/>
      <c r="AP1295" s="185" t="s">
        <v>223</v>
      </c>
      <c r="AQ1295" s="181"/>
      <c r="AR1295" s="769"/>
      <c r="AS1295" s="769"/>
      <c r="AT1295" s="348"/>
      <c r="AV1295" s="870"/>
      <c r="AY1295" s="324"/>
      <c r="AZ1295" s="319"/>
      <c r="BA1295" s="350" t="s">
        <v>78</v>
      </c>
      <c r="BB1295" s="350">
        <f>SUMIFS($AN$6:$AN$1291,$BA$6:$BA$1291,BA1295)</f>
        <v>773244725</v>
      </c>
      <c r="BC1295" s="576">
        <f>COUNTIF($BA$6:$BA$1291,BA1295)</f>
        <v>27</v>
      </c>
      <c r="BD1295" s="350">
        <f t="shared" si="267"/>
        <v>773244725</v>
      </c>
      <c r="BE1295" s="350"/>
      <c r="BF1295" s="350">
        <f>SUMIFS($M$6:$M$1291,$BA$6:$BA$1291,BA1295)*8+SUMIFS($AH$6:$AH$1291,$BA$6:$BA$1291,$BA1295)+SUMIFS($AI$6:$AI$1291,$BA$6:$BA$1291,$BA1295)+SUMIFS($AJ$6:$AJ$1291,$BA$6:$BA$1291,$BA1295)+SUMIFS($AK$6:$AK$1291,$BA$6:$BA$1291,$BA1295)+SUMIFS($AL$6:$AL$1291,$BA$6:$BA$1291,$BA1295)</f>
        <v>5048.8</v>
      </c>
      <c r="BG1295" s="350">
        <f>+COUNTIF($BA$6:$BA$1291,BA1295)</f>
        <v>27</v>
      </c>
      <c r="BH1295" s="350">
        <f>+SUMIFS($AN$6:$AN$1291,$BA$6:$BA$1291,BA1295)</f>
        <v>773244725</v>
      </c>
      <c r="BI1295" s="350">
        <f>+SUMIFS($AN$6:$AN$1291,$AY$6:$AY$1291,$BI$1292,$BA$6:$BA$1291,BA1295)</f>
        <v>355316052</v>
      </c>
      <c r="BJ1295" s="350">
        <f t="shared" si="265"/>
        <v>12</v>
      </c>
      <c r="BK1295" s="350">
        <f t="shared" si="266"/>
        <v>2272.8000000000002</v>
      </c>
    </row>
    <row r="1296" spans="1:63" s="175" customFormat="1" ht="33.75" customHeight="1">
      <c r="D1296" s="176"/>
      <c r="E1296" s="176"/>
      <c r="F1296" s="186"/>
      <c r="G1296" s="176"/>
      <c r="H1296" s="2"/>
      <c r="I1296" s="133"/>
      <c r="J1296" s="177"/>
      <c r="K1296" s="177"/>
      <c r="L1296" s="177"/>
      <c r="M1296" s="178"/>
      <c r="N1296" s="348"/>
      <c r="O1296" s="551"/>
      <c r="P1296" s="348"/>
      <c r="Q1296" s="550"/>
      <c r="R1296" s="177"/>
      <c r="S1296" s="177"/>
      <c r="T1296" s="177"/>
      <c r="U1296" s="177"/>
      <c r="V1296" s="177"/>
      <c r="W1296" s="177"/>
      <c r="X1296" s="187"/>
      <c r="Y1296" s="177"/>
      <c r="Z1296" s="177"/>
      <c r="AA1296" s="769"/>
      <c r="AB1296" s="177"/>
      <c r="AC1296" s="177"/>
      <c r="AD1296" s="177"/>
      <c r="AF1296" s="177"/>
      <c r="AG1296" s="181"/>
      <c r="AH1296" s="182"/>
      <c r="AI1296" s="183"/>
      <c r="AJ1296" s="180"/>
      <c r="AK1296" s="180"/>
      <c r="AL1296" s="180"/>
      <c r="AM1296" s="181"/>
      <c r="AN1296" s="133"/>
      <c r="AO1296" s="133"/>
      <c r="AP1296" s="185"/>
      <c r="AQ1296" s="181"/>
      <c r="AR1296" s="769"/>
      <c r="AS1296" s="769"/>
      <c r="AT1296" s="348"/>
      <c r="AV1296" s="870"/>
      <c r="AY1296" s="324"/>
      <c r="AZ1296" s="319"/>
      <c r="BA1296" s="350" t="s">
        <v>1</v>
      </c>
      <c r="BB1296" s="350">
        <f>SUMIFS($AN$6:$AN$1291,$BA$6:$BA$1291,BA1296)</f>
        <v>613650690</v>
      </c>
      <c r="BC1296" s="576">
        <f>COUNTIF($BA$6:$BA$1291,BA1296)</f>
        <v>42</v>
      </c>
      <c r="BD1296" s="350">
        <f t="shared" ref="BD1296" si="268">+BB1296</f>
        <v>613650690</v>
      </c>
      <c r="BE1296" s="350"/>
      <c r="BF1296" s="350">
        <f>SUMIFS($M$6:$M$1291,$BA$6:$BA$1291,BA1296)*8+SUMIFS($AH$6:$AH$1291,$BA$6:$BA$1291,$BA1296)+SUMIFS($AI$6:$AI$1291,$BA$6:$BA$1291,$BA1296)+SUMIFS($AJ$6:$AJ$1291,$BA$6:$BA$1291,$BA1296)+SUMIFS($AK$6:$AK$1291,$BA$6:$BA$1291,$BA1296)+SUMIFS($AL$6:$AL$1291,$BA$6:$BA$1291,$BA1296)</f>
        <v>7548.7</v>
      </c>
      <c r="BG1296" s="350">
        <f>+COUNTIF($BA$6:$BA$1291,BA1296)</f>
        <v>42</v>
      </c>
      <c r="BH1296" s="350">
        <f>+SUMIFS($AN$6:$AN$1291,$BA$6:$BA$1291,BA1296)</f>
        <v>613650690</v>
      </c>
      <c r="BI1296" s="350">
        <f>+SUMIFS($AN$6:$AN$1291,$AY$6:$AY$1291,$BI$1292,$BA$6:$BA$1291,BA1296)</f>
        <v>209483703</v>
      </c>
      <c r="BJ1296" s="350">
        <f t="shared" si="265"/>
        <v>15</v>
      </c>
      <c r="BK1296" s="350">
        <f t="shared" si="266"/>
        <v>2720.7999999999997</v>
      </c>
    </row>
    <row r="1297" spans="1:75" s="175" customFormat="1" ht="32.25" customHeight="1">
      <c r="D1297" s="176"/>
      <c r="E1297" s="176"/>
      <c r="F1297" s="186"/>
      <c r="G1297" s="176"/>
      <c r="H1297" s="2"/>
      <c r="I1297" s="133"/>
      <c r="J1297" s="177"/>
      <c r="K1297" s="177"/>
      <c r="L1297" s="177"/>
      <c r="M1297" s="178"/>
      <c r="N1297" s="177"/>
      <c r="O1297" s="179"/>
      <c r="P1297" s="177"/>
      <c r="Q1297" s="180"/>
      <c r="R1297" s="177"/>
      <c r="S1297" s="177"/>
      <c r="T1297" s="177"/>
      <c r="U1297" s="177"/>
      <c r="V1297" s="177"/>
      <c r="W1297" s="177"/>
      <c r="X1297" s="187"/>
      <c r="Y1297" s="177"/>
      <c r="Z1297" s="177"/>
      <c r="AA1297" s="769"/>
      <c r="AB1297" s="264"/>
      <c r="AC1297" s="177"/>
      <c r="AD1297" s="177"/>
      <c r="AF1297" s="177"/>
      <c r="AG1297" s="181"/>
      <c r="AH1297" s="182"/>
      <c r="AI1297" s="183"/>
      <c r="AJ1297" s="180"/>
      <c r="AK1297" s="180"/>
      <c r="AL1297" s="180"/>
      <c r="AM1297" s="133"/>
      <c r="AN1297" s="133"/>
      <c r="AO1297" s="133"/>
      <c r="AP1297" s="133"/>
      <c r="AQ1297" s="181"/>
      <c r="AR1297" s="769"/>
      <c r="AS1297" s="769"/>
      <c r="AT1297" s="348"/>
      <c r="AV1297" s="870"/>
      <c r="AY1297" s="324"/>
      <c r="AZ1297" s="319"/>
      <c r="BA1297" s="350" t="s">
        <v>671</v>
      </c>
      <c r="BB1297" s="350">
        <f>SUMIFS($AN$6:$AN$1291,$BA$6:$BA$1291,BA1297)</f>
        <v>165480314</v>
      </c>
      <c r="BC1297" s="576">
        <f>COUNTIF($BA$6:$BA$1291,BA1297)</f>
        <v>16</v>
      </c>
      <c r="BD1297" s="350">
        <f t="shared" si="267"/>
        <v>165480314</v>
      </c>
      <c r="BE1297" s="350"/>
      <c r="BF1297" s="350">
        <f>SUMIFS($M$6:$M$1291,$BA$6:$BA$1291,BA1297)*8+SUMIFS($AH$6:$AH$1291,$BA$6:$BA$1291,$BA1297)+SUMIFS($AI$6:$AI$1291,$BA$6:$BA$1291,$BA1297)+SUMIFS($AJ$6:$AJ$1291,$BA$6:$BA$1291,$BA1297)+SUMIFS($AK$6:$AK$1291,$BA$6:$BA$1291,$BA1297)+SUMIFS($AL$6:$AL$1291,$BA$6:$BA$1291,$BA1297)</f>
        <v>3336.2</v>
      </c>
      <c r="BG1297" s="350">
        <f>+COUNTIF($BA$6:$BA$1291,BA1297)</f>
        <v>16</v>
      </c>
      <c r="BH1297" s="350">
        <f>+SUMIFS($AN$6:$AN$1291,$BA$6:$BA$1291,BA1297)</f>
        <v>165480314</v>
      </c>
      <c r="BI1297" s="350"/>
      <c r="BJ1297" s="350">
        <f t="shared" si="265"/>
        <v>0</v>
      </c>
      <c r="BK1297" s="350">
        <f t="shared" si="266"/>
        <v>0</v>
      </c>
    </row>
    <row r="1298" spans="1:75" s="175" customFormat="1" ht="39.75" customHeight="1">
      <c r="D1298" s="176"/>
      <c r="E1298" s="176"/>
      <c r="F1298" s="186"/>
      <c r="G1298" s="176"/>
      <c r="H1298" s="2"/>
      <c r="I1298" s="133"/>
      <c r="J1298" s="177"/>
      <c r="K1298" s="177"/>
      <c r="L1298" s="177"/>
      <c r="M1298" s="178"/>
      <c r="N1298" s="177"/>
      <c r="O1298" s="179"/>
      <c r="P1298" s="177"/>
      <c r="Q1298" s="180"/>
      <c r="R1298" s="177"/>
      <c r="S1298" s="177"/>
      <c r="T1298" s="177"/>
      <c r="U1298" s="177"/>
      <c r="V1298" s="177"/>
      <c r="W1298" s="177"/>
      <c r="X1298" s="187"/>
      <c r="Y1298" s="177"/>
      <c r="Z1298" s="177"/>
      <c r="AA1298" s="769"/>
      <c r="AB1298" s="769"/>
      <c r="AC1298" s="177"/>
      <c r="AD1298" s="177"/>
      <c r="AF1298" s="177"/>
      <c r="AG1298" s="181"/>
      <c r="AH1298" s="182"/>
      <c r="AI1298" s="183"/>
      <c r="AJ1298" s="180"/>
      <c r="AK1298" s="180"/>
      <c r="AL1298" s="180"/>
      <c r="AM1298" s="133"/>
      <c r="AN1298" s="133"/>
      <c r="AO1298" s="133"/>
      <c r="AP1298" s="133"/>
      <c r="AQ1298" s="181"/>
      <c r="AR1298" s="769"/>
      <c r="AS1298" s="769"/>
      <c r="AT1298" s="348"/>
      <c r="AV1298" s="870"/>
      <c r="AY1298" s="320"/>
      <c r="AZ1298" s="317"/>
      <c r="BA1298" s="175">
        <f>579+54</f>
        <v>633</v>
      </c>
      <c r="BB1298" s="350">
        <f>SUM(BB1293:BB1297)</f>
        <v>13642799084</v>
      </c>
      <c r="BC1298" s="350">
        <f>SUM(BC1293:BC1297)</f>
        <v>1286</v>
      </c>
      <c r="BF1298" s="350">
        <f>SUM(BF1293:BF1297)</f>
        <v>279346.29999999987</v>
      </c>
      <c r="BG1298" s="350">
        <f t="shared" ref="BG1298:BH1298" si="269">SUM(BG1293:BG1297)</f>
        <v>1286</v>
      </c>
      <c r="BH1298" s="350">
        <f t="shared" si="269"/>
        <v>13642799084</v>
      </c>
      <c r="BI1298" s="350"/>
      <c r="BJ1298" s="350">
        <f t="shared" si="265"/>
        <v>0</v>
      </c>
      <c r="BK1298" s="350">
        <f t="shared" si="266"/>
        <v>0</v>
      </c>
    </row>
    <row r="1299" spans="1:75" s="175" customFormat="1" ht="39.75" customHeight="1">
      <c r="D1299" s="176"/>
      <c r="E1299" s="176"/>
      <c r="F1299" s="186"/>
      <c r="G1299" s="176"/>
      <c r="H1299" s="3"/>
      <c r="I1299" s="747"/>
      <c r="J1299" s="133"/>
      <c r="K1299" s="177"/>
      <c r="L1299" s="177"/>
      <c r="M1299" s="178"/>
      <c r="N1299" s="177"/>
      <c r="O1299" s="179"/>
      <c r="P1299" s="177"/>
      <c r="Q1299" s="180"/>
      <c r="R1299" s="177"/>
      <c r="S1299" s="177"/>
      <c r="T1299" s="177"/>
      <c r="U1299" s="177"/>
      <c r="V1299" s="177"/>
      <c r="W1299" s="177"/>
      <c r="X1299" s="187"/>
      <c r="Y1299" s="177"/>
      <c r="Z1299" s="177"/>
      <c r="AA1299" s="769"/>
      <c r="AB1299" s="177"/>
      <c r="AC1299" s="177"/>
      <c r="AD1299" s="177"/>
      <c r="AF1299" s="177"/>
      <c r="AG1299" s="181"/>
      <c r="AH1299" s="182"/>
      <c r="AI1299" s="183"/>
      <c r="AJ1299" s="180"/>
      <c r="AK1299" s="180"/>
      <c r="AL1299" s="180"/>
      <c r="AM1299" s="133"/>
      <c r="AN1299" s="133"/>
      <c r="AO1299" s="133"/>
      <c r="AP1299" s="133"/>
      <c r="AQ1299" s="181"/>
      <c r="AR1299" s="769"/>
      <c r="AS1299" s="769"/>
      <c r="AT1299" s="348"/>
      <c r="AU1299" s="348"/>
      <c r="AV1299" s="870"/>
      <c r="AW1299" s="317"/>
      <c r="AX1299" s="320"/>
      <c r="BB1299" s="350">
        <f>+BB1298-AN1292</f>
        <v>0</v>
      </c>
      <c r="BC1299" s="350"/>
      <c r="BF1299" s="350">
        <f>+M1292*8+AH1292+AI1292+AJ1292+AK1292+AL1292</f>
        <v>279346.30000000005</v>
      </c>
      <c r="BG1299" s="350"/>
      <c r="BH1299" s="350">
        <f>+AN1292-BH1298</f>
        <v>0</v>
      </c>
    </row>
    <row r="1300" spans="1:75" s="175" customFormat="1" ht="29.25" customHeight="1">
      <c r="D1300" s="176"/>
      <c r="E1300" s="176"/>
      <c r="F1300" s="186"/>
      <c r="G1300" s="176"/>
      <c r="H1300" s="3"/>
      <c r="I1300" s="748"/>
      <c r="J1300" s="133"/>
      <c r="K1300" s="177"/>
      <c r="L1300" s="177"/>
      <c r="M1300" s="178"/>
      <c r="N1300" s="177"/>
      <c r="O1300" s="179"/>
      <c r="P1300" s="177"/>
      <c r="Q1300" s="180"/>
      <c r="R1300" s="177"/>
      <c r="S1300" s="177"/>
      <c r="T1300" s="177"/>
      <c r="U1300" s="177"/>
      <c r="V1300" s="177"/>
      <c r="W1300" s="177"/>
      <c r="X1300" s="187"/>
      <c r="Y1300" s="177"/>
      <c r="Z1300" s="177"/>
      <c r="AA1300" s="769"/>
      <c r="AB1300" s="177"/>
      <c r="AC1300" s="177"/>
      <c r="AD1300" s="177"/>
      <c r="AF1300" s="177"/>
      <c r="AG1300" s="181"/>
      <c r="AH1300" s="182"/>
      <c r="AI1300" s="183"/>
      <c r="AJ1300" s="180"/>
      <c r="AK1300" s="180"/>
      <c r="AL1300" s="180"/>
      <c r="AM1300" s="133"/>
      <c r="AN1300" s="133"/>
      <c r="AO1300" s="133"/>
      <c r="AP1300" s="133"/>
      <c r="AQ1300" s="181"/>
      <c r="AR1300" s="769"/>
      <c r="AS1300" s="769"/>
      <c r="AT1300" s="348"/>
      <c r="AU1300" s="348"/>
      <c r="AV1300" s="870"/>
      <c r="AW1300" s="317"/>
      <c r="AX1300" s="320"/>
      <c r="BE1300" s="350"/>
      <c r="BF1300" s="350">
        <f>+BF1299-BF1298</f>
        <v>0</v>
      </c>
      <c r="BG1300" s="350"/>
      <c r="BH1300" s="350"/>
      <c r="BI1300" s="350"/>
    </row>
    <row r="1301" spans="1:75" s="175" customFormat="1" ht="23.25" customHeight="1">
      <c r="D1301" s="176"/>
      <c r="E1301" s="176"/>
      <c r="F1301" s="186"/>
      <c r="G1301" s="176"/>
      <c r="H1301" s="3"/>
      <c r="I1301" s="133"/>
      <c r="J1301" s="133"/>
      <c r="K1301" s="177"/>
      <c r="L1301" s="177"/>
      <c r="M1301" s="178"/>
      <c r="N1301" s="177"/>
      <c r="O1301" s="179"/>
      <c r="P1301" s="177"/>
      <c r="Q1301" s="180"/>
      <c r="R1301" s="177"/>
      <c r="S1301" s="177"/>
      <c r="T1301" s="177"/>
      <c r="U1301" s="177"/>
      <c r="V1301" s="177"/>
      <c r="W1301" s="177"/>
      <c r="X1301" s="187"/>
      <c r="Y1301" s="177"/>
      <c r="Z1301" s="177"/>
      <c r="AA1301" s="769"/>
      <c r="AB1301" s="177"/>
      <c r="AC1301" s="177"/>
      <c r="AD1301" s="177"/>
      <c r="AF1301" s="177"/>
      <c r="AG1301" s="181"/>
      <c r="AH1301" s="182"/>
      <c r="AI1301" s="183"/>
      <c r="AJ1301" s="180"/>
      <c r="AK1301" s="180"/>
      <c r="AL1301" s="180"/>
      <c r="AM1301" s="3"/>
      <c r="AN1301" s="181"/>
      <c r="AO1301" s="181"/>
      <c r="AP1301" s="185"/>
      <c r="AQ1301" s="181"/>
      <c r="AR1301" s="769"/>
      <c r="AS1301" s="769"/>
      <c r="AT1301" s="264"/>
      <c r="AU1301" s="184"/>
      <c r="AV1301" s="870"/>
      <c r="AW1301" s="317"/>
      <c r="AX1301" s="320"/>
      <c r="BE1301" s="350"/>
      <c r="BF1301" s="320"/>
      <c r="BG1301" s="317"/>
      <c r="BI1301" s="350"/>
      <c r="BJ1301" s="319"/>
    </row>
    <row r="1302" spans="1:75" s="175" customFormat="1" ht="42.75" customHeight="1">
      <c r="D1302" s="176"/>
      <c r="E1302" s="176"/>
      <c r="F1302" s="186"/>
      <c r="G1302" s="176"/>
      <c r="H1302" s="3"/>
      <c r="I1302" s="133"/>
      <c r="J1302" s="133"/>
      <c r="K1302" s="177"/>
      <c r="L1302" s="177"/>
      <c r="M1302" s="178"/>
      <c r="N1302" s="177"/>
      <c r="O1302" s="179"/>
      <c r="P1302" s="177"/>
      <c r="Q1302" s="180"/>
      <c r="R1302" s="177"/>
      <c r="S1302" s="177"/>
      <c r="T1302" s="177"/>
      <c r="U1302" s="177"/>
      <c r="V1302" s="177"/>
      <c r="W1302" s="177"/>
      <c r="X1302" s="187"/>
      <c r="Y1302" s="177"/>
      <c r="Z1302" s="177"/>
      <c r="AA1302" s="769"/>
      <c r="AB1302" s="177"/>
      <c r="AC1302" s="177"/>
      <c r="AD1302" s="177"/>
      <c r="AF1302" s="177"/>
      <c r="AG1302" s="181"/>
      <c r="AH1302" s="182"/>
      <c r="AI1302" s="183"/>
      <c r="AJ1302" s="180"/>
      <c r="AK1302" s="180"/>
      <c r="AL1302" s="180"/>
      <c r="AM1302" s="3"/>
      <c r="AN1302" s="181"/>
      <c r="AO1302" s="181"/>
      <c r="AP1302" s="185"/>
      <c r="AQ1302" s="181"/>
      <c r="AR1302" s="769"/>
      <c r="AS1302" s="769"/>
      <c r="AU1302" s="184"/>
      <c r="AV1302" s="870"/>
      <c r="AW1302" s="317"/>
      <c r="AX1302" s="320"/>
      <c r="BE1302" s="350"/>
      <c r="BF1302" s="320"/>
      <c r="BG1302" s="1074" t="s">
        <v>719</v>
      </c>
      <c r="BH1302" s="1063" t="s">
        <v>721</v>
      </c>
      <c r="BI1302" s="1063" t="s">
        <v>717</v>
      </c>
      <c r="BJ1302" s="1063" t="s">
        <v>718</v>
      </c>
    </row>
    <row r="1303" spans="1:75" s="175" customFormat="1" ht="23.25" customHeight="1">
      <c r="D1303" s="176"/>
      <c r="E1303" s="176"/>
      <c r="F1303" s="188"/>
      <c r="G1303" s="176"/>
      <c r="H1303" s="3"/>
      <c r="I1303" s="133"/>
      <c r="J1303" s="133"/>
      <c r="K1303" s="177"/>
      <c r="L1303" s="177"/>
      <c r="M1303" s="178"/>
      <c r="N1303" s="177"/>
      <c r="O1303" s="179"/>
      <c r="P1303" s="177"/>
      <c r="Q1303" s="180"/>
      <c r="R1303" s="177"/>
      <c r="S1303" s="177"/>
      <c r="T1303" s="177"/>
      <c r="U1303" s="177"/>
      <c r="V1303" s="177"/>
      <c r="W1303" s="177"/>
      <c r="X1303" s="187"/>
      <c r="Y1303" s="177"/>
      <c r="Z1303" s="177"/>
      <c r="AA1303" s="769"/>
      <c r="AB1303" s="691"/>
      <c r="AC1303" s="691"/>
      <c r="AD1303" s="691"/>
      <c r="AE1303" s="239"/>
      <c r="AF1303" s="177"/>
      <c r="AG1303" s="181"/>
      <c r="AH1303" s="182"/>
      <c r="AI1303" s="183"/>
      <c r="AJ1303" s="180"/>
      <c r="AK1303" s="180"/>
      <c r="AL1303" s="180"/>
      <c r="AM1303" s="3"/>
      <c r="AN1303" s="181"/>
      <c r="AO1303" s="181"/>
      <c r="AP1303" s="185"/>
      <c r="AQ1303" s="181"/>
      <c r="AR1303" s="769"/>
      <c r="AS1303" s="769"/>
      <c r="AU1303" s="184"/>
      <c r="AV1303" s="870"/>
      <c r="AW1303" s="317"/>
      <c r="AX1303" s="320"/>
      <c r="BE1303" s="350"/>
      <c r="BF1303" s="320"/>
      <c r="BG1303" s="1074" t="s">
        <v>221</v>
      </c>
      <c r="BH1303" s="1064">
        <f>+BK1294</f>
        <v>106615.89999999992</v>
      </c>
      <c r="BI1303" s="1065">
        <f>+BJ1294</f>
        <v>473</v>
      </c>
      <c r="BJ1303" s="1066">
        <f>+BI1294</f>
        <v>5157232808</v>
      </c>
    </row>
    <row r="1304" spans="1:75" s="175" customFormat="1" ht="26.25" customHeight="1">
      <c r="D1304" s="176"/>
      <c r="E1304" s="176"/>
      <c r="F1304" s="188" t="s">
        <v>182</v>
      </c>
      <c r="G1304" s="176"/>
      <c r="H1304" s="3"/>
      <c r="I1304" s="133"/>
      <c r="J1304" s="133"/>
      <c r="K1304" s="177"/>
      <c r="L1304" s="177"/>
      <c r="M1304" s="178"/>
      <c r="N1304" s="177"/>
      <c r="O1304" s="179"/>
      <c r="P1304" s="177"/>
      <c r="Q1304" s="180"/>
      <c r="R1304" s="177"/>
      <c r="S1304" s="177"/>
      <c r="T1304" s="177"/>
      <c r="U1304" s="177"/>
      <c r="V1304" s="177"/>
      <c r="W1304" s="177"/>
      <c r="X1304" s="187" t="s">
        <v>161</v>
      </c>
      <c r="Y1304" s="177"/>
      <c r="Z1304" s="177"/>
      <c r="AA1304" s="769"/>
      <c r="AB1304" s="177"/>
      <c r="AC1304" s="177"/>
      <c r="AD1304" s="177"/>
      <c r="AE1304" s="651"/>
      <c r="AF1304" s="177"/>
      <c r="AG1304" s="181"/>
      <c r="AH1304" s="182"/>
      <c r="AI1304" s="183"/>
      <c r="AJ1304" s="180"/>
      <c r="AK1304" s="180"/>
      <c r="AL1304" s="180"/>
      <c r="AM1304" s="181"/>
      <c r="AN1304" s="181"/>
      <c r="AO1304" s="181"/>
      <c r="AP1304" s="189" t="s">
        <v>224</v>
      </c>
      <c r="AQ1304" s="189"/>
      <c r="AR1304" s="769"/>
      <c r="AS1304" s="769"/>
      <c r="AU1304" s="184"/>
      <c r="AV1304" s="870"/>
      <c r="AW1304" s="317"/>
      <c r="AX1304" s="320"/>
      <c r="BE1304" s="350"/>
      <c r="BF1304" s="320"/>
      <c r="BG1304" s="1074" t="s">
        <v>733</v>
      </c>
      <c r="BH1304" s="1064">
        <f>+(BF1293+BF1294)-BK1294</f>
        <v>156796.69999999995</v>
      </c>
      <c r="BI1304" s="1065">
        <f>+BG1293+BG1294-BJ1294</f>
        <v>728</v>
      </c>
      <c r="BJ1304" s="1066">
        <f>+BH1293+BH1294-BI1294</f>
        <v>6933190547</v>
      </c>
    </row>
    <row r="1305" spans="1:75" ht="23.25">
      <c r="C1305" s="103"/>
      <c r="F1305" s="105"/>
      <c r="G1305" s="105"/>
      <c r="I1305" s="749"/>
      <c r="J1305" s="133"/>
      <c r="K1305" s="120"/>
      <c r="L1305" s="120"/>
      <c r="M1305" s="3"/>
      <c r="O1305" s="3"/>
      <c r="Q1305" s="3"/>
      <c r="AB1305" s="177"/>
      <c r="AC1305" s="177"/>
      <c r="AD1305" s="177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T1305" s="3"/>
      <c r="AU1305" s="76"/>
      <c r="AV1305" s="870"/>
      <c r="BE1305" s="350"/>
      <c r="BF1305" s="320"/>
      <c r="BG1305" s="1074" t="s">
        <v>671</v>
      </c>
      <c r="BH1305" s="1064">
        <f>+BF1297</f>
        <v>3336.2</v>
      </c>
      <c r="BI1305" s="1065">
        <f>+BG1297</f>
        <v>16</v>
      </c>
      <c r="BJ1305" s="1066">
        <f>+BH1297</f>
        <v>165480314</v>
      </c>
      <c r="BK1305" s="175"/>
      <c r="BL1305" s="175"/>
      <c r="BM1305" s="175"/>
      <c r="BN1305" s="175"/>
      <c r="BO1305" s="175"/>
      <c r="BP1305" s="175"/>
      <c r="BQ1305" s="175"/>
      <c r="BR1305" s="175"/>
      <c r="BS1305" s="175"/>
      <c r="BT1305" s="175"/>
      <c r="BU1305" s="175"/>
      <c r="BV1305" s="175"/>
      <c r="BW1305" s="175"/>
    </row>
    <row r="1306" spans="1:75" ht="23.25">
      <c r="C1306" s="103"/>
      <c r="F1306" s="105"/>
      <c r="G1306" s="105"/>
      <c r="I1306" s="749"/>
      <c r="J1306" s="133"/>
      <c r="K1306" s="120"/>
      <c r="L1306" s="120"/>
      <c r="M1306" s="3"/>
      <c r="O1306" s="3"/>
      <c r="Q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T1306" s="3"/>
      <c r="AU1306" s="76"/>
      <c r="AV1306" s="870"/>
      <c r="BA1306" s="350"/>
      <c r="BB1306" s="350"/>
      <c r="BC1306" s="350"/>
      <c r="BD1306" s="350"/>
      <c r="BE1306" s="350"/>
      <c r="BF1306" s="320"/>
      <c r="BG1306" s="317"/>
      <c r="BH1306" s="350"/>
      <c r="BI1306" s="350">
        <f>SUM(BI1303:BI1305)</f>
        <v>1217</v>
      </c>
      <c r="BJ1306" s="350"/>
      <c r="BK1306" s="175"/>
      <c r="BL1306" s="175"/>
      <c r="BM1306" s="175"/>
      <c r="BN1306" s="175"/>
      <c r="BO1306" s="175"/>
      <c r="BP1306" s="175"/>
      <c r="BQ1306" s="175"/>
      <c r="BR1306" s="175"/>
      <c r="BS1306" s="175"/>
      <c r="BT1306" s="175"/>
      <c r="BU1306" s="175"/>
      <c r="BV1306" s="175"/>
      <c r="BW1306" s="175"/>
    </row>
    <row r="1307" spans="1:75" ht="31.5" customHeight="1">
      <c r="C1307" s="103"/>
      <c r="F1307" s="357"/>
      <c r="G1307" s="357"/>
      <c r="H1307" s="284"/>
      <c r="I1307" s="749"/>
      <c r="J1307" s="120"/>
      <c r="K1307" s="120"/>
      <c r="L1307" s="120"/>
      <c r="M1307" s="284"/>
      <c r="N1307" s="284"/>
      <c r="O1307" s="284"/>
      <c r="P1307" s="284"/>
      <c r="Q1307" s="284"/>
      <c r="R1307" s="284"/>
      <c r="S1307" s="284"/>
      <c r="T1307" s="284"/>
      <c r="U1307" s="284"/>
      <c r="V1307" s="284"/>
      <c r="W1307" s="284"/>
      <c r="X1307" s="284"/>
      <c r="Y1307" s="284"/>
      <c r="Z1307" s="284"/>
      <c r="AA1307" s="771"/>
      <c r="AB1307" s="284"/>
      <c r="AC1307" s="284"/>
      <c r="AD1307" s="1431"/>
      <c r="AE1307" s="1431"/>
      <c r="AF1307" s="344"/>
      <c r="AG1307" s="284"/>
      <c r="AH1307" s="284"/>
      <c r="AI1307" s="284"/>
      <c r="AJ1307" s="284"/>
      <c r="AK1307" s="284"/>
      <c r="AL1307" s="284"/>
      <c r="AM1307" s="284"/>
      <c r="AN1307" s="284"/>
      <c r="AO1307" s="284"/>
      <c r="AP1307" s="284"/>
      <c r="AQ1307" s="284"/>
      <c r="AR1307" s="771"/>
      <c r="AS1307" s="771"/>
      <c r="AT1307" s="284"/>
      <c r="AU1307" s="370"/>
      <c r="AV1307" s="870"/>
      <c r="BA1307" s="350"/>
      <c r="BB1307" s="350"/>
      <c r="BC1307" s="350"/>
      <c r="BD1307" s="350"/>
      <c r="BE1307" s="350"/>
      <c r="BF1307" s="320"/>
      <c r="BG1307" s="317"/>
      <c r="BH1307" s="350"/>
      <c r="BI1307" s="350"/>
      <c r="BJ1307" s="350"/>
      <c r="BK1307" s="350"/>
      <c r="BL1307" s="175"/>
      <c r="BM1307" s="175"/>
      <c r="BN1307" s="175"/>
      <c r="BO1307" s="175"/>
      <c r="BP1307" s="175"/>
      <c r="BQ1307" s="175"/>
      <c r="BR1307" s="175"/>
      <c r="BS1307" s="175"/>
      <c r="BT1307" s="175"/>
      <c r="BU1307" s="175"/>
      <c r="BV1307" s="175"/>
      <c r="BW1307" s="175"/>
    </row>
    <row r="1308" spans="1:75" ht="31.5" customHeight="1">
      <c r="C1308" s="103"/>
      <c r="F1308" s="357"/>
      <c r="G1308" s="357"/>
      <c r="H1308" s="284"/>
      <c r="I1308" s="749"/>
      <c r="J1308" s="120"/>
      <c r="K1308" s="120"/>
      <c r="L1308" s="120"/>
      <c r="M1308" s="284"/>
      <c r="N1308" s="284"/>
      <c r="O1308" s="284"/>
      <c r="P1308" s="284"/>
      <c r="Q1308" s="284"/>
      <c r="R1308" s="284"/>
      <c r="S1308" s="284"/>
      <c r="T1308" s="284"/>
      <c r="U1308" s="284"/>
      <c r="V1308" s="284"/>
      <c r="W1308" s="284"/>
      <c r="X1308" s="284"/>
      <c r="Y1308" s="284"/>
      <c r="Z1308" s="284"/>
      <c r="AA1308" s="771"/>
      <c r="AB1308" s="284"/>
      <c r="AC1308" s="284"/>
      <c r="AD1308" s="1431"/>
      <c r="AE1308" s="1431"/>
      <c r="AF1308" s="344"/>
      <c r="AG1308" s="284"/>
      <c r="AH1308" s="284"/>
      <c r="AI1308" s="284"/>
      <c r="AJ1308" s="284"/>
      <c r="AK1308" s="284"/>
      <c r="AL1308" s="284"/>
      <c r="AM1308" s="284"/>
      <c r="AN1308" s="284"/>
      <c r="AO1308" s="284"/>
      <c r="AP1308" s="284"/>
      <c r="AQ1308" s="284"/>
      <c r="AR1308" s="771"/>
      <c r="AS1308" s="771"/>
      <c r="AT1308" s="284"/>
      <c r="AU1308" s="370"/>
      <c r="AV1308" s="870"/>
      <c r="BA1308" s="350"/>
      <c r="BB1308" s="350"/>
      <c r="BC1308" s="350"/>
      <c r="BD1308" s="350"/>
      <c r="BE1308" s="350"/>
      <c r="BF1308" s="350"/>
      <c r="BL1308" s="175"/>
      <c r="BM1308" s="175"/>
      <c r="BN1308" s="175"/>
      <c r="BO1308" s="175"/>
      <c r="BP1308" s="175"/>
      <c r="BQ1308" s="175"/>
      <c r="BR1308" s="175"/>
      <c r="BS1308" s="175"/>
      <c r="BT1308" s="175"/>
      <c r="BU1308" s="175"/>
      <c r="BV1308" s="175"/>
      <c r="BW1308" s="175"/>
    </row>
    <row r="1309" spans="1:75" ht="31.5" customHeight="1">
      <c r="C1309" s="103"/>
      <c r="F1309" s="357"/>
      <c r="G1309" s="357"/>
      <c r="H1309" s="284"/>
      <c r="I1309" s="749"/>
      <c r="J1309" s="120"/>
      <c r="K1309" s="120"/>
      <c r="L1309" s="120"/>
      <c r="M1309" s="284"/>
      <c r="N1309" s="284"/>
      <c r="O1309" s="284"/>
      <c r="P1309" s="284"/>
      <c r="Q1309" s="284"/>
      <c r="R1309" s="284"/>
      <c r="S1309" s="284"/>
      <c r="T1309" s="284"/>
      <c r="U1309" s="284"/>
      <c r="V1309" s="284"/>
      <c r="W1309" s="284"/>
      <c r="X1309" s="284"/>
      <c r="Y1309" s="284"/>
      <c r="Z1309" s="284"/>
      <c r="AA1309" s="771"/>
      <c r="AB1309" s="289"/>
      <c r="AC1309" s="289"/>
      <c r="AD1309" s="1431"/>
      <c r="AE1309" s="1431"/>
      <c r="AF1309" s="344"/>
      <c r="AG1309" s="284"/>
      <c r="AH1309" s="284"/>
      <c r="AI1309" s="284"/>
      <c r="AJ1309" s="284"/>
      <c r="AK1309" s="284"/>
      <c r="AL1309" s="284"/>
      <c r="AM1309" s="284"/>
      <c r="AO1309" s="284"/>
      <c r="AP1309" s="358"/>
      <c r="AQ1309" s="359"/>
      <c r="AR1309" s="771"/>
      <c r="AS1309" s="771"/>
      <c r="AT1309" s="284"/>
      <c r="AU1309" s="370"/>
      <c r="AV1309" s="603"/>
      <c r="BA1309" s="350"/>
      <c r="BB1309" s="350"/>
      <c r="BC1309" s="350"/>
      <c r="BD1309" s="350"/>
      <c r="BE1309" s="350"/>
      <c r="BF1309" s="350"/>
      <c r="BL1309" s="175"/>
      <c r="BM1309" s="175"/>
      <c r="BN1309" s="175"/>
      <c r="BO1309" s="175"/>
      <c r="BP1309" s="175"/>
      <c r="BQ1309" s="175"/>
      <c r="BR1309" s="175"/>
      <c r="BS1309" s="175"/>
      <c r="BT1309" s="175"/>
      <c r="BU1309" s="175"/>
      <c r="BV1309" s="175"/>
      <c r="BW1309" s="175"/>
    </row>
    <row r="1310" spans="1:75" ht="31.5" customHeight="1">
      <c r="C1310" s="103"/>
      <c r="F1310" s="357"/>
      <c r="G1310" s="357"/>
      <c r="H1310" s="284"/>
      <c r="I1310" s="749"/>
      <c r="J1310" s="120"/>
      <c r="K1310" s="120"/>
      <c r="L1310" s="120"/>
      <c r="M1310" s="284"/>
      <c r="N1310" s="284"/>
      <c r="O1310" s="284"/>
      <c r="P1310" s="284"/>
      <c r="Q1310" s="284"/>
      <c r="R1310" s="284"/>
      <c r="S1310" s="284"/>
      <c r="T1310" s="284"/>
      <c r="U1310" s="284"/>
      <c r="V1310" s="284"/>
      <c r="W1310" s="284"/>
      <c r="X1310" s="284"/>
      <c r="Y1310" s="284"/>
      <c r="Z1310" s="284"/>
      <c r="AA1310" s="771"/>
      <c r="AB1310" s="289"/>
      <c r="AC1310" s="289"/>
      <c r="AD1310" s="1431"/>
      <c r="AE1310" s="1431"/>
      <c r="AF1310" s="344"/>
      <c r="AG1310" s="284"/>
      <c r="AH1310" s="284"/>
      <c r="AI1310" s="284"/>
      <c r="AJ1310" s="284"/>
      <c r="AK1310" s="284"/>
      <c r="AL1310" s="284"/>
      <c r="AM1310" s="284"/>
      <c r="AO1310" s="284"/>
      <c r="AP1310" s="360"/>
      <c r="AQ1310" s="361"/>
      <c r="AR1310" s="771"/>
      <c r="AS1310" s="771"/>
      <c r="AT1310" s="284"/>
      <c r="AU1310" s="370"/>
      <c r="AV1310" s="603"/>
      <c r="BA1310" s="350"/>
      <c r="BB1310" s="350"/>
      <c r="BC1310" s="350"/>
      <c r="BD1310" s="350"/>
      <c r="BE1310" s="350"/>
      <c r="BF1310" s="350"/>
      <c r="BL1310" s="175"/>
      <c r="BM1310" s="175"/>
      <c r="BN1310" s="175"/>
      <c r="BO1310" s="175"/>
      <c r="BP1310" s="175"/>
      <c r="BQ1310" s="175"/>
      <c r="BR1310" s="175"/>
      <c r="BS1310" s="175"/>
      <c r="BT1310" s="175"/>
      <c r="BU1310" s="175"/>
      <c r="BV1310" s="175"/>
      <c r="BW1310" s="175"/>
    </row>
    <row r="1311" spans="1:75" ht="31.5" customHeight="1">
      <c r="A1311" s="284"/>
      <c r="F1311" s="357"/>
      <c r="G1311" s="357"/>
      <c r="H1311" s="284"/>
      <c r="I1311" s="120"/>
      <c r="J1311" s="120"/>
      <c r="K1311" s="120"/>
      <c r="L1311" s="362"/>
      <c r="M1311" s="284"/>
      <c r="N1311" s="284"/>
      <c r="O1311" s="284"/>
      <c r="P1311" s="284"/>
      <c r="Q1311" s="284"/>
      <c r="R1311" s="284"/>
      <c r="S1311" s="284"/>
      <c r="T1311" s="284"/>
      <c r="U1311" s="284"/>
      <c r="V1311" s="284"/>
      <c r="W1311" s="284"/>
      <c r="X1311" s="284"/>
      <c r="Y1311" s="284"/>
      <c r="Z1311" s="284"/>
      <c r="AA1311" s="771"/>
      <c r="AB1311" s="289"/>
      <c r="AC1311" s="289"/>
      <c r="AD1311" s="1431"/>
      <c r="AE1311" s="1431"/>
      <c r="AF1311" s="345"/>
      <c r="AG1311" s="284"/>
      <c r="AH1311" s="284"/>
      <c r="AI1311" s="284"/>
      <c r="AJ1311" s="284"/>
      <c r="AK1311" s="284"/>
      <c r="AL1311" s="284"/>
      <c r="AM1311" s="284"/>
      <c r="AN1311" s="284"/>
      <c r="AO1311" s="284"/>
      <c r="AP1311" s="360"/>
      <c r="AQ1311" s="361"/>
      <c r="AR1311" s="771"/>
      <c r="AS1311" s="771"/>
      <c r="AT1311" s="284"/>
      <c r="AU1311" s="284"/>
      <c r="AV1311" s="603"/>
      <c r="BA1311" s="350"/>
      <c r="BB1311" s="350"/>
      <c r="BC1311" s="350"/>
      <c r="BD1311" s="350"/>
      <c r="BE1311" s="350"/>
      <c r="BF1311" s="350"/>
      <c r="BL1311" s="175"/>
      <c r="BM1311" s="175"/>
      <c r="BN1311" s="175"/>
      <c r="BO1311" s="175"/>
      <c r="BP1311" s="175"/>
      <c r="BQ1311" s="175"/>
      <c r="BR1311" s="175"/>
      <c r="BS1311" s="175"/>
      <c r="BT1311" s="175"/>
      <c r="BU1311" s="175"/>
      <c r="BV1311" s="175"/>
      <c r="BW1311" s="175"/>
    </row>
    <row r="1312" spans="1:75" ht="27" customHeight="1">
      <c r="A1312" s="363"/>
      <c r="F1312" s="357"/>
      <c r="G1312" s="357"/>
      <c r="H1312" s="284"/>
      <c r="I1312" s="120"/>
      <c r="J1312" s="120"/>
      <c r="K1312" s="120"/>
      <c r="L1312" s="362"/>
      <c r="M1312" s="284"/>
      <c r="N1312" s="284"/>
      <c r="O1312" s="284"/>
      <c r="P1312" s="362"/>
      <c r="Q1312" s="284"/>
      <c r="R1312" s="362"/>
      <c r="S1312" s="284"/>
      <c r="T1312" s="284"/>
      <c r="U1312" s="364"/>
      <c r="V1312" s="364"/>
      <c r="W1312" s="284"/>
      <c r="X1312" s="284"/>
      <c r="Y1312" s="284"/>
      <c r="Z1312" s="284"/>
      <c r="AA1312" s="771"/>
      <c r="AB1312" s="289"/>
      <c r="AC1312" s="289"/>
      <c r="AD1312" s="287"/>
      <c r="AE1312" s="284"/>
      <c r="AF1312" s="284"/>
      <c r="AG1312" s="284"/>
      <c r="AH1312" s="365"/>
      <c r="AI1312" s="366"/>
      <c r="AJ1312" s="363"/>
      <c r="AK1312" s="363"/>
      <c r="AL1312" s="363"/>
      <c r="AM1312" s="286"/>
      <c r="AN1312" s="286"/>
      <c r="AO1312" s="363"/>
      <c r="AP1312" s="360"/>
      <c r="AQ1312" s="361"/>
      <c r="AR1312" s="771"/>
      <c r="AS1312" s="771"/>
      <c r="AT1312" s="284"/>
      <c r="AU1312" s="371"/>
      <c r="AV1312" s="603"/>
      <c r="BA1312" s="350"/>
      <c r="BB1312" s="350"/>
      <c r="BC1312" s="350"/>
      <c r="BD1312" s="350"/>
      <c r="BE1312" s="350"/>
      <c r="BF1312" s="350"/>
      <c r="BL1312" s="175"/>
      <c r="BM1312" s="175"/>
      <c r="BN1312" s="175"/>
      <c r="BO1312" s="175"/>
      <c r="BP1312" s="175"/>
      <c r="BQ1312" s="175"/>
      <c r="BR1312" s="175"/>
      <c r="BS1312" s="175"/>
      <c r="BT1312" s="175"/>
      <c r="BU1312" s="175"/>
      <c r="BV1312" s="175"/>
      <c r="BW1312" s="175"/>
    </row>
    <row r="1313" spans="1:75" ht="27" customHeight="1">
      <c r="A1313" s="363"/>
      <c r="F1313" s="357"/>
      <c r="G1313" s="357"/>
      <c r="H1313" s="284"/>
      <c r="I1313" s="120"/>
      <c r="J1313" s="120"/>
      <c r="K1313" s="120"/>
      <c r="L1313" s="362"/>
      <c r="M1313" s="284"/>
      <c r="N1313" s="284"/>
      <c r="O1313" s="284"/>
      <c r="P1313" s="362"/>
      <c r="Q1313" s="284"/>
      <c r="R1313" s="362"/>
      <c r="S1313" s="284"/>
      <c r="T1313" s="284"/>
      <c r="U1313" s="357"/>
      <c r="V1313" s="357"/>
      <c r="W1313" s="284"/>
      <c r="X1313" s="284"/>
      <c r="Y1313" s="284"/>
      <c r="Z1313" s="284"/>
      <c r="AA1313" s="771"/>
      <c r="AB1313" s="289"/>
      <c r="AC1313" s="289"/>
      <c r="AD1313" s="287"/>
      <c r="AE1313" s="284"/>
      <c r="AF1313" s="284"/>
      <c r="AG1313" s="284"/>
      <c r="AH1313" s="365"/>
      <c r="AI1313" s="366"/>
      <c r="AJ1313" s="363"/>
      <c r="AK1313" s="363"/>
      <c r="AL1313" s="363"/>
      <c r="AM1313" s="286"/>
      <c r="AN1313" s="286"/>
      <c r="AO1313" s="363"/>
      <c r="AP1313" s="285"/>
      <c r="AQ1313" s="285"/>
      <c r="AR1313" s="771"/>
      <c r="AS1313" s="771"/>
      <c r="AT1313" s="284"/>
      <c r="AU1313" s="372"/>
      <c r="AV1313" s="604"/>
      <c r="BA1313" s="579"/>
      <c r="BB1313" s="579"/>
      <c r="BC1313" s="579"/>
      <c r="BL1313" s="175"/>
      <c r="BM1313" s="175"/>
      <c r="BN1313" s="175"/>
      <c r="BO1313" s="175"/>
      <c r="BP1313" s="175"/>
      <c r="BQ1313" s="175"/>
      <c r="BR1313" s="175"/>
      <c r="BS1313" s="175"/>
      <c r="BT1313" s="175"/>
      <c r="BU1313" s="175"/>
      <c r="BV1313" s="175"/>
      <c r="BW1313" s="175"/>
    </row>
    <row r="1314" spans="1:75" ht="27" customHeight="1">
      <c r="A1314" s="363"/>
      <c r="F1314" s="357"/>
      <c r="G1314" s="357"/>
      <c r="H1314" s="284"/>
      <c r="I1314" s="120"/>
      <c r="J1314" s="120"/>
      <c r="K1314" s="120"/>
      <c r="L1314" s="362"/>
      <c r="M1314" s="284"/>
      <c r="N1314" s="284"/>
      <c r="O1314" s="284"/>
      <c r="P1314" s="362"/>
      <c r="Q1314" s="284"/>
      <c r="R1314" s="362"/>
      <c r="S1314" s="284"/>
      <c r="T1314" s="284"/>
      <c r="U1314" s="357"/>
      <c r="V1314" s="357"/>
      <c r="W1314" s="284"/>
      <c r="X1314" s="284"/>
      <c r="Y1314" s="284"/>
      <c r="Z1314" s="284"/>
      <c r="AA1314" s="771"/>
      <c r="AB1314" s="289"/>
      <c r="AC1314" s="289"/>
      <c r="AD1314" s="287"/>
      <c r="AE1314" s="284"/>
      <c r="AF1314" s="284"/>
      <c r="AG1314" s="284"/>
      <c r="AH1314" s="365"/>
      <c r="AI1314" s="366"/>
      <c r="AJ1314" s="363"/>
      <c r="AK1314" s="363"/>
      <c r="AL1314" s="363"/>
      <c r="AM1314" s="286"/>
      <c r="AN1314" s="286"/>
      <c r="AO1314" s="363"/>
      <c r="AP1314" s="367"/>
      <c r="AQ1314" s="172"/>
      <c r="AR1314" s="771"/>
      <c r="AS1314" s="771"/>
      <c r="AT1314" s="284"/>
      <c r="AU1314" s="372"/>
      <c r="AV1314" s="604"/>
      <c r="BA1314" s="579"/>
      <c r="BB1314" s="579"/>
      <c r="BC1314" s="579"/>
      <c r="BL1314" s="175"/>
      <c r="BM1314" s="175"/>
      <c r="BN1314" s="175"/>
      <c r="BO1314" s="175"/>
      <c r="BP1314" s="175"/>
      <c r="BQ1314" s="175"/>
      <c r="BR1314" s="175"/>
      <c r="BS1314" s="175"/>
      <c r="BT1314" s="175"/>
      <c r="BU1314" s="175"/>
      <c r="BV1314" s="175"/>
      <c r="BW1314" s="175"/>
    </row>
    <row r="1315" spans="1:75" ht="27" customHeight="1">
      <c r="A1315" s="363"/>
      <c r="F1315" s="357"/>
      <c r="G1315" s="357"/>
      <c r="H1315" s="284"/>
      <c r="I1315" s="120"/>
      <c r="J1315" s="120"/>
      <c r="K1315" s="120"/>
      <c r="L1315" s="362"/>
      <c r="M1315" s="284"/>
      <c r="N1315" s="284"/>
      <c r="O1315" s="284"/>
      <c r="P1315" s="362"/>
      <c r="Q1315" s="284"/>
      <c r="R1315" s="362"/>
      <c r="S1315" s="284"/>
      <c r="T1315" s="284"/>
      <c r="U1315" s="357"/>
      <c r="V1315" s="357"/>
      <c r="W1315" s="284"/>
      <c r="X1315" s="284"/>
      <c r="Y1315" s="284"/>
      <c r="Z1315" s="284"/>
      <c r="AA1315" s="771"/>
      <c r="AB1315" s="289"/>
      <c r="AC1315" s="289"/>
      <c r="AD1315" s="288"/>
      <c r="AE1315" s="284"/>
      <c r="AF1315" s="284"/>
      <c r="AG1315" s="284"/>
      <c r="AH1315" s="365"/>
      <c r="AI1315" s="366"/>
      <c r="AJ1315" s="363"/>
      <c r="AK1315" s="363"/>
      <c r="AL1315" s="363"/>
      <c r="AM1315" s="286"/>
      <c r="AN1315" s="286"/>
      <c r="AO1315" s="363"/>
      <c r="AP1315" s="367"/>
      <c r="AQ1315" s="367"/>
      <c r="AT1315" s="284"/>
      <c r="AU1315" s="372"/>
      <c r="AV1315" s="604"/>
      <c r="BA1315" s="579"/>
      <c r="BB1315" s="579"/>
      <c r="BC1315" s="579"/>
      <c r="BL1315" s="175"/>
      <c r="BM1315" s="175"/>
      <c r="BN1315" s="175"/>
      <c r="BO1315" s="175"/>
      <c r="BP1315" s="175"/>
      <c r="BQ1315" s="175"/>
      <c r="BR1315" s="175"/>
      <c r="BS1315" s="175"/>
      <c r="BT1315" s="175"/>
      <c r="BU1315" s="175"/>
      <c r="BV1315" s="175"/>
      <c r="BW1315" s="175"/>
    </row>
    <row r="1316" spans="1:75" ht="27" customHeight="1">
      <c r="A1316" s="363"/>
      <c r="F1316" s="357"/>
      <c r="G1316" s="357"/>
      <c r="H1316" s="284"/>
      <c r="I1316" s="120"/>
      <c r="J1316" s="120"/>
      <c r="K1316" s="120"/>
      <c r="L1316" s="362"/>
      <c r="M1316" s="284"/>
      <c r="N1316" s="284"/>
      <c r="O1316" s="284"/>
      <c r="P1316" s="362"/>
      <c r="Q1316" s="284"/>
      <c r="R1316" s="362"/>
      <c r="S1316" s="284"/>
      <c r="T1316" s="284"/>
      <c r="U1316" s="357"/>
      <c r="V1316" s="357"/>
      <c r="W1316" s="284"/>
      <c r="X1316" s="284"/>
      <c r="Y1316" s="284"/>
      <c r="Z1316" s="284"/>
      <c r="AA1316" s="888"/>
      <c r="AB1316" s="357"/>
      <c r="AC1316" s="357"/>
      <c r="AD1316" s="284"/>
      <c r="AE1316" s="365"/>
      <c r="AF1316" s="365"/>
      <c r="AG1316" s="365"/>
      <c r="AH1316" s="365"/>
      <c r="AI1316" s="366"/>
      <c r="AJ1316" s="363"/>
      <c r="AK1316" s="363"/>
      <c r="AL1316" s="363"/>
      <c r="AM1316" s="286"/>
      <c r="AN1316" s="286"/>
      <c r="AO1316" s="363"/>
      <c r="AP1316" s="367"/>
      <c r="AQ1316" s="284"/>
      <c r="AR1316" s="772"/>
      <c r="AS1316" s="772"/>
      <c r="AT1316" s="284"/>
      <c r="AU1316" s="372"/>
      <c r="AV1316" s="604"/>
      <c r="BA1316" s="22"/>
      <c r="BB1316" s="320"/>
      <c r="BC1316" s="317"/>
      <c r="BL1316" s="175"/>
      <c r="BM1316" s="175"/>
      <c r="BN1316" s="175"/>
      <c r="BO1316" s="175"/>
      <c r="BP1316" s="175"/>
      <c r="BQ1316" s="175"/>
      <c r="BR1316" s="175"/>
      <c r="BS1316" s="175"/>
      <c r="BT1316" s="175"/>
      <c r="BU1316" s="175"/>
      <c r="BV1316" s="175"/>
      <c r="BW1316" s="175"/>
    </row>
    <row r="1317" spans="1:75" ht="27" customHeight="1">
      <c r="A1317" s="363"/>
      <c r="F1317" s="357"/>
      <c r="G1317" s="357"/>
      <c r="H1317" s="284"/>
      <c r="I1317" s="120"/>
      <c r="J1317" s="120"/>
      <c r="K1317" s="357"/>
      <c r="L1317" s="362"/>
      <c r="M1317" s="284"/>
      <c r="N1317" s="284"/>
      <c r="O1317" s="284"/>
      <c r="P1317" s="362"/>
      <c r="Q1317" s="284"/>
      <c r="R1317" s="362"/>
      <c r="S1317" s="284"/>
      <c r="T1317" s="284"/>
      <c r="U1317" s="357"/>
      <c r="V1317" s="357"/>
      <c r="W1317" s="284"/>
      <c r="X1317" s="284"/>
      <c r="Y1317" s="284"/>
      <c r="Z1317" s="284"/>
      <c r="AA1317" s="888"/>
      <c r="AB1317" s="357"/>
      <c r="AC1317" s="357"/>
      <c r="AD1317" s="284"/>
      <c r="AE1317" s="365"/>
      <c r="AF1317" s="365"/>
      <c r="AG1317" s="365"/>
      <c r="AH1317" s="365"/>
      <c r="AI1317" s="366"/>
      <c r="AJ1317" s="363"/>
      <c r="AK1317" s="363"/>
      <c r="AL1317" s="363"/>
      <c r="AM1317" s="286"/>
      <c r="AN1317" s="286"/>
      <c r="AO1317" s="363"/>
      <c r="AP1317" s="367"/>
      <c r="AQ1317" s="286"/>
      <c r="AT1317" s="284"/>
      <c r="AU1317" s="372"/>
      <c r="AV1317" s="604"/>
      <c r="BA1317" s="579"/>
      <c r="BB1317" s="579"/>
      <c r="BC1317" s="579"/>
      <c r="BL1317" s="175"/>
      <c r="BM1317" s="175"/>
      <c r="BN1317" s="175"/>
      <c r="BO1317" s="175"/>
      <c r="BP1317" s="175"/>
      <c r="BQ1317" s="175"/>
      <c r="BR1317" s="175"/>
      <c r="BS1317" s="175"/>
      <c r="BT1317" s="175"/>
      <c r="BU1317" s="175"/>
      <c r="BV1317" s="175"/>
      <c r="BW1317" s="175"/>
    </row>
    <row r="1318" spans="1:75" ht="27" customHeight="1">
      <c r="H1318" s="284"/>
      <c r="I1318" s="284"/>
      <c r="J1318" s="284"/>
      <c r="K1318" s="284"/>
      <c r="L1318" s="284"/>
      <c r="M1318" s="368"/>
      <c r="N1318" s="284"/>
      <c r="O1318" s="369"/>
      <c r="P1318" s="284"/>
      <c r="Q1318" s="362"/>
      <c r="R1318" s="284"/>
      <c r="S1318" s="284"/>
      <c r="T1318" s="284"/>
      <c r="U1318" s="284"/>
      <c r="V1318" s="284"/>
      <c r="W1318" s="284"/>
      <c r="X1318" s="284"/>
      <c r="Y1318" s="284"/>
      <c r="Z1318" s="284"/>
      <c r="AA1318" s="771"/>
      <c r="AB1318" s="284"/>
      <c r="AC1318" s="284"/>
      <c r="AD1318" s="284"/>
      <c r="AE1318" s="284"/>
      <c r="AF1318" s="284"/>
      <c r="AJ1318" s="362"/>
      <c r="AK1318" s="362"/>
      <c r="AL1318" s="362"/>
      <c r="AT1318" s="284"/>
      <c r="AU1318" s="372"/>
      <c r="BA1318" s="580"/>
      <c r="BB1318" s="580"/>
      <c r="BC1318" s="580"/>
      <c r="BL1318" s="175"/>
      <c r="BM1318" s="175"/>
      <c r="BN1318" s="175"/>
      <c r="BO1318" s="175"/>
      <c r="BP1318" s="175"/>
      <c r="BQ1318" s="175"/>
      <c r="BR1318" s="175"/>
      <c r="BS1318" s="175"/>
      <c r="BT1318" s="175"/>
      <c r="BU1318" s="175"/>
      <c r="BV1318" s="175"/>
      <c r="BW1318" s="175"/>
    </row>
    <row r="1319" spans="1:75" ht="23.25">
      <c r="H1319" s="284"/>
      <c r="I1319" s="284"/>
      <c r="J1319" s="284"/>
      <c r="K1319" s="284"/>
      <c r="L1319" s="284"/>
      <c r="M1319" s="368"/>
      <c r="N1319" s="284"/>
      <c r="O1319" s="369"/>
      <c r="P1319" s="284"/>
      <c r="Q1319" s="362"/>
      <c r="R1319" s="284"/>
      <c r="S1319" s="284"/>
      <c r="T1319" s="284"/>
      <c r="U1319" s="284"/>
      <c r="V1319" s="284"/>
      <c r="W1319" s="284"/>
      <c r="X1319" s="284"/>
      <c r="Y1319" s="284"/>
      <c r="Z1319" s="284"/>
      <c r="AA1319" s="771"/>
      <c r="AB1319" s="284"/>
      <c r="AC1319" s="284"/>
      <c r="AD1319" s="284"/>
      <c r="AE1319" s="284"/>
      <c r="AF1319" s="284"/>
      <c r="AJ1319" s="362"/>
      <c r="AK1319" s="362"/>
      <c r="AL1319" s="362"/>
      <c r="BA1319" s="580"/>
      <c r="BB1319" s="580"/>
      <c r="BC1319" s="580"/>
      <c r="BL1319" s="175"/>
      <c r="BM1319" s="175"/>
      <c r="BN1319" s="175"/>
      <c r="BO1319" s="175"/>
      <c r="BP1319" s="175"/>
      <c r="BQ1319" s="175"/>
      <c r="BR1319" s="175"/>
      <c r="BS1319" s="175"/>
      <c r="BT1319" s="175"/>
      <c r="BU1319" s="175"/>
      <c r="BV1319" s="175"/>
      <c r="BW1319" s="175"/>
    </row>
    <row r="1320" spans="1:75" ht="23.25">
      <c r="H1320" s="284"/>
      <c r="I1320" s="284"/>
      <c r="J1320" s="284"/>
      <c r="K1320" s="284"/>
      <c r="L1320" s="284"/>
      <c r="M1320" s="368"/>
      <c r="N1320" s="284"/>
      <c r="O1320" s="369"/>
      <c r="P1320" s="284"/>
      <c r="Q1320" s="362"/>
      <c r="R1320" s="284"/>
      <c r="S1320" s="284"/>
      <c r="T1320" s="284"/>
      <c r="U1320" s="284"/>
      <c r="V1320" s="284"/>
      <c r="W1320" s="284"/>
      <c r="X1320" s="284"/>
      <c r="Y1320" s="284"/>
      <c r="Z1320" s="284"/>
      <c r="AA1320" s="771"/>
      <c r="AB1320" s="284"/>
      <c r="AC1320" s="284"/>
      <c r="AD1320" s="284"/>
      <c r="AE1320" s="284"/>
      <c r="AF1320" s="284"/>
      <c r="AJ1320" s="362"/>
      <c r="AK1320" s="362"/>
      <c r="AL1320" s="362"/>
      <c r="BA1320" s="580"/>
      <c r="BB1320" s="580"/>
      <c r="BC1320" s="580"/>
      <c r="BL1320" s="175"/>
      <c r="BM1320" s="175"/>
      <c r="BN1320" s="175"/>
      <c r="BO1320" s="175"/>
      <c r="BP1320" s="175"/>
      <c r="BQ1320" s="175"/>
      <c r="BR1320" s="175"/>
      <c r="BS1320" s="175"/>
      <c r="BT1320" s="175"/>
      <c r="BU1320" s="175"/>
      <c r="BV1320" s="175"/>
      <c r="BW1320" s="175"/>
    </row>
    <row r="1321" spans="1:75" ht="23.25">
      <c r="H1321" s="284"/>
      <c r="I1321" s="284"/>
      <c r="J1321" s="284"/>
      <c r="K1321" s="284"/>
      <c r="L1321" s="284"/>
      <c r="M1321" s="368"/>
      <c r="N1321" s="284"/>
      <c r="O1321" s="369"/>
      <c r="P1321" s="284"/>
      <c r="Q1321" s="362"/>
      <c r="R1321" s="284"/>
      <c r="S1321" s="284"/>
      <c r="T1321" s="284"/>
      <c r="U1321" s="284"/>
      <c r="V1321" s="284"/>
      <c r="W1321" s="284"/>
      <c r="X1321" s="284"/>
      <c r="Y1321" s="284"/>
      <c r="Z1321" s="284"/>
      <c r="AA1321" s="771"/>
      <c r="AB1321" s="284"/>
      <c r="AC1321" s="284"/>
      <c r="AD1321" s="284"/>
      <c r="AE1321" s="284"/>
      <c r="AF1321" s="284"/>
      <c r="AJ1321" s="362"/>
      <c r="AK1321" s="362"/>
      <c r="AL1321" s="362"/>
      <c r="BA1321" s="580"/>
      <c r="BB1321" s="580"/>
      <c r="BC1321" s="580"/>
      <c r="BL1321" s="175"/>
      <c r="BM1321" s="175"/>
      <c r="BN1321" s="175"/>
      <c r="BO1321" s="175"/>
      <c r="BP1321" s="175"/>
      <c r="BQ1321" s="175"/>
      <c r="BR1321" s="175"/>
      <c r="BS1321" s="175"/>
      <c r="BT1321" s="175"/>
      <c r="BU1321" s="175"/>
      <c r="BV1321" s="175"/>
      <c r="BW1321" s="175"/>
    </row>
    <row r="1322" spans="1:75" ht="19.5" customHeight="1">
      <c r="H1322" s="284"/>
      <c r="I1322" s="284"/>
      <c r="J1322" s="284"/>
      <c r="K1322" s="284"/>
      <c r="L1322" s="284"/>
      <c r="M1322" s="368"/>
      <c r="N1322" s="284"/>
      <c r="O1322" s="369"/>
      <c r="P1322" s="284"/>
      <c r="Q1322" s="362"/>
      <c r="R1322" s="284"/>
      <c r="S1322" s="284"/>
      <c r="T1322" s="284"/>
      <c r="U1322" s="284"/>
      <c r="V1322" s="284"/>
      <c r="W1322" s="284"/>
      <c r="X1322" s="284"/>
      <c r="Y1322" s="284"/>
      <c r="Z1322" s="284"/>
      <c r="AA1322" s="771"/>
      <c r="AB1322" s="284"/>
      <c r="AC1322" s="284"/>
      <c r="AD1322" s="284"/>
      <c r="AE1322" s="284"/>
      <c r="AF1322" s="284"/>
      <c r="AJ1322" s="362"/>
      <c r="AK1322" s="362"/>
      <c r="AL1322" s="362"/>
      <c r="BA1322" s="580"/>
      <c r="BB1322" s="580"/>
      <c r="BC1322" s="580"/>
      <c r="BD1322" s="580"/>
      <c r="BL1322" s="175"/>
      <c r="BM1322" s="175"/>
      <c r="BN1322" s="175"/>
      <c r="BO1322" s="175"/>
      <c r="BP1322" s="175"/>
      <c r="BQ1322" s="175"/>
      <c r="BR1322" s="175"/>
      <c r="BS1322" s="175"/>
      <c r="BT1322" s="175"/>
      <c r="BU1322" s="175"/>
      <c r="BV1322" s="175"/>
      <c r="BW1322" s="175"/>
    </row>
    <row r="1323" spans="1:75" ht="23.25">
      <c r="H1323" s="284"/>
      <c r="I1323" s="284"/>
      <c r="J1323" s="284"/>
      <c r="K1323" s="284"/>
      <c r="L1323" s="284"/>
      <c r="M1323" s="368"/>
      <c r="N1323" s="284"/>
      <c r="O1323" s="369"/>
      <c r="P1323" s="284"/>
      <c r="Q1323" s="362"/>
      <c r="R1323" s="284"/>
      <c r="S1323" s="284"/>
      <c r="T1323" s="284"/>
      <c r="U1323" s="284"/>
      <c r="V1323" s="284"/>
      <c r="W1323" s="284"/>
      <c r="X1323" s="284"/>
      <c r="Y1323" s="284"/>
      <c r="Z1323" s="284"/>
      <c r="AA1323" s="771"/>
      <c r="AB1323" s="284"/>
      <c r="AC1323" s="284"/>
      <c r="AD1323" s="284"/>
      <c r="AE1323" s="284"/>
      <c r="AF1323" s="284"/>
      <c r="AJ1323" s="362"/>
      <c r="AK1323" s="362"/>
      <c r="AL1323" s="362"/>
      <c r="BA1323" s="580"/>
      <c r="BB1323" s="553"/>
      <c r="BC1323" s="553"/>
      <c r="BD1323" s="580"/>
      <c r="BL1323" s="175"/>
      <c r="BM1323" s="175"/>
      <c r="BN1323" s="175"/>
      <c r="BO1323" s="175"/>
      <c r="BP1323" s="175"/>
      <c r="BQ1323" s="175"/>
      <c r="BR1323" s="175"/>
      <c r="BS1323" s="175"/>
      <c r="BT1323" s="175"/>
      <c r="BU1323" s="175"/>
      <c r="BV1323" s="175"/>
      <c r="BW1323" s="175"/>
    </row>
    <row r="1324" spans="1:75" ht="23.25">
      <c r="H1324" s="284"/>
      <c r="I1324" s="284"/>
      <c r="J1324" s="284"/>
      <c r="K1324" s="284"/>
      <c r="L1324" s="284"/>
      <c r="M1324" s="368"/>
      <c r="N1324" s="284"/>
      <c r="O1324" s="369"/>
      <c r="P1324" s="284"/>
      <c r="Q1324" s="362"/>
      <c r="R1324" s="284"/>
      <c r="S1324" s="284"/>
      <c r="T1324" s="284"/>
      <c r="U1324" s="284"/>
      <c r="V1324" s="284"/>
      <c r="W1324" s="284"/>
      <c r="X1324" s="284"/>
      <c r="Y1324" s="284"/>
      <c r="Z1324" s="284"/>
      <c r="AA1324" s="771"/>
      <c r="AB1324" s="284"/>
      <c r="AC1324" s="284"/>
      <c r="AD1324" s="284"/>
      <c r="AE1324" s="284"/>
      <c r="AF1324" s="284"/>
      <c r="AJ1324" s="362"/>
      <c r="AK1324" s="362"/>
      <c r="AL1324" s="362"/>
      <c r="BA1324" s="173"/>
      <c r="BB1324" s="320"/>
      <c r="BC1324" s="317"/>
      <c r="BL1324" s="175"/>
      <c r="BM1324" s="175"/>
      <c r="BN1324" s="175"/>
      <c r="BO1324" s="175"/>
      <c r="BP1324" s="175"/>
      <c r="BQ1324" s="175"/>
      <c r="BR1324" s="175"/>
      <c r="BS1324" s="175"/>
      <c r="BT1324" s="175"/>
      <c r="BU1324" s="175"/>
      <c r="BV1324" s="175"/>
      <c r="BW1324" s="175"/>
    </row>
    <row r="1325" spans="1:75" ht="23.25">
      <c r="H1325" s="284"/>
      <c r="I1325" s="284"/>
      <c r="J1325" s="284"/>
      <c r="K1325" s="284"/>
      <c r="L1325" s="284"/>
      <c r="M1325" s="368"/>
      <c r="N1325" s="284"/>
      <c r="O1325" s="369"/>
      <c r="P1325" s="284"/>
      <c r="Q1325" s="362"/>
      <c r="R1325" s="284"/>
      <c r="S1325" s="284"/>
      <c r="T1325" s="284"/>
      <c r="U1325" s="284"/>
      <c r="V1325" s="284"/>
      <c r="W1325" s="284"/>
      <c r="X1325" s="284"/>
      <c r="Y1325" s="284"/>
      <c r="Z1325" s="284"/>
      <c r="AA1325" s="771"/>
      <c r="AB1325" s="284"/>
      <c r="AC1325" s="284"/>
      <c r="AD1325" s="284"/>
      <c r="AE1325" s="284"/>
      <c r="AF1325" s="284"/>
      <c r="AJ1325" s="362"/>
      <c r="AK1325" s="362"/>
      <c r="AL1325" s="362"/>
      <c r="BA1325" s="173"/>
      <c r="BB1325" s="320"/>
      <c r="BC1325" s="317"/>
      <c r="BL1325" s="175"/>
      <c r="BM1325" s="175"/>
      <c r="BN1325" s="175"/>
      <c r="BO1325" s="175"/>
      <c r="BP1325" s="175"/>
      <c r="BQ1325" s="175"/>
      <c r="BR1325" s="175"/>
      <c r="BS1325" s="175"/>
      <c r="BT1325" s="175"/>
      <c r="BU1325" s="175"/>
      <c r="BV1325" s="175"/>
      <c r="BW1325" s="175"/>
    </row>
    <row r="1326" spans="1:75" ht="23.25">
      <c r="H1326" s="284"/>
      <c r="I1326" s="284"/>
      <c r="J1326" s="284"/>
      <c r="K1326" s="284"/>
      <c r="L1326" s="284"/>
      <c r="M1326" s="368"/>
      <c r="N1326" s="284"/>
      <c r="O1326" s="369"/>
      <c r="P1326" s="284"/>
      <c r="Q1326" s="362"/>
      <c r="R1326" s="284"/>
      <c r="S1326" s="284"/>
      <c r="T1326" s="284"/>
      <c r="U1326" s="284"/>
      <c r="V1326" s="284"/>
      <c r="W1326" s="284"/>
      <c r="X1326" s="284"/>
      <c r="Y1326" s="284"/>
      <c r="Z1326" s="284"/>
      <c r="AA1326" s="771"/>
      <c r="AB1326" s="284"/>
      <c r="AC1326" s="284"/>
      <c r="AD1326" s="284"/>
      <c r="AE1326" s="284"/>
      <c r="AF1326" s="284"/>
      <c r="AJ1326" s="362"/>
      <c r="AK1326" s="362"/>
      <c r="AL1326" s="362"/>
      <c r="BA1326" s="173"/>
      <c r="BB1326" s="320"/>
      <c r="BC1326" s="317"/>
      <c r="BL1326" s="175"/>
      <c r="BM1326" s="175"/>
      <c r="BN1326" s="175"/>
      <c r="BO1326" s="175"/>
      <c r="BP1326" s="175"/>
      <c r="BQ1326" s="175"/>
      <c r="BR1326" s="175"/>
      <c r="BS1326" s="175"/>
      <c r="BT1326" s="175"/>
      <c r="BU1326" s="175"/>
      <c r="BV1326" s="175"/>
      <c r="BW1326" s="175"/>
    </row>
    <row r="1327" spans="1:75" ht="23.25">
      <c r="H1327" s="284"/>
      <c r="I1327" s="284"/>
      <c r="J1327" s="284"/>
      <c r="K1327" s="284"/>
      <c r="L1327" s="284"/>
      <c r="M1327" s="368"/>
      <c r="N1327" s="284"/>
      <c r="O1327" s="369"/>
      <c r="P1327" s="284"/>
      <c r="Q1327" s="362"/>
      <c r="R1327" s="284"/>
      <c r="S1327" s="284"/>
      <c r="T1327" s="284"/>
      <c r="U1327" s="284"/>
      <c r="V1327" s="284"/>
      <c r="W1327" s="284"/>
      <c r="X1327" s="284"/>
      <c r="Y1327" s="284"/>
      <c r="Z1327" s="284"/>
      <c r="AA1327" s="771"/>
      <c r="AB1327" s="284"/>
      <c r="AC1327" s="284"/>
      <c r="AD1327" s="284"/>
      <c r="AE1327" s="284"/>
      <c r="AF1327" s="284"/>
      <c r="AJ1327" s="362"/>
      <c r="AK1327" s="362"/>
      <c r="AL1327" s="362"/>
      <c r="BA1327" s="173"/>
      <c r="BB1327" s="320"/>
      <c r="BC1327" s="317"/>
      <c r="BL1327" s="175"/>
      <c r="BM1327" s="175"/>
      <c r="BN1327" s="175"/>
      <c r="BO1327" s="175"/>
      <c r="BP1327" s="175"/>
      <c r="BQ1327" s="175"/>
      <c r="BR1327" s="175"/>
      <c r="BS1327" s="175"/>
      <c r="BT1327" s="175"/>
      <c r="BU1327" s="175"/>
      <c r="BV1327" s="175"/>
      <c r="BW1327" s="175"/>
    </row>
    <row r="1328" spans="1:75" ht="23.25">
      <c r="H1328" s="284"/>
      <c r="I1328" s="284"/>
      <c r="J1328" s="284"/>
      <c r="K1328" s="284"/>
      <c r="L1328" s="284"/>
      <c r="M1328" s="368"/>
      <c r="N1328" s="284"/>
      <c r="O1328" s="369"/>
      <c r="P1328" s="284"/>
      <c r="Q1328" s="362"/>
      <c r="R1328" s="284"/>
      <c r="S1328" s="284"/>
      <c r="T1328" s="284"/>
      <c r="U1328" s="284"/>
      <c r="V1328" s="284"/>
      <c r="W1328" s="284"/>
      <c r="X1328" s="284"/>
      <c r="Y1328" s="284"/>
      <c r="Z1328" s="284"/>
      <c r="AA1328" s="771"/>
      <c r="AB1328" s="284"/>
      <c r="AC1328" s="284"/>
      <c r="AD1328" s="284"/>
      <c r="AE1328" s="284"/>
      <c r="AF1328" s="284"/>
      <c r="AJ1328" s="362"/>
      <c r="AK1328" s="362"/>
      <c r="AL1328" s="362"/>
      <c r="BA1328" s="173"/>
      <c r="BB1328" s="320"/>
      <c r="BC1328" s="317"/>
      <c r="BL1328" s="175"/>
      <c r="BM1328" s="175"/>
      <c r="BN1328" s="175"/>
      <c r="BO1328" s="175"/>
      <c r="BP1328" s="175"/>
      <c r="BQ1328" s="175"/>
      <c r="BR1328" s="175"/>
      <c r="BS1328" s="175"/>
      <c r="BT1328" s="175"/>
      <c r="BU1328" s="175"/>
      <c r="BV1328" s="175"/>
      <c r="BW1328" s="175"/>
    </row>
    <row r="1329" spans="8:75" ht="23.25">
      <c r="H1329" s="284"/>
      <c r="I1329" s="284"/>
      <c r="J1329" s="284"/>
      <c r="K1329" s="284"/>
      <c r="L1329" s="284"/>
      <c r="M1329" s="368"/>
      <c r="N1329" s="284"/>
      <c r="O1329" s="369"/>
      <c r="P1329" s="284"/>
      <c r="Q1329" s="362"/>
      <c r="R1329" s="284"/>
      <c r="S1329" s="284"/>
      <c r="T1329" s="284"/>
      <c r="U1329" s="284"/>
      <c r="V1329" s="284"/>
      <c r="W1329" s="284"/>
      <c r="X1329" s="284"/>
      <c r="Y1329" s="284"/>
      <c r="Z1329" s="284"/>
      <c r="AA1329" s="771"/>
      <c r="AB1329" s="284"/>
      <c r="AC1329" s="284"/>
      <c r="AD1329" s="284"/>
      <c r="AE1329" s="284"/>
      <c r="AF1329" s="284"/>
      <c r="AJ1329" s="362"/>
      <c r="AK1329" s="362"/>
      <c r="AL1329" s="362"/>
      <c r="BA1329" s="173"/>
      <c r="BB1329" s="320"/>
      <c r="BC1329" s="317"/>
      <c r="BL1329" s="175"/>
      <c r="BM1329" s="175"/>
      <c r="BN1329" s="175"/>
      <c r="BO1329" s="175"/>
      <c r="BP1329" s="175"/>
      <c r="BQ1329" s="175"/>
      <c r="BR1329" s="175"/>
      <c r="BS1329" s="175"/>
      <c r="BT1329" s="175"/>
      <c r="BU1329" s="175"/>
      <c r="BV1329" s="175"/>
      <c r="BW1329" s="175"/>
    </row>
    <row r="1330" spans="8:75" ht="23.25">
      <c r="H1330" s="284"/>
      <c r="I1330" s="284"/>
      <c r="J1330" s="284"/>
      <c r="K1330" s="284"/>
      <c r="L1330" s="284"/>
      <c r="M1330" s="368"/>
      <c r="N1330" s="284"/>
      <c r="O1330" s="369"/>
      <c r="P1330" s="284"/>
      <c r="Q1330" s="362"/>
      <c r="R1330" s="284"/>
      <c r="S1330" s="284"/>
      <c r="T1330" s="284"/>
      <c r="U1330" s="284"/>
      <c r="V1330" s="284"/>
      <c r="W1330" s="284"/>
      <c r="X1330" s="284"/>
      <c r="Y1330" s="284"/>
      <c r="Z1330" s="284"/>
      <c r="AA1330" s="771"/>
      <c r="AB1330" s="284"/>
      <c r="AC1330" s="284"/>
      <c r="AD1330" s="284"/>
      <c r="AE1330" s="284"/>
      <c r="AF1330" s="284"/>
      <c r="AJ1330" s="362"/>
      <c r="AK1330" s="362"/>
      <c r="AL1330" s="362"/>
      <c r="BA1330" s="173"/>
      <c r="BB1330" s="320"/>
      <c r="BC1330" s="317"/>
      <c r="BL1330" s="175"/>
      <c r="BM1330" s="175"/>
      <c r="BN1330" s="175"/>
      <c r="BO1330" s="175"/>
      <c r="BP1330" s="175"/>
      <c r="BQ1330" s="175"/>
      <c r="BR1330" s="175"/>
      <c r="BS1330" s="175"/>
      <c r="BT1330" s="175"/>
      <c r="BU1330" s="175"/>
      <c r="BV1330" s="175"/>
      <c r="BW1330" s="175"/>
    </row>
    <row r="1331" spans="8:75" ht="23.25">
      <c r="H1331" s="284"/>
      <c r="I1331" s="284"/>
      <c r="J1331" s="284"/>
      <c r="K1331" s="284"/>
      <c r="L1331" s="284"/>
      <c r="M1331" s="368"/>
      <c r="N1331" s="284"/>
      <c r="O1331" s="369"/>
      <c r="P1331" s="284"/>
      <c r="Q1331" s="362"/>
      <c r="R1331" s="284"/>
      <c r="S1331" s="284"/>
      <c r="T1331" s="284"/>
      <c r="U1331" s="284"/>
      <c r="V1331" s="284"/>
      <c r="W1331" s="284"/>
      <c r="X1331" s="284"/>
      <c r="Y1331" s="284"/>
      <c r="Z1331" s="284"/>
      <c r="AA1331" s="771"/>
      <c r="AB1331" s="284"/>
      <c r="AC1331" s="284"/>
      <c r="AD1331" s="284"/>
      <c r="AE1331" s="284"/>
      <c r="AF1331" s="284"/>
      <c r="AJ1331" s="362"/>
      <c r="AK1331" s="362"/>
      <c r="AL1331" s="362"/>
      <c r="BA1331" s="173"/>
      <c r="BB1331" s="320"/>
      <c r="BC1331" s="317"/>
      <c r="BL1331" s="175"/>
      <c r="BM1331" s="175"/>
      <c r="BN1331" s="175"/>
      <c r="BO1331" s="175"/>
      <c r="BP1331" s="175"/>
      <c r="BQ1331" s="175"/>
      <c r="BR1331" s="175"/>
      <c r="BS1331" s="175"/>
      <c r="BT1331" s="175"/>
      <c r="BU1331" s="175"/>
      <c r="BV1331" s="175"/>
      <c r="BW1331" s="175"/>
    </row>
    <row r="1332" spans="8:75" ht="23.25">
      <c r="H1332" s="284"/>
      <c r="I1332" s="284"/>
      <c r="J1332" s="284"/>
      <c r="K1332" s="284"/>
      <c r="L1332" s="284"/>
      <c r="M1332" s="368"/>
      <c r="N1332" s="284"/>
      <c r="O1332" s="369"/>
      <c r="P1332" s="284"/>
      <c r="Q1332" s="362"/>
      <c r="R1332" s="284"/>
      <c r="S1332" s="284"/>
      <c r="T1332" s="284"/>
      <c r="U1332" s="284"/>
      <c r="V1332" s="284"/>
      <c r="W1332" s="284"/>
      <c r="X1332" s="284"/>
      <c r="Y1332" s="284"/>
      <c r="Z1332" s="284"/>
      <c r="AA1332" s="771"/>
      <c r="AB1332" s="284"/>
      <c r="AC1332" s="284"/>
      <c r="AD1332" s="284"/>
      <c r="AE1332" s="284"/>
      <c r="AF1332" s="284"/>
      <c r="AJ1332" s="362"/>
      <c r="AK1332" s="362"/>
      <c r="AL1332" s="362"/>
      <c r="BA1332" s="173"/>
      <c r="BB1332" s="320"/>
      <c r="BC1332" s="317"/>
      <c r="BL1332" s="175"/>
      <c r="BM1332" s="175"/>
      <c r="BN1332" s="175"/>
      <c r="BO1332" s="175"/>
      <c r="BP1332" s="175"/>
      <c r="BQ1332" s="175"/>
      <c r="BR1332" s="175"/>
      <c r="BS1332" s="175"/>
      <c r="BT1332" s="175"/>
      <c r="BU1332" s="175"/>
      <c r="BV1332" s="175"/>
      <c r="BW1332" s="175"/>
    </row>
    <row r="1333" spans="8:75" ht="23.25">
      <c r="H1333" s="284"/>
      <c r="I1333" s="284"/>
      <c r="J1333" s="284"/>
      <c r="K1333" s="284"/>
      <c r="L1333" s="284"/>
      <c r="M1333" s="368"/>
      <c r="N1333" s="284"/>
      <c r="O1333" s="369"/>
      <c r="P1333" s="284"/>
      <c r="Q1333" s="362"/>
      <c r="R1333" s="284"/>
      <c r="S1333" s="284"/>
      <c r="T1333" s="284"/>
      <c r="U1333" s="284"/>
      <c r="V1333" s="284"/>
      <c r="W1333" s="284"/>
      <c r="X1333" s="284"/>
      <c r="Y1333" s="284"/>
      <c r="Z1333" s="284"/>
      <c r="AA1333" s="771"/>
      <c r="AB1333" s="284"/>
      <c r="AC1333" s="284"/>
      <c r="AD1333" s="284"/>
      <c r="AE1333" s="284"/>
      <c r="AF1333" s="284"/>
      <c r="AJ1333" s="362"/>
      <c r="AK1333" s="362"/>
      <c r="AL1333" s="362"/>
      <c r="BA1333" s="173"/>
      <c r="BB1333" s="320"/>
      <c r="BC1333" s="317"/>
      <c r="BL1333" s="175"/>
      <c r="BM1333" s="175"/>
      <c r="BN1333" s="175"/>
      <c r="BO1333" s="175"/>
      <c r="BP1333" s="175"/>
      <c r="BQ1333" s="175"/>
      <c r="BR1333" s="175"/>
      <c r="BS1333" s="175"/>
      <c r="BT1333" s="175"/>
      <c r="BU1333" s="175"/>
      <c r="BV1333" s="175"/>
      <c r="BW1333" s="175"/>
    </row>
    <row r="1334" spans="8:75" ht="23.25">
      <c r="H1334" s="284"/>
      <c r="I1334" s="284"/>
      <c r="J1334" s="284"/>
      <c r="K1334" s="284"/>
      <c r="L1334" s="284"/>
      <c r="M1334" s="368"/>
      <c r="N1334" s="284"/>
      <c r="O1334" s="369"/>
      <c r="P1334" s="284"/>
      <c r="Q1334" s="362"/>
      <c r="R1334" s="284"/>
      <c r="S1334" s="284"/>
      <c r="T1334" s="284"/>
      <c r="U1334" s="284"/>
      <c r="V1334" s="284"/>
      <c r="W1334" s="284"/>
      <c r="X1334" s="284"/>
      <c r="Y1334" s="284"/>
      <c r="Z1334" s="284"/>
      <c r="AA1334" s="771"/>
      <c r="AB1334" s="284"/>
      <c r="AC1334" s="284"/>
      <c r="AD1334" s="284"/>
      <c r="AE1334" s="284"/>
      <c r="AF1334" s="284"/>
      <c r="AJ1334" s="362"/>
      <c r="AK1334" s="362"/>
      <c r="AL1334" s="362"/>
      <c r="BA1334" s="173"/>
      <c r="BB1334" s="320"/>
      <c r="BC1334" s="317"/>
      <c r="BL1334" s="175"/>
      <c r="BM1334" s="175"/>
      <c r="BN1334" s="175"/>
      <c r="BO1334" s="175"/>
      <c r="BP1334" s="175"/>
      <c r="BQ1334" s="175"/>
      <c r="BR1334" s="175"/>
      <c r="BS1334" s="175"/>
      <c r="BT1334" s="175"/>
      <c r="BU1334" s="175"/>
      <c r="BV1334" s="175"/>
      <c r="BW1334" s="175"/>
    </row>
    <row r="1335" spans="8:75" ht="23.25">
      <c r="H1335" s="284"/>
      <c r="I1335" s="284"/>
      <c r="J1335" s="284"/>
      <c r="K1335" s="284"/>
      <c r="L1335" s="284"/>
      <c r="M1335" s="368"/>
      <c r="N1335" s="284"/>
      <c r="O1335" s="369"/>
      <c r="P1335" s="284"/>
      <c r="Q1335" s="362"/>
      <c r="R1335" s="284"/>
      <c r="S1335" s="284"/>
      <c r="T1335" s="284"/>
      <c r="U1335" s="284"/>
      <c r="V1335" s="284"/>
      <c r="W1335" s="284"/>
      <c r="X1335" s="284"/>
      <c r="Y1335" s="284"/>
      <c r="Z1335" s="284"/>
      <c r="AA1335" s="771"/>
      <c r="AB1335" s="284"/>
      <c r="AC1335" s="284"/>
      <c r="AD1335" s="284"/>
      <c r="AE1335" s="284"/>
      <c r="AF1335" s="284"/>
      <c r="AJ1335" s="362"/>
      <c r="AK1335" s="362"/>
      <c r="AL1335" s="362"/>
      <c r="BA1335" s="173"/>
      <c r="BB1335" s="320"/>
      <c r="BC1335" s="317"/>
      <c r="BL1335" s="175"/>
      <c r="BM1335" s="175"/>
      <c r="BN1335" s="175"/>
      <c r="BO1335" s="175"/>
      <c r="BP1335" s="175"/>
      <c r="BQ1335" s="175"/>
      <c r="BR1335" s="175"/>
      <c r="BS1335" s="175"/>
      <c r="BT1335" s="175"/>
      <c r="BU1335" s="175"/>
      <c r="BV1335" s="175"/>
      <c r="BW1335" s="175"/>
    </row>
    <row r="1336" spans="8:75" ht="23.25">
      <c r="BA1336" s="173"/>
      <c r="BB1336" s="320"/>
      <c r="BC1336" s="317"/>
      <c r="BL1336" s="175"/>
      <c r="BM1336" s="175"/>
      <c r="BN1336" s="175"/>
      <c r="BO1336" s="175"/>
      <c r="BP1336" s="175"/>
      <c r="BQ1336" s="175"/>
      <c r="BR1336" s="175"/>
      <c r="BS1336" s="175"/>
      <c r="BT1336" s="175"/>
      <c r="BU1336" s="175"/>
      <c r="BV1336" s="175"/>
      <c r="BW1336" s="175"/>
    </row>
    <row r="1337" spans="8:75" ht="23.25">
      <c r="BA1337" s="173"/>
      <c r="BB1337" s="320"/>
      <c r="BC1337" s="317"/>
      <c r="BL1337" s="175"/>
      <c r="BM1337" s="175"/>
      <c r="BN1337" s="175"/>
      <c r="BO1337" s="175"/>
      <c r="BP1337" s="175"/>
      <c r="BQ1337" s="175"/>
      <c r="BR1337" s="175"/>
      <c r="BS1337" s="175"/>
      <c r="BT1337" s="175"/>
      <c r="BU1337" s="175"/>
      <c r="BV1337" s="175"/>
      <c r="BW1337" s="175"/>
    </row>
    <row r="1338" spans="8:75" ht="23.25">
      <c r="BA1338" s="173"/>
      <c r="BB1338" s="320"/>
      <c r="BC1338" s="317"/>
      <c r="BL1338" s="175"/>
      <c r="BM1338" s="175"/>
      <c r="BN1338" s="175"/>
      <c r="BO1338" s="175"/>
      <c r="BP1338" s="175"/>
      <c r="BQ1338" s="175"/>
      <c r="BR1338" s="175"/>
      <c r="BS1338" s="175"/>
      <c r="BT1338" s="175"/>
      <c r="BU1338" s="175"/>
      <c r="BV1338" s="175"/>
      <c r="BW1338" s="175"/>
    </row>
    <row r="1339" spans="8:75" ht="23.25">
      <c r="BA1339" s="173"/>
      <c r="BB1339" s="320"/>
      <c r="BC1339" s="317"/>
      <c r="BL1339" s="175"/>
      <c r="BM1339" s="175"/>
      <c r="BN1339" s="175"/>
      <c r="BO1339" s="175"/>
      <c r="BP1339" s="175"/>
      <c r="BQ1339" s="175"/>
      <c r="BR1339" s="175"/>
      <c r="BS1339" s="175"/>
      <c r="BT1339" s="175"/>
      <c r="BU1339" s="175"/>
      <c r="BV1339" s="175"/>
      <c r="BW1339" s="175"/>
    </row>
    <row r="1340" spans="8:75" ht="23.25">
      <c r="BA1340" s="173"/>
      <c r="BB1340" s="320"/>
      <c r="BC1340" s="317"/>
      <c r="BL1340" s="175"/>
      <c r="BM1340" s="175"/>
      <c r="BN1340" s="175"/>
      <c r="BO1340" s="175"/>
      <c r="BP1340" s="175"/>
      <c r="BQ1340" s="175"/>
      <c r="BR1340" s="175"/>
      <c r="BS1340" s="175"/>
      <c r="BT1340" s="175"/>
      <c r="BU1340" s="175"/>
      <c r="BV1340" s="175"/>
      <c r="BW1340" s="175"/>
    </row>
    <row r="1341" spans="8:75" ht="23.25">
      <c r="BE1341" s="175"/>
      <c r="BF1341" s="175"/>
      <c r="BG1341" s="175"/>
      <c r="BH1341" s="175"/>
      <c r="BI1341" s="175"/>
      <c r="BJ1341" s="175"/>
      <c r="BK1341" s="175"/>
      <c r="BL1341" s="175"/>
      <c r="BM1341" s="175"/>
      <c r="BN1341" s="175"/>
      <c r="BO1341" s="175"/>
      <c r="BP1341" s="175"/>
      <c r="BQ1341" s="175"/>
      <c r="BR1341" s="175"/>
      <c r="BS1341" s="175"/>
      <c r="BT1341" s="175"/>
      <c r="BU1341" s="175"/>
      <c r="BV1341" s="175"/>
      <c r="BW1341" s="175"/>
    </row>
    <row r="1342" spans="8:75" ht="23.25">
      <c r="BE1342" s="175"/>
      <c r="BF1342" s="175"/>
      <c r="BG1342" s="175"/>
      <c r="BH1342" s="175"/>
      <c r="BI1342" s="175"/>
      <c r="BJ1342" s="175"/>
      <c r="BK1342" s="175"/>
      <c r="BL1342" s="175"/>
      <c r="BM1342" s="175"/>
      <c r="BN1342" s="175"/>
      <c r="BO1342" s="175"/>
      <c r="BP1342" s="175"/>
      <c r="BQ1342" s="175"/>
      <c r="BR1342" s="175"/>
      <c r="BS1342" s="175"/>
      <c r="BT1342" s="175"/>
      <c r="BU1342" s="175"/>
      <c r="BV1342" s="175"/>
      <c r="BW1342" s="175"/>
    </row>
    <row r="1343" spans="8:75" ht="23.25">
      <c r="BE1343" s="175"/>
      <c r="BF1343" s="175"/>
      <c r="BG1343" s="175"/>
      <c r="BH1343" s="175"/>
      <c r="BI1343" s="175"/>
      <c r="BJ1343" s="175"/>
      <c r="BK1343" s="175"/>
      <c r="BL1343" s="175"/>
      <c r="BM1343" s="175"/>
      <c r="BN1343" s="175"/>
      <c r="BO1343" s="175"/>
      <c r="BP1343" s="175"/>
      <c r="BQ1343" s="175"/>
      <c r="BR1343" s="175"/>
      <c r="BS1343" s="175"/>
      <c r="BT1343" s="175"/>
      <c r="BU1343" s="175"/>
      <c r="BV1343" s="175"/>
      <c r="BW1343" s="175"/>
    </row>
    <row r="1344" spans="8:75" ht="23.25">
      <c r="BE1344" s="175"/>
      <c r="BF1344" s="175"/>
      <c r="BG1344" s="175"/>
      <c r="BH1344" s="175"/>
      <c r="BI1344" s="175"/>
      <c r="BJ1344" s="175"/>
      <c r="BK1344" s="175"/>
      <c r="BL1344" s="175"/>
      <c r="BM1344" s="175"/>
      <c r="BN1344" s="175"/>
      <c r="BO1344" s="175"/>
      <c r="BP1344" s="175"/>
      <c r="BQ1344" s="175"/>
      <c r="BR1344" s="175"/>
      <c r="BS1344" s="175"/>
      <c r="BT1344" s="175"/>
      <c r="BU1344" s="175"/>
      <c r="BV1344" s="175"/>
      <c r="BW1344" s="175"/>
    </row>
    <row r="1345" spans="57:75" ht="23.25">
      <c r="BE1345" s="175"/>
      <c r="BF1345" s="175"/>
      <c r="BG1345" s="175"/>
      <c r="BH1345" s="175"/>
      <c r="BI1345" s="175"/>
      <c r="BJ1345" s="175"/>
      <c r="BK1345" s="175"/>
      <c r="BL1345" s="175"/>
      <c r="BM1345" s="175"/>
      <c r="BN1345" s="175"/>
      <c r="BO1345" s="175"/>
      <c r="BP1345" s="175"/>
      <c r="BQ1345" s="175"/>
      <c r="BR1345" s="175"/>
      <c r="BS1345" s="175"/>
      <c r="BT1345" s="175"/>
      <c r="BU1345" s="175"/>
      <c r="BV1345" s="175"/>
      <c r="BW1345" s="175"/>
    </row>
    <row r="1346" spans="57:75" ht="23.25">
      <c r="BE1346" s="175"/>
      <c r="BF1346" s="175"/>
      <c r="BG1346" s="175"/>
      <c r="BH1346" s="175"/>
      <c r="BI1346" s="175"/>
      <c r="BJ1346" s="175"/>
      <c r="BK1346" s="175"/>
      <c r="BL1346" s="175"/>
      <c r="BM1346" s="175"/>
      <c r="BN1346" s="175"/>
      <c r="BO1346" s="175"/>
      <c r="BP1346" s="175"/>
      <c r="BQ1346" s="175"/>
      <c r="BR1346" s="175"/>
      <c r="BS1346" s="175"/>
      <c r="BT1346" s="175"/>
      <c r="BU1346" s="175"/>
      <c r="BV1346" s="175"/>
      <c r="BW1346" s="175"/>
    </row>
    <row r="1347" spans="57:75" ht="23.25">
      <c r="BE1347" s="175"/>
      <c r="BF1347" s="175"/>
      <c r="BG1347" s="175"/>
      <c r="BH1347" s="175"/>
      <c r="BI1347" s="175"/>
      <c r="BJ1347" s="175"/>
      <c r="BK1347" s="175"/>
      <c r="BL1347" s="175"/>
      <c r="BM1347" s="175"/>
      <c r="BN1347" s="175"/>
      <c r="BO1347" s="175"/>
      <c r="BP1347" s="175"/>
      <c r="BQ1347" s="175"/>
      <c r="BR1347" s="175"/>
      <c r="BS1347" s="175"/>
      <c r="BT1347" s="175"/>
      <c r="BU1347" s="175"/>
      <c r="BV1347" s="175"/>
      <c r="BW1347" s="175"/>
    </row>
    <row r="1348" spans="57:75" ht="23.25">
      <c r="BE1348" s="175"/>
      <c r="BF1348" s="175"/>
      <c r="BG1348" s="175"/>
      <c r="BH1348" s="175"/>
      <c r="BI1348" s="175"/>
      <c r="BJ1348" s="175"/>
      <c r="BK1348" s="175"/>
      <c r="BL1348" s="175"/>
      <c r="BM1348" s="175"/>
      <c r="BN1348" s="175"/>
      <c r="BO1348" s="175"/>
      <c r="BP1348" s="175"/>
      <c r="BQ1348" s="175"/>
      <c r="BR1348" s="175"/>
      <c r="BS1348" s="175"/>
      <c r="BT1348" s="175"/>
      <c r="BU1348" s="175"/>
      <c r="BV1348" s="175"/>
      <c r="BW1348" s="175"/>
    </row>
    <row r="1349" spans="57:75" ht="23.25">
      <c r="BE1349" s="175"/>
      <c r="BF1349" s="175"/>
      <c r="BG1349" s="175"/>
      <c r="BH1349" s="175"/>
      <c r="BI1349" s="175"/>
      <c r="BJ1349" s="175"/>
      <c r="BK1349" s="175"/>
      <c r="BL1349" s="175"/>
      <c r="BM1349" s="175"/>
      <c r="BN1349" s="175"/>
      <c r="BO1349" s="175"/>
      <c r="BP1349" s="175"/>
      <c r="BQ1349" s="175"/>
      <c r="BR1349" s="175"/>
      <c r="BS1349" s="175"/>
      <c r="BT1349" s="175"/>
      <c r="BU1349" s="175"/>
      <c r="BV1349" s="175"/>
      <c r="BW1349" s="175"/>
    </row>
    <row r="1350" spans="57:75" ht="23.25">
      <c r="BE1350" s="175"/>
      <c r="BF1350" s="175"/>
      <c r="BG1350" s="175"/>
      <c r="BH1350" s="175"/>
      <c r="BI1350" s="175"/>
      <c r="BJ1350" s="175"/>
      <c r="BK1350" s="175"/>
      <c r="BL1350" s="175"/>
      <c r="BM1350" s="175"/>
      <c r="BN1350" s="175"/>
      <c r="BO1350" s="175"/>
      <c r="BP1350" s="175"/>
      <c r="BQ1350" s="175"/>
      <c r="BR1350" s="175"/>
      <c r="BS1350" s="175"/>
      <c r="BT1350" s="175"/>
      <c r="BU1350" s="175"/>
      <c r="BV1350" s="175"/>
      <c r="BW1350" s="175"/>
    </row>
    <row r="1351" spans="57:75" ht="23.25">
      <c r="BE1351" s="175"/>
      <c r="BF1351" s="175"/>
      <c r="BG1351" s="175"/>
      <c r="BH1351" s="175"/>
      <c r="BI1351" s="175"/>
      <c r="BJ1351" s="175"/>
      <c r="BK1351" s="175"/>
      <c r="BL1351" s="175"/>
      <c r="BM1351" s="175"/>
      <c r="BN1351" s="175"/>
      <c r="BO1351" s="175"/>
      <c r="BP1351" s="175"/>
      <c r="BQ1351" s="175"/>
      <c r="BR1351" s="175"/>
      <c r="BS1351" s="175"/>
      <c r="BT1351" s="175"/>
      <c r="BU1351" s="175"/>
      <c r="BV1351" s="175"/>
      <c r="BW1351" s="175"/>
    </row>
    <row r="1352" spans="57:75" ht="23.25">
      <c r="BE1352" s="175"/>
      <c r="BF1352" s="175"/>
      <c r="BG1352" s="175"/>
      <c r="BH1352" s="175"/>
      <c r="BI1352" s="175"/>
      <c r="BJ1352" s="175"/>
      <c r="BK1352" s="175"/>
      <c r="BL1352" s="175"/>
      <c r="BM1352" s="175"/>
      <c r="BN1352" s="175"/>
      <c r="BO1352" s="175"/>
      <c r="BP1352" s="175"/>
      <c r="BQ1352" s="175"/>
      <c r="BR1352" s="175"/>
      <c r="BS1352" s="175"/>
      <c r="BT1352" s="175"/>
      <c r="BU1352" s="175"/>
      <c r="BV1352" s="175"/>
      <c r="BW1352" s="175"/>
    </row>
    <row r="1353" spans="57:75" ht="23.25">
      <c r="BE1353" s="175"/>
      <c r="BF1353" s="175"/>
      <c r="BG1353" s="175"/>
      <c r="BH1353" s="175"/>
      <c r="BI1353" s="175"/>
      <c r="BJ1353" s="175"/>
      <c r="BK1353" s="175"/>
      <c r="BL1353" s="175"/>
      <c r="BM1353" s="175"/>
      <c r="BN1353" s="175"/>
      <c r="BO1353" s="175"/>
      <c r="BP1353" s="175"/>
      <c r="BQ1353" s="175"/>
      <c r="BR1353" s="175"/>
      <c r="BS1353" s="175"/>
      <c r="BT1353" s="175"/>
      <c r="BU1353" s="175"/>
      <c r="BV1353" s="175"/>
      <c r="BW1353" s="175"/>
    </row>
    <row r="1354" spans="57:75" ht="23.25">
      <c r="BE1354" s="175"/>
      <c r="BF1354" s="175"/>
      <c r="BG1354" s="175"/>
      <c r="BH1354" s="175"/>
      <c r="BI1354" s="175"/>
      <c r="BJ1354" s="175"/>
      <c r="BK1354" s="175"/>
      <c r="BL1354" s="175"/>
      <c r="BM1354" s="175"/>
      <c r="BN1354" s="175"/>
      <c r="BO1354" s="175"/>
      <c r="BP1354" s="175"/>
      <c r="BQ1354" s="175"/>
      <c r="BR1354" s="175"/>
      <c r="BS1354" s="175"/>
      <c r="BT1354" s="175"/>
      <c r="BU1354" s="175"/>
      <c r="BV1354" s="175"/>
      <c r="BW1354" s="175"/>
    </row>
    <row r="1355" spans="57:75" ht="23.25">
      <c r="BE1355" s="175"/>
      <c r="BF1355" s="175"/>
      <c r="BG1355" s="175"/>
      <c r="BH1355" s="175"/>
      <c r="BI1355" s="175"/>
      <c r="BJ1355" s="175"/>
      <c r="BK1355" s="175"/>
      <c r="BL1355" s="175"/>
      <c r="BM1355" s="175"/>
      <c r="BN1355" s="175"/>
      <c r="BO1355" s="175"/>
      <c r="BP1355" s="175"/>
      <c r="BQ1355" s="175"/>
      <c r="BR1355" s="175"/>
      <c r="BS1355" s="175"/>
      <c r="BT1355" s="175"/>
      <c r="BU1355" s="175"/>
      <c r="BV1355" s="175"/>
      <c r="BW1355" s="175"/>
    </row>
    <row r="1356" spans="57:75" ht="23.25">
      <c r="BE1356" s="175"/>
      <c r="BF1356" s="175"/>
      <c r="BG1356" s="175"/>
      <c r="BH1356" s="175"/>
      <c r="BI1356" s="175"/>
      <c r="BJ1356" s="175"/>
      <c r="BK1356" s="175"/>
      <c r="BL1356" s="175"/>
      <c r="BM1356" s="175"/>
      <c r="BN1356" s="175"/>
      <c r="BO1356" s="175"/>
      <c r="BP1356" s="175"/>
      <c r="BQ1356" s="175"/>
      <c r="BR1356" s="175"/>
      <c r="BS1356" s="175"/>
      <c r="BT1356" s="175"/>
      <c r="BU1356" s="175"/>
      <c r="BV1356" s="175"/>
      <c r="BW1356" s="175"/>
    </row>
    <row r="1357" spans="57:75" ht="23.25">
      <c r="BE1357" s="175"/>
      <c r="BF1357" s="175"/>
      <c r="BG1357" s="175"/>
      <c r="BH1357" s="175"/>
      <c r="BI1357" s="175"/>
      <c r="BJ1357" s="175"/>
      <c r="BK1357" s="175"/>
      <c r="BL1357" s="175"/>
      <c r="BM1357" s="175"/>
      <c r="BN1357" s="175"/>
      <c r="BO1357" s="175"/>
      <c r="BP1357" s="175"/>
      <c r="BQ1357" s="175"/>
      <c r="BR1357" s="175"/>
      <c r="BS1357" s="175"/>
      <c r="BT1357" s="175"/>
      <c r="BU1357" s="175"/>
      <c r="BV1357" s="175"/>
      <c r="BW1357" s="175"/>
    </row>
    <row r="1358" spans="57:75" ht="23.25">
      <c r="BE1358" s="175"/>
      <c r="BF1358" s="175"/>
      <c r="BG1358" s="175"/>
      <c r="BH1358" s="175"/>
      <c r="BI1358" s="175"/>
      <c r="BJ1358" s="175"/>
      <c r="BK1358" s="175"/>
      <c r="BL1358" s="175"/>
      <c r="BM1358" s="175"/>
      <c r="BN1358" s="175"/>
      <c r="BO1358" s="175"/>
      <c r="BP1358" s="175"/>
      <c r="BQ1358" s="175"/>
      <c r="BR1358" s="175"/>
      <c r="BS1358" s="175"/>
      <c r="BT1358" s="175"/>
      <c r="BU1358" s="175"/>
      <c r="BV1358" s="175"/>
      <c r="BW1358" s="175"/>
    </row>
    <row r="1359" spans="57:75" ht="23.25">
      <c r="BE1359" s="175"/>
      <c r="BF1359" s="175"/>
      <c r="BG1359" s="175"/>
      <c r="BH1359" s="175"/>
      <c r="BI1359" s="175"/>
      <c r="BJ1359" s="175"/>
      <c r="BK1359" s="175"/>
      <c r="BL1359" s="175"/>
      <c r="BM1359" s="175"/>
      <c r="BN1359" s="175"/>
      <c r="BO1359" s="175"/>
      <c r="BP1359" s="175"/>
      <c r="BQ1359" s="175"/>
      <c r="BR1359" s="175"/>
      <c r="BS1359" s="175"/>
      <c r="BT1359" s="175"/>
      <c r="BU1359" s="175"/>
      <c r="BV1359" s="175"/>
      <c r="BW1359" s="175"/>
    </row>
    <row r="1360" spans="57:75" ht="23.25">
      <c r="BE1360" s="175"/>
      <c r="BF1360" s="175"/>
      <c r="BG1360" s="175"/>
      <c r="BH1360" s="175"/>
      <c r="BI1360" s="175"/>
      <c r="BJ1360" s="175"/>
      <c r="BK1360" s="175"/>
      <c r="BL1360" s="175"/>
      <c r="BM1360" s="175"/>
      <c r="BN1360" s="175"/>
      <c r="BO1360" s="175"/>
      <c r="BP1360" s="175"/>
      <c r="BQ1360" s="175"/>
      <c r="BR1360" s="175"/>
      <c r="BS1360" s="175"/>
      <c r="BT1360" s="175"/>
      <c r="BU1360" s="175"/>
      <c r="BV1360" s="175"/>
      <c r="BW1360" s="175"/>
    </row>
    <row r="1361" spans="1:75" ht="23.25">
      <c r="BE1361" s="175"/>
      <c r="BF1361" s="175"/>
      <c r="BG1361" s="175"/>
      <c r="BH1361" s="175"/>
      <c r="BI1361" s="175"/>
      <c r="BJ1361" s="175"/>
      <c r="BK1361" s="175"/>
      <c r="BL1361" s="175"/>
      <c r="BM1361" s="175"/>
      <c r="BN1361" s="175"/>
      <c r="BO1361" s="175"/>
      <c r="BP1361" s="175"/>
      <c r="BQ1361" s="175"/>
      <c r="BR1361" s="175"/>
      <c r="BS1361" s="175"/>
      <c r="BT1361" s="175"/>
      <c r="BU1361" s="175"/>
      <c r="BV1361" s="175"/>
      <c r="BW1361" s="175"/>
    </row>
    <row r="1362" spans="1:75" ht="23.25">
      <c r="BE1362" s="175"/>
      <c r="BF1362" s="175"/>
      <c r="BG1362" s="175"/>
      <c r="BH1362" s="175"/>
      <c r="BI1362" s="175"/>
      <c r="BJ1362" s="175"/>
      <c r="BK1362" s="175"/>
      <c r="BL1362" s="175"/>
      <c r="BM1362" s="175"/>
      <c r="BN1362" s="175"/>
      <c r="BO1362" s="175"/>
      <c r="BP1362" s="175"/>
      <c r="BQ1362" s="175"/>
      <c r="BR1362" s="175"/>
      <c r="BS1362" s="175"/>
      <c r="BT1362" s="175"/>
      <c r="BU1362" s="175"/>
      <c r="BV1362" s="175"/>
      <c r="BW1362" s="175"/>
    </row>
    <row r="1363" spans="1:75" ht="23.25">
      <c r="BE1363" s="175"/>
      <c r="BF1363" s="175"/>
      <c r="BG1363" s="175"/>
      <c r="BH1363" s="175"/>
      <c r="BI1363" s="175"/>
      <c r="BJ1363" s="175"/>
      <c r="BK1363" s="175"/>
      <c r="BL1363" s="175"/>
      <c r="BM1363" s="175"/>
      <c r="BN1363" s="175"/>
      <c r="BO1363" s="175"/>
      <c r="BP1363" s="175"/>
      <c r="BQ1363" s="175"/>
      <c r="BR1363" s="175"/>
      <c r="BS1363" s="175"/>
      <c r="BT1363" s="175"/>
      <c r="BU1363" s="175"/>
      <c r="BV1363" s="175"/>
      <c r="BW1363" s="175"/>
    </row>
    <row r="1364" spans="1:75" ht="23.25">
      <c r="BE1364" s="175"/>
      <c r="BF1364" s="175"/>
      <c r="BG1364" s="175"/>
      <c r="BH1364" s="175"/>
      <c r="BI1364" s="175"/>
      <c r="BJ1364" s="175"/>
      <c r="BK1364" s="175"/>
      <c r="BL1364" s="175"/>
      <c r="BM1364" s="175"/>
      <c r="BN1364" s="175"/>
      <c r="BO1364" s="175"/>
      <c r="BP1364" s="175"/>
      <c r="BQ1364" s="175"/>
      <c r="BR1364" s="175"/>
      <c r="BS1364" s="175"/>
      <c r="BT1364" s="175"/>
      <c r="BU1364" s="175"/>
      <c r="BV1364" s="175"/>
      <c r="BW1364" s="175"/>
    </row>
    <row r="1365" spans="1:75" ht="23.25">
      <c r="BE1365" s="175"/>
      <c r="BF1365" s="175"/>
      <c r="BG1365" s="175"/>
      <c r="BH1365" s="175"/>
      <c r="BI1365" s="175"/>
      <c r="BJ1365" s="175"/>
      <c r="BK1365" s="175"/>
      <c r="BL1365" s="175"/>
      <c r="BM1365" s="175"/>
      <c r="BN1365" s="175"/>
      <c r="BO1365" s="175"/>
      <c r="BP1365" s="175"/>
      <c r="BQ1365" s="175"/>
      <c r="BR1365" s="175"/>
      <c r="BS1365" s="175"/>
      <c r="BT1365" s="175"/>
      <c r="BU1365" s="175"/>
      <c r="BV1365" s="175"/>
      <c r="BW1365" s="175"/>
    </row>
    <row r="1366" spans="1:75" ht="23.25">
      <c r="BE1366" s="175"/>
      <c r="BF1366" s="175"/>
      <c r="BG1366" s="175"/>
      <c r="BH1366" s="175"/>
      <c r="BI1366" s="175"/>
      <c r="BJ1366" s="175"/>
      <c r="BK1366" s="175"/>
      <c r="BL1366" s="175"/>
      <c r="BM1366" s="175"/>
      <c r="BN1366" s="175"/>
      <c r="BO1366" s="175"/>
      <c r="BP1366" s="175"/>
      <c r="BQ1366" s="175"/>
      <c r="BR1366" s="175"/>
      <c r="BS1366" s="175"/>
      <c r="BT1366" s="175"/>
      <c r="BU1366" s="175"/>
      <c r="BV1366" s="175"/>
      <c r="BW1366" s="175"/>
    </row>
    <row r="1367" spans="1:75" ht="23.25">
      <c r="BE1367" s="175"/>
      <c r="BF1367" s="175"/>
      <c r="BG1367" s="175"/>
      <c r="BH1367" s="175"/>
      <c r="BI1367" s="175"/>
      <c r="BJ1367" s="175"/>
      <c r="BK1367" s="175"/>
      <c r="BL1367" s="175"/>
      <c r="BM1367" s="175"/>
      <c r="BN1367" s="175"/>
      <c r="BO1367" s="175"/>
      <c r="BP1367" s="175"/>
      <c r="BQ1367" s="175"/>
      <c r="BR1367" s="175"/>
      <c r="BS1367" s="175"/>
      <c r="BT1367" s="175"/>
      <c r="BU1367" s="175"/>
      <c r="BV1367" s="175"/>
      <c r="BW1367" s="175"/>
    </row>
    <row r="1368" spans="1:75" ht="23.25">
      <c r="BE1368" s="175"/>
      <c r="BF1368" s="175"/>
      <c r="BG1368" s="175"/>
      <c r="BH1368" s="175"/>
      <c r="BI1368" s="175"/>
      <c r="BJ1368" s="175"/>
      <c r="BK1368" s="175"/>
      <c r="BL1368" s="175"/>
      <c r="BM1368" s="175"/>
      <c r="BN1368" s="175"/>
      <c r="BO1368" s="175"/>
      <c r="BP1368" s="175"/>
      <c r="BQ1368" s="175"/>
      <c r="BR1368" s="175"/>
      <c r="BS1368" s="175"/>
      <c r="BT1368" s="175"/>
      <c r="BU1368" s="175"/>
      <c r="BV1368" s="175"/>
      <c r="BW1368" s="175"/>
    </row>
    <row r="1369" spans="1:75" ht="23.25">
      <c r="BE1369" s="175"/>
      <c r="BF1369" s="175"/>
      <c r="BG1369" s="175"/>
      <c r="BH1369" s="175"/>
      <c r="BI1369" s="175"/>
      <c r="BJ1369" s="175"/>
      <c r="BK1369" s="175"/>
      <c r="BL1369" s="175"/>
      <c r="BM1369" s="175"/>
      <c r="BN1369" s="175"/>
      <c r="BO1369" s="175"/>
      <c r="BP1369" s="175"/>
      <c r="BQ1369" s="175"/>
      <c r="BR1369" s="175"/>
      <c r="BS1369" s="175"/>
      <c r="BT1369" s="175"/>
      <c r="BU1369" s="175"/>
      <c r="BV1369" s="175"/>
      <c r="BW1369" s="175"/>
    </row>
    <row r="1370" spans="1:75" ht="23.25">
      <c r="BE1370" s="175"/>
      <c r="BF1370" s="175"/>
      <c r="BG1370" s="175"/>
      <c r="BH1370" s="175"/>
      <c r="BI1370" s="175"/>
      <c r="BJ1370" s="175"/>
      <c r="BK1370" s="175"/>
      <c r="BL1370" s="175"/>
      <c r="BM1370" s="175"/>
      <c r="BN1370" s="175"/>
      <c r="BO1370" s="175"/>
      <c r="BP1370" s="175"/>
      <c r="BQ1370" s="175"/>
      <c r="BR1370" s="175"/>
      <c r="BS1370" s="175"/>
      <c r="BT1370" s="175"/>
      <c r="BU1370" s="175"/>
      <c r="BV1370" s="175"/>
      <c r="BW1370" s="175"/>
    </row>
    <row r="1371" spans="1:75" ht="23.25">
      <c r="BE1371" s="175"/>
      <c r="BF1371" s="175"/>
      <c r="BG1371" s="175"/>
      <c r="BH1371" s="175"/>
      <c r="BI1371" s="175"/>
      <c r="BJ1371" s="175"/>
      <c r="BK1371" s="175"/>
      <c r="BL1371" s="175"/>
      <c r="BM1371" s="175"/>
      <c r="BN1371" s="175"/>
      <c r="BO1371" s="175"/>
      <c r="BP1371" s="175"/>
      <c r="BQ1371" s="175"/>
      <c r="BR1371" s="175"/>
      <c r="BS1371" s="175"/>
      <c r="BT1371" s="175"/>
      <c r="BU1371" s="175"/>
      <c r="BV1371" s="175"/>
      <c r="BW1371" s="175"/>
    </row>
    <row r="1372" spans="1:75" ht="23.25">
      <c r="BE1372" s="175"/>
      <c r="BF1372" s="175"/>
      <c r="BG1372" s="175"/>
      <c r="BH1372" s="175"/>
      <c r="BI1372" s="175"/>
      <c r="BJ1372" s="175"/>
      <c r="BK1372" s="175"/>
      <c r="BL1372" s="175"/>
      <c r="BM1372" s="175"/>
      <c r="BN1372" s="175"/>
      <c r="BO1372" s="175"/>
      <c r="BP1372" s="175"/>
      <c r="BQ1372" s="175"/>
      <c r="BR1372" s="175"/>
      <c r="BS1372" s="175"/>
      <c r="BT1372" s="175"/>
      <c r="BU1372" s="175"/>
      <c r="BV1372" s="175"/>
      <c r="BW1372" s="175"/>
    </row>
    <row r="1373" spans="1:75" ht="23.25">
      <c r="BE1373" s="175"/>
      <c r="BF1373" s="175"/>
      <c r="BG1373" s="175"/>
      <c r="BH1373" s="175"/>
      <c r="BI1373" s="175"/>
      <c r="BJ1373" s="175"/>
      <c r="BK1373" s="175"/>
      <c r="BL1373" s="175"/>
      <c r="BM1373" s="175"/>
      <c r="BN1373" s="175"/>
      <c r="BO1373" s="175"/>
      <c r="BP1373" s="175"/>
      <c r="BQ1373" s="175"/>
      <c r="BR1373" s="175"/>
      <c r="BS1373" s="175"/>
      <c r="BT1373" s="175"/>
      <c r="BU1373" s="175"/>
      <c r="BV1373" s="175"/>
      <c r="BW1373" s="175"/>
    </row>
    <row r="1374" spans="1:75" ht="26.25">
      <c r="A1374" s="164"/>
      <c r="B1374" s="164"/>
      <c r="C1374" s="164"/>
      <c r="D1374" s="164"/>
      <c r="E1374" s="164"/>
      <c r="F1374" s="165"/>
      <c r="G1374" s="165"/>
      <c r="H1374" s="166"/>
      <c r="I1374" s="166"/>
      <c r="J1374" s="166"/>
      <c r="K1374" s="166"/>
      <c r="L1374" s="166"/>
      <c r="M1374" s="167"/>
      <c r="N1374" s="166"/>
      <c r="O1374" s="168"/>
      <c r="P1374" s="166"/>
      <c r="Q1374" s="168"/>
      <c r="R1374" s="166"/>
      <c r="S1374" s="164"/>
      <c r="T1374" s="166"/>
      <c r="U1374" s="166"/>
      <c r="V1374" s="166"/>
      <c r="W1374" s="166"/>
      <c r="X1374" s="164"/>
      <c r="Y1374" s="166"/>
      <c r="Z1374" s="166"/>
      <c r="AA1374" s="770"/>
      <c r="AB1374" s="166"/>
      <c r="AC1374" s="166"/>
      <c r="AD1374" s="166"/>
      <c r="AE1374" s="169"/>
      <c r="AF1374" s="170"/>
      <c r="AG1374" s="168"/>
      <c r="AH1374" s="22"/>
      <c r="AI1374" s="169"/>
      <c r="AJ1374" s="169"/>
      <c r="AK1374" s="169"/>
      <c r="AL1374" s="169"/>
      <c r="AM1374" s="164"/>
      <c r="AN1374" s="164"/>
      <c r="AO1374" s="171"/>
      <c r="AP1374" s="164"/>
      <c r="AQ1374" s="164"/>
      <c r="AR1374" s="770"/>
      <c r="AS1374" s="770"/>
      <c r="AT1374" s="164"/>
      <c r="AU1374" s="164"/>
      <c r="AV1374" s="605"/>
      <c r="BA1374" s="321"/>
      <c r="BE1374" s="175"/>
      <c r="BF1374" s="175"/>
      <c r="BG1374" s="175"/>
      <c r="BH1374" s="175"/>
      <c r="BI1374" s="175"/>
      <c r="BJ1374" s="175"/>
      <c r="BK1374" s="175"/>
      <c r="BL1374" s="175"/>
      <c r="BM1374" s="175"/>
      <c r="BN1374" s="175"/>
      <c r="BO1374" s="175"/>
      <c r="BP1374" s="175"/>
      <c r="BQ1374" s="175"/>
      <c r="BR1374" s="175"/>
      <c r="BS1374" s="175"/>
      <c r="BT1374" s="175"/>
      <c r="BU1374" s="175"/>
      <c r="BV1374" s="175"/>
      <c r="BW1374" s="175"/>
    </row>
    <row r="1375" spans="1:75" ht="40.5" customHeight="1">
      <c r="A1375" s="164"/>
      <c r="B1375" s="164"/>
      <c r="C1375" s="164"/>
      <c r="D1375" s="164"/>
      <c r="E1375" s="164"/>
      <c r="F1375" s="165"/>
      <c r="G1375" s="165"/>
      <c r="H1375" s="166"/>
      <c r="I1375" s="166"/>
      <c r="J1375" s="166"/>
      <c r="K1375" s="166"/>
      <c r="L1375" s="166"/>
      <c r="M1375" s="167"/>
      <c r="N1375" s="166"/>
      <c r="O1375" s="168"/>
      <c r="P1375" s="166"/>
      <c r="Q1375" s="168"/>
      <c r="R1375" s="166"/>
      <c r="S1375" s="164"/>
      <c r="T1375" s="166"/>
      <c r="U1375" s="166"/>
      <c r="V1375" s="166"/>
      <c r="W1375" s="166"/>
      <c r="X1375" s="164"/>
      <c r="Y1375" s="166"/>
      <c r="Z1375" s="166"/>
      <c r="AA1375" s="770"/>
      <c r="AB1375" s="166"/>
      <c r="AC1375" s="166"/>
      <c r="AD1375" s="166"/>
      <c r="AE1375" s="169"/>
      <c r="AF1375" s="170"/>
      <c r="AG1375" s="168"/>
      <c r="AH1375" s="22"/>
      <c r="AI1375" s="169"/>
      <c r="AJ1375" s="169"/>
      <c r="AK1375" s="169"/>
      <c r="AL1375" s="169"/>
      <c r="AM1375" s="164"/>
      <c r="AN1375" s="164"/>
      <c r="AO1375" s="171"/>
      <c r="AP1375" s="164"/>
      <c r="AQ1375" s="164"/>
      <c r="AR1375" s="770"/>
      <c r="AS1375" s="770"/>
      <c r="AT1375" s="164"/>
      <c r="AU1375" s="164"/>
      <c r="AV1375" s="605"/>
      <c r="BA1375" s="321"/>
      <c r="BE1375" s="175"/>
      <c r="BF1375" s="175"/>
      <c r="BG1375" s="175"/>
      <c r="BH1375" s="175"/>
      <c r="BI1375" s="175"/>
      <c r="BJ1375" s="175"/>
      <c r="BK1375" s="175"/>
      <c r="BL1375" s="175"/>
      <c r="BM1375" s="175"/>
      <c r="BN1375" s="175"/>
      <c r="BO1375" s="175"/>
      <c r="BP1375" s="175"/>
      <c r="BQ1375" s="175"/>
      <c r="BR1375" s="175"/>
      <c r="BS1375" s="175"/>
      <c r="BT1375" s="175"/>
      <c r="BU1375" s="175"/>
      <c r="BV1375" s="175"/>
      <c r="BW1375" s="175"/>
    </row>
    <row r="1376" spans="1:75" ht="39" customHeight="1">
      <c r="A1376" s="164"/>
      <c r="B1376" s="164"/>
      <c r="C1376" s="164"/>
      <c r="D1376" s="164"/>
      <c r="E1376" s="164"/>
      <c r="F1376" s="165"/>
      <c r="G1376" s="165"/>
      <c r="H1376" s="166"/>
      <c r="I1376" s="166"/>
      <c r="J1376" s="166"/>
      <c r="K1376" s="166"/>
      <c r="L1376" s="166"/>
      <c r="M1376" s="167"/>
      <c r="N1376" s="166"/>
      <c r="O1376" s="168"/>
      <c r="P1376" s="166"/>
      <c r="Q1376" s="168"/>
      <c r="R1376" s="166"/>
      <c r="S1376" s="164"/>
      <c r="T1376" s="166"/>
      <c r="U1376" s="166"/>
      <c r="V1376" s="166"/>
      <c r="W1376" s="166"/>
      <c r="X1376" s="164"/>
      <c r="Y1376" s="166"/>
      <c r="Z1376" s="166"/>
      <c r="AA1376" s="770"/>
      <c r="AB1376" s="166"/>
      <c r="AC1376" s="166"/>
      <c r="AD1376" s="166"/>
      <c r="AE1376" s="169"/>
      <c r="AF1376" s="170"/>
      <c r="AG1376" s="168"/>
      <c r="AH1376" s="22"/>
      <c r="AI1376" s="169"/>
      <c r="AJ1376" s="169"/>
      <c r="AK1376" s="169"/>
      <c r="AL1376" s="169"/>
      <c r="AM1376" s="164"/>
      <c r="AN1376" s="164"/>
      <c r="AO1376" s="171"/>
      <c r="AP1376" s="164"/>
      <c r="AQ1376" s="164"/>
      <c r="AR1376" s="770"/>
      <c r="AS1376" s="770"/>
      <c r="AT1376" s="164"/>
      <c r="AU1376" s="164"/>
      <c r="AV1376" s="605"/>
      <c r="BA1376" s="321"/>
      <c r="BE1376" s="175"/>
      <c r="BF1376" s="175"/>
      <c r="BG1376" s="175"/>
      <c r="BH1376" s="175"/>
      <c r="BI1376" s="175"/>
      <c r="BJ1376" s="175"/>
      <c r="BK1376" s="175"/>
      <c r="BL1376" s="175"/>
      <c r="BM1376" s="175"/>
      <c r="BN1376" s="175"/>
      <c r="BO1376" s="175"/>
      <c r="BP1376" s="175"/>
      <c r="BQ1376" s="175"/>
      <c r="BR1376" s="175"/>
      <c r="BS1376" s="175"/>
      <c r="BT1376" s="175"/>
      <c r="BU1376" s="175"/>
      <c r="BV1376" s="175"/>
      <c r="BW1376" s="175"/>
    </row>
    <row r="1377" spans="1:75" ht="26.25">
      <c r="A1377" s="164"/>
      <c r="B1377" s="164"/>
      <c r="C1377" s="164"/>
      <c r="D1377" s="164"/>
      <c r="E1377" s="164"/>
      <c r="F1377" s="165"/>
      <c r="G1377" s="165"/>
      <c r="H1377" s="166"/>
      <c r="I1377" s="166"/>
      <c r="J1377" s="166"/>
      <c r="K1377" s="166"/>
      <c r="L1377" s="166"/>
      <c r="M1377" s="167"/>
      <c r="N1377" s="166"/>
      <c r="O1377" s="168"/>
      <c r="P1377" s="166"/>
      <c r="Q1377" s="168"/>
      <c r="R1377" s="166"/>
      <c r="S1377" s="164"/>
      <c r="T1377" s="166"/>
      <c r="U1377" s="166"/>
      <c r="V1377" s="166"/>
      <c r="W1377" s="166"/>
      <c r="X1377" s="164"/>
      <c r="Y1377" s="166"/>
      <c r="Z1377" s="166"/>
      <c r="AA1377" s="770"/>
      <c r="AB1377" s="166"/>
      <c r="AC1377" s="166"/>
      <c r="AD1377" s="166"/>
      <c r="AE1377" s="169"/>
      <c r="AF1377" s="170"/>
      <c r="AG1377" s="168"/>
      <c r="AH1377" s="22"/>
      <c r="AI1377" s="169"/>
      <c r="AJ1377" s="169"/>
      <c r="AK1377" s="169"/>
      <c r="AL1377" s="169"/>
      <c r="AM1377" s="164"/>
      <c r="AN1377" s="164"/>
      <c r="AO1377" s="171"/>
      <c r="AP1377" s="164"/>
      <c r="AQ1377" s="164"/>
      <c r="AR1377" s="770"/>
      <c r="AS1377" s="770"/>
      <c r="AT1377" s="164"/>
      <c r="AU1377" s="164"/>
      <c r="AV1377" s="605"/>
      <c r="BA1377" s="321"/>
      <c r="BE1377" s="175"/>
      <c r="BF1377" s="175"/>
      <c r="BG1377" s="175"/>
      <c r="BH1377" s="175"/>
      <c r="BI1377" s="175"/>
      <c r="BJ1377" s="175"/>
      <c r="BK1377" s="175"/>
      <c r="BL1377" s="175"/>
      <c r="BM1377" s="175"/>
      <c r="BN1377" s="175"/>
      <c r="BO1377" s="175"/>
      <c r="BP1377" s="175"/>
      <c r="BQ1377" s="175"/>
      <c r="BR1377" s="175"/>
      <c r="BS1377" s="175"/>
      <c r="BT1377" s="175"/>
      <c r="BU1377" s="175"/>
      <c r="BV1377" s="175"/>
      <c r="BW1377" s="175"/>
    </row>
    <row r="1378" spans="1:75" ht="26.25">
      <c r="A1378" s="164"/>
      <c r="B1378" s="164"/>
      <c r="C1378" s="164"/>
      <c r="D1378" s="164"/>
      <c r="E1378" s="164"/>
      <c r="F1378" s="165"/>
      <c r="G1378" s="165"/>
      <c r="H1378" s="166"/>
      <c r="I1378" s="166"/>
      <c r="J1378" s="166"/>
      <c r="K1378" s="166"/>
      <c r="L1378" s="166"/>
      <c r="M1378" s="167"/>
      <c r="N1378" s="166"/>
      <c r="O1378" s="168"/>
      <c r="P1378" s="166"/>
      <c r="Q1378" s="168"/>
      <c r="R1378" s="166"/>
      <c r="S1378" s="164"/>
      <c r="T1378" s="166"/>
      <c r="U1378" s="166"/>
      <c r="V1378" s="166"/>
      <c r="W1378" s="166"/>
      <c r="X1378" s="164"/>
      <c r="Y1378" s="166"/>
      <c r="Z1378" s="166"/>
      <c r="AA1378" s="770"/>
      <c r="AB1378" s="166"/>
      <c r="AC1378" s="166"/>
      <c r="AD1378" s="166"/>
      <c r="AE1378" s="169"/>
      <c r="AF1378" s="170"/>
      <c r="AG1378" s="168"/>
      <c r="AH1378" s="22"/>
      <c r="AI1378" s="169"/>
      <c r="AJ1378" s="169"/>
      <c r="AK1378" s="169"/>
      <c r="AL1378" s="169"/>
      <c r="AM1378" s="164"/>
      <c r="AN1378" s="164"/>
      <c r="AO1378" s="171"/>
      <c r="AP1378" s="164"/>
      <c r="AQ1378" s="164"/>
      <c r="AR1378" s="770"/>
      <c r="AS1378" s="770"/>
      <c r="AT1378" s="164"/>
      <c r="AU1378" s="164"/>
      <c r="AV1378" s="605"/>
      <c r="BA1378" s="321"/>
      <c r="BE1378" s="175"/>
      <c r="BF1378" s="175"/>
      <c r="BG1378" s="175"/>
      <c r="BH1378" s="175"/>
      <c r="BI1378" s="175"/>
      <c r="BJ1378" s="175"/>
      <c r="BK1378" s="175"/>
      <c r="BL1378" s="175"/>
      <c r="BM1378" s="175"/>
      <c r="BN1378" s="175"/>
      <c r="BO1378" s="175"/>
      <c r="BP1378" s="175"/>
      <c r="BQ1378" s="175"/>
      <c r="BR1378" s="175"/>
      <c r="BS1378" s="175"/>
      <c r="BT1378" s="175"/>
      <c r="BU1378" s="175"/>
      <c r="BV1378" s="175"/>
      <c r="BW1378" s="175"/>
    </row>
    <row r="1379" spans="1:75" ht="26.25">
      <c r="A1379" s="164"/>
      <c r="B1379" s="164"/>
      <c r="C1379" s="164"/>
      <c r="D1379" s="164"/>
      <c r="E1379" s="164"/>
      <c r="F1379" s="165"/>
      <c r="G1379" s="165"/>
      <c r="H1379" s="166"/>
      <c r="I1379" s="166"/>
      <c r="J1379" s="166"/>
      <c r="K1379" s="166"/>
      <c r="L1379" s="166"/>
      <c r="M1379" s="167"/>
      <c r="N1379" s="166"/>
      <c r="O1379" s="168"/>
      <c r="P1379" s="166"/>
      <c r="Q1379" s="168"/>
      <c r="R1379" s="166"/>
      <c r="S1379" s="164"/>
      <c r="T1379" s="166"/>
      <c r="U1379" s="166"/>
      <c r="V1379" s="166"/>
      <c r="W1379" s="166"/>
      <c r="X1379" s="164"/>
      <c r="Y1379" s="166"/>
      <c r="Z1379" s="166"/>
      <c r="AA1379" s="770"/>
      <c r="AB1379" s="166"/>
      <c r="AC1379" s="166"/>
      <c r="AD1379" s="166"/>
      <c r="AE1379" s="169"/>
      <c r="AF1379" s="170"/>
      <c r="AG1379" s="168"/>
      <c r="AH1379" s="22"/>
      <c r="AI1379" s="169"/>
      <c r="AJ1379" s="169"/>
      <c r="AK1379" s="169"/>
      <c r="AL1379" s="169"/>
      <c r="AM1379" s="164"/>
      <c r="AN1379" s="164"/>
      <c r="AO1379" s="171"/>
      <c r="AP1379" s="164"/>
      <c r="AQ1379" s="164"/>
      <c r="AR1379" s="770"/>
      <c r="AS1379" s="770"/>
      <c r="AT1379" s="164"/>
      <c r="AU1379" s="164"/>
      <c r="AV1379" s="605"/>
      <c r="BA1379" s="321"/>
      <c r="BE1379" s="175"/>
      <c r="BF1379" s="175"/>
      <c r="BG1379" s="175"/>
      <c r="BH1379" s="175"/>
      <c r="BI1379" s="175"/>
      <c r="BJ1379" s="175"/>
      <c r="BK1379" s="175"/>
      <c r="BL1379" s="175"/>
      <c r="BM1379" s="175"/>
      <c r="BN1379" s="175"/>
      <c r="BO1379" s="175"/>
      <c r="BP1379" s="175"/>
      <c r="BQ1379" s="175"/>
      <c r="BR1379" s="175"/>
      <c r="BS1379" s="175"/>
      <c r="BT1379" s="175"/>
      <c r="BU1379" s="175"/>
      <c r="BV1379" s="175"/>
      <c r="BW1379" s="175"/>
    </row>
    <row r="1380" spans="1:75" ht="23.25">
      <c r="BE1380" s="175"/>
      <c r="BF1380" s="175"/>
      <c r="BG1380" s="175"/>
      <c r="BH1380" s="175"/>
      <c r="BI1380" s="175"/>
      <c r="BJ1380" s="175"/>
      <c r="BK1380" s="175"/>
      <c r="BL1380" s="175"/>
      <c r="BM1380" s="175"/>
      <c r="BN1380" s="175"/>
      <c r="BO1380" s="175"/>
      <c r="BP1380" s="175"/>
      <c r="BQ1380" s="175"/>
      <c r="BR1380" s="175"/>
      <c r="BS1380" s="175"/>
      <c r="BT1380" s="175"/>
      <c r="BU1380" s="175"/>
      <c r="BV1380" s="175"/>
      <c r="BW1380" s="175"/>
    </row>
    <row r="1381" spans="1:75" ht="23.25">
      <c r="BE1381" s="175"/>
      <c r="BF1381" s="175"/>
      <c r="BG1381" s="175"/>
      <c r="BH1381" s="175"/>
      <c r="BI1381" s="175"/>
      <c r="BJ1381" s="175"/>
      <c r="BK1381" s="175"/>
      <c r="BL1381" s="175"/>
      <c r="BM1381" s="175"/>
      <c r="BN1381" s="175"/>
      <c r="BO1381" s="175"/>
      <c r="BP1381" s="175"/>
      <c r="BQ1381" s="175"/>
      <c r="BR1381" s="175"/>
      <c r="BS1381" s="175"/>
      <c r="BT1381" s="175"/>
      <c r="BU1381" s="175"/>
      <c r="BV1381" s="175"/>
      <c r="BW1381" s="175"/>
    </row>
    <row r="1382" spans="1:75" ht="23.25">
      <c r="BE1382" s="175"/>
      <c r="BF1382" s="175"/>
      <c r="BG1382" s="175"/>
      <c r="BH1382" s="175"/>
      <c r="BI1382" s="175"/>
      <c r="BJ1382" s="175"/>
      <c r="BK1382" s="175"/>
      <c r="BL1382" s="175"/>
      <c r="BM1382" s="175"/>
      <c r="BN1382" s="175"/>
      <c r="BO1382" s="175"/>
      <c r="BP1382" s="175"/>
      <c r="BQ1382" s="175"/>
      <c r="BR1382" s="175"/>
      <c r="BS1382" s="175"/>
      <c r="BT1382" s="175"/>
      <c r="BU1382" s="175"/>
      <c r="BV1382" s="175"/>
      <c r="BW1382" s="175"/>
    </row>
    <row r="1383" spans="1:75" ht="23.25">
      <c r="BE1383" s="175"/>
      <c r="BF1383" s="175"/>
      <c r="BG1383" s="175"/>
      <c r="BH1383" s="175"/>
      <c r="BI1383" s="175"/>
      <c r="BJ1383" s="175"/>
      <c r="BK1383" s="175"/>
      <c r="BL1383" s="175"/>
      <c r="BM1383" s="175"/>
      <c r="BN1383" s="175"/>
      <c r="BO1383" s="175"/>
      <c r="BP1383" s="175"/>
      <c r="BQ1383" s="175"/>
      <c r="BR1383" s="175"/>
      <c r="BS1383" s="175"/>
      <c r="BT1383" s="175"/>
      <c r="BU1383" s="175"/>
      <c r="BV1383" s="175"/>
      <c r="BW1383" s="175"/>
    </row>
    <row r="1384" spans="1:75" ht="23.25">
      <c r="BE1384" s="175"/>
      <c r="BF1384" s="175"/>
      <c r="BG1384" s="175"/>
      <c r="BH1384" s="175"/>
      <c r="BI1384" s="175"/>
      <c r="BJ1384" s="175"/>
      <c r="BK1384" s="175"/>
      <c r="BL1384" s="175"/>
      <c r="BM1384" s="175"/>
      <c r="BN1384" s="175"/>
      <c r="BO1384" s="175"/>
      <c r="BP1384" s="175"/>
      <c r="BQ1384" s="175"/>
      <c r="BR1384" s="175"/>
      <c r="BS1384" s="175"/>
      <c r="BT1384" s="175"/>
      <c r="BU1384" s="175"/>
      <c r="BV1384" s="175"/>
      <c r="BW1384" s="175"/>
    </row>
    <row r="1385" spans="1:75" ht="23.25">
      <c r="BE1385" s="175"/>
      <c r="BF1385" s="175"/>
      <c r="BG1385" s="175"/>
      <c r="BH1385" s="175"/>
      <c r="BI1385" s="175"/>
      <c r="BJ1385" s="175"/>
      <c r="BK1385" s="175"/>
      <c r="BL1385" s="175"/>
      <c r="BM1385" s="175"/>
      <c r="BN1385" s="175"/>
      <c r="BO1385" s="175"/>
      <c r="BP1385" s="175"/>
      <c r="BQ1385" s="175"/>
      <c r="BR1385" s="175"/>
      <c r="BS1385" s="175"/>
      <c r="BT1385" s="175"/>
      <c r="BU1385" s="175"/>
      <c r="BV1385" s="175"/>
      <c r="BW1385" s="175"/>
    </row>
    <row r="1386" spans="1:75" ht="23.25">
      <c r="BE1386" s="175"/>
      <c r="BF1386" s="175"/>
      <c r="BG1386" s="175"/>
      <c r="BH1386" s="175"/>
      <c r="BI1386" s="175"/>
      <c r="BJ1386" s="175"/>
      <c r="BK1386" s="175"/>
      <c r="BL1386" s="175"/>
      <c r="BM1386" s="175"/>
      <c r="BN1386" s="175"/>
      <c r="BO1386" s="175"/>
      <c r="BP1386" s="175"/>
      <c r="BQ1386" s="175"/>
      <c r="BR1386" s="175"/>
      <c r="BS1386" s="175"/>
      <c r="BT1386" s="175"/>
      <c r="BU1386" s="175"/>
      <c r="BV1386" s="175"/>
      <c r="BW1386" s="175"/>
    </row>
    <row r="1387" spans="1:75" ht="23.25">
      <c r="BE1387" s="175"/>
      <c r="BF1387" s="175"/>
      <c r="BG1387" s="175"/>
      <c r="BH1387" s="175"/>
      <c r="BI1387" s="175"/>
      <c r="BJ1387" s="175"/>
      <c r="BK1387" s="175"/>
      <c r="BL1387" s="175"/>
      <c r="BM1387" s="175"/>
      <c r="BN1387" s="175"/>
      <c r="BO1387" s="175"/>
      <c r="BP1387" s="175"/>
      <c r="BQ1387" s="175"/>
      <c r="BR1387" s="175"/>
      <c r="BS1387" s="175"/>
      <c r="BT1387" s="175"/>
      <c r="BU1387" s="175"/>
      <c r="BV1387" s="175"/>
      <c r="BW1387" s="175"/>
    </row>
    <row r="1388" spans="1:75" ht="23.25">
      <c r="BE1388" s="175"/>
      <c r="BF1388" s="175"/>
      <c r="BG1388" s="175"/>
      <c r="BH1388" s="175"/>
      <c r="BI1388" s="175"/>
      <c r="BJ1388" s="175"/>
      <c r="BK1388" s="175"/>
      <c r="BL1388" s="175"/>
      <c r="BM1388" s="175"/>
      <c r="BN1388" s="175"/>
      <c r="BO1388" s="175"/>
      <c r="BP1388" s="175"/>
      <c r="BQ1388" s="175"/>
      <c r="BR1388" s="175"/>
      <c r="BS1388" s="175"/>
      <c r="BT1388" s="175"/>
      <c r="BU1388" s="175"/>
      <c r="BV1388" s="175"/>
      <c r="BW1388" s="175"/>
    </row>
    <row r="1389" spans="1:75" ht="23.25">
      <c r="BE1389" s="175"/>
      <c r="BF1389" s="175"/>
      <c r="BG1389" s="175"/>
      <c r="BH1389" s="175"/>
      <c r="BI1389" s="175"/>
      <c r="BJ1389" s="175"/>
      <c r="BK1389" s="175"/>
      <c r="BL1389" s="175"/>
      <c r="BM1389" s="175"/>
      <c r="BN1389" s="175"/>
      <c r="BO1389" s="175"/>
      <c r="BP1389" s="175"/>
      <c r="BQ1389" s="175"/>
      <c r="BR1389" s="175"/>
      <c r="BS1389" s="175"/>
      <c r="BT1389" s="175"/>
      <c r="BU1389" s="175"/>
      <c r="BV1389" s="175"/>
      <c r="BW1389" s="175"/>
    </row>
    <row r="1390" spans="1:75" ht="23.25">
      <c r="BE1390" s="175"/>
      <c r="BF1390" s="175"/>
      <c r="BG1390" s="175"/>
      <c r="BH1390" s="175"/>
      <c r="BI1390" s="175"/>
      <c r="BJ1390" s="175"/>
      <c r="BK1390" s="175"/>
      <c r="BL1390" s="175"/>
      <c r="BM1390" s="175"/>
      <c r="BN1390" s="175"/>
      <c r="BO1390" s="175"/>
      <c r="BP1390" s="175"/>
      <c r="BQ1390" s="175"/>
      <c r="BR1390" s="175"/>
      <c r="BS1390" s="175"/>
      <c r="BT1390" s="175"/>
      <c r="BU1390" s="175"/>
      <c r="BV1390" s="175"/>
      <c r="BW1390" s="175"/>
    </row>
    <row r="1391" spans="1:75" ht="23.25">
      <c r="BE1391" s="175"/>
      <c r="BF1391" s="175"/>
      <c r="BG1391" s="175"/>
      <c r="BH1391" s="175"/>
      <c r="BI1391" s="175"/>
      <c r="BJ1391" s="175"/>
      <c r="BK1391" s="175"/>
      <c r="BL1391" s="175"/>
      <c r="BM1391" s="175"/>
      <c r="BN1391" s="175"/>
      <c r="BO1391" s="175"/>
      <c r="BP1391" s="175"/>
      <c r="BQ1391" s="175"/>
      <c r="BR1391" s="175"/>
      <c r="BS1391" s="175"/>
      <c r="BT1391" s="175"/>
      <c r="BU1391" s="175"/>
      <c r="BV1391" s="175"/>
      <c r="BW1391" s="175"/>
    </row>
    <row r="1392" spans="1:75" ht="23.25">
      <c r="BE1392" s="175"/>
      <c r="BF1392" s="175"/>
      <c r="BG1392" s="175"/>
      <c r="BH1392" s="175"/>
      <c r="BI1392" s="175"/>
      <c r="BJ1392" s="175"/>
      <c r="BK1392" s="175"/>
      <c r="BL1392" s="175"/>
      <c r="BM1392" s="175"/>
      <c r="BN1392" s="175"/>
      <c r="BO1392" s="175"/>
      <c r="BP1392" s="175"/>
      <c r="BQ1392" s="175"/>
      <c r="BR1392" s="175"/>
      <c r="BS1392" s="175"/>
      <c r="BT1392" s="175"/>
      <c r="BU1392" s="175"/>
      <c r="BV1392" s="175"/>
      <c r="BW1392" s="175"/>
    </row>
    <row r="1393" spans="57:75" ht="23.25">
      <c r="BE1393" s="175"/>
      <c r="BF1393" s="175"/>
      <c r="BG1393" s="175"/>
      <c r="BH1393" s="175"/>
      <c r="BI1393" s="175"/>
      <c r="BJ1393" s="175"/>
      <c r="BK1393" s="175"/>
      <c r="BL1393" s="175"/>
      <c r="BM1393" s="175"/>
      <c r="BN1393" s="175"/>
      <c r="BO1393" s="175"/>
      <c r="BP1393" s="175"/>
      <c r="BQ1393" s="175"/>
      <c r="BR1393" s="175"/>
      <c r="BS1393" s="175"/>
      <c r="BT1393" s="175"/>
      <c r="BU1393" s="175"/>
      <c r="BV1393" s="175"/>
      <c r="BW1393" s="175"/>
    </row>
    <row r="1394" spans="57:75" ht="23.25">
      <c r="BE1394" s="175"/>
      <c r="BF1394" s="175"/>
      <c r="BG1394" s="175"/>
      <c r="BH1394" s="175"/>
      <c r="BI1394" s="175"/>
      <c r="BJ1394" s="175"/>
      <c r="BK1394" s="175"/>
      <c r="BL1394" s="175"/>
      <c r="BM1394" s="175"/>
      <c r="BN1394" s="175"/>
      <c r="BO1394" s="175"/>
      <c r="BP1394" s="175"/>
      <c r="BQ1394" s="175"/>
      <c r="BR1394" s="175"/>
      <c r="BS1394" s="175"/>
      <c r="BT1394" s="175"/>
      <c r="BU1394" s="175"/>
      <c r="BV1394" s="175"/>
      <c r="BW1394" s="175"/>
    </row>
    <row r="1395" spans="57:75" ht="23.25">
      <c r="BE1395" s="175"/>
      <c r="BF1395" s="175"/>
      <c r="BG1395" s="175"/>
      <c r="BH1395" s="175"/>
      <c r="BI1395" s="175"/>
      <c r="BJ1395" s="175"/>
      <c r="BK1395" s="175"/>
      <c r="BL1395" s="175"/>
      <c r="BM1395" s="175"/>
      <c r="BN1395" s="175"/>
      <c r="BO1395" s="175"/>
      <c r="BP1395" s="175"/>
      <c r="BQ1395" s="175"/>
      <c r="BR1395" s="175"/>
      <c r="BS1395" s="175"/>
      <c r="BT1395" s="175"/>
      <c r="BU1395" s="175"/>
      <c r="BV1395" s="175"/>
      <c r="BW1395" s="175"/>
    </row>
    <row r="1396" spans="57:75" ht="23.25">
      <c r="BE1396" s="175"/>
      <c r="BF1396" s="175"/>
      <c r="BG1396" s="175"/>
      <c r="BH1396" s="175"/>
      <c r="BI1396" s="175"/>
      <c r="BJ1396" s="175"/>
      <c r="BK1396" s="175"/>
      <c r="BL1396" s="175"/>
      <c r="BM1396" s="175"/>
      <c r="BN1396" s="175"/>
      <c r="BO1396" s="175"/>
      <c r="BP1396" s="175"/>
      <c r="BQ1396" s="175"/>
      <c r="BR1396" s="175"/>
      <c r="BS1396" s="175"/>
      <c r="BT1396" s="175"/>
      <c r="BU1396" s="175"/>
      <c r="BV1396" s="175"/>
      <c r="BW1396" s="175"/>
    </row>
    <row r="1397" spans="57:75" ht="23.25">
      <c r="BE1397" s="175"/>
      <c r="BF1397" s="175"/>
      <c r="BG1397" s="175"/>
      <c r="BH1397" s="175"/>
      <c r="BI1397" s="175"/>
      <c r="BJ1397" s="175"/>
      <c r="BK1397" s="175"/>
      <c r="BL1397" s="175"/>
      <c r="BM1397" s="175"/>
      <c r="BN1397" s="175"/>
      <c r="BO1397" s="175"/>
      <c r="BP1397" s="175"/>
      <c r="BQ1397" s="175"/>
      <c r="BR1397" s="175"/>
      <c r="BS1397" s="175"/>
      <c r="BT1397" s="175"/>
      <c r="BU1397" s="175"/>
      <c r="BV1397" s="175"/>
      <c r="BW1397" s="175"/>
    </row>
    <row r="1398" spans="57:75" ht="23.25">
      <c r="BE1398" s="175"/>
      <c r="BF1398" s="175"/>
      <c r="BG1398" s="175"/>
      <c r="BH1398" s="175"/>
      <c r="BI1398" s="175"/>
      <c r="BJ1398" s="175"/>
      <c r="BK1398" s="175"/>
      <c r="BL1398" s="175"/>
      <c r="BM1398" s="175"/>
      <c r="BN1398" s="175"/>
      <c r="BO1398" s="175"/>
      <c r="BP1398" s="175"/>
      <c r="BQ1398" s="175"/>
      <c r="BR1398" s="175"/>
      <c r="BS1398" s="175"/>
      <c r="BT1398" s="175"/>
      <c r="BU1398" s="175"/>
      <c r="BV1398" s="175"/>
      <c r="BW1398" s="175"/>
    </row>
    <row r="1399" spans="57:75" ht="23.25">
      <c r="BE1399" s="175"/>
      <c r="BF1399" s="175"/>
      <c r="BG1399" s="175"/>
      <c r="BH1399" s="175"/>
      <c r="BI1399" s="175"/>
      <c r="BJ1399" s="175"/>
      <c r="BK1399" s="175"/>
      <c r="BL1399" s="175"/>
      <c r="BM1399" s="175"/>
      <c r="BN1399" s="175"/>
      <c r="BO1399" s="175"/>
      <c r="BP1399" s="175"/>
      <c r="BQ1399" s="175"/>
      <c r="BR1399" s="175"/>
      <c r="BS1399" s="175"/>
      <c r="BT1399" s="175"/>
      <c r="BU1399" s="175"/>
      <c r="BV1399" s="175"/>
      <c r="BW1399" s="175"/>
    </row>
    <row r="1400" spans="57:75" ht="23.25">
      <c r="BE1400" s="175"/>
      <c r="BF1400" s="175"/>
      <c r="BG1400" s="175"/>
      <c r="BH1400" s="175"/>
      <c r="BI1400" s="175"/>
      <c r="BJ1400" s="175"/>
      <c r="BK1400" s="175"/>
      <c r="BL1400" s="175"/>
      <c r="BM1400" s="175"/>
      <c r="BN1400" s="175"/>
      <c r="BO1400" s="175"/>
      <c r="BP1400" s="175"/>
      <c r="BQ1400" s="175"/>
      <c r="BR1400" s="175"/>
      <c r="BS1400" s="175"/>
      <c r="BT1400" s="175"/>
      <c r="BU1400" s="175"/>
      <c r="BV1400" s="175"/>
      <c r="BW1400" s="175"/>
    </row>
    <row r="1401" spans="57:75" ht="23.25">
      <c r="BE1401" s="175"/>
      <c r="BF1401" s="175"/>
      <c r="BG1401" s="175"/>
      <c r="BH1401" s="175"/>
      <c r="BI1401" s="175"/>
      <c r="BJ1401" s="175"/>
      <c r="BK1401" s="175"/>
      <c r="BL1401" s="175"/>
      <c r="BM1401" s="175"/>
      <c r="BN1401" s="175"/>
      <c r="BO1401" s="175"/>
      <c r="BP1401" s="175"/>
      <c r="BQ1401" s="175"/>
      <c r="BR1401" s="175"/>
      <c r="BS1401" s="175"/>
      <c r="BT1401" s="175"/>
      <c r="BU1401" s="175"/>
      <c r="BV1401" s="175"/>
      <c r="BW1401" s="175"/>
    </row>
    <row r="1402" spans="57:75" ht="23.25">
      <c r="BE1402" s="175"/>
      <c r="BF1402" s="175"/>
      <c r="BG1402" s="175"/>
      <c r="BH1402" s="175"/>
      <c r="BI1402" s="175"/>
      <c r="BJ1402" s="175"/>
      <c r="BK1402" s="175"/>
      <c r="BL1402" s="175"/>
      <c r="BM1402" s="175"/>
      <c r="BN1402" s="175"/>
      <c r="BO1402" s="175"/>
      <c r="BP1402" s="175"/>
      <c r="BQ1402" s="175"/>
      <c r="BR1402" s="175"/>
      <c r="BS1402" s="175"/>
      <c r="BT1402" s="175"/>
      <c r="BU1402" s="175"/>
      <c r="BV1402" s="175"/>
      <c r="BW1402" s="175"/>
    </row>
    <row r="1403" spans="57:75" ht="23.25">
      <c r="BE1403" s="175"/>
      <c r="BF1403" s="175"/>
      <c r="BG1403" s="175"/>
      <c r="BH1403" s="175"/>
      <c r="BI1403" s="175"/>
      <c r="BJ1403" s="175"/>
      <c r="BK1403" s="175"/>
      <c r="BL1403" s="175"/>
      <c r="BM1403" s="175"/>
      <c r="BN1403" s="175"/>
      <c r="BO1403" s="175"/>
      <c r="BP1403" s="175"/>
      <c r="BQ1403" s="175"/>
      <c r="BR1403" s="175"/>
      <c r="BS1403" s="175"/>
      <c r="BT1403" s="175"/>
      <c r="BU1403" s="175"/>
      <c r="BV1403" s="175"/>
      <c r="BW1403" s="175"/>
    </row>
    <row r="1404" spans="57:75" ht="23.25">
      <c r="BE1404" s="175"/>
      <c r="BF1404" s="175"/>
      <c r="BG1404" s="175"/>
      <c r="BH1404" s="175"/>
      <c r="BI1404" s="175"/>
      <c r="BJ1404" s="175"/>
      <c r="BK1404" s="175"/>
      <c r="BL1404" s="175"/>
      <c r="BM1404" s="175"/>
      <c r="BN1404" s="175"/>
      <c r="BO1404" s="175"/>
      <c r="BP1404" s="175"/>
      <c r="BQ1404" s="175"/>
      <c r="BR1404" s="175"/>
      <c r="BS1404" s="175"/>
      <c r="BT1404" s="175"/>
      <c r="BU1404" s="175"/>
      <c r="BV1404" s="175"/>
      <c r="BW1404" s="175"/>
    </row>
    <row r="1405" spans="57:75" ht="23.25">
      <c r="BE1405" s="175"/>
      <c r="BF1405" s="175"/>
      <c r="BG1405" s="175"/>
      <c r="BH1405" s="175"/>
      <c r="BI1405" s="175"/>
      <c r="BJ1405" s="175"/>
      <c r="BK1405" s="175"/>
      <c r="BL1405" s="175"/>
      <c r="BM1405" s="175"/>
      <c r="BN1405" s="175"/>
      <c r="BO1405" s="175"/>
      <c r="BP1405" s="175"/>
      <c r="BQ1405" s="175"/>
      <c r="BR1405" s="175"/>
      <c r="BS1405" s="175"/>
      <c r="BT1405" s="175"/>
      <c r="BU1405" s="175"/>
      <c r="BV1405" s="175"/>
      <c r="BW1405" s="175"/>
    </row>
    <row r="1406" spans="57:75" ht="23.25">
      <c r="BE1406" s="175"/>
      <c r="BF1406" s="175"/>
      <c r="BG1406" s="175"/>
      <c r="BH1406" s="175"/>
      <c r="BI1406" s="175"/>
      <c r="BJ1406" s="175"/>
      <c r="BK1406" s="175"/>
      <c r="BL1406" s="175"/>
      <c r="BM1406" s="175"/>
      <c r="BN1406" s="175"/>
      <c r="BO1406" s="175"/>
      <c r="BP1406" s="175"/>
      <c r="BQ1406" s="175"/>
      <c r="BR1406" s="175"/>
      <c r="BS1406" s="175"/>
      <c r="BT1406" s="175"/>
      <c r="BU1406" s="175"/>
      <c r="BV1406" s="175"/>
      <c r="BW1406" s="175"/>
    </row>
    <row r="1407" spans="57:75" ht="23.25">
      <c r="BE1407" s="175"/>
      <c r="BF1407" s="175"/>
      <c r="BG1407" s="175"/>
      <c r="BH1407" s="175"/>
      <c r="BI1407" s="175"/>
      <c r="BJ1407" s="175"/>
      <c r="BK1407" s="175"/>
      <c r="BL1407" s="175"/>
      <c r="BM1407" s="175"/>
      <c r="BN1407" s="175"/>
      <c r="BO1407" s="175"/>
      <c r="BP1407" s="175"/>
      <c r="BQ1407" s="175"/>
      <c r="BR1407" s="175"/>
      <c r="BS1407" s="175"/>
      <c r="BT1407" s="175"/>
      <c r="BU1407" s="175"/>
      <c r="BV1407" s="175"/>
      <c r="BW1407" s="175"/>
    </row>
    <row r="1408" spans="57:75" ht="23.25">
      <c r="BE1408" s="175"/>
      <c r="BF1408" s="175"/>
      <c r="BG1408" s="175"/>
      <c r="BH1408" s="175"/>
      <c r="BI1408" s="175"/>
      <c r="BJ1408" s="175"/>
      <c r="BK1408" s="175"/>
      <c r="BL1408" s="175"/>
      <c r="BM1408" s="175"/>
      <c r="BN1408" s="175"/>
      <c r="BO1408" s="175"/>
      <c r="BP1408" s="175"/>
      <c r="BQ1408" s="175"/>
      <c r="BR1408" s="175"/>
      <c r="BS1408" s="175"/>
      <c r="BT1408" s="175"/>
      <c r="BU1408" s="175"/>
      <c r="BV1408" s="175"/>
      <c r="BW1408" s="175"/>
    </row>
    <row r="1409" spans="57:75" ht="23.25">
      <c r="BE1409" s="175"/>
      <c r="BF1409" s="175"/>
      <c r="BG1409" s="175"/>
      <c r="BH1409" s="175"/>
      <c r="BI1409" s="175"/>
      <c r="BJ1409" s="175"/>
      <c r="BK1409" s="175"/>
      <c r="BL1409" s="175"/>
      <c r="BM1409" s="175"/>
      <c r="BN1409" s="175"/>
      <c r="BO1409" s="175"/>
      <c r="BP1409" s="175"/>
      <c r="BQ1409" s="175"/>
      <c r="BR1409" s="175"/>
      <c r="BS1409" s="175"/>
      <c r="BT1409" s="175"/>
      <c r="BU1409" s="175"/>
      <c r="BV1409" s="175"/>
      <c r="BW1409" s="175"/>
    </row>
    <row r="1410" spans="57:75" ht="23.25">
      <c r="BE1410" s="175"/>
      <c r="BF1410" s="175"/>
      <c r="BG1410" s="175"/>
      <c r="BH1410" s="175"/>
      <c r="BI1410" s="175"/>
      <c r="BJ1410" s="175"/>
      <c r="BK1410" s="175"/>
      <c r="BL1410" s="175"/>
      <c r="BM1410" s="175"/>
      <c r="BN1410" s="175"/>
      <c r="BO1410" s="175"/>
      <c r="BP1410" s="175"/>
      <c r="BQ1410" s="175"/>
      <c r="BR1410" s="175"/>
      <c r="BS1410" s="175"/>
      <c r="BT1410" s="175"/>
      <c r="BU1410" s="175"/>
      <c r="BV1410" s="175"/>
      <c r="BW1410" s="175"/>
    </row>
    <row r="1411" spans="57:75" ht="23.25">
      <c r="BE1411" s="175"/>
      <c r="BF1411" s="175"/>
      <c r="BG1411" s="175"/>
      <c r="BH1411" s="175"/>
      <c r="BI1411" s="175"/>
      <c r="BJ1411" s="175"/>
      <c r="BK1411" s="175"/>
      <c r="BL1411" s="175"/>
      <c r="BM1411" s="175"/>
      <c r="BN1411" s="175"/>
      <c r="BO1411" s="175"/>
      <c r="BP1411" s="175"/>
      <c r="BQ1411" s="175"/>
      <c r="BR1411" s="175"/>
      <c r="BS1411" s="175"/>
      <c r="BT1411" s="175"/>
      <c r="BU1411" s="175"/>
      <c r="BV1411" s="175"/>
      <c r="BW1411" s="175"/>
    </row>
    <row r="1412" spans="57:75" ht="23.25">
      <c r="BE1412" s="175"/>
      <c r="BF1412" s="175"/>
      <c r="BG1412" s="175"/>
      <c r="BH1412" s="175"/>
      <c r="BI1412" s="175"/>
      <c r="BJ1412" s="175"/>
      <c r="BK1412" s="175"/>
      <c r="BL1412" s="175"/>
      <c r="BM1412" s="175"/>
      <c r="BN1412" s="175"/>
      <c r="BO1412" s="175"/>
      <c r="BP1412" s="175"/>
      <c r="BQ1412" s="175"/>
      <c r="BR1412" s="175"/>
      <c r="BS1412" s="175"/>
      <c r="BT1412" s="175"/>
      <c r="BU1412" s="175"/>
      <c r="BV1412" s="175"/>
      <c r="BW1412" s="175"/>
    </row>
    <row r="1413" spans="57:75" ht="23.25">
      <c r="BE1413" s="175"/>
      <c r="BF1413" s="175"/>
      <c r="BG1413" s="175"/>
      <c r="BH1413" s="175"/>
      <c r="BI1413" s="175"/>
      <c r="BJ1413" s="175"/>
      <c r="BK1413" s="175"/>
      <c r="BL1413" s="175"/>
      <c r="BM1413" s="175"/>
      <c r="BN1413" s="175"/>
      <c r="BO1413" s="175"/>
      <c r="BP1413" s="175"/>
      <c r="BQ1413" s="175"/>
      <c r="BR1413" s="175"/>
      <c r="BS1413" s="175"/>
      <c r="BT1413" s="175"/>
      <c r="BU1413" s="175"/>
      <c r="BV1413" s="175"/>
      <c r="BW1413" s="175"/>
    </row>
    <row r="1414" spans="57:75" ht="23.25">
      <c r="BE1414" s="175"/>
      <c r="BF1414" s="175"/>
      <c r="BG1414" s="175"/>
      <c r="BH1414" s="175"/>
      <c r="BI1414" s="175"/>
      <c r="BJ1414" s="175"/>
      <c r="BK1414" s="175"/>
      <c r="BL1414" s="175"/>
      <c r="BM1414" s="175"/>
      <c r="BN1414" s="175"/>
      <c r="BO1414" s="175"/>
      <c r="BP1414" s="175"/>
      <c r="BQ1414" s="175"/>
      <c r="BR1414" s="175"/>
      <c r="BS1414" s="175"/>
      <c r="BT1414" s="175"/>
      <c r="BU1414" s="175"/>
      <c r="BV1414" s="175"/>
      <c r="BW1414" s="175"/>
    </row>
    <row r="1415" spans="57:75" ht="23.25">
      <c r="BE1415" s="175"/>
      <c r="BF1415" s="175"/>
      <c r="BG1415" s="175"/>
      <c r="BH1415" s="175"/>
      <c r="BI1415" s="175"/>
      <c r="BJ1415" s="175"/>
      <c r="BK1415" s="175"/>
      <c r="BL1415" s="175"/>
      <c r="BM1415" s="175"/>
      <c r="BN1415" s="175"/>
      <c r="BO1415" s="175"/>
      <c r="BP1415" s="175"/>
      <c r="BQ1415" s="175"/>
      <c r="BR1415" s="175"/>
      <c r="BS1415" s="175"/>
      <c r="BT1415" s="175"/>
      <c r="BU1415" s="175"/>
      <c r="BV1415" s="175"/>
      <c r="BW1415" s="175"/>
    </row>
    <row r="1416" spans="57:75" ht="23.25">
      <c r="BE1416" s="175"/>
      <c r="BF1416" s="175"/>
      <c r="BG1416" s="175"/>
      <c r="BH1416" s="175"/>
      <c r="BI1416" s="175"/>
      <c r="BJ1416" s="175"/>
      <c r="BK1416" s="175"/>
      <c r="BL1416" s="175"/>
      <c r="BM1416" s="175"/>
      <c r="BN1416" s="175"/>
      <c r="BO1416" s="175"/>
      <c r="BP1416" s="175"/>
      <c r="BQ1416" s="175"/>
      <c r="BR1416" s="175"/>
      <c r="BS1416" s="175"/>
      <c r="BT1416" s="175"/>
      <c r="BU1416" s="175"/>
      <c r="BV1416" s="175"/>
      <c r="BW1416" s="175"/>
    </row>
    <row r="1417" spans="57:75" ht="23.25">
      <c r="BE1417" s="175"/>
      <c r="BF1417" s="175"/>
      <c r="BG1417" s="175"/>
      <c r="BH1417" s="175"/>
      <c r="BI1417" s="175"/>
      <c r="BJ1417" s="175"/>
      <c r="BK1417" s="175"/>
      <c r="BL1417" s="175"/>
      <c r="BM1417" s="175"/>
      <c r="BN1417" s="175"/>
      <c r="BO1417" s="175"/>
      <c r="BP1417" s="175"/>
      <c r="BQ1417" s="175"/>
      <c r="BR1417" s="175"/>
      <c r="BS1417" s="175"/>
      <c r="BT1417" s="175"/>
      <c r="BU1417" s="175"/>
      <c r="BV1417" s="175"/>
      <c r="BW1417" s="175"/>
    </row>
    <row r="1418" spans="57:75" ht="23.25">
      <c r="BE1418" s="175"/>
      <c r="BF1418" s="175"/>
      <c r="BG1418" s="175"/>
      <c r="BH1418" s="175"/>
      <c r="BI1418" s="175"/>
      <c r="BJ1418" s="175"/>
      <c r="BK1418" s="175"/>
      <c r="BL1418" s="175"/>
      <c r="BM1418" s="175"/>
      <c r="BN1418" s="175"/>
      <c r="BO1418" s="175"/>
      <c r="BP1418" s="175"/>
      <c r="BQ1418" s="175"/>
      <c r="BR1418" s="175"/>
      <c r="BS1418" s="175"/>
      <c r="BT1418" s="175"/>
      <c r="BU1418" s="175"/>
      <c r="BV1418" s="175"/>
      <c r="BW1418" s="175"/>
    </row>
    <row r="1419" spans="57:75" ht="23.25">
      <c r="BE1419" s="175"/>
      <c r="BF1419" s="175"/>
      <c r="BG1419" s="175"/>
      <c r="BH1419" s="175"/>
      <c r="BI1419" s="175"/>
      <c r="BJ1419" s="175"/>
      <c r="BK1419" s="175"/>
      <c r="BL1419" s="175"/>
      <c r="BM1419" s="175"/>
      <c r="BN1419" s="175"/>
      <c r="BO1419" s="175"/>
      <c r="BP1419" s="175"/>
      <c r="BQ1419" s="175"/>
      <c r="BR1419" s="175"/>
      <c r="BS1419" s="175"/>
      <c r="BT1419" s="175"/>
      <c r="BU1419" s="175"/>
      <c r="BV1419" s="175"/>
      <c r="BW1419" s="175"/>
    </row>
    <row r="1420" spans="57:75" ht="23.25">
      <c r="BE1420" s="175"/>
      <c r="BF1420" s="175"/>
      <c r="BG1420" s="175"/>
      <c r="BH1420" s="175"/>
      <c r="BI1420" s="175"/>
      <c r="BJ1420" s="175"/>
      <c r="BK1420" s="175"/>
      <c r="BL1420" s="175"/>
      <c r="BM1420" s="175"/>
      <c r="BN1420" s="175"/>
      <c r="BO1420" s="175"/>
      <c r="BP1420" s="175"/>
      <c r="BQ1420" s="175"/>
      <c r="BR1420" s="175"/>
      <c r="BS1420" s="175"/>
      <c r="BT1420" s="175"/>
      <c r="BU1420" s="175"/>
      <c r="BV1420" s="175"/>
      <c r="BW1420" s="175"/>
    </row>
    <row r="1421" spans="57:75" ht="23.25">
      <c r="BE1421" s="175"/>
      <c r="BF1421" s="175"/>
      <c r="BG1421" s="175"/>
      <c r="BH1421" s="175"/>
      <c r="BI1421" s="175"/>
      <c r="BJ1421" s="175"/>
      <c r="BK1421" s="175"/>
      <c r="BL1421" s="175"/>
      <c r="BM1421" s="175"/>
      <c r="BN1421" s="175"/>
      <c r="BO1421" s="175"/>
      <c r="BP1421" s="175"/>
      <c r="BQ1421" s="175"/>
      <c r="BR1421" s="175"/>
      <c r="BS1421" s="175"/>
      <c r="BT1421" s="175"/>
      <c r="BU1421" s="175"/>
      <c r="BV1421" s="175"/>
      <c r="BW1421" s="175"/>
    </row>
    <row r="1422" spans="57:75" ht="23.25">
      <c r="BE1422" s="175"/>
      <c r="BF1422" s="175"/>
      <c r="BG1422" s="175"/>
      <c r="BH1422" s="175"/>
      <c r="BI1422" s="175"/>
      <c r="BJ1422" s="175"/>
      <c r="BK1422" s="175"/>
      <c r="BL1422" s="175"/>
      <c r="BM1422" s="175"/>
      <c r="BN1422" s="175"/>
      <c r="BO1422" s="175"/>
      <c r="BP1422" s="175"/>
      <c r="BQ1422" s="175"/>
      <c r="BR1422" s="175"/>
      <c r="BS1422" s="175"/>
      <c r="BT1422" s="175"/>
      <c r="BU1422" s="175"/>
      <c r="BV1422" s="175"/>
      <c r="BW1422" s="175"/>
    </row>
    <row r="1423" spans="57:75" ht="23.25">
      <c r="BE1423" s="175"/>
      <c r="BF1423" s="175"/>
      <c r="BG1423" s="175"/>
      <c r="BH1423" s="175"/>
      <c r="BI1423" s="175"/>
      <c r="BJ1423" s="175"/>
      <c r="BK1423" s="175"/>
      <c r="BL1423" s="175"/>
      <c r="BM1423" s="175"/>
      <c r="BN1423" s="175"/>
      <c r="BO1423" s="175"/>
      <c r="BP1423" s="175"/>
      <c r="BQ1423" s="175"/>
      <c r="BR1423" s="175"/>
      <c r="BS1423" s="175"/>
      <c r="BT1423" s="175"/>
      <c r="BU1423" s="175"/>
      <c r="BV1423" s="175"/>
      <c r="BW1423" s="175"/>
    </row>
    <row r="1424" spans="57:75" ht="23.25">
      <c r="BE1424" s="175"/>
      <c r="BF1424" s="175"/>
      <c r="BG1424" s="175"/>
      <c r="BH1424" s="175"/>
      <c r="BI1424" s="175"/>
      <c r="BJ1424" s="175"/>
      <c r="BK1424" s="175"/>
      <c r="BL1424" s="175"/>
      <c r="BM1424" s="175"/>
      <c r="BN1424" s="175"/>
      <c r="BO1424" s="175"/>
      <c r="BP1424" s="175"/>
      <c r="BQ1424" s="175"/>
      <c r="BR1424" s="175"/>
      <c r="BS1424" s="175"/>
      <c r="BT1424" s="175"/>
      <c r="BU1424" s="175"/>
      <c r="BV1424" s="175"/>
      <c r="BW1424" s="175"/>
    </row>
    <row r="1425" spans="57:75" ht="23.25">
      <c r="BE1425" s="175"/>
      <c r="BF1425" s="175"/>
      <c r="BG1425" s="175"/>
      <c r="BH1425" s="175"/>
      <c r="BI1425" s="175"/>
      <c r="BJ1425" s="175"/>
      <c r="BK1425" s="175"/>
      <c r="BL1425" s="175"/>
      <c r="BM1425" s="175"/>
      <c r="BN1425" s="175"/>
      <c r="BO1425" s="175"/>
      <c r="BP1425" s="175"/>
      <c r="BQ1425" s="175"/>
      <c r="BR1425" s="175"/>
      <c r="BS1425" s="175"/>
      <c r="BT1425" s="175"/>
      <c r="BU1425" s="175"/>
      <c r="BV1425" s="175"/>
      <c r="BW1425" s="175"/>
    </row>
    <row r="1426" spans="57:75" ht="23.25">
      <c r="BE1426" s="175"/>
      <c r="BF1426" s="175"/>
      <c r="BG1426" s="175"/>
      <c r="BH1426" s="175"/>
      <c r="BI1426" s="175"/>
      <c r="BJ1426" s="175"/>
      <c r="BK1426" s="175"/>
      <c r="BL1426" s="175"/>
      <c r="BM1426" s="175"/>
      <c r="BN1426" s="175"/>
      <c r="BO1426" s="175"/>
      <c r="BP1426" s="175"/>
      <c r="BQ1426" s="175"/>
      <c r="BR1426" s="175"/>
      <c r="BS1426" s="175"/>
      <c r="BT1426" s="175"/>
      <c r="BU1426" s="175"/>
      <c r="BV1426" s="175"/>
      <c r="BW1426" s="175"/>
    </row>
    <row r="1427" spans="57:75" ht="23.25">
      <c r="BE1427" s="175"/>
      <c r="BF1427" s="175"/>
      <c r="BG1427" s="175"/>
      <c r="BH1427" s="175"/>
      <c r="BI1427" s="175"/>
      <c r="BJ1427" s="175"/>
      <c r="BK1427" s="175"/>
      <c r="BL1427" s="175"/>
      <c r="BM1427" s="175"/>
      <c r="BN1427" s="175"/>
      <c r="BO1427" s="175"/>
      <c r="BP1427" s="175"/>
      <c r="BQ1427" s="175"/>
      <c r="BR1427" s="175"/>
      <c r="BS1427" s="175"/>
      <c r="BT1427" s="175"/>
      <c r="BU1427" s="175"/>
      <c r="BV1427" s="175"/>
      <c r="BW1427" s="175"/>
    </row>
    <row r="1428" spans="57:75" ht="23.25">
      <c r="BE1428" s="175"/>
      <c r="BF1428" s="175"/>
      <c r="BG1428" s="175"/>
      <c r="BH1428" s="175"/>
      <c r="BI1428" s="175"/>
      <c r="BJ1428" s="175"/>
      <c r="BK1428" s="175"/>
      <c r="BL1428" s="175"/>
      <c r="BM1428" s="175"/>
      <c r="BN1428" s="175"/>
      <c r="BO1428" s="175"/>
      <c r="BP1428" s="175"/>
      <c r="BQ1428" s="175"/>
      <c r="BR1428" s="175"/>
      <c r="BS1428" s="175"/>
      <c r="BT1428" s="175"/>
      <c r="BU1428" s="175"/>
      <c r="BV1428" s="175"/>
      <c r="BW1428" s="175"/>
    </row>
  </sheetData>
  <autoFilter ref="A5:BW5" xr:uid="{00000000-0001-0000-0400-000000000000}"/>
  <sortState xmlns:xlrd2="http://schemas.microsoft.com/office/spreadsheetml/2017/richdata2" ref="A6:XEE1328">
    <sortCondition ref="F6:F1328"/>
  </sortState>
  <mergeCells count="25">
    <mergeCell ref="A3:AU3"/>
    <mergeCell ref="A4:A5"/>
    <mergeCell ref="AN4:AN5"/>
    <mergeCell ref="D4:D5"/>
    <mergeCell ref="C4:C5"/>
    <mergeCell ref="B4:B5"/>
    <mergeCell ref="AG4:AG5"/>
    <mergeCell ref="H4:L4"/>
    <mergeCell ref="M4:N4"/>
    <mergeCell ref="O4:P4"/>
    <mergeCell ref="Q4:R4"/>
    <mergeCell ref="AH4:AM4"/>
    <mergeCell ref="F4:F5"/>
    <mergeCell ref="G4:G5"/>
    <mergeCell ref="S4:AF4"/>
    <mergeCell ref="AO4:AS4"/>
    <mergeCell ref="AD1311:AE1311"/>
    <mergeCell ref="AT4:AT5"/>
    <mergeCell ref="AD1307:AE1307"/>
    <mergeCell ref="AD1310:AE1310"/>
    <mergeCell ref="AX4:AX5"/>
    <mergeCell ref="AW4:AW5"/>
    <mergeCell ref="AU4:AU5"/>
    <mergeCell ref="AD1308:AE1308"/>
    <mergeCell ref="AD1309:AE1309"/>
  </mergeCells>
  <phoneticPr fontId="12" type="noConversion"/>
  <conditionalFormatting sqref="B1:B1048576">
    <cfRule type="duplicateValues" dxfId="128" priority="2"/>
  </conditionalFormatting>
  <conditionalFormatting sqref="B1330:B1048576 B2:B5 B1292:B1318">
    <cfRule type="duplicateValues" dxfId="127" priority="14"/>
  </conditionalFormatting>
  <conditionalFormatting sqref="B1374:B1379">
    <cfRule type="duplicateValues" dxfId="126" priority="59"/>
  </conditionalFormatting>
  <conditionalFormatting sqref="B1380:B1048576 B2 B1330:B1373 B4:B5 B1292:B1318">
    <cfRule type="duplicateValues" dxfId="125" priority="16"/>
  </conditionalFormatting>
  <pageMargins left="0" right="0" top="0.19685039370078741" bottom="0.15748031496062992" header="0.15748031496062992" footer="0.15748031496062992"/>
  <pageSetup paperSize="8" scale="36" fitToHeight="30" orientation="landscape" cellComments="atEnd" r:id="rId1"/>
  <headerFooter alignWithMargins="0"/>
  <colBreaks count="1" manualBreakCount="1">
    <brk id="4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19E6-BF30-4CB2-9211-C94C1D105AF1}">
  <sheetPr codeName="Sheet6"/>
  <dimension ref="A2:S1296"/>
  <sheetViews>
    <sheetView view="pageBreakPreview" topLeftCell="B1263" zoomScale="115" zoomScaleNormal="100" zoomScaleSheetLayoutView="115" workbookViewId="0">
      <selection activeCell="F1278" sqref="F1278"/>
    </sheetView>
  </sheetViews>
  <sheetFormatPr defaultRowHeight="12.75"/>
  <cols>
    <col min="1" max="1" width="8.140625" style="198" customWidth="1"/>
    <col min="2" max="2" width="10.28515625" customWidth="1"/>
    <col min="3" max="7" width="23.140625" customWidth="1"/>
    <col min="8" max="8" width="18.85546875" customWidth="1"/>
    <col min="9" max="9" width="43" hidden="1" customWidth="1"/>
    <col min="10" max="10" width="35.85546875" hidden="1" customWidth="1"/>
    <col min="13" max="13" width="12.5703125" customWidth="1"/>
    <col min="19" max="19" width="14" bestFit="1" customWidth="1"/>
  </cols>
  <sheetData>
    <row r="2" spans="1:16" ht="53.25" customHeight="1">
      <c r="A2" s="192"/>
      <c r="B2" s="192"/>
      <c r="C2" s="1457" t="s">
        <v>5724</v>
      </c>
      <c r="D2" s="1457"/>
      <c r="E2" s="1457"/>
      <c r="F2" s="1457"/>
      <c r="G2" s="193"/>
    </row>
    <row r="3" spans="1:16" ht="20.25">
      <c r="A3" s="121"/>
      <c r="B3" s="194" t="s">
        <v>212</v>
      </c>
      <c r="C3" s="5"/>
      <c r="D3" s="5"/>
      <c r="E3" s="5"/>
      <c r="F3" s="5"/>
      <c r="G3" s="290"/>
    </row>
    <row r="4" spans="1:16" ht="15.75" thickBot="1">
      <c r="A4" s="121"/>
      <c r="B4" s="196" t="s">
        <v>213</v>
      </c>
      <c r="C4" s="197">
        <f ca="1">TODAY()</f>
        <v>45786</v>
      </c>
      <c r="D4" s="5"/>
      <c r="E4" s="195"/>
      <c r="F4" s="5"/>
      <c r="G4" s="5"/>
    </row>
    <row r="5" spans="1:16" ht="61.5" thickTop="1" thickBot="1">
      <c r="A5" s="234" t="s">
        <v>22</v>
      </c>
      <c r="B5" s="234" t="s">
        <v>23</v>
      </c>
      <c r="C5" s="234" t="s">
        <v>235</v>
      </c>
      <c r="D5" s="234" t="s">
        <v>208</v>
      </c>
      <c r="E5" s="235" t="s">
        <v>209</v>
      </c>
      <c r="F5" s="235" t="s">
        <v>210</v>
      </c>
      <c r="G5" s="234" t="s">
        <v>211</v>
      </c>
    </row>
    <row r="6" spans="1:16" s="607" customFormat="1" ht="18" customHeight="1" thickTop="1">
      <c r="A6" s="825">
        <f>SUBTOTAL(3,B$6:B6)</f>
        <v>1</v>
      </c>
      <c r="B6" s="823" t="s">
        <v>784</v>
      </c>
      <c r="C6" s="823" t="str">
        <f>+VLOOKUP(B6,'Salary sheet'!$B$6:$AX$1386,48,0)</f>
        <v>TRAN THI KIM PHAN</v>
      </c>
      <c r="D6" s="823" t="str">
        <f>+VLOOKUP(B6,'Salary sheet'!$B$6:$BW$1386,49,0)</f>
        <v>050040964964</v>
      </c>
      <c r="E6" s="620">
        <f>+VLOOKUP(B6,'Salary sheet'!$B$6:$AT$1292,45,0)</f>
        <v>8498176</v>
      </c>
      <c r="F6" s="1029" t="s">
        <v>5723</v>
      </c>
      <c r="G6" s="823" t="str">
        <f>+VLOOKUP(B6,'Salary sheet'!$B$6:$E$2281,4,0)</f>
        <v>FACTORY A</v>
      </c>
      <c r="H6" s="607" t="str">
        <f>+VLOOKUP(B6,'Salary sheet'!$B$6:$AZ$1386,50,0)</f>
        <v>SK1 Box</v>
      </c>
      <c r="I6" s="607" t="str">
        <f>+CONCATENATE(B6,C6,D6)</f>
        <v>C0873TRAN THI KIM PHAN050040964964</v>
      </c>
      <c r="J6" s="853" t="str">
        <f>+VLOOKUP(B6,'[5]04 2025'!$B$2:$F$1371,5,0)</f>
        <v>C0873TRAN THI KIM PHAN050040964964</v>
      </c>
      <c r="K6" s="607">
        <f>+IF(J6=I6,1,0)</f>
        <v>1</v>
      </c>
      <c r="P6" s="685"/>
    </row>
    <row r="7" spans="1:16" s="607" customFormat="1" ht="18" customHeight="1">
      <c r="A7" s="826">
        <f>SUBTOTAL(3,B$6:B7)</f>
        <v>2</v>
      </c>
      <c r="B7" s="824" t="s">
        <v>787</v>
      </c>
      <c r="C7" s="824" t="str">
        <f>+VLOOKUP(B7,'Salary sheet'!$B$6:$AX$1386,48,0)</f>
        <v>NGUYEN THI HUONG</v>
      </c>
      <c r="D7" s="824" t="str">
        <f>+VLOOKUP(B7,'Salary sheet'!$B$6:$BW$1386,49,0)</f>
        <v>050040850950</v>
      </c>
      <c r="E7" s="620">
        <f>+VLOOKUP(B7,'Salary sheet'!$B$6:$AT$1292,45,0)</f>
        <v>9823657</v>
      </c>
      <c r="F7" s="1029" t="s">
        <v>5723</v>
      </c>
      <c r="G7" s="824" t="str">
        <f>+VLOOKUP(B7,'Salary sheet'!$B$6:$E$2281,4,0)</f>
        <v>FACTORY A</v>
      </c>
      <c r="H7" s="607" t="str">
        <f>+VLOOKUP(B7,'Salary sheet'!$B$6:$AZ$1386,50,0)</f>
        <v>SK1 Box</v>
      </c>
      <c r="I7" s="607" t="str">
        <f t="shared" ref="I7:I105" si="0">+CONCATENATE(B7,C7,D7)</f>
        <v>C1007NGUYEN THI HUONG050040850950</v>
      </c>
      <c r="J7" s="853" t="str">
        <f>+VLOOKUP(B7,'[5]04 2025'!$B$2:$F$1371,5,0)</f>
        <v>C1007NGUYEN THI HUONG050040850950</v>
      </c>
      <c r="K7" s="607">
        <f t="shared" ref="K7:K168" si="1">+IF(J7=I7,1,0)</f>
        <v>1</v>
      </c>
      <c r="P7" s="685"/>
    </row>
    <row r="8" spans="1:16" s="607" customFormat="1" ht="18" customHeight="1">
      <c r="A8" s="826">
        <f>SUBTOTAL(3,B$6:B8)</f>
        <v>3</v>
      </c>
      <c r="B8" s="824" t="s">
        <v>789</v>
      </c>
      <c r="C8" s="824" t="str">
        <f>+VLOOKUP(B8,'Salary sheet'!$B$6:$AX$1386,48,0)</f>
        <v>HO THI NGA</v>
      </c>
      <c r="D8" s="824" t="str">
        <f>+VLOOKUP(B8,'Salary sheet'!$B$6:$BW$1386,49,0)</f>
        <v>050040952974</v>
      </c>
      <c r="E8" s="620">
        <f>+VLOOKUP(B8,'Salary sheet'!$B$6:$AT$1292,45,0)</f>
        <v>9487081</v>
      </c>
      <c r="F8" s="1029" t="s">
        <v>5723</v>
      </c>
      <c r="G8" s="824" t="str">
        <f>+VLOOKUP(B8,'Salary sheet'!$B$6:$E$2281,4,0)</f>
        <v>FACTORY A</v>
      </c>
      <c r="H8" s="607" t="str">
        <f>+VLOOKUP(B8,'Salary sheet'!$B$6:$AZ$1386,50,0)</f>
        <v>SK1 Box</v>
      </c>
      <c r="I8" s="607" t="str">
        <f t="shared" ref="I8:I10" si="2">+CONCATENATE(B8,C8,D8)</f>
        <v>C1009HO THI NGA050040952974</v>
      </c>
      <c r="J8" s="853" t="str">
        <f>+VLOOKUP(B8,'[5]04 2025'!$B$2:$F$1371,5,0)</f>
        <v>C1009HO THI NGA050040952974</v>
      </c>
      <c r="K8" s="607">
        <f t="shared" ref="K8:K10" si="3">+IF(J8=I8,1,0)</f>
        <v>1</v>
      </c>
      <c r="P8" s="685"/>
    </row>
    <row r="9" spans="1:16" s="607" customFormat="1" ht="18" customHeight="1">
      <c r="A9" s="826">
        <f>SUBTOTAL(3,B$6:B9)</f>
        <v>4</v>
      </c>
      <c r="B9" s="824" t="s">
        <v>791</v>
      </c>
      <c r="C9" s="824" t="str">
        <f>+VLOOKUP(B9,'Salary sheet'!$B$6:$AX$1386,48,0)</f>
        <v>TRAN THI LIEN</v>
      </c>
      <c r="D9" s="824" t="str">
        <f>+VLOOKUP(B9,'Salary sheet'!$B$6:$BW$1386,49,0)</f>
        <v>050104743444</v>
      </c>
      <c r="E9" s="620">
        <f>+VLOOKUP(B9,'Salary sheet'!$B$6:$AT$1292,45,0)</f>
        <v>9315932</v>
      </c>
      <c r="F9" s="1029" t="s">
        <v>5723</v>
      </c>
      <c r="G9" s="824" t="str">
        <f>+VLOOKUP(B9,'Salary sheet'!$B$6:$E$2281,4,0)</f>
        <v>FACTORY A</v>
      </c>
      <c r="H9" s="607" t="str">
        <f>+VLOOKUP(B9,'Salary sheet'!$B$6:$AZ$1386,50,0)</f>
        <v>SK1 Box</v>
      </c>
      <c r="I9" s="607" t="str">
        <f t="shared" si="2"/>
        <v>C10454TRAN THI LIEN050104743444</v>
      </c>
      <c r="J9" s="853" t="str">
        <f>+VLOOKUP(B9,'[5]04 2025'!$B$2:$F$1371,5,0)</f>
        <v>C10454TRAN THI LIEN050104743444</v>
      </c>
      <c r="K9" s="607">
        <f t="shared" si="3"/>
        <v>1</v>
      </c>
      <c r="P9" s="685"/>
    </row>
    <row r="10" spans="1:16" s="607" customFormat="1" ht="18" customHeight="1">
      <c r="A10" s="826">
        <f>SUBTOTAL(3,B$6:B10)</f>
        <v>5</v>
      </c>
      <c r="B10" s="824" t="s">
        <v>793</v>
      </c>
      <c r="C10" s="824" t="str">
        <f>+VLOOKUP(B10,'Salary sheet'!$B$6:$AX$1386,48,0)</f>
        <v>NGUYEN HOAI HAN</v>
      </c>
      <c r="D10" s="824" t="str">
        <f>+VLOOKUP(B10,'Salary sheet'!$B$6:$BW$1386,49,0)</f>
        <v>050073573855</v>
      </c>
      <c r="E10" s="620">
        <f>+VLOOKUP(B10,'Salary sheet'!$B$6:$AT$1292,45,0)</f>
        <v>9375007</v>
      </c>
      <c r="F10" s="1029" t="s">
        <v>5723</v>
      </c>
      <c r="G10" s="824" t="str">
        <f>+VLOOKUP(B10,'Salary sheet'!$B$6:$E$2281,4,0)</f>
        <v>FACTORY A</v>
      </c>
      <c r="H10" s="607" t="str">
        <f>+VLOOKUP(B10,'Salary sheet'!$B$6:$AZ$1386,50,0)</f>
        <v>SK1 Box</v>
      </c>
      <c r="I10" s="607" t="str">
        <f t="shared" si="2"/>
        <v>C10664NGUYEN HOAI HAN050073573855</v>
      </c>
      <c r="J10" s="853" t="str">
        <f>+VLOOKUP(B10,'[5]04 2025'!$B$2:$F$1371,5,0)</f>
        <v>C10664NGUYEN HOAI HAN050073573855</v>
      </c>
      <c r="K10" s="607">
        <f t="shared" si="3"/>
        <v>1</v>
      </c>
      <c r="P10" s="685"/>
    </row>
    <row r="11" spans="1:16" s="607" customFormat="1" ht="18" customHeight="1">
      <c r="A11" s="826">
        <f>SUBTOTAL(3,B$6:B11)</f>
        <v>6</v>
      </c>
      <c r="B11" s="824" t="s">
        <v>795</v>
      </c>
      <c r="C11" s="824" t="str">
        <f>+VLOOKUP(B11,'Salary sheet'!$B$6:$AX$1386,48,0)</f>
        <v>LE THI KIEU LOAN</v>
      </c>
      <c r="D11" s="824" t="str">
        <f>+VLOOKUP(B11,'Salary sheet'!$B$6:$BW$1386,49,0)</f>
        <v>050106514035</v>
      </c>
      <c r="E11" s="620">
        <f>+VLOOKUP(B11,'Salary sheet'!$B$6:$AT$1292,45,0)</f>
        <v>8624086</v>
      </c>
      <c r="F11" s="1029" t="s">
        <v>5723</v>
      </c>
      <c r="G11" s="824" t="str">
        <f>+VLOOKUP(B11,'Salary sheet'!$B$6:$E$2281,4,0)</f>
        <v>FACTORY A</v>
      </c>
      <c r="H11" s="607" t="str">
        <f>+VLOOKUP(B11,'Salary sheet'!$B$6:$AZ$1386,50,0)</f>
        <v>SK1 Box</v>
      </c>
      <c r="I11" s="607" t="str">
        <f t="shared" si="0"/>
        <v>C10665LE THI KIEU LOAN050106514035</v>
      </c>
      <c r="J11" s="853" t="str">
        <f>+VLOOKUP(B11,'[5]04 2025'!$B$2:$F$1371,5,0)</f>
        <v>C10665LE THI KIEU LOAN050106514035</v>
      </c>
      <c r="K11" s="607">
        <f t="shared" si="1"/>
        <v>1</v>
      </c>
      <c r="P11" s="685"/>
    </row>
    <row r="12" spans="1:16" s="607" customFormat="1" ht="18" customHeight="1">
      <c r="A12" s="826">
        <f>SUBTOTAL(3,B$6:B12)</f>
        <v>7</v>
      </c>
      <c r="B12" s="824" t="s">
        <v>798</v>
      </c>
      <c r="C12" s="824" t="str">
        <f>+VLOOKUP(B12,'Salary sheet'!$B$6:$AX$1386,48,0)</f>
        <v>PHAN THI THANH TAM</v>
      </c>
      <c r="D12" s="824" t="str">
        <f>+VLOOKUP(B12,'Salary sheet'!$B$6:$BW$1386,49,0)</f>
        <v>050040932884</v>
      </c>
      <c r="E12" s="620">
        <f>+VLOOKUP(B12,'Salary sheet'!$B$6:$AT$1292,45,0)</f>
        <v>9553561</v>
      </c>
      <c r="F12" s="1029" t="s">
        <v>5723</v>
      </c>
      <c r="G12" s="824" t="str">
        <f>+VLOOKUP(B12,'Salary sheet'!$B$6:$E$2281,4,0)</f>
        <v>FACTORY A</v>
      </c>
      <c r="H12" s="607" t="str">
        <f>+VLOOKUP(B12,'Salary sheet'!$B$6:$AZ$1386,50,0)</f>
        <v>SK1 Box</v>
      </c>
      <c r="I12" s="607" t="str">
        <f t="shared" si="0"/>
        <v>C1074PHAN THI THANH TAM050040932884</v>
      </c>
      <c r="J12" s="853" t="str">
        <f>+VLOOKUP(B12,'[5]04 2025'!$B$2:$F$1371,5,0)</f>
        <v>C1074PHAN THI THANH TAM050040932884</v>
      </c>
      <c r="K12" s="607">
        <f t="shared" si="1"/>
        <v>1</v>
      </c>
      <c r="P12" s="685"/>
    </row>
    <row r="13" spans="1:16" s="607" customFormat="1" ht="18" customHeight="1">
      <c r="A13" s="826">
        <f>SUBTOTAL(3,B$6:B13)</f>
        <v>8</v>
      </c>
      <c r="B13" s="824" t="s">
        <v>800</v>
      </c>
      <c r="C13" s="824" t="str">
        <f>+VLOOKUP(B13,'Salary sheet'!$B$6:$AX$1386,48,0)</f>
        <v>LE THI BICH LINH</v>
      </c>
      <c r="D13" s="824" t="str">
        <f>+VLOOKUP(B13,'Salary sheet'!$B$6:$BW$1386,49,0)</f>
        <v>050111434058</v>
      </c>
      <c r="E13" s="620">
        <f>+VLOOKUP(B13,'Salary sheet'!$B$6:$AT$1292,45,0)</f>
        <v>9173796</v>
      </c>
      <c r="F13" s="1029" t="s">
        <v>5723</v>
      </c>
      <c r="G13" s="824" t="str">
        <f>+VLOOKUP(B13,'Salary sheet'!$B$6:$E$2281,4,0)</f>
        <v>FACTORY A</v>
      </c>
      <c r="H13" s="607" t="str">
        <f>+VLOOKUP(B13,'Salary sheet'!$B$6:$AZ$1386,50,0)</f>
        <v>SK1 Box</v>
      </c>
      <c r="I13" s="607" t="str">
        <f t="shared" si="0"/>
        <v>C11208LE THI BICH LINH050111434058</v>
      </c>
      <c r="J13" s="853" t="str">
        <f>+VLOOKUP(B13,'[5]04 2025'!$B$2:$F$1371,5,0)</f>
        <v>C11208LE THI BICH LINH050111434058</v>
      </c>
      <c r="K13" s="607">
        <f t="shared" si="1"/>
        <v>1</v>
      </c>
      <c r="P13" s="685"/>
    </row>
    <row r="14" spans="1:16" s="607" customFormat="1" ht="18" customHeight="1">
      <c r="A14" s="826">
        <f>SUBTOTAL(3,B$6:B14)</f>
        <v>9</v>
      </c>
      <c r="B14" s="824" t="s">
        <v>802</v>
      </c>
      <c r="C14" s="824" t="str">
        <f>+VLOOKUP(B14,'Salary sheet'!$B$6:$AX$1386,48,0)</f>
        <v>TRAN HAI NAM</v>
      </c>
      <c r="D14" s="824" t="str">
        <f>+VLOOKUP(B14,'Salary sheet'!$B$6:$BW$1386,49,0)</f>
        <v>050116653033</v>
      </c>
      <c r="E14" s="620">
        <f>+VLOOKUP(B14,'Salary sheet'!$B$6:$AT$1292,45,0)</f>
        <v>9748574</v>
      </c>
      <c r="F14" s="1029" t="s">
        <v>5723</v>
      </c>
      <c r="G14" s="824" t="str">
        <f>+VLOOKUP(B14,'Salary sheet'!$B$6:$E$2281,4,0)</f>
        <v>FACTORY A</v>
      </c>
      <c r="H14" s="607" t="str">
        <f>+VLOOKUP(B14,'Salary sheet'!$B$6:$AZ$1386,50,0)</f>
        <v>SK1 Box</v>
      </c>
      <c r="I14" s="607" t="str">
        <f t="shared" ref="I14:I32" si="4">+CONCATENATE(B14,C14,D14)</f>
        <v>C11863TRAN HAI NAM050116653033</v>
      </c>
      <c r="J14" s="853" t="str">
        <f>+VLOOKUP(B14,'[5]04 2025'!$B$2:$F$1371,5,0)</f>
        <v>C11863TRAN HAI NAM050116653033</v>
      </c>
      <c r="K14" s="607">
        <f t="shared" ref="K14:K32" si="5">+IF(J14=I14,1,0)</f>
        <v>1</v>
      </c>
      <c r="P14" s="685"/>
    </row>
    <row r="15" spans="1:16" s="607" customFormat="1" ht="18" customHeight="1">
      <c r="A15" s="826">
        <f>SUBTOTAL(3,B$6:B15)</f>
        <v>10</v>
      </c>
      <c r="B15" s="824" t="s">
        <v>805</v>
      </c>
      <c r="C15" s="824" t="str">
        <f>+VLOOKUP(B15,'Salary sheet'!$B$6:$AX$1386,48,0)</f>
        <v>HO THI NGA</v>
      </c>
      <c r="D15" s="824" t="str">
        <f>+VLOOKUP(B15,'Salary sheet'!$B$6:$BW$1386,49,0)</f>
        <v>050040933910</v>
      </c>
      <c r="E15" s="620">
        <f>+VLOOKUP(B15,'Salary sheet'!$B$6:$AT$1292,45,0)</f>
        <v>8491019</v>
      </c>
      <c r="F15" s="1029" t="s">
        <v>5723</v>
      </c>
      <c r="G15" s="824" t="str">
        <f>+VLOOKUP(B15,'Salary sheet'!$B$6:$E$2281,4,0)</f>
        <v>FACTORY A</v>
      </c>
      <c r="H15" s="607" t="str">
        <f>+VLOOKUP(B15,'Salary sheet'!$B$6:$AZ$1386,50,0)</f>
        <v>SK1 Box</v>
      </c>
      <c r="I15" s="607" t="str">
        <f t="shared" si="4"/>
        <v>C1271HO THI NGA050040933910</v>
      </c>
      <c r="J15" s="853" t="str">
        <f>+VLOOKUP(B15,'[5]04 2025'!$B$2:$F$1371,5,0)</f>
        <v>C1271HO THI NGA050040933910</v>
      </c>
      <c r="K15" s="607">
        <f t="shared" si="5"/>
        <v>1</v>
      </c>
      <c r="P15" s="685"/>
    </row>
    <row r="16" spans="1:16" s="607" customFormat="1" ht="18" customHeight="1">
      <c r="A16" s="826">
        <f>SUBTOTAL(3,B$6:B16)</f>
        <v>11</v>
      </c>
      <c r="B16" s="824" t="s">
        <v>806</v>
      </c>
      <c r="C16" s="824" t="str">
        <f>+VLOOKUP(B16,'Salary sheet'!$B$6:$AX$1386,48,0)</f>
        <v>NGUYEN THI TRUC LY</v>
      </c>
      <c r="D16" s="824" t="str">
        <f>+VLOOKUP(B16,'Salary sheet'!$B$6:$BW$1386,49,0)</f>
        <v>050114056372</v>
      </c>
      <c r="E16" s="620">
        <f>+VLOOKUP(B16,'Salary sheet'!$B$6:$AT$1292,45,0)</f>
        <v>9689964</v>
      </c>
      <c r="F16" s="1029" t="s">
        <v>5723</v>
      </c>
      <c r="G16" s="824" t="str">
        <f>+VLOOKUP(B16,'Salary sheet'!$B$6:$E$2281,4,0)</f>
        <v>FACTORY A</v>
      </c>
      <c r="H16" s="607" t="str">
        <f>+VLOOKUP(B16,'Salary sheet'!$B$6:$AZ$1386,50,0)</f>
        <v>SK1 Box</v>
      </c>
      <c r="I16" s="607" t="str">
        <f t="shared" si="4"/>
        <v>C12741NGUYEN THI TRUC LY050114056372</v>
      </c>
      <c r="J16" s="853" t="str">
        <f>+VLOOKUP(B16,'[5]04 2025'!$B$2:$F$1371,5,0)</f>
        <v>C12741NGUYEN THI TRUC LY050114056372</v>
      </c>
      <c r="K16" s="607">
        <f t="shared" si="5"/>
        <v>1</v>
      </c>
      <c r="P16" s="685"/>
    </row>
    <row r="17" spans="1:16" s="607" customFormat="1" ht="18" customHeight="1">
      <c r="A17" s="826">
        <f>SUBTOTAL(3,B$6:B17)</f>
        <v>12</v>
      </c>
      <c r="B17" s="824" t="s">
        <v>808</v>
      </c>
      <c r="C17" s="824" t="str">
        <f>+VLOOKUP(B17,'Salary sheet'!$B$6:$AX$1386,48,0)</f>
        <v>LE THI ANH THUONG</v>
      </c>
      <c r="D17" s="824" t="str">
        <f>+VLOOKUP(B17,'Salary sheet'!$B$6:$BW$1386,49,0)</f>
        <v>050040933661</v>
      </c>
      <c r="E17" s="620">
        <f>+VLOOKUP(B17,'Salary sheet'!$B$6:$AT$1292,45,0)</f>
        <v>10615210</v>
      </c>
      <c r="F17" s="1029" t="s">
        <v>5723</v>
      </c>
      <c r="G17" s="824" t="str">
        <f>+VLOOKUP(B17,'Salary sheet'!$B$6:$E$2281,4,0)</f>
        <v>FACTORY A</v>
      </c>
      <c r="H17" s="607" t="str">
        <f>+VLOOKUP(B17,'Salary sheet'!$B$6:$AZ$1386,50,0)</f>
        <v>SK1 Box</v>
      </c>
      <c r="I17" s="607" t="str">
        <f t="shared" si="4"/>
        <v>C12781LE THI ANH THUONG050040933661</v>
      </c>
      <c r="J17" s="853" t="str">
        <f>+VLOOKUP(B17,'[5]04 2025'!$B$2:$F$1371,5,0)</f>
        <v>C12781LE THI ANH THUONG050040933661</v>
      </c>
      <c r="K17" s="607">
        <f t="shared" si="5"/>
        <v>1</v>
      </c>
      <c r="P17" s="685"/>
    </row>
    <row r="18" spans="1:16" s="607" customFormat="1" ht="18" customHeight="1">
      <c r="A18" s="826">
        <f>SUBTOTAL(3,B$6:B18)</f>
        <v>13</v>
      </c>
      <c r="B18" s="824" t="s">
        <v>811</v>
      </c>
      <c r="C18" s="824" t="str">
        <f>+VLOOKUP(B18,'Salary sheet'!$B$6:$AX$1386,48,0)</f>
        <v>HUYNH THI KIEU LINH</v>
      </c>
      <c r="D18" s="824" t="str">
        <f>+VLOOKUP(B18,'Salary sheet'!$B$6:$BW$1386,49,0)</f>
        <v>050122807638</v>
      </c>
      <c r="E18" s="620">
        <f>+VLOOKUP(B18,'Salary sheet'!$B$6:$AT$1292,45,0)</f>
        <v>9489964</v>
      </c>
      <c r="F18" s="1029" t="s">
        <v>5723</v>
      </c>
      <c r="G18" s="824" t="str">
        <f>+VLOOKUP(B18,'Salary sheet'!$B$6:$E$2281,4,0)</f>
        <v>FACTORY A</v>
      </c>
      <c r="H18" s="607" t="str">
        <f>+VLOOKUP(B18,'Salary sheet'!$B$6:$AZ$1386,50,0)</f>
        <v>SK1 Box</v>
      </c>
      <c r="I18" s="607" t="str">
        <f t="shared" si="4"/>
        <v>C13009HUYNH THI KIEU LINH050122807638</v>
      </c>
      <c r="J18" s="853" t="str">
        <f>+VLOOKUP(B18,'[5]04 2025'!$B$2:$F$1371,5,0)</f>
        <v>C13009HUYNH THI KIEU LINH050122807638</v>
      </c>
      <c r="K18" s="607">
        <f t="shared" si="5"/>
        <v>1</v>
      </c>
      <c r="P18" s="685"/>
    </row>
    <row r="19" spans="1:16" s="607" customFormat="1" ht="18" customHeight="1">
      <c r="A19" s="826">
        <f>SUBTOTAL(3,B$6:B19)</f>
        <v>14</v>
      </c>
      <c r="B19" s="824" t="s">
        <v>813</v>
      </c>
      <c r="C19" s="824" t="str">
        <f>+VLOOKUP(B19,'Salary sheet'!$B$6:$AX$1386,48,0)</f>
        <v>THACH THI DIEM MY</v>
      </c>
      <c r="D19" s="824" t="str">
        <f>+VLOOKUP(B19,'Salary sheet'!$B$6:$BW$1386,49,0)</f>
        <v>050050663466</v>
      </c>
      <c r="E19" s="620">
        <f>+VLOOKUP(B19,'Salary sheet'!$B$6:$AT$1292,45,0)</f>
        <v>9579614</v>
      </c>
      <c r="F19" s="1029" t="s">
        <v>5723</v>
      </c>
      <c r="G19" s="824" t="str">
        <f>+VLOOKUP(B19,'Salary sheet'!$B$6:$E$2281,4,0)</f>
        <v>FACTORY A</v>
      </c>
      <c r="H19" s="607" t="str">
        <f>+VLOOKUP(B19,'Salary sheet'!$B$6:$AZ$1386,50,0)</f>
        <v>SK1 Box</v>
      </c>
      <c r="I19" s="607" t="str">
        <f t="shared" si="4"/>
        <v>C13208THACH THI DIEM MY050050663466</v>
      </c>
      <c r="J19" s="853" t="str">
        <f>+VLOOKUP(B19,'[5]04 2025'!$B$2:$F$1371,5,0)</f>
        <v>C13208THACH THI DIEM MY050050663466</v>
      </c>
      <c r="K19" s="607">
        <f t="shared" si="5"/>
        <v>1</v>
      </c>
      <c r="P19" s="685"/>
    </row>
    <row r="20" spans="1:16" s="607" customFormat="1" ht="18" customHeight="1">
      <c r="A20" s="826">
        <f>SUBTOTAL(3,B$6:B20)</f>
        <v>15</v>
      </c>
      <c r="B20" s="824" t="s">
        <v>815</v>
      </c>
      <c r="C20" s="824" t="str">
        <f>+VLOOKUP(B20,'Salary sheet'!$B$6:$AX$1386,48,0)</f>
        <v>DUONG THI BICH HANH</v>
      </c>
      <c r="D20" s="824" t="str">
        <f>+VLOOKUP(B20,'Salary sheet'!$B$6:$BW$1386,49,0)</f>
        <v>050032877017</v>
      </c>
      <c r="E20" s="620">
        <f>+VLOOKUP(B20,'Salary sheet'!$B$6:$AT$1292,45,0)</f>
        <v>8996253</v>
      </c>
      <c r="F20" s="1029" t="s">
        <v>5723</v>
      </c>
      <c r="G20" s="824" t="str">
        <f>+VLOOKUP(B20,'Salary sheet'!$B$6:$E$2281,4,0)</f>
        <v>FACTORY A</v>
      </c>
      <c r="H20" s="607" t="str">
        <f>+VLOOKUP(B20,'Salary sheet'!$B$6:$AZ$1386,50,0)</f>
        <v>SK1 Box</v>
      </c>
      <c r="I20" s="607" t="str">
        <f t="shared" si="4"/>
        <v>C13602DUONG THI BICH HANH050032877017</v>
      </c>
      <c r="J20" s="853" t="str">
        <f>+VLOOKUP(B20,'[5]04 2025'!$B$2:$F$1371,5,0)</f>
        <v>C13602DUONG THI BICH HANH050032877017</v>
      </c>
      <c r="K20" s="607">
        <f t="shared" si="5"/>
        <v>1</v>
      </c>
      <c r="P20" s="685"/>
    </row>
    <row r="21" spans="1:16" s="607" customFormat="1" ht="18" customHeight="1">
      <c r="A21" s="826">
        <f>SUBTOTAL(3,B$6:B21)</f>
        <v>16</v>
      </c>
      <c r="B21" s="824" t="s">
        <v>817</v>
      </c>
      <c r="C21" s="824" t="str">
        <f>+VLOOKUP(B21,'Salary sheet'!$B$6:$AX$1386,48,0)</f>
        <v>PHAM THI XUAN</v>
      </c>
      <c r="D21" s="824" t="str">
        <f>+VLOOKUP(B21,'Salary sheet'!$B$6:$BW$1386,49,0)</f>
        <v>050093248810</v>
      </c>
      <c r="E21" s="620">
        <f>+VLOOKUP(B21,'Salary sheet'!$B$6:$AT$1292,45,0)</f>
        <v>6973611</v>
      </c>
      <c r="F21" s="1029" t="s">
        <v>5723</v>
      </c>
      <c r="G21" s="824" t="str">
        <f>+VLOOKUP(B21,'Salary sheet'!$B$6:$E$2281,4,0)</f>
        <v>FACTORY A</v>
      </c>
      <c r="H21" s="607" t="str">
        <f>+VLOOKUP(B21,'Salary sheet'!$B$6:$AZ$1386,50,0)</f>
        <v>SK1 Box</v>
      </c>
      <c r="I21" s="607" t="str">
        <f t="shared" si="4"/>
        <v>C14065PHAM THI XUAN050093248810</v>
      </c>
      <c r="J21" s="853" t="str">
        <f>+VLOOKUP(B21,'[5]04 2025'!$B$2:$F$1371,5,0)</f>
        <v>C14065PHAM THI XUAN050093248810</v>
      </c>
      <c r="K21" s="607">
        <f t="shared" si="5"/>
        <v>1</v>
      </c>
      <c r="P21" s="685"/>
    </row>
    <row r="22" spans="1:16" s="607" customFormat="1" ht="18" customHeight="1">
      <c r="A22" s="826">
        <f>SUBTOTAL(3,B$6:B22)</f>
        <v>17</v>
      </c>
      <c r="B22" s="824" t="s">
        <v>819</v>
      </c>
      <c r="C22" s="824" t="str">
        <f>+VLOOKUP(B22,'Salary sheet'!$B$6:$AX$1386,48,0)</f>
        <v>NGUYEN THI THANH HUYEN</v>
      </c>
      <c r="D22" s="824" t="str">
        <f>+VLOOKUP(B22,'Salary sheet'!$B$6:$BW$1386,49,0)</f>
        <v>050120176479</v>
      </c>
      <c r="E22" s="620">
        <f>+VLOOKUP(B22,'Salary sheet'!$B$6:$AT$1292,45,0)</f>
        <v>2573364</v>
      </c>
      <c r="F22" s="1029" t="s">
        <v>5723</v>
      </c>
      <c r="G22" s="824" t="str">
        <f>+VLOOKUP(B22,'Salary sheet'!$B$6:$E$2281,4,0)</f>
        <v>FACTORY A</v>
      </c>
      <c r="H22" s="607" t="str">
        <f>+VLOOKUP(B22,'Salary sheet'!$B$6:$AZ$1386,50,0)</f>
        <v>SK1 Box</v>
      </c>
      <c r="I22" s="607" t="str">
        <f t="shared" si="4"/>
        <v>C14134NGUYEN THI THANH HUYEN050120176479</v>
      </c>
      <c r="J22" s="853" t="str">
        <f>+VLOOKUP(B22,'[5]04 2025'!$B$2:$F$1371,5,0)</f>
        <v>C14134NGUYEN THI THANH HUYEN050120176479</v>
      </c>
      <c r="K22" s="607">
        <f t="shared" si="5"/>
        <v>1</v>
      </c>
      <c r="P22" s="685"/>
    </row>
    <row r="23" spans="1:16" s="607" customFormat="1" ht="18" customHeight="1">
      <c r="A23" s="826">
        <f>SUBTOTAL(3,B$6:B23)</f>
        <v>18</v>
      </c>
      <c r="B23" s="824" t="s">
        <v>821</v>
      </c>
      <c r="C23" s="824" t="str">
        <f>+VLOOKUP(B23,'Salary sheet'!$B$6:$AX$1386,48,0)</f>
        <v>DO UT NHANH</v>
      </c>
      <c r="D23" s="824" t="str">
        <f>+VLOOKUP(B23,'Salary sheet'!$B$6:$BW$1386,49,0)</f>
        <v>050111583861</v>
      </c>
      <c r="E23" s="620">
        <f>+VLOOKUP(B23,'Salary sheet'!$B$6:$AT$1292,45,0)</f>
        <v>9690864</v>
      </c>
      <c r="F23" s="1029" t="s">
        <v>5723</v>
      </c>
      <c r="G23" s="824" t="str">
        <f>+VLOOKUP(B23,'Salary sheet'!$B$6:$E$2281,4,0)</f>
        <v>FACTORY A</v>
      </c>
      <c r="H23" s="607" t="str">
        <f>+VLOOKUP(B23,'Salary sheet'!$B$6:$AZ$1386,50,0)</f>
        <v>SK1 Box</v>
      </c>
      <c r="I23" s="607" t="str">
        <f t="shared" si="4"/>
        <v>C14757DO UT NHANH050111583861</v>
      </c>
      <c r="J23" s="853" t="str">
        <f>+VLOOKUP(B23,'[5]04 2025'!$B$2:$F$1371,5,0)</f>
        <v>C14757DO UT NHANH050111583861</v>
      </c>
      <c r="K23" s="607">
        <f t="shared" si="5"/>
        <v>1</v>
      </c>
      <c r="P23" s="685"/>
    </row>
    <row r="24" spans="1:16" s="607" customFormat="1" ht="18" customHeight="1">
      <c r="A24" s="826">
        <f>SUBTOTAL(3,B$6:B24)</f>
        <v>19</v>
      </c>
      <c r="B24" s="824" t="s">
        <v>823</v>
      </c>
      <c r="C24" s="824" t="str">
        <f>+VLOOKUP(B24,'Salary sheet'!$B$6:$AX$1386,48,0)</f>
        <v>NGUYEN THI HANG</v>
      </c>
      <c r="D24" s="824" t="str">
        <f>+VLOOKUP(B24,'Salary sheet'!$B$6:$BW$1386,49,0)</f>
        <v>050135730472</v>
      </c>
      <c r="E24" s="620">
        <f>+VLOOKUP(B24,'Salary sheet'!$B$6:$AT$1292,45,0)</f>
        <v>7622027</v>
      </c>
      <c r="F24" s="1029" t="s">
        <v>5723</v>
      </c>
      <c r="G24" s="824" t="str">
        <f>+VLOOKUP(B24,'Salary sheet'!$B$6:$E$2281,4,0)</f>
        <v>FACTORY A</v>
      </c>
      <c r="H24" s="607" t="str">
        <f>+VLOOKUP(B24,'Salary sheet'!$B$6:$AZ$1386,50,0)</f>
        <v>SK1 Box</v>
      </c>
      <c r="I24" s="607" t="str">
        <f t="shared" si="4"/>
        <v>C14790NGUYEN THI HANG050135730472</v>
      </c>
      <c r="J24" s="853" t="str">
        <f>+VLOOKUP(B24,'[5]04 2025'!$B$2:$F$1371,5,0)</f>
        <v>C14790NGUYEN THI HANG050135730472</v>
      </c>
      <c r="K24" s="607">
        <f t="shared" si="5"/>
        <v>1</v>
      </c>
      <c r="P24" s="685"/>
    </row>
    <row r="25" spans="1:16" s="607" customFormat="1" ht="18" customHeight="1">
      <c r="A25" s="826">
        <f>SUBTOTAL(3,B$6:B25)</f>
        <v>20</v>
      </c>
      <c r="B25" s="824" t="s">
        <v>825</v>
      </c>
      <c r="C25" s="824" t="str">
        <f>+VLOOKUP(B25,'Salary sheet'!$B$6:$AX$1386,48,0)</f>
        <v>BUI THI BAO NGOC</v>
      </c>
      <c r="D25" s="824" t="str">
        <f>+VLOOKUP(B25,'Salary sheet'!$B$6:$BW$1386,49,0)</f>
        <v>050118478549</v>
      </c>
      <c r="E25" s="620">
        <f>+VLOOKUP(B25,'Salary sheet'!$B$6:$AT$1292,45,0)</f>
        <v>9056358</v>
      </c>
      <c r="F25" s="1029" t="s">
        <v>5723</v>
      </c>
      <c r="G25" s="824" t="str">
        <f>+VLOOKUP(B25,'Salary sheet'!$B$6:$E$2281,4,0)</f>
        <v>FACTORY A</v>
      </c>
      <c r="H25" s="607" t="str">
        <f>+VLOOKUP(B25,'Salary sheet'!$B$6:$AZ$1386,50,0)</f>
        <v>SK1 Box</v>
      </c>
      <c r="I25" s="607" t="str">
        <f t="shared" si="4"/>
        <v>C14998BUI THI BAO NGOC050118478549</v>
      </c>
      <c r="J25" s="853" t="str">
        <f>+VLOOKUP(B25,'[5]04 2025'!$B$2:$F$1371,5,0)</f>
        <v>C14998BUI THI BAO NGOC050118478549</v>
      </c>
      <c r="K25" s="607">
        <f t="shared" si="5"/>
        <v>1</v>
      </c>
      <c r="P25" s="685"/>
    </row>
    <row r="26" spans="1:16" s="607" customFormat="1" ht="18" customHeight="1">
      <c r="A26" s="826">
        <f>SUBTOTAL(3,B$6:B26)</f>
        <v>21</v>
      </c>
      <c r="B26" s="824" t="s">
        <v>827</v>
      </c>
      <c r="C26" s="824" t="str">
        <f>+VLOOKUP(B26,'Salary sheet'!$B$6:$AX$1386,48,0)</f>
        <v>MAI THI NHUNG</v>
      </c>
      <c r="D26" s="824" t="str">
        <f>+VLOOKUP(B26,'Salary sheet'!$B$6:$BW$1386,49,0)</f>
        <v>050137060581</v>
      </c>
      <c r="E26" s="620">
        <f>+VLOOKUP(B26,'Salary sheet'!$B$6:$AT$1292,45,0)</f>
        <v>8585968</v>
      </c>
      <c r="F26" s="1029" t="s">
        <v>5723</v>
      </c>
      <c r="G26" s="824" t="str">
        <f>+VLOOKUP(B26,'Salary sheet'!$B$6:$E$2281,4,0)</f>
        <v>FACTORY A</v>
      </c>
      <c r="H26" s="607" t="str">
        <f>+VLOOKUP(B26,'Salary sheet'!$B$6:$AZ$1386,50,0)</f>
        <v>SK1 Box</v>
      </c>
      <c r="I26" s="607" t="str">
        <f t="shared" si="4"/>
        <v>C15141MAI THI NHUNG050137060581</v>
      </c>
      <c r="J26" s="853" t="str">
        <f>+VLOOKUP(B26,'[5]04 2025'!$B$2:$F$1371,5,0)</f>
        <v>C15141MAI THI NHUNG050137060581</v>
      </c>
      <c r="K26" s="607">
        <f t="shared" si="5"/>
        <v>1</v>
      </c>
      <c r="P26" s="685"/>
    </row>
    <row r="27" spans="1:16" s="607" customFormat="1" ht="18" customHeight="1">
      <c r="A27" s="826">
        <f>SUBTOTAL(3,B$6:B27)</f>
        <v>22</v>
      </c>
      <c r="B27" s="824" t="s">
        <v>829</v>
      </c>
      <c r="C27" s="824" t="str">
        <f>+VLOOKUP(B27,'Salary sheet'!$B$6:$AX$1386,48,0)</f>
        <v>PHAM THI NGOC THUY</v>
      </c>
      <c r="D27" s="824" t="str">
        <f>+VLOOKUP(B27,'Salary sheet'!$B$6:$BW$1386,49,0)</f>
        <v>050040878413</v>
      </c>
      <c r="E27" s="620">
        <f>+VLOOKUP(B27,'Salary sheet'!$B$6:$AT$1292,45,0)</f>
        <v>9181327</v>
      </c>
      <c r="F27" s="1029" t="s">
        <v>5723</v>
      </c>
      <c r="G27" s="824" t="str">
        <f>+VLOOKUP(B27,'Salary sheet'!$B$6:$E$2281,4,0)</f>
        <v>FACTORY A</v>
      </c>
      <c r="H27" s="607" t="str">
        <f>+VLOOKUP(B27,'Salary sheet'!$B$6:$AZ$1386,50,0)</f>
        <v>SK1 Box</v>
      </c>
      <c r="I27" s="607" t="str">
        <f t="shared" si="4"/>
        <v>C15425PHAM THI NGOC THUY050040878413</v>
      </c>
      <c r="J27" s="853" t="str">
        <f>+VLOOKUP(B27,'[5]04 2025'!$B$2:$F$1371,5,0)</f>
        <v>C15425PHAM THI NGOC THUY050040878413</v>
      </c>
      <c r="K27" s="607">
        <f t="shared" si="5"/>
        <v>1</v>
      </c>
      <c r="P27" s="685"/>
    </row>
    <row r="28" spans="1:16" s="607" customFormat="1" ht="18" customHeight="1">
      <c r="A28" s="826">
        <f>SUBTOTAL(3,B$6:B28)</f>
        <v>23</v>
      </c>
      <c r="B28" s="824" t="s">
        <v>831</v>
      </c>
      <c r="C28" s="824" t="str">
        <f>+VLOOKUP(B28,'Salary sheet'!$B$6:$AX$1386,48,0)</f>
        <v>SON THI CO LAP</v>
      </c>
      <c r="D28" s="824" t="str">
        <f>+VLOOKUP(B28,'Salary sheet'!$B$6:$BW$1386,49,0)</f>
        <v>050040879533</v>
      </c>
      <c r="E28" s="620">
        <f>+VLOOKUP(B28,'Salary sheet'!$B$6:$AT$1292,45,0)</f>
        <v>5691486</v>
      </c>
      <c r="F28" s="1029" t="s">
        <v>5723</v>
      </c>
      <c r="G28" s="824" t="str">
        <f>+VLOOKUP(B28,'Salary sheet'!$B$6:$E$2281,4,0)</f>
        <v>FACTORY A</v>
      </c>
      <c r="H28" s="607" t="str">
        <f>+VLOOKUP(B28,'Salary sheet'!$B$6:$AZ$1386,50,0)</f>
        <v>SK1 Box</v>
      </c>
      <c r="I28" s="607" t="str">
        <f t="shared" si="4"/>
        <v>C15451SON THI CO LAP050040879533</v>
      </c>
      <c r="J28" s="853" t="str">
        <f>+VLOOKUP(B28,'[5]04 2025'!$B$2:$F$1371,5,0)</f>
        <v>C15451SON THI CO LAP050040879533</v>
      </c>
      <c r="K28" s="607">
        <f t="shared" si="5"/>
        <v>1</v>
      </c>
      <c r="P28" s="685"/>
    </row>
    <row r="29" spans="1:16" s="607" customFormat="1" ht="18" customHeight="1">
      <c r="A29" s="826">
        <f>SUBTOTAL(3,B$6:B29)</f>
        <v>24</v>
      </c>
      <c r="B29" s="824" t="s">
        <v>833</v>
      </c>
      <c r="C29" s="824" t="str">
        <f>+VLOOKUP(B29,'Salary sheet'!$B$6:$AX$1386,48,0)</f>
        <v>NGUYEN THI HAI</v>
      </c>
      <c r="D29" s="824" t="str">
        <f>+VLOOKUP(B29,'Salary sheet'!$B$6:$BW$1386,49,0)</f>
        <v>050149624039</v>
      </c>
      <c r="E29" s="620">
        <f>+VLOOKUP(B29,'Salary sheet'!$B$6:$AT$1292,45,0)</f>
        <v>9035402</v>
      </c>
      <c r="F29" s="1029" t="s">
        <v>5723</v>
      </c>
      <c r="G29" s="824" t="str">
        <f>+VLOOKUP(B29,'Salary sheet'!$B$6:$E$2281,4,0)</f>
        <v>FACTORY A</v>
      </c>
      <c r="H29" s="607" t="str">
        <f>+VLOOKUP(B29,'Salary sheet'!$B$6:$AZ$1386,50,0)</f>
        <v>SK1 Box</v>
      </c>
      <c r="I29" s="607" t="str">
        <f t="shared" si="4"/>
        <v>C15528NGUYEN THI HAI050149624039</v>
      </c>
      <c r="J29" s="853" t="str">
        <f>+VLOOKUP(B29,'[5]04 2025'!$B$2:$F$1371,5,0)</f>
        <v>C15528NGUYEN THI HAI050149624039</v>
      </c>
      <c r="K29" s="607">
        <f t="shared" si="5"/>
        <v>1</v>
      </c>
      <c r="P29" s="685"/>
    </row>
    <row r="30" spans="1:16" s="607" customFormat="1" ht="18" customHeight="1">
      <c r="A30" s="826">
        <f>SUBTOTAL(3,B$6:B30)</f>
        <v>25</v>
      </c>
      <c r="B30" s="824" t="s">
        <v>835</v>
      </c>
      <c r="C30" s="824" t="str">
        <f>+VLOOKUP(B30,'Salary sheet'!$B$6:$AX$1386,48,0)</f>
        <v>DIEU DUNG</v>
      </c>
      <c r="D30" s="824" t="str">
        <f>+VLOOKUP(B30,'Salary sheet'!$B$6:$BW$1386,49,0)</f>
        <v>050152610741</v>
      </c>
      <c r="E30" s="620">
        <f>+VLOOKUP(B30,'Salary sheet'!$B$6:$AT$1292,45,0)</f>
        <v>8535714</v>
      </c>
      <c r="F30" s="1029" t="s">
        <v>5723</v>
      </c>
      <c r="G30" s="824" t="str">
        <f>+VLOOKUP(B30,'Salary sheet'!$B$6:$E$2281,4,0)</f>
        <v>FACTORY A</v>
      </c>
      <c r="H30" s="607" t="str">
        <f>+VLOOKUP(B30,'Salary sheet'!$B$6:$AZ$1386,50,0)</f>
        <v>SK1 Box</v>
      </c>
      <c r="I30" s="607" t="str">
        <f t="shared" si="4"/>
        <v>C15830DIEU DUNG050152610741</v>
      </c>
      <c r="J30" s="853" t="str">
        <f>+VLOOKUP(B30,'[5]04 2025'!$B$2:$F$1371,5,0)</f>
        <v>C15830DIEU DUNG050152610741</v>
      </c>
      <c r="K30" s="607">
        <f t="shared" si="5"/>
        <v>1</v>
      </c>
      <c r="P30" s="685"/>
    </row>
    <row r="31" spans="1:16" s="607" customFormat="1" ht="18" customHeight="1">
      <c r="A31" s="826">
        <f>SUBTOTAL(3,B$6:B31)</f>
        <v>26</v>
      </c>
      <c r="B31" s="824" t="s">
        <v>836</v>
      </c>
      <c r="C31" s="824" t="str">
        <f>+VLOOKUP(B31,'Salary sheet'!$B$6:$AX$1386,48,0)</f>
        <v>NGUYEN THI THANH HOA</v>
      </c>
      <c r="D31" s="824" t="str">
        <f>+VLOOKUP(B31,'Salary sheet'!$B$6:$BW$1386,49,0)</f>
        <v>050127000211</v>
      </c>
      <c r="E31" s="620">
        <f>+VLOOKUP(B31,'Salary sheet'!$B$6:$AT$1292,45,0)</f>
        <v>8164758</v>
      </c>
      <c r="F31" s="1029" t="s">
        <v>5723</v>
      </c>
      <c r="G31" s="824" t="str">
        <f>+VLOOKUP(B31,'Salary sheet'!$B$6:$E$2281,4,0)</f>
        <v>FACTORY A</v>
      </c>
      <c r="H31" s="607" t="str">
        <f>+VLOOKUP(B31,'Salary sheet'!$B$6:$AZ$1386,50,0)</f>
        <v>SK1 Box</v>
      </c>
      <c r="I31" s="607" t="str">
        <f t="shared" si="4"/>
        <v>C16230NGUYEN THI THANH HOA050127000211</v>
      </c>
      <c r="J31" s="853" t="str">
        <f>+VLOOKUP(B31,'[5]04 2025'!$B$2:$F$1371,5,0)</f>
        <v>C16230NGUYEN THI THANH HOA050127000211</v>
      </c>
      <c r="K31" s="607">
        <f t="shared" si="5"/>
        <v>1</v>
      </c>
      <c r="P31" s="685"/>
    </row>
    <row r="32" spans="1:16" s="607" customFormat="1" ht="18" customHeight="1">
      <c r="A32" s="826">
        <f>SUBTOTAL(3,B$6:B32)</f>
        <v>27</v>
      </c>
      <c r="B32" s="824" t="s">
        <v>838</v>
      </c>
      <c r="C32" s="824" t="str">
        <f>+VLOOKUP(B32,'Salary sheet'!$B$6:$AX$1386,48,0)</f>
        <v>THI SUNG LY</v>
      </c>
      <c r="D32" s="824" t="str">
        <f>+VLOOKUP(B32,'Salary sheet'!$B$6:$BW$1386,49,0)</f>
        <v>050117956201</v>
      </c>
      <c r="E32" s="620">
        <f>+VLOOKUP(B32,'Salary sheet'!$B$6:$AT$1292,45,0)</f>
        <v>8395394</v>
      </c>
      <c r="F32" s="1029" t="s">
        <v>5723</v>
      </c>
      <c r="G32" s="824" t="str">
        <f>+VLOOKUP(B32,'Salary sheet'!$B$6:$E$2281,4,0)</f>
        <v>FACTORY A</v>
      </c>
      <c r="H32" s="607" t="str">
        <f>+VLOOKUP(B32,'Salary sheet'!$B$6:$AZ$1386,50,0)</f>
        <v>SK1 Box</v>
      </c>
      <c r="I32" s="607" t="str">
        <f t="shared" si="4"/>
        <v>C16240THI SUNG LY050117956201</v>
      </c>
      <c r="J32" s="853" t="str">
        <f>+VLOOKUP(B32,'[5]04 2025'!$B$2:$F$1371,5,0)</f>
        <v>C16240THI SUNG LY050117956201</v>
      </c>
      <c r="K32" s="607">
        <f t="shared" si="5"/>
        <v>1</v>
      </c>
      <c r="P32" s="685"/>
    </row>
    <row r="33" spans="1:16" s="607" customFormat="1" ht="18" customHeight="1">
      <c r="A33" s="826">
        <f>SUBTOTAL(3,B$6:B33)</f>
        <v>28</v>
      </c>
      <c r="B33" s="824" t="s">
        <v>840</v>
      </c>
      <c r="C33" s="824" t="str">
        <f>+VLOOKUP(B33,'Salary sheet'!$B$6:$AX$1386,48,0)</f>
        <v>NGUYEN THI HOAI NHO</v>
      </c>
      <c r="D33" s="824" t="str">
        <f>+VLOOKUP(B33,'Salary sheet'!$B$6:$BW$1386,49,0)</f>
        <v>050117412080</v>
      </c>
      <c r="E33" s="620">
        <f>+VLOOKUP(B33,'Salary sheet'!$B$6:$AT$1292,45,0)</f>
        <v>7682357</v>
      </c>
      <c r="F33" s="1029" t="s">
        <v>5723</v>
      </c>
      <c r="G33" s="824" t="str">
        <f>+VLOOKUP(B33,'Salary sheet'!$B$6:$E$2281,4,0)</f>
        <v>FACTORY A</v>
      </c>
      <c r="H33" s="607" t="str">
        <f>+VLOOKUP(B33,'Salary sheet'!$B$6:$AZ$1386,50,0)</f>
        <v>SK1 Box</v>
      </c>
      <c r="I33" s="607" t="str">
        <f t="shared" ref="I33:I35" si="6">+CONCATENATE(B33,C33,D33)</f>
        <v>C16292NGUYEN THI HOAI NHO050117412080</v>
      </c>
      <c r="J33" s="853" t="str">
        <f>+VLOOKUP(B33,'[5]04 2025'!$B$2:$F$1371,5,0)</f>
        <v>C16292NGUYEN THI HOAI NHO050117412080</v>
      </c>
      <c r="K33" s="607">
        <f t="shared" ref="K33:K35" si="7">+IF(J33=I33,1,0)</f>
        <v>1</v>
      </c>
      <c r="P33" s="685"/>
    </row>
    <row r="34" spans="1:16" s="607" customFormat="1" ht="18" customHeight="1">
      <c r="A34" s="826">
        <f>SUBTOTAL(3,B$6:B34)</f>
        <v>29</v>
      </c>
      <c r="B34" s="824" t="s">
        <v>842</v>
      </c>
      <c r="C34" s="824" t="str">
        <f>+VLOOKUP(B34,'Salary sheet'!$B$6:$AX$1386,48,0)</f>
        <v>LE THI MINH TRANG</v>
      </c>
      <c r="D34" s="824" t="str">
        <f>+VLOOKUP(B34,'Salary sheet'!$B$6:$BW$1386,49,0)</f>
        <v>050130574731</v>
      </c>
      <c r="E34" s="620">
        <f>+VLOOKUP(B34,'Salary sheet'!$B$6:$AT$1292,45,0)</f>
        <v>8350690</v>
      </c>
      <c r="F34" s="1029" t="s">
        <v>5723</v>
      </c>
      <c r="G34" s="824" t="str">
        <f>+VLOOKUP(B34,'Salary sheet'!$B$6:$E$2281,4,0)</f>
        <v>FACTORY A</v>
      </c>
      <c r="H34" s="607" t="str">
        <f>+VLOOKUP(B34,'Salary sheet'!$B$6:$AZ$1386,50,0)</f>
        <v>SK1 Box</v>
      </c>
      <c r="I34" s="607" t="str">
        <f t="shared" si="6"/>
        <v>C16295LE THI MINH TRANG050130574731</v>
      </c>
      <c r="J34" s="853" t="str">
        <f>+VLOOKUP(B34,'[5]04 2025'!$B$2:$F$1371,5,0)</f>
        <v>C16295LE THI MINH TRANG050130574731</v>
      </c>
      <c r="K34" s="607">
        <f t="shared" si="7"/>
        <v>1</v>
      </c>
      <c r="P34" s="685"/>
    </row>
    <row r="35" spans="1:16" s="607" customFormat="1" ht="18" customHeight="1">
      <c r="A35" s="826">
        <f>SUBTOTAL(3,B$6:B35)</f>
        <v>30</v>
      </c>
      <c r="B35" s="824" t="s">
        <v>844</v>
      </c>
      <c r="C35" s="824" t="str">
        <f>+VLOOKUP(B35,'Salary sheet'!$B$6:$AX$1386,48,0)</f>
        <v>NGUYEN THI DAO</v>
      </c>
      <c r="D35" s="824" t="str">
        <f>+VLOOKUP(B35,'Salary sheet'!$B$6:$BW$1386,49,0)</f>
        <v>050103659628</v>
      </c>
      <c r="E35" s="620">
        <f>+VLOOKUP(B35,'Salary sheet'!$B$6:$AT$1292,45,0)</f>
        <v>7880033</v>
      </c>
      <c r="F35" s="1029" t="s">
        <v>5723</v>
      </c>
      <c r="G35" s="824" t="str">
        <f>+VLOOKUP(B35,'Salary sheet'!$B$6:$E$2281,4,0)</f>
        <v>FACTORY A</v>
      </c>
      <c r="H35" s="607" t="str">
        <f>+VLOOKUP(B35,'Salary sheet'!$B$6:$AZ$1386,50,0)</f>
        <v>SK1 Box</v>
      </c>
      <c r="I35" s="607" t="str">
        <f t="shared" si="6"/>
        <v>C16423NGUYEN THI DAO050103659628</v>
      </c>
      <c r="J35" s="853" t="str">
        <f>+VLOOKUP(B35,'[5]04 2025'!$B$2:$F$1371,5,0)</f>
        <v>C16423NGUYEN THI DAO050103659628</v>
      </c>
      <c r="K35" s="607">
        <f t="shared" si="7"/>
        <v>1</v>
      </c>
      <c r="P35" s="685"/>
    </row>
    <row r="36" spans="1:16" s="607" customFormat="1" ht="18" customHeight="1">
      <c r="A36" s="826">
        <f>SUBTOTAL(3,B$6:B36)</f>
        <v>31</v>
      </c>
      <c r="B36" s="824" t="s">
        <v>846</v>
      </c>
      <c r="C36" s="824" t="str">
        <f>+VLOOKUP(B36,'Salary sheet'!$B$6:$AX$1386,48,0)</f>
        <v>RLAN KYIN</v>
      </c>
      <c r="D36" s="824" t="str">
        <f>+VLOOKUP(B36,'Salary sheet'!$B$6:$BW$1386,49,0)</f>
        <v>050116311493</v>
      </c>
      <c r="E36" s="620">
        <f>+VLOOKUP(B36,'Salary sheet'!$B$6:$AT$1292,45,0)</f>
        <v>8284471</v>
      </c>
      <c r="F36" s="1029" t="s">
        <v>5723</v>
      </c>
      <c r="G36" s="824" t="str">
        <f>+VLOOKUP(B36,'Salary sheet'!$B$6:$E$2281,4,0)</f>
        <v>FACTORY A</v>
      </c>
      <c r="H36" s="607" t="str">
        <f>+VLOOKUP(B36,'Salary sheet'!$B$6:$AZ$1386,50,0)</f>
        <v>SK1 Box</v>
      </c>
      <c r="I36" s="607" t="str">
        <f t="shared" si="0"/>
        <v>C16492RLAN KYIN050116311493</v>
      </c>
      <c r="J36" s="853" t="str">
        <f>+VLOOKUP(B36,'[5]04 2025'!$B$2:$F$1371,5,0)</f>
        <v>C16492RLAN KYIN050116311493</v>
      </c>
      <c r="K36" s="607">
        <f t="shared" si="1"/>
        <v>1</v>
      </c>
      <c r="P36" s="685"/>
    </row>
    <row r="37" spans="1:16" s="607" customFormat="1" ht="18" customHeight="1">
      <c r="A37" s="826">
        <f>SUBTOTAL(3,B$6:B37)</f>
        <v>32</v>
      </c>
      <c r="B37" s="824" t="s">
        <v>848</v>
      </c>
      <c r="C37" s="824" t="str">
        <f>+VLOOKUP(B37,'Salary sheet'!$B$6:$AX$1386,48,0)</f>
        <v>TRAN THI CHUYEN</v>
      </c>
      <c r="D37" s="824" t="str">
        <f>+VLOOKUP(B37,'Salary sheet'!$B$6:$BW$1386,49,0)</f>
        <v>050040850871</v>
      </c>
      <c r="E37" s="620">
        <f>+VLOOKUP(B37,'Salary sheet'!$B$6:$AT$1292,45,0)</f>
        <v>13098181</v>
      </c>
      <c r="F37" s="1029" t="s">
        <v>5723</v>
      </c>
      <c r="G37" s="824" t="str">
        <f>+VLOOKUP(B37,'Salary sheet'!$B$6:$E$2281,4,0)</f>
        <v>FACTORY A</v>
      </c>
      <c r="H37" s="607" t="str">
        <f>+VLOOKUP(B37,'Salary sheet'!$B$6:$AZ$1386,50,0)</f>
        <v>SK1 Box</v>
      </c>
      <c r="I37" s="607" t="str">
        <f t="shared" si="0"/>
        <v>C2317TRAN THI CHUYEN050040850871</v>
      </c>
      <c r="J37" s="853" t="str">
        <f>+VLOOKUP(B37,'[5]04 2025'!$B$2:$F$1371,5,0)</f>
        <v>C2317TRAN THI CHUYEN050040850871</v>
      </c>
      <c r="K37" s="607">
        <f t="shared" si="1"/>
        <v>1</v>
      </c>
      <c r="P37" s="685"/>
    </row>
    <row r="38" spans="1:16" s="607" customFormat="1" ht="18" customHeight="1">
      <c r="A38" s="826">
        <f>SUBTOTAL(3,B$6:B38)</f>
        <v>33</v>
      </c>
      <c r="B38" s="824" t="s">
        <v>851</v>
      </c>
      <c r="C38" s="824" t="str">
        <f>+VLOOKUP(B38,'Salary sheet'!$B$6:$AX$1386,48,0)</f>
        <v>TRAN THI THU HANG</v>
      </c>
      <c r="D38" s="824" t="str">
        <f>+VLOOKUP(B38,'Salary sheet'!$B$6:$BW$1386,49,0)</f>
        <v>050040850926</v>
      </c>
      <c r="E38" s="620">
        <f>+VLOOKUP(B38,'Salary sheet'!$B$6:$AT$1292,45,0)</f>
        <v>9973127</v>
      </c>
      <c r="F38" s="1029" t="s">
        <v>5723</v>
      </c>
      <c r="G38" s="824" t="str">
        <f>+VLOOKUP(B38,'Salary sheet'!$B$6:$E$2281,4,0)</f>
        <v>FACTORY A</v>
      </c>
      <c r="H38" s="607" t="str">
        <f>+VLOOKUP(B38,'Salary sheet'!$B$6:$AZ$1386,50,0)</f>
        <v>SK1 Box</v>
      </c>
      <c r="I38" s="607" t="str">
        <f t="shared" si="0"/>
        <v>C2434TRAN THI THU HANG050040850926</v>
      </c>
      <c r="J38" s="853" t="str">
        <f>+VLOOKUP(B38,'[5]04 2025'!$B$2:$F$1371,5,0)</f>
        <v>C2434TRAN THI THU HANG050040850926</v>
      </c>
      <c r="K38" s="607">
        <f t="shared" si="1"/>
        <v>1</v>
      </c>
      <c r="P38" s="685"/>
    </row>
    <row r="39" spans="1:16" s="607" customFormat="1" ht="18" customHeight="1">
      <c r="A39" s="826">
        <f>SUBTOTAL(3,B$6:B39)</f>
        <v>34</v>
      </c>
      <c r="B39" s="824" t="s">
        <v>853</v>
      </c>
      <c r="C39" s="824" t="str">
        <f>+VLOOKUP(B39,'Salary sheet'!$B$6:$AX$1386,48,0)</f>
        <v>DUONG PHI HUNG</v>
      </c>
      <c r="D39" s="824" t="str">
        <f>+VLOOKUP(B39,'Salary sheet'!$B$6:$BW$1386,49,0)</f>
        <v>050040850845</v>
      </c>
      <c r="E39" s="620">
        <f>+VLOOKUP(B39,'Salary sheet'!$B$6:$AT$1292,45,0)</f>
        <v>10321354</v>
      </c>
      <c r="F39" s="1029" t="s">
        <v>5723</v>
      </c>
      <c r="G39" s="824" t="str">
        <f>+VLOOKUP(B39,'Salary sheet'!$B$6:$E$2281,4,0)</f>
        <v>FACTORY A</v>
      </c>
      <c r="H39" s="607" t="str">
        <f>+VLOOKUP(B39,'Salary sheet'!$B$6:$AZ$1386,50,0)</f>
        <v>SK1 Box</v>
      </c>
      <c r="I39" s="607" t="str">
        <f t="shared" ref="I39:I100" si="8">+CONCATENATE(B39,C39,D39)</f>
        <v>C3381DUONG PHI HUNG050040850845</v>
      </c>
      <c r="J39" s="853" t="str">
        <f>+VLOOKUP(B39,'[5]04 2025'!$B$2:$F$1371,5,0)</f>
        <v>C3381DUONG PHI HUNG050040850845</v>
      </c>
      <c r="K39" s="607">
        <f t="shared" ref="K39:K100" si="9">+IF(J39=I39,1,0)</f>
        <v>1</v>
      </c>
      <c r="P39" s="685"/>
    </row>
    <row r="40" spans="1:16" s="607" customFormat="1" ht="18" customHeight="1">
      <c r="A40" s="826">
        <f>SUBTOTAL(3,B$6:B40)</f>
        <v>35</v>
      </c>
      <c r="B40" s="824" t="s">
        <v>855</v>
      </c>
      <c r="C40" s="824" t="str">
        <f>+VLOOKUP(B40,'Salary sheet'!$B$6:$AX$1386,48,0)</f>
        <v>LE THI KIM CHI</v>
      </c>
      <c r="D40" s="824" t="str">
        <f>+VLOOKUP(B40,'Salary sheet'!$B$6:$BW$1386,49,0)</f>
        <v>050040850667</v>
      </c>
      <c r="E40" s="620">
        <f>+VLOOKUP(B40,'Salary sheet'!$B$6:$AT$1292,45,0)</f>
        <v>9873127</v>
      </c>
      <c r="F40" s="1029" t="s">
        <v>5723</v>
      </c>
      <c r="G40" s="824" t="str">
        <f>+VLOOKUP(B40,'Salary sheet'!$B$6:$E$2281,4,0)</f>
        <v>FACTORY A</v>
      </c>
      <c r="H40" s="607" t="str">
        <f>+VLOOKUP(B40,'Salary sheet'!$B$6:$AZ$1386,50,0)</f>
        <v>SK1 Box</v>
      </c>
      <c r="I40" s="607" t="str">
        <f t="shared" si="8"/>
        <v>C4973LE THI KIM CHI050040850667</v>
      </c>
      <c r="J40" s="853" t="str">
        <f>+VLOOKUP(B40,'[5]04 2025'!$B$2:$F$1371,5,0)</f>
        <v>C4973LE THI KIM CHI050040850667</v>
      </c>
      <c r="K40" s="607">
        <f t="shared" si="9"/>
        <v>1</v>
      </c>
      <c r="P40" s="685"/>
    </row>
    <row r="41" spans="1:16" s="607" customFormat="1" ht="18" customHeight="1">
      <c r="A41" s="826">
        <f>SUBTOTAL(3,B$6:B41)</f>
        <v>36</v>
      </c>
      <c r="B41" s="824" t="s">
        <v>857</v>
      </c>
      <c r="C41" s="824" t="str">
        <f>+VLOOKUP(B41,'Salary sheet'!$B$6:$AX$1386,48,0)</f>
        <v>HO THI LA</v>
      </c>
      <c r="D41" s="824" t="str">
        <f>+VLOOKUP(B41,'Salary sheet'!$B$6:$BW$1386,49,0)</f>
        <v>050041744380</v>
      </c>
      <c r="E41" s="620">
        <f>+VLOOKUP(B41,'Salary sheet'!$B$6:$AT$1292,45,0)</f>
        <v>10175951</v>
      </c>
      <c r="F41" s="1029" t="s">
        <v>5723</v>
      </c>
      <c r="G41" s="824" t="str">
        <f>+VLOOKUP(B41,'Salary sheet'!$B$6:$E$2281,4,0)</f>
        <v>FACTORY A</v>
      </c>
      <c r="H41" s="607" t="str">
        <f>+VLOOKUP(B41,'Salary sheet'!$B$6:$AZ$1386,50,0)</f>
        <v>SK1 Box</v>
      </c>
      <c r="I41" s="607" t="str">
        <f t="shared" si="8"/>
        <v>C6231HO THI LA050041744380</v>
      </c>
      <c r="J41" s="853" t="str">
        <f>+VLOOKUP(B41,'[5]04 2025'!$B$2:$F$1371,5,0)</f>
        <v>C6231HO THI LA050041744380</v>
      </c>
      <c r="K41" s="607">
        <f t="shared" si="9"/>
        <v>1</v>
      </c>
      <c r="P41" s="685"/>
    </row>
    <row r="42" spans="1:16" s="607" customFormat="1" ht="18" customHeight="1">
      <c r="A42" s="826">
        <f>SUBTOTAL(3,B$6:B42)</f>
        <v>37</v>
      </c>
      <c r="B42" s="824" t="s">
        <v>859</v>
      </c>
      <c r="C42" s="824" t="str">
        <f>+VLOOKUP(B42,'Salary sheet'!$B$6:$AX$1386,48,0)</f>
        <v>NGUYEN THI HA</v>
      </c>
      <c r="D42" s="824" t="str">
        <f>+VLOOKUP(B42,'Salary sheet'!$B$6:$BW$1386,49,0)</f>
        <v>050060949198</v>
      </c>
      <c r="E42" s="620">
        <f>+VLOOKUP(B42,'Salary sheet'!$B$6:$AT$1292,45,0)</f>
        <v>9323780</v>
      </c>
      <c r="F42" s="1029" t="s">
        <v>5723</v>
      </c>
      <c r="G42" s="824" t="str">
        <f>+VLOOKUP(B42,'Salary sheet'!$B$6:$E$2281,4,0)</f>
        <v>FACTORY A</v>
      </c>
      <c r="H42" s="607" t="str">
        <f>+VLOOKUP(B42,'Salary sheet'!$B$6:$AZ$1386,50,0)</f>
        <v>SK1 Box</v>
      </c>
      <c r="I42" s="607" t="str">
        <f t="shared" si="8"/>
        <v>C6557NGUYEN THI HA050060949198</v>
      </c>
      <c r="J42" s="853" t="str">
        <f>+VLOOKUP(B42,'[5]04 2025'!$B$2:$F$1371,5,0)</f>
        <v>C6557NGUYEN THI HA050060949198</v>
      </c>
      <c r="K42" s="607">
        <f t="shared" si="9"/>
        <v>1</v>
      </c>
      <c r="P42" s="685"/>
    </row>
    <row r="43" spans="1:16" s="607" customFormat="1" ht="18" customHeight="1">
      <c r="A43" s="826">
        <f>SUBTOTAL(3,B$6:B43)</f>
        <v>38</v>
      </c>
      <c r="B43" s="824" t="s">
        <v>860</v>
      </c>
      <c r="C43" s="824" t="str">
        <f>+VLOOKUP(B43,'Salary sheet'!$B$6:$AX$1386,48,0)</f>
        <v>NGO THI MINH HIEU</v>
      </c>
      <c r="D43" s="824" t="str">
        <f>+VLOOKUP(B43,'Salary sheet'!$B$6:$BW$1386,49,0)</f>
        <v>050089661738</v>
      </c>
      <c r="E43" s="620">
        <f>+VLOOKUP(B43,'Salary sheet'!$B$6:$AT$1292,45,0)</f>
        <v>9489964</v>
      </c>
      <c r="F43" s="1029" t="s">
        <v>5723</v>
      </c>
      <c r="G43" s="824" t="str">
        <f>+VLOOKUP(B43,'Salary sheet'!$B$6:$E$2281,4,0)</f>
        <v>FACTORY A</v>
      </c>
      <c r="H43" s="607" t="str">
        <f>+VLOOKUP(B43,'Salary sheet'!$B$6:$AZ$1386,50,0)</f>
        <v>SK1 Box</v>
      </c>
      <c r="I43" s="607" t="str">
        <f t="shared" si="8"/>
        <v>C7269NGO THI MINH HIEU050089661738</v>
      </c>
      <c r="J43" s="853" t="str">
        <f>+VLOOKUP(B43,'[5]04 2025'!$B$2:$F$1371,5,0)</f>
        <v>C7269NGO THI MINH HIEU050089661738</v>
      </c>
      <c r="K43" s="607">
        <f t="shared" si="9"/>
        <v>1</v>
      </c>
      <c r="P43" s="685"/>
    </row>
    <row r="44" spans="1:16" s="607" customFormat="1" ht="18" customHeight="1">
      <c r="A44" s="826">
        <f>SUBTOTAL(3,B$6:B44)</f>
        <v>39</v>
      </c>
      <c r="B44" s="824" t="s">
        <v>862</v>
      </c>
      <c r="C44" s="824" t="str">
        <f>+VLOOKUP(B44,'Salary sheet'!$B$6:$AX$1386,48,0)</f>
        <v>LE THI DUNG</v>
      </c>
      <c r="D44" s="824" t="str">
        <f>+VLOOKUP(B44,'Salary sheet'!$B$6:$BW$1386,49,0)</f>
        <v>050099643215</v>
      </c>
      <c r="E44" s="620">
        <f>+VLOOKUP(B44,'Salary sheet'!$B$6:$AT$1292,45,0)</f>
        <v>9143276</v>
      </c>
      <c r="F44" s="1029" t="s">
        <v>5723</v>
      </c>
      <c r="G44" s="824" t="str">
        <f>+VLOOKUP(B44,'Salary sheet'!$B$6:$E$2281,4,0)</f>
        <v>FACTORY A</v>
      </c>
      <c r="H44" s="607" t="str">
        <f>+VLOOKUP(B44,'Salary sheet'!$B$6:$AZ$1386,50,0)</f>
        <v>SK1 Box</v>
      </c>
      <c r="I44" s="607" t="str">
        <f t="shared" si="8"/>
        <v>C7706LE THI DUNG050099643215</v>
      </c>
      <c r="J44" s="853" t="str">
        <f>+VLOOKUP(B44,'[5]04 2025'!$B$2:$F$1371,5,0)</f>
        <v>C7706LE THI DUNG050099643215</v>
      </c>
      <c r="K44" s="607">
        <f t="shared" si="9"/>
        <v>1</v>
      </c>
      <c r="P44" s="685"/>
    </row>
    <row r="45" spans="1:16" s="607" customFormat="1" ht="18" customHeight="1">
      <c r="A45" s="826">
        <f>SUBTOTAL(3,B$6:B45)</f>
        <v>40</v>
      </c>
      <c r="B45" s="824" t="s">
        <v>864</v>
      </c>
      <c r="C45" s="824" t="str">
        <f>+VLOOKUP(B45,'Salary sheet'!$B$6:$AX$1386,48,0)</f>
        <v>DO THI NGOC TRAM</v>
      </c>
      <c r="D45" s="824" t="str">
        <f>+VLOOKUP(B45,'Salary sheet'!$B$6:$BW$1386,49,0)</f>
        <v>050103659733</v>
      </c>
      <c r="E45" s="620">
        <f>+VLOOKUP(B45,'Salary sheet'!$B$6:$AT$1292,45,0)</f>
        <v>10175951</v>
      </c>
      <c r="F45" s="1029" t="s">
        <v>5723</v>
      </c>
      <c r="G45" s="824" t="str">
        <f>+VLOOKUP(B45,'Salary sheet'!$B$6:$E$2281,4,0)</f>
        <v>FACTORY A</v>
      </c>
      <c r="H45" s="607" t="str">
        <f>+VLOOKUP(B45,'Salary sheet'!$B$6:$AZ$1386,50,0)</f>
        <v>SK1 Box</v>
      </c>
      <c r="I45" s="607" t="str">
        <f t="shared" si="8"/>
        <v>C8049DO THI NGOC TRAM050103659733</v>
      </c>
      <c r="J45" s="853" t="str">
        <f>+VLOOKUP(B45,'[5]04 2025'!$B$2:$F$1371,5,0)</f>
        <v>C8049DO THI NGOC TRAM050103659733</v>
      </c>
      <c r="K45" s="607">
        <f t="shared" si="9"/>
        <v>1</v>
      </c>
      <c r="P45" s="685"/>
    </row>
    <row r="46" spans="1:16" s="607" customFormat="1" ht="18" customHeight="1">
      <c r="A46" s="826">
        <f>SUBTOTAL(3,B$6:B46)</f>
        <v>41</v>
      </c>
      <c r="B46" s="824" t="s">
        <v>866</v>
      </c>
      <c r="C46" s="824" t="str">
        <f>+VLOOKUP(B46,'Salary sheet'!$B$6:$AX$1386,48,0)</f>
        <v>NGUYEN THI HONG NHUNG</v>
      </c>
      <c r="D46" s="824" t="str">
        <f>+VLOOKUP(B46,'Salary sheet'!$B$6:$BW$1386,49,0)</f>
        <v>050103659563</v>
      </c>
      <c r="E46" s="620">
        <f>+VLOOKUP(B46,'Salary sheet'!$B$6:$AT$1292,45,0)</f>
        <v>9234522</v>
      </c>
      <c r="F46" s="1029" t="s">
        <v>5723</v>
      </c>
      <c r="G46" s="824" t="str">
        <f>+VLOOKUP(B46,'Salary sheet'!$B$6:$E$2281,4,0)</f>
        <v>FACTORY A</v>
      </c>
      <c r="H46" s="607" t="str">
        <f>+VLOOKUP(B46,'Salary sheet'!$B$6:$AZ$1386,50,0)</f>
        <v>SK1 Box</v>
      </c>
      <c r="I46" s="607" t="str">
        <f t="shared" si="8"/>
        <v>C8444NGUYEN THI HONG NHUNG050103659563</v>
      </c>
      <c r="J46" s="853" t="str">
        <f>+VLOOKUP(B46,'[5]04 2025'!$B$2:$F$1371,5,0)</f>
        <v>C8444NGUYEN THI HONG NHUNG050103659563</v>
      </c>
      <c r="K46" s="607">
        <f t="shared" si="9"/>
        <v>1</v>
      </c>
      <c r="P46" s="685"/>
    </row>
    <row r="47" spans="1:16" s="607" customFormat="1" ht="18" customHeight="1">
      <c r="A47" s="826">
        <f>SUBTOTAL(3,B$6:B47)</f>
        <v>42</v>
      </c>
      <c r="B47" s="824" t="s">
        <v>868</v>
      </c>
      <c r="C47" s="824" t="str">
        <f>+VLOOKUP(B47,'Salary sheet'!$B$6:$AX$1386,48,0)</f>
        <v>NGUYEN THI NINH</v>
      </c>
      <c r="D47" s="824" t="str">
        <f>+VLOOKUP(B47,'Salary sheet'!$B$6:$BW$1386,49,0)</f>
        <v>050041687921</v>
      </c>
      <c r="E47" s="620">
        <f>+VLOOKUP(B47,'Salary sheet'!$B$6:$AT$1292,45,0)</f>
        <v>9400928</v>
      </c>
      <c r="F47" s="1029" t="s">
        <v>5723</v>
      </c>
      <c r="G47" s="824" t="str">
        <f>+VLOOKUP(B47,'Salary sheet'!$B$6:$E$2281,4,0)</f>
        <v>FACTORY A</v>
      </c>
      <c r="H47" s="607" t="str">
        <f>+VLOOKUP(B47,'Salary sheet'!$B$6:$AZ$1386,50,0)</f>
        <v>SK1 Box</v>
      </c>
      <c r="I47" s="607" t="str">
        <f t="shared" si="8"/>
        <v>C8994NGUYEN THI NINH050041687921</v>
      </c>
      <c r="J47" s="853" t="str">
        <f>+VLOOKUP(B47,'[5]04 2025'!$B$2:$F$1371,5,0)</f>
        <v>C8994NGUYEN THI NINH050041687921</v>
      </c>
      <c r="K47" s="607">
        <f t="shared" si="9"/>
        <v>1</v>
      </c>
      <c r="P47" s="685"/>
    </row>
    <row r="48" spans="1:16" s="607" customFormat="1" ht="18" customHeight="1">
      <c r="A48" s="826">
        <f>SUBTOTAL(3,B$6:B48)</f>
        <v>43</v>
      </c>
      <c r="B48" s="824" t="s">
        <v>870</v>
      </c>
      <c r="C48" s="824" t="str">
        <f>+VLOOKUP(B48,'Salary sheet'!$B$6:$AX$1386,48,0)</f>
        <v>TRAN VAN VINH</v>
      </c>
      <c r="D48" s="824" t="str">
        <f>+VLOOKUP(B48,'Salary sheet'!$B$6:$BW$1386,49,0)</f>
        <v>050097259876</v>
      </c>
      <c r="E48" s="620">
        <f>+VLOOKUP(B48,'Salary sheet'!$B$6:$AT$1292,45,0)</f>
        <v>11702261</v>
      </c>
      <c r="F48" s="1029" t="s">
        <v>5723</v>
      </c>
      <c r="G48" s="824" t="str">
        <f>+VLOOKUP(B48,'Salary sheet'!$B$6:$E$2281,4,0)</f>
        <v>FACTORY A</v>
      </c>
      <c r="H48" s="607" t="str">
        <f>+VLOOKUP(B48,'Salary sheet'!$B$6:$AZ$1386,50,0)</f>
        <v>SK1 Box</v>
      </c>
      <c r="I48" s="607" t="str">
        <f t="shared" si="8"/>
        <v>C10851TRAN VAN VINH050097259876</v>
      </c>
      <c r="J48" s="853" t="str">
        <f>+VLOOKUP(B48,'[5]04 2025'!$B$2:$F$1371,5,0)</f>
        <v>C10851TRAN VAN VINH050097259876</v>
      </c>
      <c r="K48" s="607">
        <f t="shared" si="9"/>
        <v>1</v>
      </c>
      <c r="P48" s="685"/>
    </row>
    <row r="49" spans="1:16" s="607" customFormat="1" ht="18" customHeight="1">
      <c r="A49" s="826">
        <f>SUBTOTAL(3,B$6:B49)</f>
        <v>44</v>
      </c>
      <c r="B49" s="824" t="s">
        <v>873</v>
      </c>
      <c r="C49" s="824" t="str">
        <f>+VLOOKUP(B49,'Salary sheet'!$B$6:$AX$1386,48,0)</f>
        <v>DO VAN KHUYEN</v>
      </c>
      <c r="D49" s="824" t="str">
        <f>+VLOOKUP(B49,'Salary sheet'!$B$6:$BW$1386,49,0)</f>
        <v>050095771073</v>
      </c>
      <c r="E49" s="620">
        <f>+VLOOKUP(B49,'Salary sheet'!$B$6:$AT$1292,45,0)</f>
        <v>14580601</v>
      </c>
      <c r="F49" s="1029" t="s">
        <v>5723</v>
      </c>
      <c r="G49" s="824" t="str">
        <f>+VLOOKUP(B49,'Salary sheet'!$B$6:$E$2281,4,0)</f>
        <v>FACTORY A</v>
      </c>
      <c r="H49" s="607" t="str">
        <f>+VLOOKUP(B49,'Salary sheet'!$B$6:$AZ$1386,50,0)</f>
        <v>SK1 Box</v>
      </c>
      <c r="I49" s="607" t="str">
        <f t="shared" si="8"/>
        <v>C11605DO VAN KHUYEN050095771073</v>
      </c>
      <c r="J49" s="853" t="str">
        <f>+VLOOKUP(B49,'[5]04 2025'!$B$2:$F$1371,5,0)</f>
        <v>C11605DO VAN KHUYEN050095771073</v>
      </c>
      <c r="K49" s="607">
        <f t="shared" si="9"/>
        <v>1</v>
      </c>
      <c r="P49" s="685"/>
    </row>
    <row r="50" spans="1:16" s="607" customFormat="1" ht="18" customHeight="1">
      <c r="A50" s="826">
        <f>SUBTOTAL(3,B$6:B50)</f>
        <v>45</v>
      </c>
      <c r="B50" s="824" t="s">
        <v>876</v>
      </c>
      <c r="C50" s="824" t="str">
        <f>+VLOOKUP(B50,'Salary sheet'!$B$6:$AX$1386,48,0)</f>
        <v>TRAN VAN HOAN</v>
      </c>
      <c r="D50" s="824" t="str">
        <f>+VLOOKUP(B50,'Salary sheet'!$B$6:$BW$1386,49,0)</f>
        <v>050020218141</v>
      </c>
      <c r="E50" s="620">
        <f>+VLOOKUP(B50,'Salary sheet'!$B$6:$AT$1292,45,0)</f>
        <v>11468628</v>
      </c>
      <c r="F50" s="1029" t="s">
        <v>5723</v>
      </c>
      <c r="G50" s="824" t="str">
        <f>+VLOOKUP(B50,'Salary sheet'!$B$6:$E$2281,4,0)</f>
        <v>FACTORY A</v>
      </c>
      <c r="H50" s="607" t="str">
        <f>+VLOOKUP(B50,'Salary sheet'!$B$6:$AZ$1386,50,0)</f>
        <v>SK1 Box</v>
      </c>
      <c r="I50" s="607" t="str">
        <f t="shared" si="8"/>
        <v>C11634TRAN VAN HOAN050020218141</v>
      </c>
      <c r="J50" s="853" t="str">
        <f>+VLOOKUP(B50,'[5]04 2025'!$B$2:$F$1371,5,0)</f>
        <v>C11634TRAN VAN HOAN050020218141</v>
      </c>
      <c r="K50" s="607">
        <f t="shared" si="9"/>
        <v>1</v>
      </c>
      <c r="P50" s="685"/>
    </row>
    <row r="51" spans="1:16" s="607" customFormat="1" ht="18" customHeight="1">
      <c r="A51" s="826">
        <f>SUBTOTAL(3,B$6:B51)</f>
        <v>46</v>
      </c>
      <c r="B51" s="824" t="s">
        <v>879</v>
      </c>
      <c r="C51" s="824" t="str">
        <f>+VLOOKUP(B51,'Salary sheet'!$B$6:$AX$1386,48,0)</f>
        <v>VO VAN THANH</v>
      </c>
      <c r="D51" s="824" t="str">
        <f>+VLOOKUP(B51,'Salary sheet'!$B$6:$BW$1386,49,0)</f>
        <v>050121174550</v>
      </c>
      <c r="E51" s="620">
        <f>+VLOOKUP(B51,'Salary sheet'!$B$6:$AT$1292,45,0)</f>
        <v>3469904</v>
      </c>
      <c r="F51" s="1029" t="s">
        <v>5723</v>
      </c>
      <c r="G51" s="824" t="str">
        <f>+VLOOKUP(B51,'Salary sheet'!$B$6:$E$2281,4,0)</f>
        <v>FACTORY A</v>
      </c>
      <c r="H51" s="607" t="str">
        <f>+VLOOKUP(B51,'Salary sheet'!$B$6:$AZ$1386,50,0)</f>
        <v>SK1 Box</v>
      </c>
      <c r="I51" s="607" t="str">
        <f t="shared" si="8"/>
        <v>C12759VO VAN THANH050121174550</v>
      </c>
      <c r="J51" s="853" t="str">
        <f>+VLOOKUP(B51,'[5]04 2025'!$B$2:$F$1371,5,0)</f>
        <v>C12759VO VAN THANH050121174550</v>
      </c>
      <c r="K51" s="607">
        <f t="shared" si="9"/>
        <v>1</v>
      </c>
      <c r="P51" s="685"/>
    </row>
    <row r="52" spans="1:16" s="607" customFormat="1" ht="18" customHeight="1">
      <c r="A52" s="826">
        <f>SUBTOTAL(3,B$6:B52)</f>
        <v>47</v>
      </c>
      <c r="B52" s="824" t="s">
        <v>881</v>
      </c>
      <c r="C52" s="824" t="str">
        <f>+VLOOKUP(B52,'Salary sheet'!$B$6:$AX$1386,48,0)</f>
        <v>NGUYEN TIEN KY</v>
      </c>
      <c r="D52" s="824" t="str">
        <f>+VLOOKUP(B52,'Salary sheet'!$B$6:$BW$1386,49,0)</f>
        <v>050050275725</v>
      </c>
      <c r="E52" s="620">
        <f>+VLOOKUP(B52,'Salary sheet'!$B$6:$AT$1292,45,0)</f>
        <v>11143333</v>
      </c>
      <c r="F52" s="1029" t="s">
        <v>5723</v>
      </c>
      <c r="G52" s="824" t="str">
        <f>+VLOOKUP(B52,'Salary sheet'!$B$6:$E$2281,4,0)</f>
        <v>FACTORY A</v>
      </c>
      <c r="H52" s="607" t="str">
        <f>+VLOOKUP(B52,'Salary sheet'!$B$6:$AZ$1386,50,0)</f>
        <v>SK1 Box</v>
      </c>
      <c r="I52" s="607" t="str">
        <f t="shared" si="8"/>
        <v>C13710NGUYEN TIEN KY050050275725</v>
      </c>
      <c r="J52" s="853" t="str">
        <f>+VLOOKUP(B52,'[5]04 2025'!$B$2:$F$1371,5,0)</f>
        <v>C13710NGUYEN TIEN KY050050275725</v>
      </c>
      <c r="K52" s="607">
        <f t="shared" si="9"/>
        <v>1</v>
      </c>
      <c r="P52" s="685"/>
    </row>
    <row r="53" spans="1:16" s="607" customFormat="1" ht="18" customHeight="1">
      <c r="A53" s="826">
        <f>SUBTOTAL(3,B$6:B53)</f>
        <v>48</v>
      </c>
      <c r="B53" s="824" t="s">
        <v>883</v>
      </c>
      <c r="C53" s="824" t="str">
        <f>+VLOOKUP(B53,'Salary sheet'!$B$6:$AX$1386,48,0)</f>
        <v>NGUYEN THANG CUONG</v>
      </c>
      <c r="D53" s="824" t="str">
        <f>+VLOOKUP(B53,'Salary sheet'!$B$6:$BW$1386,49,0)</f>
        <v>050128200999</v>
      </c>
      <c r="E53" s="620">
        <f>+VLOOKUP(B53,'Salary sheet'!$B$6:$AT$1292,45,0)</f>
        <v>10474439</v>
      </c>
      <c r="F53" s="1029" t="s">
        <v>5723</v>
      </c>
      <c r="G53" s="824" t="str">
        <f>+VLOOKUP(B53,'Salary sheet'!$B$6:$E$2281,4,0)</f>
        <v>FACTORY A</v>
      </c>
      <c r="H53" s="607" t="str">
        <f>+VLOOKUP(B53,'Salary sheet'!$B$6:$AZ$1386,50,0)</f>
        <v>SK1 Box</v>
      </c>
      <c r="I53" s="607" t="str">
        <f t="shared" si="8"/>
        <v>C14022NGUYEN THANG CUONG050128200999</v>
      </c>
      <c r="J53" s="853" t="str">
        <f>+VLOOKUP(B53,'[5]04 2025'!$B$2:$F$1371,5,0)</f>
        <v>C14022NGUYEN THANG CUONG050128200999</v>
      </c>
      <c r="K53" s="607">
        <f t="shared" si="9"/>
        <v>1</v>
      </c>
      <c r="P53" s="685"/>
    </row>
    <row r="54" spans="1:16" s="607" customFormat="1" ht="18" customHeight="1">
      <c r="A54" s="826">
        <f>SUBTOTAL(3,B$6:B54)</f>
        <v>49</v>
      </c>
      <c r="B54" s="824" t="s">
        <v>886</v>
      </c>
      <c r="C54" s="824" t="str">
        <f>+VLOOKUP(B54,'Salary sheet'!$B$6:$AX$1386,48,0)</f>
        <v>DUONG HOANG NAM</v>
      </c>
      <c r="D54" s="824" t="str">
        <f>+VLOOKUP(B54,'Salary sheet'!$B$6:$BW$1386,49,0)</f>
        <v>050128381391</v>
      </c>
      <c r="E54" s="620">
        <f>+VLOOKUP(B54,'Salary sheet'!$B$6:$AT$1292,45,0)</f>
        <v>11494720</v>
      </c>
      <c r="F54" s="1029" t="s">
        <v>5723</v>
      </c>
      <c r="G54" s="824" t="str">
        <f>+VLOOKUP(B54,'Salary sheet'!$B$6:$E$2281,4,0)</f>
        <v>FACTORY A</v>
      </c>
      <c r="H54" s="607" t="str">
        <f>+VLOOKUP(B54,'Salary sheet'!$B$6:$AZ$1386,50,0)</f>
        <v>SK1 Box</v>
      </c>
      <c r="I54" s="607" t="str">
        <f t="shared" si="8"/>
        <v>C14223DUONG HOANG NAM050128381391</v>
      </c>
      <c r="J54" s="853" t="str">
        <f>+VLOOKUP(B54,'[5]04 2025'!$B$2:$F$1371,5,0)</f>
        <v>C14223DUONG HOANG NAM050128381391</v>
      </c>
      <c r="K54" s="607">
        <f t="shared" si="9"/>
        <v>1</v>
      </c>
      <c r="P54" s="685"/>
    </row>
    <row r="55" spans="1:16" s="607" customFormat="1" ht="18" customHeight="1">
      <c r="A55" s="826">
        <f>SUBTOTAL(3,B$6:B55)</f>
        <v>50</v>
      </c>
      <c r="B55" s="824" t="s">
        <v>888</v>
      </c>
      <c r="C55" s="824" t="str">
        <f>+VLOOKUP(B55,'Salary sheet'!$B$6:$AX$1386,48,0)</f>
        <v>DANG HONG TRANG</v>
      </c>
      <c r="D55" s="824" t="str">
        <f>+VLOOKUP(B55,'Salary sheet'!$B$6:$BW$1386,49,0)</f>
        <v>050041001426</v>
      </c>
      <c r="E55" s="620">
        <f>+VLOOKUP(B55,'Salary sheet'!$B$6:$AT$1292,45,0)</f>
        <v>9086446</v>
      </c>
      <c r="F55" s="1029" t="s">
        <v>5723</v>
      </c>
      <c r="G55" s="824" t="str">
        <f>+VLOOKUP(B55,'Salary sheet'!$B$6:$E$2281,4,0)</f>
        <v>FACTORY A</v>
      </c>
      <c r="H55" s="607" t="str">
        <f>+VLOOKUP(B55,'Salary sheet'!$B$6:$AZ$1386,50,0)</f>
        <v>SK1 Box</v>
      </c>
      <c r="I55" s="607" t="str">
        <f t="shared" si="8"/>
        <v>C14233DANG HONG TRANG050041001426</v>
      </c>
      <c r="J55" s="853" t="str">
        <f>+VLOOKUP(B55,'[5]04 2025'!$B$2:$F$1371,5,0)</f>
        <v>C14233DANG HONG TRANG050041001426</v>
      </c>
      <c r="K55" s="607">
        <f t="shared" si="9"/>
        <v>1</v>
      </c>
      <c r="P55" s="685"/>
    </row>
    <row r="56" spans="1:16" s="607" customFormat="1" ht="18" customHeight="1">
      <c r="A56" s="826">
        <f>SUBTOTAL(3,B$6:B56)</f>
        <v>51</v>
      </c>
      <c r="B56" s="824" t="s">
        <v>890</v>
      </c>
      <c r="C56" s="824" t="str">
        <f>+VLOOKUP(B56,'Salary sheet'!$B$6:$AX$1386,48,0)</f>
        <v>DO VAN TAM</v>
      </c>
      <c r="D56" s="824" t="str">
        <f>+VLOOKUP(B56,'Salary sheet'!$B$6:$BW$1386,49,0)</f>
        <v>050129246933</v>
      </c>
      <c r="E56" s="620">
        <f>+VLOOKUP(B56,'Salary sheet'!$B$6:$AT$1292,45,0)</f>
        <v>12153927</v>
      </c>
      <c r="F56" s="1029" t="s">
        <v>5723</v>
      </c>
      <c r="G56" s="824" t="str">
        <f>+VLOOKUP(B56,'Salary sheet'!$B$6:$E$2281,4,0)</f>
        <v>FACTORY A</v>
      </c>
      <c r="H56" s="607" t="str">
        <f>+VLOOKUP(B56,'Salary sheet'!$B$6:$AZ$1386,50,0)</f>
        <v>SK1 Box</v>
      </c>
      <c r="I56" s="607" t="str">
        <f t="shared" si="8"/>
        <v>C14234DO VAN TAM050129246933</v>
      </c>
      <c r="J56" s="853" t="str">
        <f>+VLOOKUP(B56,'[5]04 2025'!$B$2:$F$1371,5,0)</f>
        <v>C14234DO VAN TAM050129246933</v>
      </c>
      <c r="K56" s="607">
        <f t="shared" si="9"/>
        <v>1</v>
      </c>
      <c r="P56" s="685"/>
    </row>
    <row r="57" spans="1:16" s="607" customFormat="1" ht="18" customHeight="1">
      <c r="A57" s="826">
        <f>SUBTOTAL(3,B$6:B57)</f>
        <v>52</v>
      </c>
      <c r="B57" s="824" t="s">
        <v>892</v>
      </c>
      <c r="C57" s="824" t="str">
        <f>+VLOOKUP(B57,'Salary sheet'!$B$6:$AX$1386,48,0)</f>
        <v>TRUONG DINH SY</v>
      </c>
      <c r="D57" s="824" t="str">
        <f>+VLOOKUP(B57,'Salary sheet'!$B$6:$BW$1386,49,0)</f>
        <v>050135974371</v>
      </c>
      <c r="E57" s="620">
        <f>+VLOOKUP(B57,'Salary sheet'!$B$6:$AT$1292,45,0)</f>
        <v>10005785</v>
      </c>
      <c r="F57" s="1029" t="s">
        <v>5723</v>
      </c>
      <c r="G57" s="824" t="str">
        <f>+VLOOKUP(B57,'Salary sheet'!$B$6:$E$2281,4,0)</f>
        <v>FACTORY A</v>
      </c>
      <c r="H57" s="607" t="str">
        <f>+VLOOKUP(B57,'Salary sheet'!$B$6:$AZ$1386,50,0)</f>
        <v>SK1 Box</v>
      </c>
      <c r="I57" s="607" t="str">
        <f t="shared" si="8"/>
        <v>C14767TRUONG DINH SY050135974371</v>
      </c>
      <c r="J57" s="853" t="str">
        <f>+VLOOKUP(B57,'[5]04 2025'!$B$2:$F$1371,5,0)</f>
        <v>C14767TRUONG DINH SY050135974371</v>
      </c>
      <c r="K57" s="607">
        <f t="shared" si="9"/>
        <v>1</v>
      </c>
      <c r="P57" s="685"/>
    </row>
    <row r="58" spans="1:16" s="607" customFormat="1" ht="18" customHeight="1">
      <c r="A58" s="826">
        <f>SUBTOTAL(3,B$6:B58)</f>
        <v>53</v>
      </c>
      <c r="B58" s="824" t="s">
        <v>895</v>
      </c>
      <c r="C58" s="824" t="str">
        <f>+VLOOKUP(B58,'Salary sheet'!$B$6:$AX$1386,48,0)</f>
        <v>KIEU THI NGOC ANH</v>
      </c>
      <c r="D58" s="824" t="str">
        <f>+VLOOKUP(B58,'Salary sheet'!$B$6:$BW$1386,49,0)</f>
        <v>050109837773</v>
      </c>
      <c r="E58" s="620">
        <f>+VLOOKUP(B58,'Salary sheet'!$B$6:$AT$1292,45,0)</f>
        <v>4925080</v>
      </c>
      <c r="F58" s="1029" t="s">
        <v>5723</v>
      </c>
      <c r="G58" s="824" t="str">
        <f>+VLOOKUP(B58,'Salary sheet'!$B$6:$E$2281,4,0)</f>
        <v>FACTORY A</v>
      </c>
      <c r="H58" s="607" t="str">
        <f>+VLOOKUP(B58,'Salary sheet'!$B$6:$AZ$1386,50,0)</f>
        <v>SK1 Box</v>
      </c>
      <c r="I58" s="607" t="str">
        <f t="shared" si="8"/>
        <v>C15678KIEU THI NGOC ANH050109837773</v>
      </c>
      <c r="J58" s="853" t="str">
        <f>+VLOOKUP(B58,'[5]04 2025'!$B$2:$F$1371,5,0)</f>
        <v>C15678KIEU THI NGOC ANH050109837773</v>
      </c>
      <c r="K58" s="607">
        <f t="shared" si="9"/>
        <v>1</v>
      </c>
      <c r="P58" s="685"/>
    </row>
    <row r="59" spans="1:16" s="607" customFormat="1" ht="18" customHeight="1">
      <c r="A59" s="826">
        <f>SUBTOTAL(3,B$6:B59)</f>
        <v>54</v>
      </c>
      <c r="B59" s="824" t="s">
        <v>897</v>
      </c>
      <c r="C59" s="824" t="str">
        <f>+VLOOKUP(B59,'Salary sheet'!$B$6:$AX$1386,48,0)</f>
        <v>NGUYEN HUU ANH</v>
      </c>
      <c r="D59" s="824" t="str">
        <f>+VLOOKUP(B59,'Salary sheet'!$B$6:$BW$1386,49,0)</f>
        <v>050117429102</v>
      </c>
      <c r="E59" s="620">
        <f>+VLOOKUP(B59,'Salary sheet'!$B$6:$AT$1292,45,0)</f>
        <v>8360944</v>
      </c>
      <c r="F59" s="1029" t="s">
        <v>5723</v>
      </c>
      <c r="G59" s="824" t="str">
        <f>+VLOOKUP(B59,'Salary sheet'!$B$6:$E$2281,4,0)</f>
        <v>FACTORY A</v>
      </c>
      <c r="H59" s="607" t="str">
        <f>+VLOOKUP(B59,'Salary sheet'!$B$6:$AZ$1386,50,0)</f>
        <v>SK1 Box</v>
      </c>
      <c r="I59" s="607" t="str">
        <f t="shared" si="8"/>
        <v>C15785NGUYEN HUU ANH050117429102</v>
      </c>
      <c r="J59" s="853" t="str">
        <f>+VLOOKUP(B59,'[5]04 2025'!$B$2:$F$1371,5,0)</f>
        <v>C15785NGUYEN HUU ANH050117429102</v>
      </c>
      <c r="K59" s="607">
        <f t="shared" si="9"/>
        <v>1</v>
      </c>
      <c r="P59" s="685"/>
    </row>
    <row r="60" spans="1:16" s="607" customFormat="1" ht="18" customHeight="1">
      <c r="A60" s="826">
        <f>SUBTOTAL(3,B$6:B60)</f>
        <v>55</v>
      </c>
      <c r="B60" s="824" t="s">
        <v>900</v>
      </c>
      <c r="C60" s="824" t="str">
        <f>+VLOOKUP(B60,'Salary sheet'!$B$6:$AX$1386,48,0)</f>
        <v>NGUYEN THI HUE</v>
      </c>
      <c r="D60" s="824" t="str">
        <f>+VLOOKUP(B60,'Salary sheet'!$B$6:$BW$1386,49,0)</f>
        <v>050156612208</v>
      </c>
      <c r="E60" s="620">
        <f>+VLOOKUP(B60,'Salary sheet'!$B$6:$AT$1292,45,0)</f>
        <v>7908328</v>
      </c>
      <c r="F60" s="1029" t="s">
        <v>5723</v>
      </c>
      <c r="G60" s="824" t="str">
        <f>+VLOOKUP(B60,'Salary sheet'!$B$6:$E$2281,4,0)</f>
        <v>FACTORY A</v>
      </c>
      <c r="H60" s="607" t="str">
        <f>+VLOOKUP(B60,'Salary sheet'!$B$6:$AZ$1386,50,0)</f>
        <v>SK1 Box</v>
      </c>
      <c r="I60" s="607" t="str">
        <f t="shared" si="8"/>
        <v>C16319NGUYEN THI HUE050156612208</v>
      </c>
      <c r="J60" s="853" t="str">
        <f>+VLOOKUP(B60,'[5]04 2025'!$B$2:$F$1371,5,0)</f>
        <v>C16319NGUYEN THI HUE050156612208</v>
      </c>
      <c r="K60" s="607">
        <f t="shared" si="9"/>
        <v>1</v>
      </c>
      <c r="P60" s="685"/>
    </row>
    <row r="61" spans="1:16" s="607" customFormat="1" ht="18" customHeight="1">
      <c r="A61" s="826">
        <f>SUBTOTAL(3,B$6:B61)</f>
        <v>56</v>
      </c>
      <c r="B61" s="824" t="s">
        <v>902</v>
      </c>
      <c r="C61" s="824" t="str">
        <f>+VLOOKUP(B61,'Salary sheet'!$B$6:$AX$1386,48,0)</f>
        <v>NGUYEN THI HONG THAM</v>
      </c>
      <c r="D61" s="824" t="str">
        <f>+VLOOKUP(B61,'Salary sheet'!$B$6:$BW$1386,49,0)</f>
        <v>050126182111</v>
      </c>
      <c r="E61" s="620">
        <f>+VLOOKUP(B61,'Salary sheet'!$B$6:$AT$1292,45,0)</f>
        <v>6146325</v>
      </c>
      <c r="F61" s="1029" t="s">
        <v>5723</v>
      </c>
      <c r="G61" s="824" t="str">
        <f>+VLOOKUP(B61,'Salary sheet'!$B$6:$E$2281,4,0)</f>
        <v>FACTORY A</v>
      </c>
      <c r="H61" s="607" t="str">
        <f>+VLOOKUP(B61,'Salary sheet'!$B$6:$AZ$1386,50,0)</f>
        <v>SK1 Box</v>
      </c>
      <c r="I61" s="607" t="str">
        <f t="shared" si="8"/>
        <v>C16386NGUYEN THI HONG THAM050126182111</v>
      </c>
      <c r="J61" s="853" t="str">
        <f>+VLOOKUP(B61,'[5]04 2025'!$B$2:$F$1371,5,0)</f>
        <v>C16386NGUYEN THI HONG THAM050126182111</v>
      </c>
      <c r="K61" s="607">
        <f t="shared" si="9"/>
        <v>1</v>
      </c>
      <c r="P61" s="685"/>
    </row>
    <row r="62" spans="1:16" s="607" customFormat="1" ht="18" customHeight="1">
      <c r="A62" s="826">
        <f>SUBTOTAL(3,B$6:B62)</f>
        <v>57</v>
      </c>
      <c r="B62" s="824" t="s">
        <v>904</v>
      </c>
      <c r="C62" s="824" t="str">
        <f>+VLOOKUP(B62,'Salary sheet'!$B$6:$AX$1386,48,0)</f>
        <v>NIENG THI TE</v>
      </c>
      <c r="D62" s="824" t="str">
        <f>+VLOOKUP(B62,'Salary sheet'!$B$6:$BW$1386,49,0)</f>
        <v>050119623356</v>
      </c>
      <c r="E62" s="620">
        <f>+VLOOKUP(B62,'Salary sheet'!$B$6:$AT$1292,45,0)</f>
        <v>7402997</v>
      </c>
      <c r="F62" s="1029" t="s">
        <v>5723</v>
      </c>
      <c r="G62" s="824" t="str">
        <f>+VLOOKUP(B62,'Salary sheet'!$B$6:$E$2281,4,0)</f>
        <v>FACTORY A</v>
      </c>
      <c r="H62" s="607" t="str">
        <f>+VLOOKUP(B62,'Salary sheet'!$B$6:$AZ$1386,50,0)</f>
        <v>SK1 Box</v>
      </c>
      <c r="I62" s="607" t="str">
        <f t="shared" si="8"/>
        <v>C16389NIENG THI TE050119623356</v>
      </c>
      <c r="J62" s="853" t="str">
        <f>+VLOOKUP(B62,'[5]04 2025'!$B$2:$F$1371,5,0)</f>
        <v>C16389NIENG THI TE050119623356</v>
      </c>
      <c r="K62" s="607">
        <f t="shared" si="9"/>
        <v>1</v>
      </c>
      <c r="P62" s="685"/>
    </row>
    <row r="63" spans="1:16" s="607" customFormat="1" ht="18" customHeight="1">
      <c r="A63" s="826">
        <f>SUBTOTAL(3,B$6:B63)</f>
        <v>58</v>
      </c>
      <c r="B63" s="824" t="s">
        <v>906</v>
      </c>
      <c r="C63" s="824" t="str">
        <f>+VLOOKUP(B63,'Salary sheet'!$B$6:$AX$1386,48,0)</f>
        <v>LY THI SOM</v>
      </c>
      <c r="D63" s="824" t="str">
        <f>+VLOOKUP(B63,'Salary sheet'!$B$6:$BW$1386,49,0)</f>
        <v>050053921490</v>
      </c>
      <c r="E63" s="620">
        <f>+VLOOKUP(B63,'Salary sheet'!$B$6:$AT$1292,45,0)</f>
        <v>7788114</v>
      </c>
      <c r="F63" s="1029" t="s">
        <v>5723</v>
      </c>
      <c r="G63" s="824" t="str">
        <f>+VLOOKUP(B63,'Salary sheet'!$B$6:$E$2281,4,0)</f>
        <v>FACTORY A</v>
      </c>
      <c r="H63" s="607" t="str">
        <f>+VLOOKUP(B63,'Salary sheet'!$B$6:$AZ$1386,50,0)</f>
        <v>SK1 Box</v>
      </c>
      <c r="I63" s="607" t="str">
        <f t="shared" si="8"/>
        <v>C16452LY THI SOM050053921490</v>
      </c>
      <c r="J63" s="853" t="str">
        <f>+VLOOKUP(B63,'[5]04 2025'!$B$2:$F$1371,5,0)</f>
        <v>C16452LY THI SOM050053921490</v>
      </c>
      <c r="K63" s="607">
        <f t="shared" si="9"/>
        <v>1</v>
      </c>
      <c r="P63" s="685"/>
    </row>
    <row r="64" spans="1:16" s="607" customFormat="1" ht="18" customHeight="1">
      <c r="A64" s="826">
        <f>SUBTOTAL(3,B$6:B64)</f>
        <v>59</v>
      </c>
      <c r="B64" s="824" t="s">
        <v>908</v>
      </c>
      <c r="C64" s="824" t="str">
        <f>+VLOOKUP(B64,'Salary sheet'!$B$6:$AX$1386,48,0)</f>
        <v>NGUYEN THI QUYNH NHU</v>
      </c>
      <c r="D64" s="824" t="str">
        <f>+VLOOKUP(B64,'Salary sheet'!$B$6:$BW$1386,49,0)</f>
        <v>050151733880</v>
      </c>
      <c r="E64" s="620">
        <f>+VLOOKUP(B64,'Salary sheet'!$B$6:$AT$1292,45,0)</f>
        <v>7849332</v>
      </c>
      <c r="F64" s="1029" t="s">
        <v>5723</v>
      </c>
      <c r="G64" s="824" t="str">
        <f>+VLOOKUP(B64,'Salary sheet'!$B$6:$E$2281,4,0)</f>
        <v>FACTORY A</v>
      </c>
      <c r="H64" s="607" t="str">
        <f>+VLOOKUP(B64,'Salary sheet'!$B$6:$AZ$1386,50,0)</f>
        <v>SK1 Box</v>
      </c>
      <c r="I64" s="607" t="str">
        <f t="shared" si="8"/>
        <v>C16478NGUYEN THI QUYNH NHU050151733880</v>
      </c>
      <c r="J64" s="853" t="str">
        <f>+VLOOKUP(B64,'[5]04 2025'!$B$2:$F$1371,5,0)</f>
        <v>C16478NGUYEN THI QUYNH NHU050151733880</v>
      </c>
      <c r="K64" s="607">
        <f t="shared" si="9"/>
        <v>1</v>
      </c>
      <c r="P64" s="685"/>
    </row>
    <row r="65" spans="1:16" s="607" customFormat="1" ht="18" customHeight="1">
      <c r="A65" s="826">
        <f>SUBTOTAL(3,B$6:B65)</f>
        <v>60</v>
      </c>
      <c r="B65" s="824" t="s">
        <v>910</v>
      </c>
      <c r="C65" s="824" t="str">
        <f>+VLOOKUP(B65,'Salary sheet'!$B$6:$AX$1386,48,0)</f>
        <v>DANG TAN XUYEN</v>
      </c>
      <c r="D65" s="824" t="str">
        <f>+VLOOKUP(B65,'Salary sheet'!$B$6:$BW$1386,49,0)</f>
        <v>050041029258</v>
      </c>
      <c r="E65" s="620">
        <f>+VLOOKUP(B65,'Salary sheet'!$B$6:$AT$1292,45,0)</f>
        <v>12818720</v>
      </c>
      <c r="F65" s="1029" t="s">
        <v>5723</v>
      </c>
      <c r="G65" s="824" t="str">
        <f>+VLOOKUP(B65,'Salary sheet'!$B$6:$E$2281,4,0)</f>
        <v>FACTORY A</v>
      </c>
      <c r="H65" s="607" t="str">
        <f>+VLOOKUP(B65,'Salary sheet'!$B$6:$AZ$1386,50,0)</f>
        <v>SK1 Box</v>
      </c>
      <c r="I65" s="607" t="str">
        <f t="shared" si="8"/>
        <v>C3818DANG TAN XUYEN050041029258</v>
      </c>
      <c r="J65" s="853" t="str">
        <f>+VLOOKUP(B65,'[5]04 2025'!$B$2:$F$1371,5,0)</f>
        <v>C3818DANG TAN XUYEN050041029258</v>
      </c>
      <c r="K65" s="607">
        <f t="shared" si="9"/>
        <v>1</v>
      </c>
      <c r="P65" s="685"/>
    </row>
    <row r="66" spans="1:16" s="607" customFormat="1" ht="18" customHeight="1">
      <c r="A66" s="826">
        <f>SUBTOTAL(3,B$6:B66)</f>
        <v>61</v>
      </c>
      <c r="B66" s="824" t="s">
        <v>912</v>
      </c>
      <c r="C66" s="824" t="str">
        <f>+VLOOKUP(B66,'Salary sheet'!$B$6:$AX$1386,48,0)</f>
        <v>HO THI DANG HONG TUOI</v>
      </c>
      <c r="D66" s="824" t="str">
        <f>+VLOOKUP(B66,'Salary sheet'!$B$6:$BW$1386,49,0)</f>
        <v>050040875872</v>
      </c>
      <c r="E66" s="620">
        <f>+VLOOKUP(B66,'Salary sheet'!$B$6:$AT$1292,45,0)</f>
        <v>9124444</v>
      </c>
      <c r="F66" s="1029" t="s">
        <v>5723</v>
      </c>
      <c r="G66" s="824" t="str">
        <f>+VLOOKUP(B66,'Salary sheet'!$B$6:$E$2281,4,0)</f>
        <v>FACTORY A</v>
      </c>
      <c r="H66" s="607" t="str">
        <f>+VLOOKUP(B66,'Salary sheet'!$B$6:$AZ$1386,50,0)</f>
        <v>SK1 Box</v>
      </c>
      <c r="I66" s="607" t="str">
        <f t="shared" si="8"/>
        <v>C5862HO THI DANG HONG TUOI050040875872</v>
      </c>
      <c r="J66" s="853" t="str">
        <f>+VLOOKUP(B66,'[5]04 2025'!$B$2:$F$1371,5,0)</f>
        <v>C5862HO THI DANG HONG TUOI050040875872</v>
      </c>
      <c r="K66" s="607">
        <f t="shared" si="9"/>
        <v>1</v>
      </c>
      <c r="P66" s="685"/>
    </row>
    <row r="67" spans="1:16" s="607" customFormat="1" ht="18" customHeight="1">
      <c r="A67" s="826">
        <f>SUBTOTAL(3,B$6:B67)</f>
        <v>62</v>
      </c>
      <c r="B67" s="824" t="s">
        <v>914</v>
      </c>
      <c r="C67" s="824" t="str">
        <f>+VLOOKUP(B67,'Salary sheet'!$B$6:$AX$1386,48,0)</f>
        <v>DO THI THUY GIANG</v>
      </c>
      <c r="D67" s="824" t="str">
        <f>+VLOOKUP(B67,'Salary sheet'!$B$6:$BW$1386,49,0)</f>
        <v>050070193865</v>
      </c>
      <c r="E67" s="620">
        <f>+VLOOKUP(B67,'Salary sheet'!$B$6:$AT$1292,45,0)</f>
        <v>9080435</v>
      </c>
      <c r="F67" s="1029" t="s">
        <v>5723</v>
      </c>
      <c r="G67" s="824" t="str">
        <f>+VLOOKUP(B67,'Salary sheet'!$B$6:$E$2281,4,0)</f>
        <v>FACTORY A</v>
      </c>
      <c r="H67" s="607" t="str">
        <f>+VLOOKUP(B67,'Salary sheet'!$B$6:$AZ$1386,50,0)</f>
        <v>SK1 Box</v>
      </c>
      <c r="I67" s="607" t="str">
        <f t="shared" si="8"/>
        <v>C6572DO THI THUY GIANG050070193865</v>
      </c>
      <c r="J67" s="853" t="str">
        <f>+VLOOKUP(B67,'[5]04 2025'!$B$2:$F$1371,5,0)</f>
        <v>C6572DO THI THUY GIANG050070193865</v>
      </c>
      <c r="K67" s="607">
        <f t="shared" si="9"/>
        <v>1</v>
      </c>
      <c r="P67" s="685"/>
    </row>
    <row r="68" spans="1:16" s="607" customFormat="1" ht="18" customHeight="1">
      <c r="A68" s="826">
        <f>SUBTOTAL(3,B$6:B68)</f>
        <v>63</v>
      </c>
      <c r="B68" s="824" t="s">
        <v>916</v>
      </c>
      <c r="C68" s="824" t="str">
        <f>+VLOOKUP(B68,'Salary sheet'!$B$6:$AX$1386,48,0)</f>
        <v>PHAM HONG PHONG</v>
      </c>
      <c r="D68" s="824" t="str">
        <f>+VLOOKUP(B68,'Salary sheet'!$B$6:$BW$1386,49,0)</f>
        <v>050081198648</v>
      </c>
      <c r="E68" s="620">
        <f>+VLOOKUP(B68,'Salary sheet'!$B$6:$AT$1292,45,0)</f>
        <v>11620029</v>
      </c>
      <c r="F68" s="1029" t="s">
        <v>5723</v>
      </c>
      <c r="G68" s="824" t="str">
        <f>+VLOOKUP(B68,'Salary sheet'!$B$6:$E$2281,4,0)</f>
        <v>FACTORY A</v>
      </c>
      <c r="H68" s="607" t="str">
        <f>+VLOOKUP(B68,'Salary sheet'!$B$6:$AZ$1386,50,0)</f>
        <v>SK1 Box</v>
      </c>
      <c r="I68" s="607" t="str">
        <f t="shared" si="8"/>
        <v>C9525PHAM HONG PHONG050081198648</v>
      </c>
      <c r="J68" s="853" t="str">
        <f>+VLOOKUP(B68,'[5]04 2025'!$B$2:$F$1371,5,0)</f>
        <v>C9525PHAM HONG PHONG050081198648</v>
      </c>
      <c r="K68" s="607">
        <f t="shared" si="9"/>
        <v>1</v>
      </c>
      <c r="P68" s="685"/>
    </row>
    <row r="69" spans="1:16" s="607" customFormat="1" ht="18" customHeight="1">
      <c r="A69" s="826">
        <f>SUBTOTAL(3,B$6:B69)</f>
        <v>64</v>
      </c>
      <c r="B69" s="824" t="s">
        <v>918</v>
      </c>
      <c r="C69" s="824" t="str">
        <f>+VLOOKUP(B69,'Salary sheet'!$B$6:$AX$1386,48,0)</f>
        <v>NGUYEN THI LONG</v>
      </c>
      <c r="D69" s="824" t="str">
        <f>+VLOOKUP(B69,'Salary sheet'!$B$6:$BW$1386,49,0)</f>
        <v>050020209851</v>
      </c>
      <c r="E69" s="620">
        <f>+VLOOKUP(B69,'Salary sheet'!$B$6:$AT$1292,45,0)</f>
        <v>8713283</v>
      </c>
      <c r="F69" s="1029" t="s">
        <v>5723</v>
      </c>
      <c r="G69" s="824" t="str">
        <f>+VLOOKUP(B69,'Salary sheet'!$B$6:$E$2281,4,0)</f>
        <v>FACTORY A</v>
      </c>
      <c r="H69" s="607" t="str">
        <f>+VLOOKUP(B69,'Salary sheet'!$B$6:$AZ$1386,50,0)</f>
        <v>SK1 Box</v>
      </c>
      <c r="I69" s="607" t="str">
        <f t="shared" si="8"/>
        <v>C10662NGUYEN THI LONG050020209851</v>
      </c>
      <c r="J69" s="853" t="str">
        <f>+VLOOKUP(B69,'[5]04 2025'!$B$2:$F$1371,5,0)</f>
        <v>C10662NGUYEN THI LONG050020209851</v>
      </c>
      <c r="K69" s="607">
        <f t="shared" si="9"/>
        <v>1</v>
      </c>
      <c r="P69" s="685"/>
    </row>
    <row r="70" spans="1:16" s="607" customFormat="1" ht="18" customHeight="1">
      <c r="A70" s="826">
        <f>SUBTOTAL(3,B$6:B70)</f>
        <v>65</v>
      </c>
      <c r="B70" s="824" t="s">
        <v>921</v>
      </c>
      <c r="C70" s="824" t="str">
        <f>+VLOOKUP(B70,'Salary sheet'!$B$6:$AX$1386,48,0)</f>
        <v>RAH LAN XIEN</v>
      </c>
      <c r="D70" s="824" t="str">
        <f>+VLOOKUP(B70,'Salary sheet'!$B$6:$BW$1386,49,0)</f>
        <v>050109871475</v>
      </c>
      <c r="E70" s="620">
        <f>+VLOOKUP(B70,'Salary sheet'!$B$6:$AT$1292,45,0)</f>
        <v>8956939</v>
      </c>
      <c r="F70" s="1029" t="s">
        <v>5723</v>
      </c>
      <c r="G70" s="824" t="str">
        <f>+VLOOKUP(B70,'Salary sheet'!$B$6:$E$2281,4,0)</f>
        <v>FACTORY A</v>
      </c>
      <c r="H70" s="607" t="str">
        <f>+VLOOKUP(B70,'Salary sheet'!$B$6:$AZ$1386,50,0)</f>
        <v>SK1 Box</v>
      </c>
      <c r="I70" s="607" t="str">
        <f t="shared" si="8"/>
        <v>C11070RAH LAN XIEN050109871475</v>
      </c>
      <c r="J70" s="853" t="str">
        <f>+VLOOKUP(B70,'[5]04 2025'!$B$2:$F$1371,5,0)</f>
        <v>C11070RAH LAN XIEN050109871475</v>
      </c>
      <c r="K70" s="607">
        <f t="shared" si="9"/>
        <v>1</v>
      </c>
      <c r="P70" s="685"/>
    </row>
    <row r="71" spans="1:16" s="607" customFormat="1" ht="18" customHeight="1">
      <c r="A71" s="826">
        <f>SUBTOTAL(3,B$6:B71)</f>
        <v>66</v>
      </c>
      <c r="B71" s="824" t="s">
        <v>923</v>
      </c>
      <c r="C71" s="824" t="str">
        <f>+VLOOKUP(B71,'Salary sheet'!$B$6:$AX$1386,48,0)</f>
        <v>NGUYEN THI KIM LOAN</v>
      </c>
      <c r="D71" s="824" t="str">
        <f>+VLOOKUP(B71,'Salary sheet'!$B$6:$BW$1386,49,0)</f>
        <v>050114710420</v>
      </c>
      <c r="E71" s="620">
        <f>+VLOOKUP(B71,'Salary sheet'!$B$6:$AT$1292,45,0)</f>
        <v>9328416</v>
      </c>
      <c r="F71" s="1029" t="s">
        <v>5723</v>
      </c>
      <c r="G71" s="824" t="str">
        <f>+VLOOKUP(B71,'Salary sheet'!$B$6:$E$2281,4,0)</f>
        <v>FACTORY A</v>
      </c>
      <c r="H71" s="607" t="str">
        <f>+VLOOKUP(B71,'Salary sheet'!$B$6:$AZ$1386,50,0)</f>
        <v>SK1 Box</v>
      </c>
      <c r="I71" s="607" t="str">
        <f t="shared" si="8"/>
        <v>C11698NGUYEN THI KIM LOAN050114710420</v>
      </c>
      <c r="J71" s="853" t="str">
        <f>+VLOOKUP(B71,'[5]04 2025'!$B$2:$F$1371,5,0)</f>
        <v>C11698NGUYEN THI KIM LOAN050114710420</v>
      </c>
      <c r="K71" s="607">
        <f t="shared" si="9"/>
        <v>1</v>
      </c>
      <c r="P71" s="685"/>
    </row>
    <row r="72" spans="1:16" s="607" customFormat="1" ht="18" customHeight="1">
      <c r="A72" s="826">
        <f>SUBTOTAL(3,B$6:B72)</f>
        <v>67</v>
      </c>
      <c r="B72" s="824" t="s">
        <v>925</v>
      </c>
      <c r="C72" s="824" t="str">
        <f>+VLOOKUP(B72,'Salary sheet'!$B$6:$AX$1386,48,0)</f>
        <v>LE THI KIM OANH</v>
      </c>
      <c r="D72" s="824" t="str">
        <f>+VLOOKUP(B72,'Salary sheet'!$B$6:$BW$1386,49,0)</f>
        <v>050055723084</v>
      </c>
      <c r="E72" s="620">
        <f>+VLOOKUP(B72,'Salary sheet'!$B$6:$AT$1292,45,0)</f>
        <v>9074921</v>
      </c>
      <c r="F72" s="1029" t="s">
        <v>5723</v>
      </c>
      <c r="G72" s="824" t="str">
        <f>+VLOOKUP(B72,'Salary sheet'!$B$6:$E$2281,4,0)</f>
        <v>FACTORY A</v>
      </c>
      <c r="H72" s="607" t="str">
        <f>+VLOOKUP(B72,'Salary sheet'!$B$6:$AZ$1386,50,0)</f>
        <v>SK1 Box</v>
      </c>
      <c r="I72" s="607" t="str">
        <f t="shared" si="8"/>
        <v>C11773LE THI KIM OANH050055723084</v>
      </c>
      <c r="J72" s="853" t="str">
        <f>+VLOOKUP(B72,'[5]04 2025'!$B$2:$F$1371,5,0)</f>
        <v>C11773LE THI KIM OANH050055723084</v>
      </c>
      <c r="K72" s="607">
        <f t="shared" si="9"/>
        <v>1</v>
      </c>
      <c r="P72" s="685"/>
    </row>
    <row r="73" spans="1:16" s="607" customFormat="1" ht="18" customHeight="1">
      <c r="A73" s="826">
        <f>SUBTOTAL(3,B$6:B73)</f>
        <v>68</v>
      </c>
      <c r="B73" s="824" t="s">
        <v>927</v>
      </c>
      <c r="C73" s="824" t="str">
        <f>+VLOOKUP(B73,'Salary sheet'!$B$6:$AX$1386,48,0)</f>
        <v>HO THI NGHIA</v>
      </c>
      <c r="D73" s="824" t="str">
        <f>+VLOOKUP(B73,'Salary sheet'!$B$6:$BW$1386,49,0)</f>
        <v>050127944072</v>
      </c>
      <c r="E73" s="620">
        <f>+VLOOKUP(B73,'Salary sheet'!$B$6:$AT$1292,45,0)</f>
        <v>8209955</v>
      </c>
      <c r="F73" s="1029" t="s">
        <v>5723</v>
      </c>
      <c r="G73" s="824" t="str">
        <f>+VLOOKUP(B73,'Salary sheet'!$B$6:$E$2281,4,0)</f>
        <v>FACTORY A</v>
      </c>
      <c r="H73" s="607" t="str">
        <f>+VLOOKUP(B73,'Salary sheet'!$B$6:$AZ$1386,50,0)</f>
        <v>SK1 Box</v>
      </c>
      <c r="I73" s="607" t="str">
        <f t="shared" si="8"/>
        <v>C13324HO THI NGHIA050127944072</v>
      </c>
      <c r="J73" s="853" t="str">
        <f>+VLOOKUP(B73,'[5]04 2025'!$B$2:$F$1371,5,0)</f>
        <v>C13324HO THI NGHIA050127944072</v>
      </c>
      <c r="K73" s="607">
        <f t="shared" si="9"/>
        <v>1</v>
      </c>
      <c r="P73" s="685"/>
    </row>
    <row r="74" spans="1:16" s="607" customFormat="1" ht="18" customHeight="1">
      <c r="A74" s="826">
        <f>SUBTOTAL(3,B$6:B74)</f>
        <v>69</v>
      </c>
      <c r="B74" s="824" t="s">
        <v>929</v>
      </c>
      <c r="C74" s="824" t="str">
        <f>+VLOOKUP(B74,'Salary sheet'!$B$6:$AX$1386,48,0)</f>
        <v>THI THU</v>
      </c>
      <c r="D74" s="824" t="str">
        <f>+VLOOKUP(B74,'Salary sheet'!$B$6:$BW$1386,49,0)</f>
        <v>050123536484</v>
      </c>
      <c r="E74" s="620">
        <f>+VLOOKUP(B74,'Salary sheet'!$B$6:$AT$1292,45,0)</f>
        <v>8966076</v>
      </c>
      <c r="F74" s="1029" t="s">
        <v>5723</v>
      </c>
      <c r="G74" s="824" t="str">
        <f>+VLOOKUP(B74,'Salary sheet'!$B$6:$E$2281,4,0)</f>
        <v>FACTORY A</v>
      </c>
      <c r="H74" s="607" t="str">
        <f>+VLOOKUP(B74,'Salary sheet'!$B$6:$AZ$1386,50,0)</f>
        <v>SK1 Box</v>
      </c>
      <c r="I74" s="607" t="str">
        <f t="shared" si="8"/>
        <v>C14511THI THU050123536484</v>
      </c>
      <c r="J74" s="853" t="str">
        <f>+VLOOKUP(B74,'[5]04 2025'!$B$2:$F$1371,5,0)</f>
        <v>C14511THI THU050123536484</v>
      </c>
      <c r="K74" s="607">
        <f t="shared" si="9"/>
        <v>1</v>
      </c>
      <c r="P74" s="685"/>
    </row>
    <row r="75" spans="1:16" s="607" customFormat="1" ht="18" customHeight="1">
      <c r="A75" s="826">
        <f>SUBTOTAL(3,B$6:B75)</f>
        <v>70</v>
      </c>
      <c r="B75" s="824" t="s">
        <v>931</v>
      </c>
      <c r="C75" s="824" t="str">
        <f>+VLOOKUP(B75,'Salary sheet'!$B$6:$AX$1386,48,0)</f>
        <v>LAM CHUA</v>
      </c>
      <c r="D75" s="824" t="str">
        <f>+VLOOKUP(B75,'Salary sheet'!$B$6:$BW$1386,49,0)</f>
        <v>050116981057</v>
      </c>
      <c r="E75" s="620">
        <f>+VLOOKUP(B75,'Salary sheet'!$B$6:$AT$1292,45,0)</f>
        <v>8696658</v>
      </c>
      <c r="F75" s="1029" t="s">
        <v>5723</v>
      </c>
      <c r="G75" s="824" t="str">
        <f>+VLOOKUP(B75,'Salary sheet'!$B$6:$E$2281,4,0)</f>
        <v>FACTORY A</v>
      </c>
      <c r="H75" s="607" t="str">
        <f>+VLOOKUP(B75,'Salary sheet'!$B$6:$AZ$1386,50,0)</f>
        <v>SK1 Box</v>
      </c>
      <c r="I75" s="607" t="str">
        <f t="shared" si="8"/>
        <v>C14792LAM CHUA050116981057</v>
      </c>
      <c r="J75" s="853" t="str">
        <f>+VLOOKUP(B75,'[5]04 2025'!$B$2:$F$1371,5,0)</f>
        <v>C14792LAM CHUA050116981057</v>
      </c>
      <c r="K75" s="607">
        <f t="shared" si="9"/>
        <v>1</v>
      </c>
      <c r="P75" s="685"/>
    </row>
    <row r="76" spans="1:16" s="607" customFormat="1" ht="18" customHeight="1">
      <c r="A76" s="826">
        <f>SUBTOTAL(3,B$6:B76)</f>
        <v>71</v>
      </c>
      <c r="B76" s="824" t="s">
        <v>933</v>
      </c>
      <c r="C76" s="824" t="str">
        <f>+VLOOKUP(B76,'Salary sheet'!$B$6:$AX$1386,48,0)</f>
        <v>PHAM THI TINH</v>
      </c>
      <c r="D76" s="824" t="str">
        <f>+VLOOKUP(B76,'Salary sheet'!$B$6:$BW$1386,49,0)</f>
        <v>050139095100</v>
      </c>
      <c r="E76" s="620">
        <f>+VLOOKUP(B76,'Salary sheet'!$B$6:$AT$1292,45,0)</f>
        <v>8527236</v>
      </c>
      <c r="F76" s="1029" t="s">
        <v>5723</v>
      </c>
      <c r="G76" s="824" t="str">
        <f>+VLOOKUP(B76,'Salary sheet'!$B$6:$E$2281,4,0)</f>
        <v>FACTORY A</v>
      </c>
      <c r="H76" s="607" t="str">
        <f>+VLOOKUP(B76,'Salary sheet'!$B$6:$AZ$1386,50,0)</f>
        <v>SK1 Box</v>
      </c>
      <c r="I76" s="607" t="str">
        <f t="shared" si="8"/>
        <v>C15223PHAM THI TINH050139095100</v>
      </c>
      <c r="J76" s="853" t="str">
        <f>+VLOOKUP(B76,'[5]04 2025'!$B$2:$F$1371,5,0)</f>
        <v>C15223PHAM THI TINH050139095100</v>
      </c>
      <c r="K76" s="607">
        <f t="shared" si="9"/>
        <v>1</v>
      </c>
      <c r="P76" s="685"/>
    </row>
    <row r="77" spans="1:16" s="607" customFormat="1" ht="18" customHeight="1">
      <c r="A77" s="826">
        <f>SUBTOTAL(3,B$6:B77)</f>
        <v>72</v>
      </c>
      <c r="B77" s="824" t="s">
        <v>935</v>
      </c>
      <c r="C77" s="824" t="str">
        <f>+VLOOKUP(B77,'Salary sheet'!$B$6:$AX$1386,48,0)</f>
        <v>DO THI KIM HOA</v>
      </c>
      <c r="D77" s="824" t="str">
        <f>+VLOOKUP(B77,'Salary sheet'!$B$6:$BW$1386,49,0)</f>
        <v>050046383459</v>
      </c>
      <c r="E77" s="620">
        <f>+VLOOKUP(B77,'Salary sheet'!$B$6:$AT$1292,45,0)</f>
        <v>9173272</v>
      </c>
      <c r="F77" s="1029" t="s">
        <v>5723</v>
      </c>
      <c r="G77" s="824" t="str">
        <f>+VLOOKUP(B77,'Salary sheet'!$B$6:$E$2281,4,0)</f>
        <v>FACTORY A</v>
      </c>
      <c r="H77" s="607" t="str">
        <f>+VLOOKUP(B77,'Salary sheet'!$B$6:$AZ$1386,50,0)</f>
        <v>SK1 Box</v>
      </c>
      <c r="I77" s="607" t="str">
        <f t="shared" si="8"/>
        <v>C15224DO THI KIM HOA050046383459</v>
      </c>
      <c r="J77" s="853" t="str">
        <f>+VLOOKUP(B77,'[5]04 2025'!$B$2:$F$1371,5,0)</f>
        <v>C15224DO THI KIM HOA050046383459</v>
      </c>
      <c r="K77" s="607">
        <f t="shared" si="9"/>
        <v>1</v>
      </c>
      <c r="P77" s="685"/>
    </row>
    <row r="78" spans="1:16" s="607" customFormat="1" ht="18" customHeight="1">
      <c r="A78" s="826">
        <f>SUBTOTAL(3,B$6:B78)</f>
        <v>73</v>
      </c>
      <c r="B78" s="824" t="s">
        <v>937</v>
      </c>
      <c r="C78" s="824" t="str">
        <f>+VLOOKUP(B78,'Salary sheet'!$B$6:$AX$1386,48,0)</f>
        <v>NGUYEN NGOC NGA</v>
      </c>
      <c r="D78" s="824" t="str">
        <f>+VLOOKUP(B78,'Salary sheet'!$B$6:$BW$1386,49,0)</f>
        <v>050117412102</v>
      </c>
      <c r="E78" s="620">
        <f>+VLOOKUP(B78,'Salary sheet'!$B$6:$AT$1292,45,0)</f>
        <v>8508390</v>
      </c>
      <c r="F78" s="1029" t="s">
        <v>5723</v>
      </c>
      <c r="G78" s="824" t="str">
        <f>+VLOOKUP(B78,'Salary sheet'!$B$6:$E$2281,4,0)</f>
        <v>FACTORY A</v>
      </c>
      <c r="H78" s="607" t="str">
        <f>+VLOOKUP(B78,'Salary sheet'!$B$6:$AZ$1386,50,0)</f>
        <v>SK1 Box</v>
      </c>
      <c r="I78" s="607" t="str">
        <f t="shared" si="8"/>
        <v>C15452NGUYEN NGOC NGA050117412102</v>
      </c>
      <c r="J78" s="853" t="str">
        <f>+VLOOKUP(B78,'[5]04 2025'!$B$2:$F$1371,5,0)</f>
        <v>C15452NGUYEN NGOC NGA050117412102</v>
      </c>
      <c r="K78" s="607">
        <f t="shared" si="9"/>
        <v>1</v>
      </c>
      <c r="P78" s="685"/>
    </row>
    <row r="79" spans="1:16" s="607" customFormat="1" ht="18" customHeight="1">
      <c r="A79" s="826">
        <f>SUBTOTAL(3,B$6:B79)</f>
        <v>74</v>
      </c>
      <c r="B79" s="824" t="s">
        <v>939</v>
      </c>
      <c r="C79" s="824" t="str">
        <f>+VLOOKUP(B79,'Salary sheet'!$B$6:$AX$1386,48,0)</f>
        <v>HO DUC TUONG</v>
      </c>
      <c r="D79" s="824" t="str">
        <f>+VLOOKUP(B79,'Salary sheet'!$B$6:$BW$1386,49,0)</f>
        <v>050151719977</v>
      </c>
      <c r="E79" s="620">
        <f>+VLOOKUP(B79,'Salary sheet'!$B$6:$AT$1292,45,0)</f>
        <v>8732653</v>
      </c>
      <c r="F79" s="1029" t="s">
        <v>5723</v>
      </c>
      <c r="G79" s="824" t="str">
        <f>+VLOOKUP(B79,'Salary sheet'!$B$6:$E$2281,4,0)</f>
        <v>FACTORY A</v>
      </c>
      <c r="H79" s="607" t="str">
        <f>+VLOOKUP(B79,'Salary sheet'!$B$6:$AZ$1386,50,0)</f>
        <v>SK1 Box</v>
      </c>
      <c r="I79" s="607" t="str">
        <f t="shared" si="8"/>
        <v>C15766HO DUC TUONG050151719977</v>
      </c>
      <c r="J79" s="853" t="str">
        <f>+VLOOKUP(B79,'[5]04 2025'!$B$2:$F$1371,5,0)</f>
        <v>C15766HO DUC TUONG050151719977</v>
      </c>
      <c r="K79" s="607">
        <f t="shared" si="9"/>
        <v>1</v>
      </c>
      <c r="P79" s="685"/>
    </row>
    <row r="80" spans="1:16" s="607" customFormat="1" ht="18" customHeight="1">
      <c r="A80" s="826">
        <f>SUBTOTAL(3,B$6:B80)</f>
        <v>75</v>
      </c>
      <c r="B80" s="824" t="s">
        <v>941</v>
      </c>
      <c r="C80" s="824" t="str">
        <f>+VLOOKUP(B80,'Salary sheet'!$B$6:$AX$1386,48,0)</f>
        <v>LE THI LAN</v>
      </c>
      <c r="D80" s="824" t="str">
        <f>+VLOOKUP(B80,'Salary sheet'!$B$6:$BW$1386,49,0)</f>
        <v>050040932841</v>
      </c>
      <c r="E80" s="620">
        <f>+VLOOKUP(B80,'Salary sheet'!$B$6:$AT$1292,45,0)</f>
        <v>8096345</v>
      </c>
      <c r="F80" s="1029" t="s">
        <v>5723</v>
      </c>
      <c r="G80" s="824" t="str">
        <f>+VLOOKUP(B80,'Salary sheet'!$B$6:$E$2281,4,0)</f>
        <v>FACTORY A</v>
      </c>
      <c r="H80" s="607" t="str">
        <f>+VLOOKUP(B80,'Salary sheet'!$B$6:$AZ$1386,50,0)</f>
        <v>SK1 Box</v>
      </c>
      <c r="I80" s="607" t="str">
        <f t="shared" si="8"/>
        <v>C16097LE THI LAN050040932841</v>
      </c>
      <c r="J80" s="853" t="str">
        <f>+VLOOKUP(B80,'[5]04 2025'!$B$2:$F$1371,5,0)</f>
        <v>C16097LE THI LAN050040932841</v>
      </c>
      <c r="K80" s="607">
        <f t="shared" si="9"/>
        <v>1</v>
      </c>
      <c r="P80" s="685"/>
    </row>
    <row r="81" spans="1:16" s="607" customFormat="1" ht="18" customHeight="1">
      <c r="A81" s="826">
        <f>SUBTOTAL(3,B$6:B81)</f>
        <v>76</v>
      </c>
      <c r="B81" s="824" t="s">
        <v>943</v>
      </c>
      <c r="C81" s="824" t="str">
        <f>+VLOOKUP(B81,'Salary sheet'!$B$6:$AX$1386,48,0)</f>
        <v>DO DANG HIEN HOA</v>
      </c>
      <c r="D81" s="824" t="str">
        <f>+VLOOKUP(B81,'Salary sheet'!$B$6:$BW$1386,49,0)</f>
        <v>050040933597</v>
      </c>
      <c r="E81" s="620">
        <f>+VLOOKUP(B81,'Salary sheet'!$B$6:$AT$1292,45,0)</f>
        <v>7936357</v>
      </c>
      <c r="F81" s="1029" t="s">
        <v>5723</v>
      </c>
      <c r="G81" s="824" t="str">
        <f>+VLOOKUP(B81,'Salary sheet'!$B$6:$E$2281,4,0)</f>
        <v>FACTORY A</v>
      </c>
      <c r="H81" s="607" t="str">
        <f>+VLOOKUP(B81,'Salary sheet'!$B$6:$AZ$1386,50,0)</f>
        <v>SK1 Box</v>
      </c>
      <c r="I81" s="607" t="str">
        <f t="shared" si="8"/>
        <v>C16234DO DANG HIEN HOA050040933597</v>
      </c>
      <c r="J81" s="853" t="str">
        <f>+VLOOKUP(B81,'[5]04 2025'!$B$2:$F$1371,5,0)</f>
        <v>C16234DO DANG HIEN HOA050040933597</v>
      </c>
      <c r="K81" s="607">
        <f t="shared" si="9"/>
        <v>1</v>
      </c>
      <c r="P81" s="685"/>
    </row>
    <row r="82" spans="1:16" s="607" customFormat="1" ht="18" customHeight="1">
      <c r="A82" s="826">
        <f>SUBTOTAL(3,B$6:B82)</f>
        <v>77</v>
      </c>
      <c r="B82" s="824" t="s">
        <v>945</v>
      </c>
      <c r="C82" s="824" t="str">
        <f>+VLOOKUP(B82,'Salary sheet'!$B$6:$AX$1386,48,0)</f>
        <v>THI THIA</v>
      </c>
      <c r="D82" s="824" t="str">
        <f>+VLOOKUP(B82,'Salary sheet'!$B$6:$BW$1386,49,0)</f>
        <v>050156252333</v>
      </c>
      <c r="E82" s="620">
        <f>+VLOOKUP(B82,'Salary sheet'!$B$6:$AT$1292,45,0)</f>
        <v>5781747</v>
      </c>
      <c r="F82" s="1029" t="s">
        <v>5723</v>
      </c>
      <c r="G82" s="824" t="str">
        <f>+VLOOKUP(B82,'Salary sheet'!$B$6:$E$2281,4,0)</f>
        <v>FACTORY A</v>
      </c>
      <c r="H82" s="607" t="str">
        <f>+VLOOKUP(B82,'Salary sheet'!$B$6:$AZ$1386,50,0)</f>
        <v>SK1 Box</v>
      </c>
      <c r="I82" s="607" t="str">
        <f t="shared" si="8"/>
        <v>C16293THI THIA050156252333</v>
      </c>
      <c r="J82" s="853" t="str">
        <f>+VLOOKUP(B82,'[5]04 2025'!$B$2:$F$1371,5,0)</f>
        <v>C16293THI THIA050156252333</v>
      </c>
      <c r="K82" s="607">
        <f t="shared" si="9"/>
        <v>1</v>
      </c>
      <c r="P82" s="685"/>
    </row>
    <row r="83" spans="1:16" s="607" customFormat="1" ht="18" customHeight="1">
      <c r="A83" s="826">
        <f>SUBTOTAL(3,B$6:B83)</f>
        <v>78</v>
      </c>
      <c r="B83" s="824" t="s">
        <v>947</v>
      </c>
      <c r="C83" s="824" t="str">
        <f>+VLOOKUP(B83,'Salary sheet'!$B$6:$AX$1386,48,0)</f>
        <v>NGUYEN THI CHAU</v>
      </c>
      <c r="D83" s="824" t="str">
        <f>+VLOOKUP(B83,'Salary sheet'!$B$6:$BW$1386,49,0)</f>
        <v>052212081988</v>
      </c>
      <c r="E83" s="620">
        <f>+VLOOKUP(B83,'Salary sheet'!$B$6:$AT$1292,45,0)</f>
        <v>7759153</v>
      </c>
      <c r="F83" s="1029" t="s">
        <v>5723</v>
      </c>
      <c r="G83" s="824" t="str">
        <f>+VLOOKUP(B83,'Salary sheet'!$B$6:$E$2281,4,0)</f>
        <v>FACTORY A</v>
      </c>
      <c r="H83" s="607" t="str">
        <f>+VLOOKUP(B83,'Salary sheet'!$B$6:$AZ$1386,50,0)</f>
        <v>SK1 Box</v>
      </c>
      <c r="I83" s="607" t="str">
        <f t="shared" si="8"/>
        <v>C16320NGUYEN THI CHAU052212081988</v>
      </c>
      <c r="J83" s="853" t="str">
        <f>+VLOOKUP(B83,'[5]04 2025'!$B$2:$F$1371,5,0)</f>
        <v>C16320NGUYEN THI CHAU052212081988</v>
      </c>
      <c r="K83" s="607">
        <f t="shared" si="9"/>
        <v>1</v>
      </c>
      <c r="P83" s="685"/>
    </row>
    <row r="84" spans="1:16" s="607" customFormat="1" ht="18" customHeight="1">
      <c r="A84" s="826">
        <f>SUBTOTAL(3,B$6:B84)</f>
        <v>79</v>
      </c>
      <c r="B84" s="824" t="s">
        <v>949</v>
      </c>
      <c r="C84" s="824" t="str">
        <f>+VLOOKUP(B84,'Salary sheet'!$B$6:$AX$1386,48,0)</f>
        <v>NGUYEN PHAM THANH HAN</v>
      </c>
      <c r="D84" s="824" t="str">
        <f>+VLOOKUP(B84,'Salary sheet'!$B$6:$BW$1386,49,0)</f>
        <v>050156921537</v>
      </c>
      <c r="E84" s="620">
        <f>+VLOOKUP(B84,'Salary sheet'!$B$6:$AT$1292,45,0)</f>
        <v>7952751</v>
      </c>
      <c r="F84" s="1029" t="s">
        <v>5723</v>
      </c>
      <c r="G84" s="824" t="str">
        <f>+VLOOKUP(B84,'Salary sheet'!$B$6:$E$2281,4,0)</f>
        <v>FACTORY A</v>
      </c>
      <c r="H84" s="607" t="str">
        <f>+VLOOKUP(B84,'Salary sheet'!$B$6:$AZ$1386,50,0)</f>
        <v>SK1 Box</v>
      </c>
      <c r="I84" s="607" t="str">
        <f t="shared" si="8"/>
        <v>C16367NGUYEN PHAM THANH HAN050156921537</v>
      </c>
      <c r="J84" s="853" t="str">
        <f>+VLOOKUP(B84,'[5]04 2025'!$B$2:$F$1371,5,0)</f>
        <v>C16367NGUYEN PHAM THANH HAN050156921537</v>
      </c>
      <c r="K84" s="607">
        <f t="shared" si="9"/>
        <v>1</v>
      </c>
      <c r="P84" s="685"/>
    </row>
    <row r="85" spans="1:16" s="607" customFormat="1" ht="18" customHeight="1">
      <c r="A85" s="826">
        <f>SUBTOTAL(3,B$6:B85)</f>
        <v>80</v>
      </c>
      <c r="B85" s="824" t="s">
        <v>951</v>
      </c>
      <c r="C85" s="824" t="str">
        <f>+VLOOKUP(B85,'Salary sheet'!$B$6:$AX$1386,48,0)</f>
        <v>TRAN THI KIM LOC</v>
      </c>
      <c r="D85" s="824" t="str">
        <f>+VLOOKUP(B85,'Salary sheet'!$B$6:$BW$1386,49,0)</f>
        <v>050040879622</v>
      </c>
      <c r="E85" s="620">
        <f>+VLOOKUP(B85,'Salary sheet'!$B$6:$AT$1292,45,0)</f>
        <v>6838206</v>
      </c>
      <c r="F85" s="1029" t="s">
        <v>5723</v>
      </c>
      <c r="G85" s="824" t="str">
        <f>+VLOOKUP(B85,'Salary sheet'!$B$6:$E$2281,4,0)</f>
        <v>FACTORY A</v>
      </c>
      <c r="H85" s="607" t="str">
        <f>+VLOOKUP(B85,'Salary sheet'!$B$6:$AZ$1386,50,0)</f>
        <v>SK1 Box</v>
      </c>
      <c r="I85" s="607" t="str">
        <f t="shared" si="8"/>
        <v>C2669TRAN THI KIM LOC050040879622</v>
      </c>
      <c r="J85" s="853" t="str">
        <f>+VLOOKUP(B85,'[5]04 2025'!$B$2:$F$1371,5,0)</f>
        <v>C2669TRAN THI KIM LOC050040879622</v>
      </c>
      <c r="K85" s="607">
        <f t="shared" si="9"/>
        <v>1</v>
      </c>
      <c r="P85" s="685"/>
    </row>
    <row r="86" spans="1:16" s="607" customFormat="1" ht="18" customHeight="1">
      <c r="A86" s="826">
        <f>SUBTOTAL(3,B$6:B86)</f>
        <v>81</v>
      </c>
      <c r="B86" s="824" t="s">
        <v>953</v>
      </c>
      <c r="C86" s="824" t="str">
        <f>+VLOOKUP(B86,'Salary sheet'!$B$6:$AX$1386,48,0)</f>
        <v>NGO THI CHI</v>
      </c>
      <c r="D86" s="824" t="str">
        <f>+VLOOKUP(B86,'Salary sheet'!$B$6:$BW$1386,49,0)</f>
        <v>050040966118</v>
      </c>
      <c r="E86" s="620">
        <f>+VLOOKUP(B86,'Salary sheet'!$B$6:$AT$1292,45,0)</f>
        <v>8969987</v>
      </c>
      <c r="F86" s="1029" t="s">
        <v>5723</v>
      </c>
      <c r="G86" s="824" t="str">
        <f>+VLOOKUP(B86,'Salary sheet'!$B$6:$E$2281,4,0)</f>
        <v>FACTORY A</v>
      </c>
      <c r="H86" s="607" t="str">
        <f>+VLOOKUP(B86,'Salary sheet'!$B$6:$AZ$1386,50,0)</f>
        <v>SK1 Box</v>
      </c>
      <c r="I86" s="607" t="str">
        <f t="shared" si="8"/>
        <v>C3082NGO THI CHI050040966118</v>
      </c>
      <c r="J86" s="853" t="str">
        <f>+VLOOKUP(B86,'[5]04 2025'!$B$2:$F$1371,5,0)</f>
        <v>C3082NGO THI CHI050040966118</v>
      </c>
      <c r="K86" s="607">
        <f t="shared" si="9"/>
        <v>1</v>
      </c>
      <c r="P86" s="685"/>
    </row>
    <row r="87" spans="1:16" s="607" customFormat="1" ht="18" customHeight="1">
      <c r="A87" s="826">
        <f>SUBTOTAL(3,B$6:B87)</f>
        <v>82</v>
      </c>
      <c r="B87" s="824" t="s">
        <v>955</v>
      </c>
      <c r="C87" s="824" t="str">
        <f>+VLOOKUP(B87,'Salary sheet'!$B$6:$AX$1386,48,0)</f>
        <v>VO THI THANH MAI</v>
      </c>
      <c r="D87" s="824" t="str">
        <f>+VLOOKUP(B87,'Salary sheet'!$B$6:$BW$1386,49,0)</f>
        <v>050040933708</v>
      </c>
      <c r="E87" s="620">
        <f>+VLOOKUP(B87,'Salary sheet'!$B$6:$AT$1292,45,0)</f>
        <v>7569522</v>
      </c>
      <c r="F87" s="1029" t="s">
        <v>5723</v>
      </c>
      <c r="G87" s="824" t="str">
        <f>+VLOOKUP(B87,'Salary sheet'!$B$6:$E$2281,4,0)</f>
        <v>FACTORY A</v>
      </c>
      <c r="H87" s="607" t="str">
        <f>+VLOOKUP(B87,'Salary sheet'!$B$6:$AZ$1386,50,0)</f>
        <v>SK1 Box</v>
      </c>
      <c r="I87" s="607" t="str">
        <f t="shared" si="8"/>
        <v>C3930VO THI THANH MAI050040933708</v>
      </c>
      <c r="J87" s="853" t="str">
        <f>+VLOOKUP(B87,'[5]04 2025'!$B$2:$F$1371,5,0)</f>
        <v>C3930VO THI THANH MAI050040933708</v>
      </c>
      <c r="K87" s="607">
        <f t="shared" si="9"/>
        <v>1</v>
      </c>
      <c r="P87" s="685"/>
    </row>
    <row r="88" spans="1:16" s="607" customFormat="1" ht="18" customHeight="1">
      <c r="A88" s="826">
        <f>SUBTOTAL(3,B$6:B88)</f>
        <v>83</v>
      </c>
      <c r="B88" s="824" t="s">
        <v>957</v>
      </c>
      <c r="C88" s="824" t="str">
        <f>+VLOOKUP(B88,'Salary sheet'!$B$6:$AX$1386,48,0)</f>
        <v>TRAN THI BACH YEN</v>
      </c>
      <c r="D88" s="824" t="str">
        <f>+VLOOKUP(B88,'Salary sheet'!$B$6:$BW$1386,49,0)</f>
        <v>050040987247</v>
      </c>
      <c r="E88" s="620">
        <f>+VLOOKUP(B88,'Salary sheet'!$B$6:$AT$1292,45,0)</f>
        <v>8283841</v>
      </c>
      <c r="F88" s="1029" t="s">
        <v>5723</v>
      </c>
      <c r="G88" s="824" t="str">
        <f>+VLOOKUP(B88,'Salary sheet'!$B$6:$E$2281,4,0)</f>
        <v>FACTORY A</v>
      </c>
      <c r="H88" s="607" t="str">
        <f>+VLOOKUP(B88,'Salary sheet'!$B$6:$AZ$1386,50,0)</f>
        <v>SK1 Box</v>
      </c>
      <c r="I88" s="607" t="str">
        <f t="shared" si="8"/>
        <v>C5339TRAN THI BACH YEN050040987247</v>
      </c>
      <c r="J88" s="853" t="str">
        <f>+VLOOKUP(B88,'[5]04 2025'!$B$2:$F$1371,5,0)</f>
        <v>C5339TRAN THI BACH YEN050040987247</v>
      </c>
      <c r="K88" s="607">
        <f t="shared" si="9"/>
        <v>1</v>
      </c>
      <c r="P88" s="685"/>
    </row>
    <row r="89" spans="1:16" s="607" customFormat="1" ht="18" customHeight="1">
      <c r="A89" s="826">
        <f>SUBTOTAL(3,B$6:B89)</f>
        <v>84</v>
      </c>
      <c r="B89" s="824" t="s">
        <v>959</v>
      </c>
      <c r="C89" s="824" t="str">
        <f>+VLOOKUP(B89,'Salary sheet'!$B$6:$AX$1386,48,0)</f>
        <v>TRAN VAN NANG</v>
      </c>
      <c r="D89" s="824" t="str">
        <f>+VLOOKUP(B89,'Salary sheet'!$B$6:$BW$1386,49,0)</f>
        <v>050040934801</v>
      </c>
      <c r="E89" s="620">
        <f>+VLOOKUP(B89,'Salary sheet'!$B$6:$AT$1292,45,0)</f>
        <v>10606628</v>
      </c>
      <c r="F89" s="1029" t="s">
        <v>5723</v>
      </c>
      <c r="G89" s="824" t="str">
        <f>+VLOOKUP(B89,'Salary sheet'!$B$6:$E$2281,4,0)</f>
        <v>FACTORY A</v>
      </c>
      <c r="H89" s="607" t="str">
        <f>+VLOOKUP(B89,'Salary sheet'!$B$6:$AZ$1386,50,0)</f>
        <v>SK1 Box</v>
      </c>
      <c r="I89" s="607" t="str">
        <f t="shared" si="8"/>
        <v>C5595TRAN VAN NANG050040934801</v>
      </c>
      <c r="J89" s="853" t="str">
        <f>+VLOOKUP(B89,'[5]04 2025'!$B$2:$F$1371,5,0)</f>
        <v>C5595TRAN VAN NANG050040934801</v>
      </c>
      <c r="K89" s="607">
        <f t="shared" si="9"/>
        <v>1</v>
      </c>
      <c r="P89" s="685"/>
    </row>
    <row r="90" spans="1:16" s="607" customFormat="1" ht="18" customHeight="1">
      <c r="A90" s="826">
        <f>SUBTOTAL(3,B$6:B90)</f>
        <v>85</v>
      </c>
      <c r="B90" s="824" t="s">
        <v>961</v>
      </c>
      <c r="C90" s="824" t="str">
        <f>+VLOOKUP(B90,'Salary sheet'!$B$6:$AX$1386,48,0)</f>
        <v>DANG THI THUY DUONG</v>
      </c>
      <c r="D90" s="824" t="str">
        <f>+VLOOKUP(B90,'Salary sheet'!$B$6:$BW$1386,49,0)</f>
        <v>050040876062</v>
      </c>
      <c r="E90" s="620">
        <f>+VLOOKUP(B90,'Salary sheet'!$B$6:$AT$1292,45,0)</f>
        <v>12070051</v>
      </c>
      <c r="F90" s="1029" t="s">
        <v>5723</v>
      </c>
      <c r="G90" s="824" t="str">
        <f>+VLOOKUP(B90,'Salary sheet'!$B$6:$E$2281,4,0)</f>
        <v>FACTORY A</v>
      </c>
      <c r="H90" s="607" t="str">
        <f>+VLOOKUP(B90,'Salary sheet'!$B$6:$AZ$1386,50,0)</f>
        <v>SK1 Box</v>
      </c>
      <c r="I90" s="607" t="str">
        <f t="shared" si="8"/>
        <v>C5603DANG THI THUY DUONG050040876062</v>
      </c>
      <c r="J90" s="853" t="str">
        <f>+VLOOKUP(B90,'[5]04 2025'!$B$2:$F$1371,5,0)</f>
        <v>C5603DANG THI THUY DUONG050040876062</v>
      </c>
      <c r="K90" s="607">
        <f t="shared" si="9"/>
        <v>1</v>
      </c>
      <c r="P90" s="685"/>
    </row>
    <row r="91" spans="1:16" s="607" customFormat="1" ht="18" customHeight="1">
      <c r="A91" s="826">
        <f>SUBTOTAL(3,B$6:B91)</f>
        <v>86</v>
      </c>
      <c r="B91" s="824" t="s">
        <v>963</v>
      </c>
      <c r="C91" s="824" t="str">
        <f>+VLOOKUP(B91,'Salary sheet'!$B$6:$AX$1386,48,0)</f>
        <v>NGUYEN THI NGOC TIEN</v>
      </c>
      <c r="D91" s="824" t="str">
        <f>+VLOOKUP(B91,'Salary sheet'!$B$6:$BW$1386,49,0)</f>
        <v>050040933491</v>
      </c>
      <c r="E91" s="620">
        <f>+VLOOKUP(B91,'Salary sheet'!$B$6:$AT$1292,45,0)</f>
        <v>9079807</v>
      </c>
      <c r="F91" s="1029" t="s">
        <v>5723</v>
      </c>
      <c r="G91" s="824" t="str">
        <f>+VLOOKUP(B91,'Salary sheet'!$B$6:$E$2281,4,0)</f>
        <v>FACTORY A</v>
      </c>
      <c r="H91" s="607" t="str">
        <f>+VLOOKUP(B91,'Salary sheet'!$B$6:$AZ$1386,50,0)</f>
        <v>SK1 Box</v>
      </c>
      <c r="I91" s="607" t="str">
        <f t="shared" si="8"/>
        <v>C5774NGUYEN THI NGOC TIEN050040933491</v>
      </c>
      <c r="J91" s="853" t="str">
        <f>+VLOOKUP(B91,'[5]04 2025'!$B$2:$F$1371,5,0)</f>
        <v>C5774NGUYEN THI NGOC TIEN050040933491</v>
      </c>
      <c r="K91" s="607">
        <f t="shared" si="9"/>
        <v>1</v>
      </c>
      <c r="P91" s="685"/>
    </row>
    <row r="92" spans="1:16" s="607" customFormat="1" ht="18" customHeight="1">
      <c r="A92" s="826">
        <f>SUBTOTAL(3,B$6:B92)</f>
        <v>87</v>
      </c>
      <c r="B92" s="824" t="s">
        <v>965</v>
      </c>
      <c r="C92" s="824" t="str">
        <f>+VLOOKUP(B92,'Salary sheet'!$B$6:$AX$1386,48,0)</f>
        <v>HUYNH THI TUYET HANH</v>
      </c>
      <c r="D92" s="824" t="str">
        <f>+VLOOKUP(B92,'Salary sheet'!$B$6:$BW$1386,49,0)</f>
        <v>050073841485</v>
      </c>
      <c r="E92" s="620">
        <f>+VLOOKUP(B92,'Salary sheet'!$B$6:$AT$1292,45,0)</f>
        <v>9368296</v>
      </c>
      <c r="F92" s="1029" t="s">
        <v>5723</v>
      </c>
      <c r="G92" s="824" t="str">
        <f>+VLOOKUP(B92,'Salary sheet'!$B$6:$E$2281,4,0)</f>
        <v>FACTORY A</v>
      </c>
      <c r="H92" s="607" t="str">
        <f>+VLOOKUP(B92,'Salary sheet'!$B$6:$AZ$1386,50,0)</f>
        <v>SK1 Box</v>
      </c>
      <c r="I92" s="607" t="str">
        <f t="shared" si="8"/>
        <v>C6924HUYNH THI TUYET HANH050073841485</v>
      </c>
      <c r="J92" s="853" t="str">
        <f>+VLOOKUP(B92,'[5]04 2025'!$B$2:$F$1371,5,0)</f>
        <v>C6924HUYNH THI TUYET HANH050073841485</v>
      </c>
      <c r="K92" s="607">
        <f t="shared" si="9"/>
        <v>1</v>
      </c>
      <c r="P92" s="685"/>
    </row>
    <row r="93" spans="1:16" s="607" customFormat="1" ht="18" customHeight="1">
      <c r="A93" s="826">
        <f>SUBTOTAL(3,B$6:B93)</f>
        <v>88</v>
      </c>
      <c r="B93" s="824" t="s">
        <v>967</v>
      </c>
      <c r="C93" s="824" t="str">
        <f>+VLOOKUP(B93,'Salary sheet'!$B$6:$AX$1386,48,0)</f>
        <v>PHAN KIM LU</v>
      </c>
      <c r="D93" s="824" t="str">
        <f>+VLOOKUP(B93,'Salary sheet'!$B$6:$BW$1386,49,0)</f>
        <v>050090486941</v>
      </c>
      <c r="E93" s="620">
        <f>+VLOOKUP(B93,'Salary sheet'!$B$6:$AT$1292,45,0)</f>
        <v>8925969</v>
      </c>
      <c r="F93" s="1029" t="s">
        <v>5723</v>
      </c>
      <c r="G93" s="824" t="str">
        <f>+VLOOKUP(B93,'Salary sheet'!$B$6:$E$2281,4,0)</f>
        <v>FACTORY A</v>
      </c>
      <c r="H93" s="607" t="str">
        <f>+VLOOKUP(B93,'Salary sheet'!$B$6:$AZ$1386,50,0)</f>
        <v>SK1 Box</v>
      </c>
      <c r="I93" s="607" t="str">
        <f t="shared" si="8"/>
        <v>C7301PHAN KIM LU050090486941</v>
      </c>
      <c r="J93" s="853" t="str">
        <f>+VLOOKUP(B93,'[5]04 2025'!$B$2:$F$1371,5,0)</f>
        <v>C7301PHAN KIM LU050090486941</v>
      </c>
      <c r="K93" s="607">
        <f t="shared" si="9"/>
        <v>1</v>
      </c>
      <c r="P93" s="685"/>
    </row>
    <row r="94" spans="1:16" s="607" customFormat="1" ht="18" customHeight="1">
      <c r="A94" s="826">
        <f>SUBTOTAL(3,B$6:B94)</f>
        <v>89</v>
      </c>
      <c r="B94" s="824" t="s">
        <v>969</v>
      </c>
      <c r="C94" s="824" t="str">
        <f>+VLOOKUP(B94,'Salary sheet'!$B$6:$AX$1386,48,0)</f>
        <v>DOAN NGOC HONG</v>
      </c>
      <c r="D94" s="824" t="str">
        <f>+VLOOKUP(B94,'Salary sheet'!$B$6:$BW$1386,49,0)</f>
        <v>050044162714</v>
      </c>
      <c r="E94" s="620">
        <f>+VLOOKUP(B94,'Salary sheet'!$B$6:$AT$1292,45,0)</f>
        <v>8889960</v>
      </c>
      <c r="F94" s="1029" t="s">
        <v>5723</v>
      </c>
      <c r="G94" s="824" t="str">
        <f>+VLOOKUP(B94,'Salary sheet'!$B$6:$E$2281,4,0)</f>
        <v>FACTORY A</v>
      </c>
      <c r="H94" s="607" t="str">
        <f>+VLOOKUP(B94,'Salary sheet'!$B$6:$AZ$1386,50,0)</f>
        <v>SK1 Box</v>
      </c>
      <c r="I94" s="607" t="str">
        <f t="shared" si="8"/>
        <v>C9447DOAN NGOC HONG050044162714</v>
      </c>
      <c r="J94" s="853" t="str">
        <f>+VLOOKUP(B94,'[5]04 2025'!$B$2:$F$1371,5,0)</f>
        <v>C9447DOAN NGOC HONG050044162714</v>
      </c>
      <c r="K94" s="607">
        <f t="shared" si="9"/>
        <v>1</v>
      </c>
      <c r="P94" s="685"/>
    </row>
    <row r="95" spans="1:16" s="607" customFormat="1" ht="18" customHeight="1">
      <c r="A95" s="826">
        <f>SUBTOTAL(3,B$6:B95)</f>
        <v>90</v>
      </c>
      <c r="B95" s="824" t="s">
        <v>971</v>
      </c>
      <c r="C95" s="824" t="str">
        <f>+VLOOKUP(B95,'Salary sheet'!$B$6:$AX$1386,48,0)</f>
        <v>THACH HOANG EM</v>
      </c>
      <c r="D95" s="824" t="str">
        <f>+VLOOKUP(B95,'Salary sheet'!$B$6:$BW$1386,49,0)</f>
        <v>050116311450</v>
      </c>
      <c r="E95" s="620">
        <f>+VLOOKUP(B95,'Salary sheet'!$B$6:$AT$1292,45,0)</f>
        <v>10126582</v>
      </c>
      <c r="F95" s="1029" t="s">
        <v>5723</v>
      </c>
      <c r="G95" s="824" t="str">
        <f>+VLOOKUP(B95,'Salary sheet'!$B$6:$E$2281,4,0)</f>
        <v>FACTORY A</v>
      </c>
      <c r="H95" s="607" t="str">
        <f>+VLOOKUP(B95,'Salary sheet'!$B$6:$AZ$1386,50,0)</f>
        <v>SK1 Box</v>
      </c>
      <c r="I95" s="607" t="str">
        <f t="shared" si="8"/>
        <v>C11797THACH HOANG EM050116311450</v>
      </c>
      <c r="J95" s="853" t="str">
        <f>+VLOOKUP(B95,'[5]04 2025'!$B$2:$F$1371,5,0)</f>
        <v>C11797THACH HOANG EM050116311450</v>
      </c>
      <c r="K95" s="607">
        <f t="shared" si="9"/>
        <v>1</v>
      </c>
      <c r="P95" s="685"/>
    </row>
    <row r="96" spans="1:16" s="607" customFormat="1" ht="18" customHeight="1">
      <c r="A96" s="826">
        <f>SUBTOTAL(3,B$6:B96)</f>
        <v>91</v>
      </c>
      <c r="B96" s="824" t="s">
        <v>974</v>
      </c>
      <c r="C96" s="824" t="str">
        <f>+VLOOKUP(B96,'Salary sheet'!$B$6:$AX$1386,48,0)</f>
        <v>DIEU NAM</v>
      </c>
      <c r="D96" s="824" t="str">
        <f>+VLOOKUP(B96,'Salary sheet'!$B$6:$BW$1386,49,0)</f>
        <v>050116311469</v>
      </c>
      <c r="E96" s="620">
        <f>+VLOOKUP(B96,'Salary sheet'!$B$6:$AT$1292,45,0)</f>
        <v>10518672</v>
      </c>
      <c r="F96" s="1029" t="s">
        <v>5723</v>
      </c>
      <c r="G96" s="824" t="str">
        <f>+VLOOKUP(B96,'Salary sheet'!$B$6:$E$2281,4,0)</f>
        <v>FACTORY A</v>
      </c>
      <c r="H96" s="607" t="str">
        <f>+VLOOKUP(B96,'Salary sheet'!$B$6:$AZ$1386,50,0)</f>
        <v>SK1 Box</v>
      </c>
      <c r="I96" s="607" t="str">
        <f t="shared" si="8"/>
        <v>C11814DIEU NAM050116311469</v>
      </c>
      <c r="J96" s="853" t="str">
        <f>+VLOOKUP(B96,'[5]04 2025'!$B$2:$F$1371,5,0)</f>
        <v>C11814DIEU NAM050116311469</v>
      </c>
      <c r="K96" s="607">
        <f t="shared" si="9"/>
        <v>1</v>
      </c>
      <c r="P96" s="685"/>
    </row>
    <row r="97" spans="1:16" s="607" customFormat="1" ht="18" customHeight="1">
      <c r="A97" s="826">
        <f>SUBTOTAL(3,B$6:B97)</f>
        <v>92</v>
      </c>
      <c r="B97" s="824" t="s">
        <v>976</v>
      </c>
      <c r="C97" s="824" t="str">
        <f>+VLOOKUP(B97,'Salary sheet'!$B$6:$AX$1386,48,0)</f>
        <v>VU THI HONG NHUNG</v>
      </c>
      <c r="D97" s="824" t="str">
        <f>+VLOOKUP(B97,'Salary sheet'!$B$6:$BW$1386,49,0)</f>
        <v>050121174372</v>
      </c>
      <c r="E97" s="620">
        <f>+VLOOKUP(B97,'Salary sheet'!$B$6:$AT$1292,45,0)</f>
        <v>9885187</v>
      </c>
      <c r="F97" s="1029" t="s">
        <v>5723</v>
      </c>
      <c r="G97" s="824" t="str">
        <f>+VLOOKUP(B97,'Salary sheet'!$B$6:$E$2281,4,0)</f>
        <v>FACTORY A</v>
      </c>
      <c r="H97" s="607" t="str">
        <f>+VLOOKUP(B97,'Salary sheet'!$B$6:$AZ$1386,50,0)</f>
        <v>SK1 Box</v>
      </c>
      <c r="I97" s="607" t="str">
        <f t="shared" si="8"/>
        <v>C12747VU THI HONG NHUNG050121174372</v>
      </c>
      <c r="J97" s="853" t="str">
        <f>+VLOOKUP(B97,'[5]04 2025'!$B$2:$F$1371,5,0)</f>
        <v>C12747VU THI HONG NHUNG050121174372</v>
      </c>
      <c r="K97" s="607">
        <f t="shared" si="9"/>
        <v>1</v>
      </c>
      <c r="P97" s="685"/>
    </row>
    <row r="98" spans="1:16" s="607" customFormat="1" ht="18" customHeight="1">
      <c r="A98" s="826">
        <f>SUBTOTAL(3,B$6:B98)</f>
        <v>93</v>
      </c>
      <c r="B98" s="824" t="s">
        <v>979</v>
      </c>
      <c r="C98" s="824" t="str">
        <f>+VLOOKUP(B98,'Salary sheet'!$B$6:$AX$1386,48,0)</f>
        <v>THI TI</v>
      </c>
      <c r="D98" s="824" t="str">
        <f>+VLOOKUP(B98,'Salary sheet'!$B$6:$BW$1386,49,0)</f>
        <v>060105183871</v>
      </c>
      <c r="E98" s="620">
        <f>+VLOOKUP(B98,'Salary sheet'!$B$6:$AT$1292,45,0)</f>
        <v>9350313</v>
      </c>
      <c r="F98" s="1029" t="s">
        <v>5723</v>
      </c>
      <c r="G98" s="824" t="str">
        <f>+VLOOKUP(B98,'Salary sheet'!$B$6:$E$2281,4,0)</f>
        <v>FACTORY A</v>
      </c>
      <c r="H98" s="607" t="str">
        <f>+VLOOKUP(B98,'Salary sheet'!$B$6:$AZ$1386,50,0)</f>
        <v>SK1 Box</v>
      </c>
      <c r="I98" s="607" t="str">
        <f t="shared" si="8"/>
        <v>C12799THI TI060105183871</v>
      </c>
      <c r="J98" s="853" t="str">
        <f>+VLOOKUP(B98,'[5]04 2025'!$B$2:$F$1371,5,0)</f>
        <v>C12799THI TI060105183871</v>
      </c>
      <c r="K98" s="607">
        <f t="shared" si="9"/>
        <v>1</v>
      </c>
      <c r="P98" s="685"/>
    </row>
    <row r="99" spans="1:16" s="607" customFormat="1" ht="18" customHeight="1">
      <c r="A99" s="826">
        <f>SUBTOTAL(3,B$6:B99)</f>
        <v>94</v>
      </c>
      <c r="B99" s="824" t="s">
        <v>981</v>
      </c>
      <c r="C99" s="824" t="str">
        <f>+VLOOKUP(B99,'Salary sheet'!$B$6:$AX$1386,48,0)</f>
        <v>VU THI THAM</v>
      </c>
      <c r="D99" s="824" t="str">
        <f>+VLOOKUP(B99,'Salary sheet'!$B$6:$BW$1386,49,0)</f>
        <v>050121702646</v>
      </c>
      <c r="E99" s="620">
        <f>+VLOOKUP(B99,'Salary sheet'!$B$6:$AT$1292,45,0)</f>
        <v>10007512</v>
      </c>
      <c r="F99" s="1029" t="s">
        <v>5723</v>
      </c>
      <c r="G99" s="824" t="str">
        <f>+VLOOKUP(B99,'Salary sheet'!$B$6:$E$2281,4,0)</f>
        <v>FACTORY A</v>
      </c>
      <c r="H99" s="607" t="str">
        <f>+VLOOKUP(B99,'Salary sheet'!$B$6:$AZ$1386,50,0)</f>
        <v>SK1 Box</v>
      </c>
      <c r="I99" s="607" t="str">
        <f t="shared" si="8"/>
        <v>C12826VU THI THAM050121702646</v>
      </c>
      <c r="J99" s="853" t="str">
        <f>+VLOOKUP(B99,'[5]04 2025'!$B$2:$F$1371,5,0)</f>
        <v>C12826VU THI THAM050121702646</v>
      </c>
      <c r="K99" s="607">
        <f t="shared" si="9"/>
        <v>1</v>
      </c>
      <c r="P99" s="685"/>
    </row>
    <row r="100" spans="1:16" s="607" customFormat="1" ht="18" customHeight="1">
      <c r="A100" s="826">
        <f>SUBTOTAL(3,B$6:B100)</f>
        <v>95</v>
      </c>
      <c r="B100" s="824" t="s">
        <v>983</v>
      </c>
      <c r="C100" s="824" t="str">
        <f>+VLOOKUP(B100,'Salary sheet'!$B$6:$AX$1386,48,0)</f>
        <v>NGUYEN THI THU HIEN</v>
      </c>
      <c r="D100" s="824" t="str">
        <f>+VLOOKUP(B100,'Salary sheet'!$B$6:$BW$1386,49,0)</f>
        <v>050041687891</v>
      </c>
      <c r="E100" s="620">
        <f>+VLOOKUP(B100,'Salary sheet'!$B$6:$AT$1292,45,0)</f>
        <v>7615971</v>
      </c>
      <c r="F100" s="1029" t="s">
        <v>5723</v>
      </c>
      <c r="G100" s="824" t="str">
        <f>+VLOOKUP(B100,'Salary sheet'!$B$6:$E$2281,4,0)</f>
        <v>FACTORY A</v>
      </c>
      <c r="H100" s="607" t="str">
        <f>+VLOOKUP(B100,'Salary sheet'!$B$6:$AZ$1386,50,0)</f>
        <v>SK1 Box</v>
      </c>
      <c r="I100" s="607" t="str">
        <f t="shared" si="8"/>
        <v>C13204NGUYEN THI THU HIEN050041687891</v>
      </c>
      <c r="J100" s="853" t="str">
        <f>+VLOOKUP(B100,'[5]04 2025'!$B$2:$F$1371,5,0)</f>
        <v>C13204NGUYEN THI THU HIEN050041687891</v>
      </c>
      <c r="K100" s="607">
        <f t="shared" si="9"/>
        <v>1</v>
      </c>
      <c r="P100" s="685"/>
    </row>
    <row r="101" spans="1:16" s="607" customFormat="1" ht="18" customHeight="1">
      <c r="A101" s="826">
        <f>SUBTOTAL(3,B$6:B101)</f>
        <v>96</v>
      </c>
      <c r="B101" s="824" t="s">
        <v>985</v>
      </c>
      <c r="C101" s="824" t="str">
        <f>+VLOOKUP(B101,'Salary sheet'!$B$6:$AX$1386,48,0)</f>
        <v>LE THI QUYNH</v>
      </c>
      <c r="D101" s="824" t="str">
        <f>+VLOOKUP(B101,'Salary sheet'!$B$6:$BW$1386,49,0)</f>
        <v>050126321055</v>
      </c>
      <c r="E101" s="620">
        <f>+VLOOKUP(B101,'Salary sheet'!$B$6:$AT$1292,45,0)</f>
        <v>9699701</v>
      </c>
      <c r="F101" s="1029" t="s">
        <v>5723</v>
      </c>
      <c r="G101" s="824" t="str">
        <f>+VLOOKUP(B101,'Salary sheet'!$B$6:$E$2281,4,0)</f>
        <v>FACTORY A</v>
      </c>
      <c r="H101" s="607" t="str">
        <f>+VLOOKUP(B101,'Salary sheet'!$B$6:$AZ$1386,50,0)</f>
        <v>SK1 Box</v>
      </c>
      <c r="I101" s="607" t="str">
        <f t="shared" ref="I101:I102" si="10">+CONCATENATE(B101,C101,D101)</f>
        <v>C13320LE THI QUYNH050126321055</v>
      </c>
      <c r="J101" s="853" t="str">
        <f>+VLOOKUP(B101,'[5]04 2025'!$B$2:$F$1371,5,0)</f>
        <v>C13320LE THI QUYNH050126321055</v>
      </c>
      <c r="K101" s="607">
        <f t="shared" ref="K101:K102" si="11">+IF(J101=I101,1,0)</f>
        <v>1</v>
      </c>
      <c r="P101" s="685"/>
    </row>
    <row r="102" spans="1:16" s="607" customFormat="1" ht="18" customHeight="1">
      <c r="A102" s="826">
        <f>SUBTOTAL(3,B$6:B102)</f>
        <v>97</v>
      </c>
      <c r="B102" s="824" t="s">
        <v>988</v>
      </c>
      <c r="C102" s="824" t="str">
        <f>+VLOOKUP(B102,'Salary sheet'!$B$6:$AX$1386,48,0)</f>
        <v>THAI THI THANG</v>
      </c>
      <c r="D102" s="824" t="str">
        <f>+VLOOKUP(B102,'Salary sheet'!$B$6:$BW$1386,49,0)</f>
        <v>050040821160</v>
      </c>
      <c r="E102" s="620">
        <f>+VLOOKUP(B102,'Salary sheet'!$B$6:$AT$1292,45,0)</f>
        <v>9488634</v>
      </c>
      <c r="F102" s="1029" t="s">
        <v>5723</v>
      </c>
      <c r="G102" s="824" t="str">
        <f>+VLOOKUP(B102,'Salary sheet'!$B$6:$E$2281,4,0)</f>
        <v>FACTORY A</v>
      </c>
      <c r="H102" s="607" t="str">
        <f>+VLOOKUP(B102,'Salary sheet'!$B$6:$AZ$1386,50,0)</f>
        <v>SK1 Box</v>
      </c>
      <c r="I102" s="607" t="str">
        <f t="shared" si="10"/>
        <v>C1362THAI THI THANG050040821160</v>
      </c>
      <c r="J102" s="853" t="str">
        <f>+VLOOKUP(B102,'[5]04 2025'!$B$2:$F$1371,5,0)</f>
        <v>C1362THAI THI THANG050040821160</v>
      </c>
      <c r="K102" s="607">
        <f t="shared" si="11"/>
        <v>1</v>
      </c>
      <c r="P102" s="685"/>
    </row>
    <row r="103" spans="1:16" s="607" customFormat="1" ht="18" customHeight="1">
      <c r="A103" s="826">
        <f>SUBTOTAL(3,B$6:B103)</f>
        <v>98</v>
      </c>
      <c r="B103" s="824" t="s">
        <v>990</v>
      </c>
      <c r="C103" s="824" t="str">
        <f>+VLOOKUP(B103,'Salary sheet'!$B$6:$AX$1386,48,0)</f>
        <v>NGUYEN TIEN CUONG</v>
      </c>
      <c r="D103" s="824" t="str">
        <f>+VLOOKUP(B103,'Salary sheet'!$B$6:$BW$1386,49,0)</f>
        <v>050031260032</v>
      </c>
      <c r="E103" s="620">
        <f>+VLOOKUP(B103,'Salary sheet'!$B$6:$AT$1292,45,0)</f>
        <v>9335836</v>
      </c>
      <c r="F103" s="1029" t="s">
        <v>5723</v>
      </c>
      <c r="G103" s="824" t="str">
        <f>+VLOOKUP(B103,'Salary sheet'!$B$6:$E$2281,4,0)</f>
        <v>FACTORY A</v>
      </c>
      <c r="H103" s="607" t="str">
        <f>+VLOOKUP(B103,'Salary sheet'!$B$6:$AZ$1386,50,0)</f>
        <v>SK1 Box</v>
      </c>
      <c r="I103" s="607" t="str">
        <f t="shared" si="0"/>
        <v>C14126NGUYEN TIEN CUONG050031260032</v>
      </c>
      <c r="J103" s="853" t="str">
        <f>+VLOOKUP(B103,'[5]04 2025'!$B$2:$F$1371,5,0)</f>
        <v>C14126NGUYEN TIEN CUONG050031260032</v>
      </c>
      <c r="K103" s="607">
        <f t="shared" si="1"/>
        <v>1</v>
      </c>
      <c r="P103" s="685"/>
    </row>
    <row r="104" spans="1:16" s="607" customFormat="1" ht="18" customHeight="1">
      <c r="A104" s="826">
        <f>SUBTOTAL(3,B$6:B104)</f>
        <v>99</v>
      </c>
      <c r="B104" s="824" t="s">
        <v>993</v>
      </c>
      <c r="C104" s="824" t="str">
        <f>+VLOOKUP(B104,'Salary sheet'!$B$6:$AX$1386,48,0)</f>
        <v>THI TRAM</v>
      </c>
      <c r="D104" s="824" t="str">
        <f>+VLOOKUP(B104,'Salary sheet'!$B$6:$BW$1386,49,0)</f>
        <v>050127011076</v>
      </c>
      <c r="E104" s="620">
        <f>+VLOOKUP(B104,'Salary sheet'!$B$6:$AT$1292,45,0)</f>
        <v>8234806</v>
      </c>
      <c r="F104" s="1029" t="s">
        <v>5723</v>
      </c>
      <c r="G104" s="824" t="str">
        <f>+VLOOKUP(B104,'Salary sheet'!$B$6:$E$2281,4,0)</f>
        <v>FACTORY A</v>
      </c>
      <c r="H104" s="607" t="str">
        <f>+VLOOKUP(B104,'Salary sheet'!$B$6:$AZ$1386,50,0)</f>
        <v>SK1 Box</v>
      </c>
      <c r="I104" s="607" t="str">
        <f t="shared" si="0"/>
        <v>C14513THI TRAM050127011076</v>
      </c>
      <c r="J104" s="853" t="str">
        <f>+VLOOKUP(B104,'[5]04 2025'!$B$2:$F$1371,5,0)</f>
        <v>C14513THI TRAM050127011076</v>
      </c>
      <c r="K104" s="607">
        <f t="shared" si="1"/>
        <v>1</v>
      </c>
      <c r="P104" s="685"/>
    </row>
    <row r="105" spans="1:16" s="607" customFormat="1" ht="18" customHeight="1">
      <c r="A105" s="826">
        <f>SUBTOTAL(3,B$6:B105)</f>
        <v>100</v>
      </c>
      <c r="B105" s="824" t="s">
        <v>995</v>
      </c>
      <c r="C105" s="824" t="str">
        <f>+VLOOKUP(B105,'Salary sheet'!$B$6:$AX$1386,48,0)</f>
        <v>NGUYEN KHAC THANH</v>
      </c>
      <c r="D105" s="824" t="str">
        <f>+VLOOKUP(B105,'Salary sheet'!$B$6:$BW$1386,49,0)</f>
        <v>050135731312</v>
      </c>
      <c r="E105" s="620">
        <f>+VLOOKUP(B105,'Salary sheet'!$B$6:$AT$1292,45,0)</f>
        <v>10430937</v>
      </c>
      <c r="F105" s="1029" t="s">
        <v>5723</v>
      </c>
      <c r="G105" s="824" t="str">
        <f>+VLOOKUP(B105,'Salary sheet'!$B$6:$E$2281,4,0)</f>
        <v>FACTORY A</v>
      </c>
      <c r="H105" s="607" t="str">
        <f>+VLOOKUP(B105,'Salary sheet'!$B$6:$AZ$1386,50,0)</f>
        <v>SK1 Box</v>
      </c>
      <c r="I105" s="607" t="str">
        <f t="shared" si="0"/>
        <v>C14793NGUYEN KHAC THANH050135731312</v>
      </c>
      <c r="J105" s="853" t="str">
        <f>+VLOOKUP(B105,'[5]04 2025'!$B$2:$F$1371,5,0)</f>
        <v>C14793NGUYEN KHAC THANH050135731312</v>
      </c>
      <c r="K105" s="607">
        <f t="shared" si="1"/>
        <v>1</v>
      </c>
      <c r="P105" s="685"/>
    </row>
    <row r="106" spans="1:16" s="607" customFormat="1" ht="18" customHeight="1">
      <c r="A106" s="826">
        <f>SUBTOTAL(3,B$6:B106)</f>
        <v>101</v>
      </c>
      <c r="B106" s="824" t="s">
        <v>997</v>
      </c>
      <c r="C106" s="824" t="str">
        <f>+VLOOKUP(B106,'Salary sheet'!$B$6:$AX$1386,48,0)</f>
        <v>CAO THI HUYNH NHU</v>
      </c>
      <c r="D106" s="824" t="str">
        <f>+VLOOKUP(B106,'Salary sheet'!$B$6:$BW$1386,49,0)</f>
        <v>050137000153</v>
      </c>
      <c r="E106" s="620">
        <f>+VLOOKUP(B106,'Salary sheet'!$B$6:$AT$1292,45,0)</f>
        <v>9727641</v>
      </c>
      <c r="F106" s="1029" t="s">
        <v>5723</v>
      </c>
      <c r="G106" s="824" t="str">
        <f>+VLOOKUP(B106,'Salary sheet'!$B$6:$E$2281,4,0)</f>
        <v>FACTORY A</v>
      </c>
      <c r="H106" s="607" t="str">
        <f>+VLOOKUP(B106,'Salary sheet'!$B$6:$AZ$1386,50,0)</f>
        <v>SK1 Box</v>
      </c>
      <c r="I106" s="607" t="str">
        <f t="shared" ref="I106:I567" si="12">+CONCATENATE(B106,C106,D106)</f>
        <v>C15379CAO THI HUYNH NHU050137000153</v>
      </c>
      <c r="J106" s="853" t="str">
        <f>+VLOOKUP(B106,'[5]04 2025'!$B$2:$F$1371,5,0)</f>
        <v>C15379CAO THI HUYNH NHU050137000153</v>
      </c>
      <c r="K106" s="607">
        <f t="shared" si="1"/>
        <v>1</v>
      </c>
      <c r="P106" s="685"/>
    </row>
    <row r="107" spans="1:16" s="607" customFormat="1" ht="18" customHeight="1">
      <c r="A107" s="826">
        <f>SUBTOTAL(3,B$6:B107)</f>
        <v>102</v>
      </c>
      <c r="B107" s="824" t="s">
        <v>999</v>
      </c>
      <c r="C107" s="824" t="str">
        <f>+VLOOKUP(B107,'Salary sheet'!$B$6:$AX$1386,48,0)</f>
        <v>PHAM THI QUYNH ANH</v>
      </c>
      <c r="D107" s="824" t="str">
        <f>+VLOOKUP(B107,'Salary sheet'!$B$6:$BW$1386,49,0)</f>
        <v>050118480527</v>
      </c>
      <c r="E107" s="620">
        <f>+VLOOKUP(B107,'Salary sheet'!$B$6:$AT$1292,45,0)</f>
        <v>8061814</v>
      </c>
      <c r="F107" s="1029" t="s">
        <v>5723</v>
      </c>
      <c r="G107" s="824" t="str">
        <f>+VLOOKUP(B107,'Salary sheet'!$B$6:$E$2281,4,0)</f>
        <v>FACTORY A</v>
      </c>
      <c r="H107" s="607" t="str">
        <f>+VLOOKUP(B107,'Salary sheet'!$B$6:$AZ$1386,50,0)</f>
        <v>SK1 Box</v>
      </c>
      <c r="I107" s="607" t="str">
        <f t="shared" ref="I107:I110" si="13">+CONCATENATE(B107,C107,D107)</f>
        <v>C15395PHAM THI QUYNH ANH050118480527</v>
      </c>
      <c r="J107" s="853" t="str">
        <f>+VLOOKUP(B107,'[5]04 2025'!$B$2:$F$1371,5,0)</f>
        <v>C15395PHAM THI QUYNH ANH050118480527</v>
      </c>
      <c r="K107" s="607">
        <f t="shared" ref="K107:K110" si="14">+IF(J107=I107,1,0)</f>
        <v>1</v>
      </c>
      <c r="P107" s="685"/>
    </row>
    <row r="108" spans="1:16" s="607" customFormat="1" ht="18" customHeight="1">
      <c r="A108" s="826">
        <f>SUBTOTAL(3,B$6:B108)</f>
        <v>103</v>
      </c>
      <c r="B108" s="824" t="s">
        <v>1001</v>
      </c>
      <c r="C108" s="824" t="str">
        <f>+VLOOKUP(B108,'Salary sheet'!$B$6:$AX$1386,48,0)</f>
        <v>LE THI MAI</v>
      </c>
      <c r="D108" s="824" t="str">
        <f>+VLOOKUP(B108,'Salary sheet'!$B$6:$BW$1386,49,0)</f>
        <v>050041644009</v>
      </c>
      <c r="E108" s="620">
        <f>+VLOOKUP(B108,'Salary sheet'!$B$6:$AT$1292,45,0)</f>
        <v>9357138</v>
      </c>
      <c r="F108" s="1029" t="s">
        <v>5723</v>
      </c>
      <c r="G108" s="824" t="str">
        <f>+VLOOKUP(B108,'Salary sheet'!$B$6:$E$2281,4,0)</f>
        <v>FACTORY A</v>
      </c>
      <c r="H108" s="607" t="str">
        <f>+VLOOKUP(B108,'Salary sheet'!$B$6:$AZ$1386,50,0)</f>
        <v>SK1 Box</v>
      </c>
      <c r="I108" s="607" t="str">
        <f t="shared" si="13"/>
        <v>C15624LE THI MAI050041644009</v>
      </c>
      <c r="J108" s="853" t="str">
        <f>+VLOOKUP(B108,'[5]04 2025'!$B$2:$F$1371,5,0)</f>
        <v>C15624LE THI MAI050041644009</v>
      </c>
      <c r="K108" s="607">
        <f t="shared" si="14"/>
        <v>1</v>
      </c>
      <c r="P108" s="685"/>
    </row>
    <row r="109" spans="1:16" s="607" customFormat="1" ht="18" customHeight="1">
      <c r="A109" s="826">
        <f>SUBTOTAL(3,B$6:B109)</f>
        <v>104</v>
      </c>
      <c r="B109" s="824" t="s">
        <v>1003</v>
      </c>
      <c r="C109" s="824" t="str">
        <f>+VLOOKUP(B109,'Salary sheet'!$B$6:$AX$1386,48,0)</f>
        <v>HOANG LAM TOI</v>
      </c>
      <c r="D109" s="824" t="str">
        <f>+VLOOKUP(B109,'Salary sheet'!$B$6:$BW$1386,49,0)</f>
        <v>053530499999</v>
      </c>
      <c r="E109" s="620">
        <f>+VLOOKUP(B109,'Salary sheet'!$B$6:$AT$1292,45,0)</f>
        <v>5205723</v>
      </c>
      <c r="F109" s="1029" t="s">
        <v>5723</v>
      </c>
      <c r="G109" s="824" t="str">
        <f>+VLOOKUP(B109,'Salary sheet'!$B$6:$E$2281,4,0)</f>
        <v>FACTORY A</v>
      </c>
      <c r="H109" s="607" t="str">
        <f>+VLOOKUP(B109,'Salary sheet'!$B$6:$AZ$1386,50,0)</f>
        <v>SK1 Box</v>
      </c>
      <c r="I109" s="607" t="str">
        <f t="shared" si="13"/>
        <v>C15713HOANG LAM TOI053530499999</v>
      </c>
      <c r="J109" s="853" t="str">
        <f>+VLOOKUP(B109,'[5]04 2025'!$B$2:$F$1371,5,0)</f>
        <v>C15713HOANG LAM TOI053530499999</v>
      </c>
      <c r="K109" s="607">
        <f t="shared" si="14"/>
        <v>1</v>
      </c>
      <c r="P109" s="685"/>
    </row>
    <row r="110" spans="1:16" s="607" customFormat="1" ht="18" customHeight="1">
      <c r="A110" s="826">
        <f>SUBTOTAL(3,B$6:B110)</f>
        <v>105</v>
      </c>
      <c r="B110" s="824" t="s">
        <v>1005</v>
      </c>
      <c r="C110" s="824" t="str">
        <f>+VLOOKUP(B110,'Salary sheet'!$B$6:$AX$1386,48,0)</f>
        <v>DO CAO SON</v>
      </c>
      <c r="D110" s="824" t="str">
        <f>+VLOOKUP(B110,'Salary sheet'!$B$6:$BW$1386,49,0)</f>
        <v>050156307308</v>
      </c>
      <c r="E110" s="620">
        <f>+VLOOKUP(B110,'Salary sheet'!$B$6:$AT$1292,45,0)</f>
        <v>8379722</v>
      </c>
      <c r="F110" s="1029" t="s">
        <v>5723</v>
      </c>
      <c r="G110" s="824" t="str">
        <f>+VLOOKUP(B110,'Salary sheet'!$B$6:$E$2281,4,0)</f>
        <v>FACTORY A</v>
      </c>
      <c r="H110" s="607" t="str">
        <f>+VLOOKUP(B110,'Salary sheet'!$B$6:$AZ$1386,50,0)</f>
        <v>SK1 Box</v>
      </c>
      <c r="I110" s="607" t="str">
        <f t="shared" si="13"/>
        <v>C16267DO CAO SON050156307308</v>
      </c>
      <c r="J110" s="853" t="str">
        <f>+VLOOKUP(B110,'[5]04 2025'!$B$2:$F$1371,5,0)</f>
        <v>C16267DO CAO SON050156307308</v>
      </c>
      <c r="K110" s="607">
        <f t="shared" si="14"/>
        <v>1</v>
      </c>
      <c r="P110" s="685"/>
    </row>
    <row r="111" spans="1:16" s="607" customFormat="1" ht="18" customHeight="1">
      <c r="A111" s="826">
        <f>SUBTOTAL(3,B$6:B111)</f>
        <v>106</v>
      </c>
      <c r="B111" s="824" t="s">
        <v>1007</v>
      </c>
      <c r="C111" s="824" t="str">
        <f>+VLOOKUP(B111,'Salary sheet'!$B$6:$AX$1386,48,0)</f>
        <v>LE XUAN HUYNH</v>
      </c>
      <c r="D111" s="824" t="str">
        <f>+VLOOKUP(B111,'Salary sheet'!$B$6:$BW$1386,49,0)</f>
        <v>050103660464</v>
      </c>
      <c r="E111" s="620">
        <f>+VLOOKUP(B111,'Salary sheet'!$B$6:$AT$1292,45,0)</f>
        <v>7592517</v>
      </c>
      <c r="F111" s="1029" t="s">
        <v>5723</v>
      </c>
      <c r="G111" s="824" t="str">
        <f>+VLOOKUP(B111,'Salary sheet'!$B$6:$E$2281,4,0)</f>
        <v>FACTORY A</v>
      </c>
      <c r="H111" s="607" t="str">
        <f>+VLOOKUP(B111,'Salary sheet'!$B$6:$AZ$1386,50,0)</f>
        <v>SK1 Box</v>
      </c>
      <c r="I111" s="607" t="str">
        <f t="shared" si="12"/>
        <v>C16343LE XUAN HUYNH050103660464</v>
      </c>
      <c r="J111" s="853" t="str">
        <f>+VLOOKUP(B111,'[5]04 2025'!$B$2:$F$1371,5,0)</f>
        <v>C16343LE XUAN HUYNH050103660464</v>
      </c>
      <c r="K111" s="607">
        <f t="shared" si="1"/>
        <v>1</v>
      </c>
      <c r="P111" s="685"/>
    </row>
    <row r="112" spans="1:16" s="607" customFormat="1" ht="18" customHeight="1">
      <c r="A112" s="826">
        <f>SUBTOTAL(3,B$6:B112)</f>
        <v>107</v>
      </c>
      <c r="B112" s="824" t="s">
        <v>1009</v>
      </c>
      <c r="C112" s="824" t="str">
        <f>+VLOOKUP(B112,'Salary sheet'!$B$6:$AX$1386,48,0)</f>
        <v>NGUYEN HOANG ANH</v>
      </c>
      <c r="D112" s="824" t="str">
        <f>+VLOOKUP(B112,'Salary sheet'!$B$6:$BW$1386,49,0)</f>
        <v>050158061454</v>
      </c>
      <c r="E112" s="620">
        <f>+VLOOKUP(B112,'Salary sheet'!$B$6:$AT$1292,45,0)</f>
        <v>2998679</v>
      </c>
      <c r="F112" s="1029" t="s">
        <v>5723</v>
      </c>
      <c r="G112" s="824" t="str">
        <f>+VLOOKUP(B112,'Salary sheet'!$B$6:$E$2281,4,0)</f>
        <v>FACTORY A</v>
      </c>
      <c r="H112" s="607" t="str">
        <f>+VLOOKUP(B112,'Salary sheet'!$B$6:$AZ$1386,50,0)</f>
        <v>SK1 Box</v>
      </c>
      <c r="I112" s="607" t="str">
        <f t="shared" ref="I112:I183" si="15">+CONCATENATE(B112,C112,D112)</f>
        <v>C16396NGUYEN HOANG ANH050158061454</v>
      </c>
      <c r="J112" s="853" t="str">
        <f>+VLOOKUP(B112,'[5]04 2025'!$B$2:$F$1371,5,0)</f>
        <v>C16396NGUYEN HOANG ANH050158061454</v>
      </c>
      <c r="K112" s="607">
        <f t="shared" si="1"/>
        <v>1</v>
      </c>
      <c r="P112" s="685"/>
    </row>
    <row r="113" spans="1:16" s="607" customFormat="1" ht="18" customHeight="1">
      <c r="A113" s="826">
        <f>SUBTOTAL(3,B$6:B113)</f>
        <v>108</v>
      </c>
      <c r="B113" s="824" t="s">
        <v>1011</v>
      </c>
      <c r="C113" s="824" t="str">
        <f>+VLOOKUP(B113,'Salary sheet'!$B$6:$AX$1386,48,0)</f>
        <v>PHAM NGOC THUY</v>
      </c>
      <c r="D113" s="824" t="str">
        <f>+VLOOKUP(B113,'Salary sheet'!$B$6:$BW$1386,49,0)</f>
        <v>050138649927</v>
      </c>
      <c r="E113" s="620">
        <f>+VLOOKUP(B113,'Salary sheet'!$B$6:$AT$1292,45,0)</f>
        <v>8070561</v>
      </c>
      <c r="F113" s="1029" t="s">
        <v>5723</v>
      </c>
      <c r="G113" s="824" t="str">
        <f>+VLOOKUP(B113,'Salary sheet'!$B$6:$E$2281,4,0)</f>
        <v>FACTORY A</v>
      </c>
      <c r="H113" s="607" t="str">
        <f>+VLOOKUP(B113,'Salary sheet'!$B$6:$AZ$1386,50,0)</f>
        <v>SK1 Box</v>
      </c>
      <c r="I113" s="607" t="str">
        <f t="shared" si="15"/>
        <v>C16422PHAM NGOC THUY050138649927</v>
      </c>
      <c r="J113" s="853" t="str">
        <f>+VLOOKUP(B113,'[5]04 2025'!$B$2:$F$1371,5,0)</f>
        <v>C16422PHAM NGOC THUY050138649927</v>
      </c>
      <c r="K113" s="607">
        <f t="shared" si="1"/>
        <v>1</v>
      </c>
      <c r="P113" s="685"/>
    </row>
    <row r="114" spans="1:16" s="607" customFormat="1" ht="18" customHeight="1">
      <c r="A114" s="826">
        <f>SUBTOTAL(3,B$6:B114)</f>
        <v>109</v>
      </c>
      <c r="B114" s="824" t="s">
        <v>1013</v>
      </c>
      <c r="C114" s="824" t="str">
        <f>+VLOOKUP(B114,'Salary sheet'!$B$6:$AX$1386,48,0)</f>
        <v>NGUYEN THI THANH NGA</v>
      </c>
      <c r="D114" s="824" t="str">
        <f>+VLOOKUP(B114,'Salary sheet'!$B$6:$BW$1386,49,0)</f>
        <v>050528049394</v>
      </c>
      <c r="E114" s="620">
        <f>+VLOOKUP(B114,'Salary sheet'!$B$6:$AT$1292,45,0)</f>
        <v>8131922</v>
      </c>
      <c r="F114" s="1029" t="s">
        <v>5723</v>
      </c>
      <c r="G114" s="824" t="str">
        <f>+VLOOKUP(B114,'Salary sheet'!$B$6:$E$2281,4,0)</f>
        <v>FACTORY A</v>
      </c>
      <c r="H114" s="607" t="str">
        <f>+VLOOKUP(B114,'Salary sheet'!$B$6:$AZ$1386,50,0)</f>
        <v>SK1 Box</v>
      </c>
      <c r="I114" s="607" t="str">
        <f t="shared" si="15"/>
        <v>C16451NGUYEN THI THANH NGA050528049394</v>
      </c>
      <c r="J114" s="853" t="str">
        <f>+VLOOKUP(B114,'[5]04 2025'!$B$2:$F$1371,5,0)</f>
        <v>C16451NGUYEN THI THANH NGA050528049394</v>
      </c>
      <c r="K114" s="607">
        <f t="shared" si="1"/>
        <v>1</v>
      </c>
      <c r="P114" s="685"/>
    </row>
    <row r="115" spans="1:16" s="607" customFormat="1" ht="18" customHeight="1">
      <c r="A115" s="826">
        <f>SUBTOTAL(3,B$6:B115)</f>
        <v>110</v>
      </c>
      <c r="B115" s="824" t="s">
        <v>1015</v>
      </c>
      <c r="C115" s="824" t="str">
        <f>+VLOOKUP(B115,'Salary sheet'!$B$6:$AX$1386,48,0)</f>
        <v>NGUYEN THI VANG</v>
      </c>
      <c r="D115" s="824" t="str">
        <f>+VLOOKUP(B115,'Salary sheet'!$B$6:$BW$1386,49,0)</f>
        <v>050040846678</v>
      </c>
      <c r="E115" s="620">
        <f>+VLOOKUP(B115,'Salary sheet'!$B$6:$AT$1292,45,0)</f>
        <v>12143361</v>
      </c>
      <c r="F115" s="1029" t="s">
        <v>5723</v>
      </c>
      <c r="G115" s="824" t="str">
        <f>+VLOOKUP(B115,'Salary sheet'!$B$6:$E$2281,4,0)</f>
        <v>FACTORY A</v>
      </c>
      <c r="H115" s="607" t="str">
        <f>+VLOOKUP(B115,'Salary sheet'!$B$6:$AZ$1386,50,0)</f>
        <v>SK1 Box</v>
      </c>
      <c r="I115" s="607" t="str">
        <f t="shared" si="15"/>
        <v>C5825NGUYEN THI VANG050040846678</v>
      </c>
      <c r="J115" s="853" t="str">
        <f>+VLOOKUP(B115,'[5]04 2025'!$B$2:$F$1371,5,0)</f>
        <v>C5825NGUYEN THI VANG050040846678</v>
      </c>
      <c r="K115" s="607">
        <f t="shared" si="1"/>
        <v>1</v>
      </c>
      <c r="P115" s="685"/>
    </row>
    <row r="116" spans="1:16" s="607" customFormat="1" ht="18" customHeight="1">
      <c r="A116" s="826">
        <f>SUBTOTAL(3,B$6:B116)</f>
        <v>111</v>
      </c>
      <c r="B116" s="824" t="s">
        <v>1017</v>
      </c>
      <c r="C116" s="824" t="str">
        <f>+VLOOKUP(B116,'Salary sheet'!$B$6:$AX$1386,48,0)</f>
        <v>NGUYEN THI NGA</v>
      </c>
      <c r="D116" s="824" t="str">
        <f>+VLOOKUP(B116,'Salary sheet'!$B$6:$BW$1386,49,0)</f>
        <v>050052895437</v>
      </c>
      <c r="E116" s="620">
        <f>+VLOOKUP(B116,'Salary sheet'!$B$6:$AT$1292,45,0)</f>
        <v>9117939</v>
      </c>
      <c r="F116" s="1029" t="s">
        <v>5723</v>
      </c>
      <c r="G116" s="824" t="str">
        <f>+VLOOKUP(B116,'Salary sheet'!$B$6:$E$2281,4,0)</f>
        <v>FACTORY A</v>
      </c>
      <c r="H116" s="607" t="str">
        <f>+VLOOKUP(B116,'Salary sheet'!$B$6:$AZ$1386,50,0)</f>
        <v>SK1 Box</v>
      </c>
      <c r="I116" s="607" t="str">
        <f t="shared" si="15"/>
        <v>C6375NGUYEN THI NGA050052895437</v>
      </c>
      <c r="J116" s="853" t="str">
        <f>+VLOOKUP(B116,'[5]04 2025'!$B$2:$F$1371,5,0)</f>
        <v>C6375NGUYEN THI NGA050052895437</v>
      </c>
      <c r="K116" s="607">
        <f t="shared" si="1"/>
        <v>1</v>
      </c>
      <c r="P116" s="685"/>
    </row>
    <row r="117" spans="1:16" s="607" customFormat="1" ht="18" customHeight="1">
      <c r="A117" s="826">
        <f>SUBTOTAL(3,B$6:B117)</f>
        <v>112</v>
      </c>
      <c r="B117" s="824" t="s">
        <v>1019</v>
      </c>
      <c r="C117" s="824" t="str">
        <f>+VLOOKUP(B117,'Salary sheet'!$B$6:$AX$1386,48,0)</f>
        <v>TRAN THI VAN</v>
      </c>
      <c r="D117" s="824" t="str">
        <f>+VLOOKUP(B117,'Salary sheet'!$B$6:$BW$1386,49,0)</f>
        <v>050055183810</v>
      </c>
      <c r="E117" s="620">
        <f>+VLOOKUP(B117,'Salary sheet'!$B$6:$AT$1292,45,0)</f>
        <v>10429446</v>
      </c>
      <c r="F117" s="1029" t="s">
        <v>5723</v>
      </c>
      <c r="G117" s="824" t="str">
        <f>+VLOOKUP(B117,'Salary sheet'!$B$6:$E$2281,4,0)</f>
        <v>FACTORY A</v>
      </c>
      <c r="H117" s="607" t="str">
        <f>+VLOOKUP(B117,'Salary sheet'!$B$6:$AZ$1386,50,0)</f>
        <v>SK1 Box</v>
      </c>
      <c r="I117" s="607" t="str">
        <f t="shared" si="15"/>
        <v>C6382TRAN THI VAN050055183810</v>
      </c>
      <c r="J117" s="853" t="str">
        <f>+VLOOKUP(B117,'[5]04 2025'!$B$2:$F$1371,5,0)</f>
        <v>C6382TRAN THI VAN050055183810</v>
      </c>
      <c r="K117" s="607">
        <f t="shared" si="1"/>
        <v>1</v>
      </c>
      <c r="P117" s="685"/>
    </row>
    <row r="118" spans="1:16" s="607" customFormat="1" ht="18" customHeight="1">
      <c r="A118" s="826">
        <f>SUBTOTAL(3,B$6:B118)</f>
        <v>113</v>
      </c>
      <c r="B118" s="824" t="s">
        <v>1021</v>
      </c>
      <c r="C118" s="824" t="str">
        <f>+VLOOKUP(B118,'Salary sheet'!$B$6:$AX$1386,48,0)</f>
        <v>THI HANH</v>
      </c>
      <c r="D118" s="824" t="str">
        <f>+VLOOKUP(B118,'Salary sheet'!$B$6:$BW$1386,49,0)</f>
        <v>050042518368</v>
      </c>
      <c r="E118" s="620">
        <f>+VLOOKUP(B118,'Salary sheet'!$B$6:$AT$1292,45,0)</f>
        <v>9326250</v>
      </c>
      <c r="F118" s="1029" t="s">
        <v>5723</v>
      </c>
      <c r="G118" s="824" t="str">
        <f>+VLOOKUP(B118,'Salary sheet'!$B$6:$E$2281,4,0)</f>
        <v>FACTORY A</v>
      </c>
      <c r="H118" s="607" t="str">
        <f>+VLOOKUP(B118,'Salary sheet'!$B$6:$AZ$1386,50,0)</f>
        <v>SK1 Box</v>
      </c>
      <c r="I118" s="607" t="str">
        <f t="shared" si="15"/>
        <v>C7844THI HANH050042518368</v>
      </c>
      <c r="J118" s="853" t="str">
        <f>+VLOOKUP(B118,'[5]04 2025'!$B$2:$F$1371,5,0)</f>
        <v>C7844THI HANH050042518368</v>
      </c>
      <c r="K118" s="607">
        <f t="shared" si="1"/>
        <v>1</v>
      </c>
      <c r="P118" s="685"/>
    </row>
    <row r="119" spans="1:16" s="607" customFormat="1" ht="18" customHeight="1">
      <c r="A119" s="826">
        <f>SUBTOTAL(3,B$6:B119)</f>
        <v>114</v>
      </c>
      <c r="B119" s="824" t="s">
        <v>1023</v>
      </c>
      <c r="C119" s="824" t="str">
        <f>+VLOOKUP(B119,'Salary sheet'!$B$6:$AX$1386,48,0)</f>
        <v>NGUYEN THI THAO</v>
      </c>
      <c r="D119" s="824" t="str">
        <f>+VLOOKUP(B119,'Salary sheet'!$B$6:$BW$1386,49,0)</f>
        <v>050040932620</v>
      </c>
      <c r="E119" s="620">
        <f>+VLOOKUP(B119,'Salary sheet'!$B$6:$AT$1292,45,0)</f>
        <v>9300263</v>
      </c>
      <c r="F119" s="1029" t="s">
        <v>5723</v>
      </c>
      <c r="G119" s="824" t="str">
        <f>+VLOOKUP(B119,'Salary sheet'!$B$6:$E$2281,4,0)</f>
        <v>FACTORY A</v>
      </c>
      <c r="H119" s="607" t="str">
        <f>+VLOOKUP(B119,'Salary sheet'!$B$6:$AZ$1386,50,0)</f>
        <v>SK1 Box</v>
      </c>
      <c r="I119" s="607" t="str">
        <f t="shared" si="15"/>
        <v>C1038NGUYEN THI THAO050040932620</v>
      </c>
      <c r="J119" s="853" t="str">
        <f>+VLOOKUP(B119,'[5]04 2025'!$B$2:$F$1371,5,0)</f>
        <v>C1038NGUYEN THI THAO050040932620</v>
      </c>
      <c r="K119" s="607">
        <f t="shared" si="1"/>
        <v>1</v>
      </c>
      <c r="P119" s="685"/>
    </row>
    <row r="120" spans="1:16" s="607" customFormat="1" ht="18" customHeight="1">
      <c r="A120" s="826">
        <f>SUBTOTAL(3,B$6:B120)</f>
        <v>115</v>
      </c>
      <c r="B120" s="824" t="s">
        <v>1025</v>
      </c>
      <c r="C120" s="824" t="str">
        <f>+VLOOKUP(B120,'Salary sheet'!$B$6:$AX$1386,48,0)</f>
        <v>VU THI KIM YEN</v>
      </c>
      <c r="D120" s="824" t="str">
        <f>+VLOOKUP(B120,'Salary sheet'!$B$6:$BW$1386,49,0)</f>
        <v>050116311541</v>
      </c>
      <c r="E120" s="620">
        <f>+VLOOKUP(B120,'Salary sheet'!$B$6:$AT$1292,45,0)</f>
        <v>8883638</v>
      </c>
      <c r="F120" s="1029" t="s">
        <v>5723</v>
      </c>
      <c r="G120" s="824" t="str">
        <f>+VLOOKUP(B120,'Salary sheet'!$B$6:$E$2281,4,0)</f>
        <v>FACTORY A</v>
      </c>
      <c r="H120" s="607" t="str">
        <f>+VLOOKUP(B120,'Salary sheet'!$B$6:$AZ$1386,50,0)</f>
        <v>SK1 Box</v>
      </c>
      <c r="I120" s="607" t="str">
        <f t="shared" si="15"/>
        <v>C11778VU THI KIM YEN050116311541</v>
      </c>
      <c r="J120" s="853" t="str">
        <f>+VLOOKUP(B120,'[5]04 2025'!$B$2:$F$1371,5,0)</f>
        <v>C11778VU THI KIM YEN050116311541</v>
      </c>
      <c r="K120" s="607">
        <f t="shared" si="1"/>
        <v>1</v>
      </c>
      <c r="P120" s="685"/>
    </row>
    <row r="121" spans="1:16" s="607" customFormat="1" ht="18" customHeight="1">
      <c r="A121" s="826">
        <f>SUBTOTAL(3,B$6:B121)</f>
        <v>116</v>
      </c>
      <c r="B121" s="824" t="s">
        <v>1027</v>
      </c>
      <c r="C121" s="824" t="str">
        <f>+VLOOKUP(B121,'Salary sheet'!$B$6:$AX$1386,48,0)</f>
        <v>TRINH THI TY</v>
      </c>
      <c r="D121" s="824" t="str">
        <f>+VLOOKUP(B121,'Salary sheet'!$B$6:$BW$1386,49,0)</f>
        <v>050126082603</v>
      </c>
      <c r="E121" s="620">
        <f>+VLOOKUP(B121,'Salary sheet'!$B$6:$AT$1292,45,0)</f>
        <v>9121245</v>
      </c>
      <c r="F121" s="1029" t="s">
        <v>5723</v>
      </c>
      <c r="G121" s="824" t="str">
        <f>+VLOOKUP(B121,'Salary sheet'!$B$6:$E$2281,4,0)</f>
        <v>FACTORY A</v>
      </c>
      <c r="H121" s="607" t="str">
        <f>+VLOOKUP(B121,'Salary sheet'!$B$6:$AZ$1386,50,0)</f>
        <v>SK1 Box</v>
      </c>
      <c r="I121" s="607" t="str">
        <f t="shared" si="15"/>
        <v>C13319TRINH THI TY050126082603</v>
      </c>
      <c r="J121" s="853" t="str">
        <f>+VLOOKUP(B121,'[5]04 2025'!$B$2:$F$1371,5,0)</f>
        <v>C13319TRINH THI TY050126082603</v>
      </c>
      <c r="K121" s="607">
        <f t="shared" si="1"/>
        <v>1</v>
      </c>
      <c r="P121" s="685"/>
    </row>
    <row r="122" spans="1:16" s="607" customFormat="1" ht="18" customHeight="1">
      <c r="A122" s="826">
        <f>SUBTOTAL(3,B$6:B122)</f>
        <v>117</v>
      </c>
      <c r="B122" s="824" t="s">
        <v>1029</v>
      </c>
      <c r="C122" s="824" t="str">
        <f>+VLOOKUP(B122,'Salary sheet'!$B$6:$AX$1386,48,0)</f>
        <v>VU THI LUYEN</v>
      </c>
      <c r="D122" s="824" t="str">
        <f>+VLOOKUP(B122,'Salary sheet'!$B$6:$BW$1386,49,0)</f>
        <v>050113033980</v>
      </c>
      <c r="E122" s="620">
        <f>+VLOOKUP(B122,'Salary sheet'!$B$6:$AT$1292,45,0)</f>
        <v>8459451</v>
      </c>
      <c r="F122" s="1029" t="s">
        <v>5723</v>
      </c>
      <c r="G122" s="824" t="str">
        <f>+VLOOKUP(B122,'Salary sheet'!$B$6:$E$2281,4,0)</f>
        <v>FACTORY A</v>
      </c>
      <c r="H122" s="607" t="str">
        <f>+VLOOKUP(B122,'Salary sheet'!$B$6:$AZ$1386,50,0)</f>
        <v>SK1 Box</v>
      </c>
      <c r="I122" s="607" t="str">
        <f t="shared" si="15"/>
        <v>C15455VU THI LUYEN050113033980</v>
      </c>
      <c r="J122" s="853" t="str">
        <f>+VLOOKUP(B122,'[5]04 2025'!$B$2:$F$1371,5,0)</f>
        <v>C15455VU THI LUYEN050113033980</v>
      </c>
      <c r="K122" s="607">
        <f t="shared" si="1"/>
        <v>1</v>
      </c>
      <c r="P122" s="685"/>
    </row>
    <row r="123" spans="1:16" s="607" customFormat="1" ht="18" customHeight="1">
      <c r="A123" s="826">
        <f>SUBTOTAL(3,B$6:B123)</f>
        <v>118</v>
      </c>
      <c r="B123" s="824" t="s">
        <v>1031</v>
      </c>
      <c r="C123" s="824" t="str">
        <f>+VLOOKUP(B123,'Salary sheet'!$B$6:$AX$1386,48,0)</f>
        <v>BUI THI BAO NGUYEN</v>
      </c>
      <c r="D123" s="824" t="str">
        <f>+VLOOKUP(B123,'Salary sheet'!$B$6:$BW$1386,49,0)</f>
        <v>050135128322</v>
      </c>
      <c r="E123" s="620">
        <f>+VLOOKUP(B123,'Salary sheet'!$B$6:$AT$1292,45,0)</f>
        <v>8803677</v>
      </c>
      <c r="F123" s="1029" t="s">
        <v>5723</v>
      </c>
      <c r="G123" s="824" t="str">
        <f>+VLOOKUP(B123,'Salary sheet'!$B$6:$E$2281,4,0)</f>
        <v>FACTORY A</v>
      </c>
      <c r="H123" s="607" t="str">
        <f>+VLOOKUP(B123,'Salary sheet'!$B$6:$AZ$1386,50,0)</f>
        <v>SK1 Box</v>
      </c>
      <c r="I123" s="607" t="str">
        <f t="shared" si="15"/>
        <v>C15459BUI THI BAO NGUYEN050135128322</v>
      </c>
      <c r="J123" s="853" t="str">
        <f>+VLOOKUP(B123,'[5]04 2025'!$B$2:$F$1371,5,0)</f>
        <v>C15459BUI THI BAO NGUYEN050135128322</v>
      </c>
      <c r="K123" s="607">
        <f t="shared" si="1"/>
        <v>1</v>
      </c>
      <c r="P123" s="685"/>
    </row>
    <row r="124" spans="1:16" s="607" customFormat="1" ht="18" customHeight="1">
      <c r="A124" s="826">
        <f>SUBTOTAL(3,B$6:B124)</f>
        <v>119</v>
      </c>
      <c r="B124" s="824" t="s">
        <v>1033</v>
      </c>
      <c r="C124" s="824" t="str">
        <f>+VLOOKUP(B124,'Salary sheet'!$B$6:$AX$1386,48,0)</f>
        <v>DO THI NGOC NHI</v>
      </c>
      <c r="D124" s="824" t="str">
        <f>+VLOOKUP(B124,'Salary sheet'!$B$6:$BW$1386,49,0)</f>
        <v>050147935142</v>
      </c>
      <c r="E124" s="620">
        <f>+VLOOKUP(B124,'Salary sheet'!$B$6:$AT$1292,45,0)</f>
        <v>8410721</v>
      </c>
      <c r="F124" s="1029" t="s">
        <v>5723</v>
      </c>
      <c r="G124" s="824" t="str">
        <f>+VLOOKUP(B124,'Salary sheet'!$B$6:$E$2281,4,0)</f>
        <v>FACTORY A</v>
      </c>
      <c r="H124" s="607" t="str">
        <f>+VLOOKUP(B124,'Salary sheet'!$B$6:$AZ$1386,50,0)</f>
        <v>SK1 Box</v>
      </c>
      <c r="I124" s="607" t="str">
        <f t="shared" si="15"/>
        <v>C15460DO THI NGOC NHI050147935142</v>
      </c>
      <c r="J124" s="853" t="str">
        <f>+VLOOKUP(B124,'[5]04 2025'!$B$2:$F$1371,5,0)</f>
        <v>C15460DO THI NGOC NHI050147935142</v>
      </c>
      <c r="K124" s="607">
        <f t="shared" si="1"/>
        <v>1</v>
      </c>
      <c r="P124" s="685"/>
    </row>
    <row r="125" spans="1:16" s="607" customFormat="1" ht="18" customHeight="1">
      <c r="A125" s="826">
        <f>SUBTOTAL(3,B$6:B125)</f>
        <v>120</v>
      </c>
      <c r="B125" s="824" t="s">
        <v>1035</v>
      </c>
      <c r="C125" s="824" t="str">
        <f>+VLOOKUP(B125,'Salary sheet'!$B$6:$AX$1386,48,0)</f>
        <v>LE THI HONG THAO</v>
      </c>
      <c r="D125" s="824" t="str">
        <f>+VLOOKUP(B125,'Salary sheet'!$B$6:$BW$1386,49,0)</f>
        <v>050964281650</v>
      </c>
      <c r="E125" s="620">
        <f>+VLOOKUP(B125,'Salary sheet'!$B$6:$AT$1292,45,0)</f>
        <v>8458551</v>
      </c>
      <c r="F125" s="1029" t="s">
        <v>5723</v>
      </c>
      <c r="G125" s="824" t="str">
        <f>+VLOOKUP(B125,'Salary sheet'!$B$6:$E$2281,4,0)</f>
        <v>FACTORY A</v>
      </c>
      <c r="H125" s="607" t="str">
        <f>+VLOOKUP(B125,'Salary sheet'!$B$6:$AZ$1386,50,0)</f>
        <v>SK1 Box</v>
      </c>
      <c r="I125" s="607" t="str">
        <f t="shared" si="15"/>
        <v>C15483LE THI HONG THAO050964281650</v>
      </c>
      <c r="J125" s="853" t="str">
        <f>+VLOOKUP(B125,'[5]04 2025'!$B$2:$F$1371,5,0)</f>
        <v>C15483LE THI HONG THAO050964281650</v>
      </c>
      <c r="K125" s="607">
        <f t="shared" si="1"/>
        <v>1</v>
      </c>
      <c r="P125" s="685"/>
    </row>
    <row r="126" spans="1:16" s="607" customFormat="1" ht="18" customHeight="1">
      <c r="A126" s="826">
        <f>SUBTOTAL(3,B$6:B126)</f>
        <v>121</v>
      </c>
      <c r="B126" s="824" t="s">
        <v>1037</v>
      </c>
      <c r="C126" s="824" t="str">
        <f>+VLOOKUP(B126,'Salary sheet'!$B$6:$AX$1386,48,0)</f>
        <v>NGUYEN THI BICH NGUYET</v>
      </c>
      <c r="D126" s="824" t="str">
        <f>+VLOOKUP(B126,'Salary sheet'!$B$6:$BW$1386,49,0)</f>
        <v>050147825746</v>
      </c>
      <c r="E126" s="620">
        <f>+VLOOKUP(B126,'Salary sheet'!$B$6:$AT$1292,45,0)</f>
        <v>8850194</v>
      </c>
      <c r="F126" s="1029" t="s">
        <v>5723</v>
      </c>
      <c r="G126" s="824" t="str">
        <f>+VLOOKUP(B126,'Salary sheet'!$B$6:$E$2281,4,0)</f>
        <v>FACTORY A</v>
      </c>
      <c r="H126" s="607" t="str">
        <f>+VLOOKUP(B126,'Salary sheet'!$B$6:$AZ$1386,50,0)</f>
        <v>SK1 Box</v>
      </c>
      <c r="I126" s="607" t="str">
        <f t="shared" si="15"/>
        <v>C15484NGUYEN THI BICH NGUYET050147825746</v>
      </c>
      <c r="J126" s="853" t="str">
        <f>+VLOOKUP(B126,'[5]04 2025'!$B$2:$F$1371,5,0)</f>
        <v>C15484NGUYEN THI BICH NGUYET050147825746</v>
      </c>
      <c r="K126" s="607">
        <f t="shared" si="1"/>
        <v>1</v>
      </c>
      <c r="P126" s="685"/>
    </row>
    <row r="127" spans="1:16" s="607" customFormat="1" ht="18" customHeight="1">
      <c r="A127" s="826">
        <f>SUBTOTAL(3,B$6:B127)</f>
        <v>122</v>
      </c>
      <c r="B127" s="824" t="s">
        <v>1039</v>
      </c>
      <c r="C127" s="824" t="str">
        <f>+VLOOKUP(B127,'Salary sheet'!$B$6:$AX$1386,48,0)</f>
        <v>NGU HUE NHI</v>
      </c>
      <c r="D127" s="824" t="str">
        <f>+VLOOKUP(B127,'Salary sheet'!$B$6:$BW$1386,49,0)</f>
        <v>050148148616</v>
      </c>
      <c r="E127" s="620">
        <f>+VLOOKUP(B127,'Salary sheet'!$B$6:$AT$1292,45,0)</f>
        <v>8380118</v>
      </c>
      <c r="F127" s="1029" t="s">
        <v>5723</v>
      </c>
      <c r="G127" s="824" t="str">
        <f>+VLOOKUP(B127,'Salary sheet'!$B$6:$E$2281,4,0)</f>
        <v>FACTORY A</v>
      </c>
      <c r="H127" s="607" t="str">
        <f>+VLOOKUP(B127,'Salary sheet'!$B$6:$AZ$1386,50,0)</f>
        <v>SK1 Box</v>
      </c>
      <c r="I127" s="607" t="str">
        <f t="shared" si="15"/>
        <v>C15507NGU HUE NHI050148148616</v>
      </c>
      <c r="J127" s="853" t="str">
        <f>+VLOOKUP(B127,'[5]04 2025'!$B$2:$F$1371,5,0)</f>
        <v>C15507NGU HUE NHI050148148616</v>
      </c>
      <c r="K127" s="607">
        <f t="shared" si="1"/>
        <v>1</v>
      </c>
      <c r="P127" s="685"/>
    </row>
    <row r="128" spans="1:16" s="607" customFormat="1" ht="18" customHeight="1">
      <c r="A128" s="826">
        <f>SUBTOTAL(3,B$6:B128)</f>
        <v>123</v>
      </c>
      <c r="B128" s="824" t="s">
        <v>1041</v>
      </c>
      <c r="C128" s="824" t="str">
        <f>+VLOOKUP(B128,'Salary sheet'!$B$6:$AX$1386,48,0)</f>
        <v>LAM SVAY</v>
      </c>
      <c r="D128" s="824" t="str">
        <f>+VLOOKUP(B128,'Salary sheet'!$B$6:$BW$1386,49,0)</f>
        <v>050128706086</v>
      </c>
      <c r="E128" s="620">
        <f>+VLOOKUP(B128,'Salary sheet'!$B$6:$AT$1292,45,0)</f>
        <v>7668261</v>
      </c>
      <c r="F128" s="1029" t="s">
        <v>5723</v>
      </c>
      <c r="G128" s="824" t="str">
        <f>+VLOOKUP(B128,'Salary sheet'!$B$6:$E$2281,4,0)</f>
        <v>FACTORY A</v>
      </c>
      <c r="H128" s="607" t="str">
        <f>+VLOOKUP(B128,'Salary sheet'!$B$6:$AZ$1386,50,0)</f>
        <v>SK1 Box</v>
      </c>
      <c r="I128" s="607" t="str">
        <f t="shared" si="15"/>
        <v>C16390LAM SVAY050128706086</v>
      </c>
      <c r="J128" s="853" t="str">
        <f>+VLOOKUP(B128,'[5]04 2025'!$B$2:$F$1371,5,0)</f>
        <v>C16390LAM SVAY050128706086</v>
      </c>
      <c r="K128" s="607">
        <f t="shared" si="1"/>
        <v>1</v>
      </c>
      <c r="P128" s="685"/>
    </row>
    <row r="129" spans="1:16" s="607" customFormat="1" ht="18" customHeight="1">
      <c r="A129" s="826">
        <f>SUBTOTAL(3,B$6:B129)</f>
        <v>124</v>
      </c>
      <c r="B129" s="824" t="s">
        <v>1043</v>
      </c>
      <c r="C129" s="824" t="str">
        <f>+VLOOKUP(B129,'Salary sheet'!$B$6:$AX$1386,48,0)</f>
        <v>VO THI PHUONG TRUC</v>
      </c>
      <c r="D129" s="824" t="str">
        <f>+VLOOKUP(B129,'Salary sheet'!$B$6:$BW$1386,49,0)</f>
        <v>050040879789</v>
      </c>
      <c r="E129" s="620">
        <f>+VLOOKUP(B129,'Salary sheet'!$B$6:$AT$1292,45,0)</f>
        <v>11097147</v>
      </c>
      <c r="F129" s="1029" t="s">
        <v>5723</v>
      </c>
      <c r="G129" s="824" t="str">
        <f>+VLOOKUP(B129,'Salary sheet'!$B$6:$E$2281,4,0)</f>
        <v>FACTORY A</v>
      </c>
      <c r="H129" s="607" t="str">
        <f>+VLOOKUP(B129,'Salary sheet'!$B$6:$AZ$1386,50,0)</f>
        <v>SK1 Box</v>
      </c>
      <c r="I129" s="607" t="str">
        <f t="shared" si="15"/>
        <v>C1837VO THI PHUONG TRUC050040879789</v>
      </c>
      <c r="J129" s="853" t="str">
        <f>+VLOOKUP(B129,'[5]04 2025'!$B$2:$F$1371,5,0)</f>
        <v>C1837VO THI PHUONG TRUC050040879789</v>
      </c>
      <c r="K129" s="607">
        <f t="shared" si="1"/>
        <v>1</v>
      </c>
      <c r="P129" s="685"/>
    </row>
    <row r="130" spans="1:16" s="607" customFormat="1" ht="18" customHeight="1">
      <c r="A130" s="826">
        <f>SUBTOTAL(3,B$6:B130)</f>
        <v>125</v>
      </c>
      <c r="B130" s="824" t="s">
        <v>1045</v>
      </c>
      <c r="C130" s="824" t="str">
        <f>+VLOOKUP(B130,'Salary sheet'!$B$6:$AX$1386,48,0)</f>
        <v>LE HOAI PHUONG</v>
      </c>
      <c r="D130" s="824" t="str">
        <f>+VLOOKUP(B130,'Salary sheet'!$B$6:$BW$1386,49,0)</f>
        <v>050040933740</v>
      </c>
      <c r="E130" s="620">
        <f>+VLOOKUP(B130,'Salary sheet'!$B$6:$AT$1292,45,0)</f>
        <v>9173933</v>
      </c>
      <c r="F130" s="1029" t="s">
        <v>5723</v>
      </c>
      <c r="G130" s="824" t="str">
        <f>+VLOOKUP(B130,'Salary sheet'!$B$6:$E$2281,4,0)</f>
        <v>FACTORY A</v>
      </c>
      <c r="H130" s="607" t="str">
        <f>+VLOOKUP(B130,'Salary sheet'!$B$6:$AZ$1386,50,0)</f>
        <v>SK1 Box</v>
      </c>
      <c r="I130" s="607" t="str">
        <f t="shared" si="15"/>
        <v>C2382LE HOAI PHUONG050040933740</v>
      </c>
      <c r="J130" s="853" t="str">
        <f>+VLOOKUP(B130,'[5]04 2025'!$B$2:$F$1371,5,0)</f>
        <v>C2382LE HOAI PHUONG050040933740</v>
      </c>
      <c r="K130" s="607">
        <f t="shared" si="1"/>
        <v>1</v>
      </c>
      <c r="P130" s="685"/>
    </row>
    <row r="131" spans="1:16" s="607" customFormat="1" ht="18" customHeight="1">
      <c r="A131" s="826">
        <f>SUBTOTAL(3,B$6:B131)</f>
        <v>126</v>
      </c>
      <c r="B131" s="824" t="s">
        <v>1047</v>
      </c>
      <c r="C131" s="824" t="str">
        <f>+VLOOKUP(B131,'Salary sheet'!$B$6:$AX$1386,48,0)</f>
        <v>TRAN THI TUNG</v>
      </c>
      <c r="D131" s="824" t="str">
        <f>+VLOOKUP(B131,'Salary sheet'!$B$6:$BW$1386,49,0)</f>
        <v>050040879517</v>
      </c>
      <c r="E131" s="620">
        <f>+VLOOKUP(B131,'Salary sheet'!$B$6:$AT$1292,45,0)</f>
        <v>7727003</v>
      </c>
      <c r="F131" s="1029" t="s">
        <v>5723</v>
      </c>
      <c r="G131" s="824" t="str">
        <f>+VLOOKUP(B131,'Salary sheet'!$B$6:$E$2281,4,0)</f>
        <v>FACTORY A</v>
      </c>
      <c r="H131" s="607" t="str">
        <f>+VLOOKUP(B131,'Salary sheet'!$B$6:$AZ$1386,50,0)</f>
        <v>SK1 Box</v>
      </c>
      <c r="I131" s="607" t="str">
        <f t="shared" si="15"/>
        <v>C3409TRAN THI TUNG050040879517</v>
      </c>
      <c r="J131" s="853" t="str">
        <f>+VLOOKUP(B131,'[5]04 2025'!$B$2:$F$1371,5,0)</f>
        <v>C3409TRAN THI TUNG050040879517</v>
      </c>
      <c r="K131" s="607">
        <f t="shared" si="1"/>
        <v>1</v>
      </c>
      <c r="P131" s="685"/>
    </row>
    <row r="132" spans="1:16" s="607" customFormat="1" ht="18" customHeight="1">
      <c r="A132" s="826">
        <f>SUBTOTAL(3,B$6:B132)</f>
        <v>127</v>
      </c>
      <c r="B132" s="824" t="s">
        <v>1049</v>
      </c>
      <c r="C132" s="824" t="str">
        <f>+VLOOKUP(B132,'Salary sheet'!$B$6:$AX$1386,48,0)</f>
        <v>TRINH THI THUY</v>
      </c>
      <c r="D132" s="824" t="str">
        <f>+VLOOKUP(B132,'Salary sheet'!$B$6:$BW$1386,49,0)</f>
        <v>050040851167</v>
      </c>
      <c r="E132" s="620">
        <f>+VLOOKUP(B132,'Salary sheet'!$B$6:$AT$1292,45,0)</f>
        <v>9320466</v>
      </c>
      <c r="F132" s="1029" t="s">
        <v>5723</v>
      </c>
      <c r="G132" s="824" t="str">
        <f>+VLOOKUP(B132,'Salary sheet'!$B$6:$E$2281,4,0)</f>
        <v>FACTORY A</v>
      </c>
      <c r="H132" s="607" t="str">
        <f>+VLOOKUP(B132,'Salary sheet'!$B$6:$AZ$1386,50,0)</f>
        <v>SK1 Box</v>
      </c>
      <c r="I132" s="607" t="str">
        <f t="shared" si="15"/>
        <v>C4056TRINH THI THUY050040851167</v>
      </c>
      <c r="J132" s="853" t="str">
        <f>+VLOOKUP(B132,'[5]04 2025'!$B$2:$F$1371,5,0)</f>
        <v>C4056TRINH THI THUY050040851167</v>
      </c>
      <c r="K132" s="607">
        <f t="shared" si="1"/>
        <v>1</v>
      </c>
      <c r="P132" s="685"/>
    </row>
    <row r="133" spans="1:16" s="607" customFormat="1" ht="18" customHeight="1">
      <c r="A133" s="826">
        <f>SUBTOTAL(3,B$6:B133)</f>
        <v>128</v>
      </c>
      <c r="B133" s="824" t="s">
        <v>1051</v>
      </c>
      <c r="C133" s="824" t="str">
        <f>+VLOOKUP(B133,'Salary sheet'!$B$6:$AX$1386,48,0)</f>
        <v>NGUYEN VAN CHI</v>
      </c>
      <c r="D133" s="824" t="str">
        <f>+VLOOKUP(B133,'Salary sheet'!$B$6:$BW$1386,49,0)</f>
        <v>050040934739</v>
      </c>
      <c r="E133" s="620">
        <f>+VLOOKUP(B133,'Salary sheet'!$B$6:$AT$1292,45,0)</f>
        <v>10305020</v>
      </c>
      <c r="F133" s="1029" t="s">
        <v>5723</v>
      </c>
      <c r="G133" s="824" t="str">
        <f>+VLOOKUP(B133,'Salary sheet'!$B$6:$E$2281,4,0)</f>
        <v>FACTORY A</v>
      </c>
      <c r="H133" s="607" t="str">
        <f>+VLOOKUP(B133,'Salary sheet'!$B$6:$AZ$1386,50,0)</f>
        <v>SK1 Box</v>
      </c>
      <c r="I133" s="607" t="str">
        <f t="shared" si="15"/>
        <v>C5448NGUYEN VAN CHI050040934739</v>
      </c>
      <c r="J133" s="853" t="str">
        <f>+VLOOKUP(B133,'[5]04 2025'!$B$2:$F$1371,5,0)</f>
        <v>C5448NGUYEN VAN CHI050040934739</v>
      </c>
      <c r="K133" s="607">
        <f t="shared" si="1"/>
        <v>1</v>
      </c>
      <c r="P133" s="685"/>
    </row>
    <row r="134" spans="1:16" s="607" customFormat="1" ht="18" customHeight="1">
      <c r="A134" s="826">
        <f>SUBTOTAL(3,B$6:B134)</f>
        <v>129</v>
      </c>
      <c r="B134" s="824" t="s">
        <v>1053</v>
      </c>
      <c r="C134" s="824" t="str">
        <f>+VLOOKUP(B134,'Salary sheet'!$B$6:$AX$1386,48,0)</f>
        <v>VU THI THANH</v>
      </c>
      <c r="D134" s="824" t="str">
        <f>+VLOOKUP(B134,'Salary sheet'!$B$6:$BW$1386,49,0)</f>
        <v>050040820210</v>
      </c>
      <c r="E134" s="620">
        <f>+VLOOKUP(B134,'Salary sheet'!$B$6:$AT$1292,45,0)</f>
        <v>7258159</v>
      </c>
      <c r="F134" s="1029" t="s">
        <v>5723</v>
      </c>
      <c r="G134" s="824" t="str">
        <f>+VLOOKUP(B134,'Salary sheet'!$B$6:$E$2281,4,0)</f>
        <v>FACTORY A</v>
      </c>
      <c r="H134" s="607" t="str">
        <f>+VLOOKUP(B134,'Salary sheet'!$B$6:$AZ$1386,50,0)</f>
        <v>SK1 Box</v>
      </c>
      <c r="I134" s="607" t="str">
        <f t="shared" si="15"/>
        <v>C5494VU THI THANH050040820210</v>
      </c>
      <c r="J134" s="853" t="str">
        <f>+VLOOKUP(B134,'[5]04 2025'!$B$2:$F$1371,5,0)</f>
        <v>C5494VU THI THANH050040820210</v>
      </c>
      <c r="K134" s="607">
        <f t="shared" si="1"/>
        <v>1</v>
      </c>
      <c r="P134" s="685"/>
    </row>
    <row r="135" spans="1:16" s="607" customFormat="1" ht="18" customHeight="1">
      <c r="A135" s="826">
        <f>SUBTOTAL(3,B$6:B135)</f>
        <v>130</v>
      </c>
      <c r="B135" s="824" t="s">
        <v>1055</v>
      </c>
      <c r="C135" s="824" t="str">
        <f>+VLOOKUP(B135,'Salary sheet'!$B$6:$AX$1386,48,0)</f>
        <v>LE THI NGHI</v>
      </c>
      <c r="D135" s="824" t="str">
        <f>+VLOOKUP(B135,'Salary sheet'!$B$6:$BW$1386,49,0)</f>
        <v>050040875287</v>
      </c>
      <c r="E135" s="620">
        <f>+VLOOKUP(B135,'Salary sheet'!$B$6:$AT$1292,45,0)</f>
        <v>9474541</v>
      </c>
      <c r="F135" s="1029" t="s">
        <v>5723</v>
      </c>
      <c r="G135" s="824" t="str">
        <f>+VLOOKUP(B135,'Salary sheet'!$B$6:$E$2281,4,0)</f>
        <v>FACTORY A</v>
      </c>
      <c r="H135" s="607" t="str">
        <f>+VLOOKUP(B135,'Salary sheet'!$B$6:$AZ$1386,50,0)</f>
        <v>SK1 Box</v>
      </c>
      <c r="I135" s="607" t="str">
        <f t="shared" si="15"/>
        <v>C6156LE THI NGHI050040875287</v>
      </c>
      <c r="J135" s="853" t="str">
        <f>+VLOOKUP(B135,'[5]04 2025'!$B$2:$F$1371,5,0)</f>
        <v>C6156LE THI NGHI050040875287</v>
      </c>
      <c r="K135" s="607">
        <f t="shared" si="1"/>
        <v>1</v>
      </c>
      <c r="P135" s="685"/>
    </row>
    <row r="136" spans="1:16" s="607" customFormat="1" ht="18" customHeight="1">
      <c r="A136" s="826">
        <f>SUBTOTAL(3,B$6:B136)</f>
        <v>131</v>
      </c>
      <c r="B136" s="824" t="s">
        <v>1057</v>
      </c>
      <c r="C136" s="824" t="str">
        <f>+VLOOKUP(B136,'Salary sheet'!$B$6:$AX$1386,48,0)</f>
        <v>NGUYEN THI TRANG</v>
      </c>
      <c r="D136" s="824" t="str">
        <f>+VLOOKUP(B136,'Salary sheet'!$B$6:$BW$1386,49,0)</f>
        <v>050041643320</v>
      </c>
      <c r="E136" s="620">
        <f>+VLOOKUP(B136,'Salary sheet'!$B$6:$AT$1292,45,0)</f>
        <v>8843523</v>
      </c>
      <c r="F136" s="1029" t="s">
        <v>5723</v>
      </c>
      <c r="G136" s="824" t="str">
        <f>+VLOOKUP(B136,'Salary sheet'!$B$6:$E$2281,4,0)</f>
        <v>FACTORY A</v>
      </c>
      <c r="H136" s="607" t="str">
        <f>+VLOOKUP(B136,'Salary sheet'!$B$6:$AZ$1386,50,0)</f>
        <v>SK1 Box</v>
      </c>
      <c r="I136" s="607" t="str">
        <f t="shared" si="15"/>
        <v>C6181NGUYEN THI TRANG050041643320</v>
      </c>
      <c r="J136" s="853" t="str">
        <f>+VLOOKUP(B136,'[5]04 2025'!$B$2:$F$1371,5,0)</f>
        <v>C6181NGUYEN THI TRANG050041643320</v>
      </c>
      <c r="K136" s="607">
        <f t="shared" si="1"/>
        <v>1</v>
      </c>
      <c r="P136" s="685"/>
    </row>
    <row r="137" spans="1:16" s="607" customFormat="1" ht="18" customHeight="1">
      <c r="A137" s="826">
        <f>SUBTOTAL(3,B$6:B137)</f>
        <v>132</v>
      </c>
      <c r="B137" s="824" t="s">
        <v>1059</v>
      </c>
      <c r="C137" s="824" t="str">
        <f>+VLOOKUP(B137,'Salary sheet'!$B$6:$AX$1386,48,0)</f>
        <v>NGUYEN THI DUYEN</v>
      </c>
      <c r="D137" s="824" t="str">
        <f>+VLOOKUP(B137,'Salary sheet'!$B$6:$BW$1386,49,0)</f>
        <v>050042513803</v>
      </c>
      <c r="E137" s="620">
        <f>+VLOOKUP(B137,'Salary sheet'!$B$6:$AT$1292,45,0)</f>
        <v>9299081</v>
      </c>
      <c r="F137" s="1029" t="s">
        <v>5723</v>
      </c>
      <c r="G137" s="824" t="str">
        <f>+VLOOKUP(B137,'Salary sheet'!$B$6:$E$2281,4,0)</f>
        <v>FACTORY A</v>
      </c>
      <c r="H137" s="607" t="str">
        <f>+VLOOKUP(B137,'Salary sheet'!$B$6:$AZ$1386,50,0)</f>
        <v>SK1 Box</v>
      </c>
      <c r="I137" s="607" t="str">
        <f t="shared" si="15"/>
        <v>C6219NGUYEN THI DUYEN050042513803</v>
      </c>
      <c r="J137" s="853" t="str">
        <f>+VLOOKUP(B137,'[5]04 2025'!$B$2:$F$1371,5,0)</f>
        <v>C6219NGUYEN THI DUYEN050042513803</v>
      </c>
      <c r="K137" s="607">
        <f t="shared" si="1"/>
        <v>1</v>
      </c>
      <c r="P137" s="685"/>
    </row>
    <row r="138" spans="1:16" s="607" customFormat="1" ht="18" customHeight="1">
      <c r="A138" s="826">
        <f>SUBTOTAL(3,B$6:B138)</f>
        <v>133</v>
      </c>
      <c r="B138" s="824" t="s">
        <v>1061</v>
      </c>
      <c r="C138" s="824" t="str">
        <f>+VLOOKUP(B138,'Salary sheet'!$B$6:$AX$1386,48,0)</f>
        <v>NGUYEN THI THU PHUONG</v>
      </c>
      <c r="D138" s="824" t="str">
        <f>+VLOOKUP(B138,'Salary sheet'!$B$6:$BW$1386,49,0)</f>
        <v>050067885357</v>
      </c>
      <c r="E138" s="620">
        <f>+VLOOKUP(B138,'Salary sheet'!$B$6:$AT$1292,45,0)</f>
        <v>6811263</v>
      </c>
      <c r="F138" s="1029" t="s">
        <v>5723</v>
      </c>
      <c r="G138" s="824" t="str">
        <f>+VLOOKUP(B138,'Salary sheet'!$B$6:$E$2281,4,0)</f>
        <v>FACTORY A</v>
      </c>
      <c r="H138" s="607" t="str">
        <f>+VLOOKUP(B138,'Salary sheet'!$B$6:$AZ$1386,50,0)</f>
        <v>SK1 Box</v>
      </c>
      <c r="I138" s="607" t="str">
        <f t="shared" si="15"/>
        <v>C6821NGUYEN THI THU PHUONG050067885357</v>
      </c>
      <c r="J138" s="853" t="str">
        <f>+VLOOKUP(B138,'[5]04 2025'!$B$2:$F$1371,5,0)</f>
        <v>C6821NGUYEN THI THU PHUONG050067885357</v>
      </c>
      <c r="K138" s="607">
        <f t="shared" si="1"/>
        <v>1</v>
      </c>
      <c r="P138" s="685"/>
    </row>
    <row r="139" spans="1:16" s="607" customFormat="1" ht="18" customHeight="1">
      <c r="A139" s="826">
        <f>SUBTOTAL(3,B$6:B139)</f>
        <v>134</v>
      </c>
      <c r="B139" s="824" t="s">
        <v>1063</v>
      </c>
      <c r="C139" s="824" t="str">
        <f>+VLOOKUP(B139,'Salary sheet'!$B$6:$AX$1386,48,0)</f>
        <v>NGO THI MY NHAN</v>
      </c>
      <c r="D139" s="824" t="str">
        <f>+VLOOKUP(B139,'Salary sheet'!$B$6:$BW$1386,49,0)</f>
        <v>050090473457</v>
      </c>
      <c r="E139" s="620">
        <f>+VLOOKUP(B139,'Salary sheet'!$B$6:$AT$1292,45,0)</f>
        <v>9174104</v>
      </c>
      <c r="F139" s="1029" t="s">
        <v>5723</v>
      </c>
      <c r="G139" s="824" t="str">
        <f>+VLOOKUP(B139,'Salary sheet'!$B$6:$E$2281,4,0)</f>
        <v>FACTORY A</v>
      </c>
      <c r="H139" s="607" t="str">
        <f>+VLOOKUP(B139,'Salary sheet'!$B$6:$AZ$1386,50,0)</f>
        <v>SK1 Box</v>
      </c>
      <c r="I139" s="607" t="str">
        <f t="shared" si="15"/>
        <v>C7265NGO THI MY NHAN050090473457</v>
      </c>
      <c r="J139" s="853" t="str">
        <f>+VLOOKUP(B139,'[5]04 2025'!$B$2:$F$1371,5,0)</f>
        <v>C7265NGO THI MY NHAN050090473457</v>
      </c>
      <c r="K139" s="607">
        <f t="shared" si="1"/>
        <v>1</v>
      </c>
      <c r="P139" s="685"/>
    </row>
    <row r="140" spans="1:16" s="607" customFormat="1" ht="18" customHeight="1">
      <c r="A140" s="826">
        <f>SUBTOTAL(3,B$6:B140)</f>
        <v>135</v>
      </c>
      <c r="B140" s="824" t="s">
        <v>1065</v>
      </c>
      <c r="C140" s="824" t="str">
        <f>+VLOOKUP(B140,'Salary sheet'!$B$6:$AX$1386,48,0)</f>
        <v>NGUYEN THI LY</v>
      </c>
      <c r="D140" s="824" t="str">
        <f>+VLOOKUP(B140,'Salary sheet'!$B$6:$BW$1386,49,0)</f>
        <v>050097075848</v>
      </c>
      <c r="E140" s="620">
        <f>+VLOOKUP(B140,'Salary sheet'!$B$6:$AT$1292,45,0)</f>
        <v>9359021</v>
      </c>
      <c r="F140" s="1029" t="s">
        <v>5723</v>
      </c>
      <c r="G140" s="824" t="str">
        <f>+VLOOKUP(B140,'Salary sheet'!$B$6:$E$2281,4,0)</f>
        <v>FACTORY A</v>
      </c>
      <c r="H140" s="607" t="str">
        <f>+VLOOKUP(B140,'Salary sheet'!$B$6:$AZ$1386,50,0)</f>
        <v>SK1 Box</v>
      </c>
      <c r="I140" s="607" t="str">
        <f t="shared" si="15"/>
        <v>C7540NGUYEN THI LY050097075848</v>
      </c>
      <c r="J140" s="853" t="str">
        <f>+VLOOKUP(B140,'[5]04 2025'!$B$2:$F$1371,5,0)</f>
        <v>C7540NGUYEN THI LY050097075848</v>
      </c>
      <c r="K140" s="607">
        <f t="shared" si="1"/>
        <v>1</v>
      </c>
      <c r="P140" s="685"/>
    </row>
    <row r="141" spans="1:16" s="607" customFormat="1" ht="18" customHeight="1">
      <c r="A141" s="826">
        <f>SUBTOTAL(3,B$6:B141)</f>
        <v>136</v>
      </c>
      <c r="B141" s="824" t="s">
        <v>1067</v>
      </c>
      <c r="C141" s="824" t="str">
        <f>+VLOOKUP(B141,'Salary sheet'!$B$6:$AX$1386,48,0)</f>
        <v>LE THI LOC</v>
      </c>
      <c r="D141" s="824" t="str">
        <f>+VLOOKUP(B141,'Salary sheet'!$B$6:$BW$1386,49,0)</f>
        <v>050068551134</v>
      </c>
      <c r="E141" s="620">
        <f>+VLOOKUP(B141,'Salary sheet'!$B$6:$AT$1292,45,0)</f>
        <v>5995431</v>
      </c>
      <c r="F141" s="1029" t="s">
        <v>5723</v>
      </c>
      <c r="G141" s="824" t="str">
        <f>+VLOOKUP(B141,'Salary sheet'!$B$6:$E$2281,4,0)</f>
        <v>FACTORY A</v>
      </c>
      <c r="H141" s="607" t="str">
        <f>+VLOOKUP(B141,'Salary sheet'!$B$6:$AZ$1386,50,0)</f>
        <v>SK1 Box</v>
      </c>
      <c r="I141" s="607" t="str">
        <f t="shared" si="15"/>
        <v>C9506LE THI LOC050068551134</v>
      </c>
      <c r="J141" s="853" t="str">
        <f>+VLOOKUP(B141,'[5]04 2025'!$B$2:$F$1371,5,0)</f>
        <v>C9506LE THI LOC050068551134</v>
      </c>
      <c r="K141" s="607">
        <f t="shared" si="1"/>
        <v>1</v>
      </c>
      <c r="P141" s="685"/>
    </row>
    <row r="142" spans="1:16" s="607" customFormat="1" ht="18" customHeight="1">
      <c r="A142" s="826">
        <f>SUBTOTAL(3,B$6:B142)</f>
        <v>137</v>
      </c>
      <c r="B142" s="824" t="s">
        <v>1069</v>
      </c>
      <c r="C142" s="824" t="str">
        <f>+VLOOKUP(B142,'Salary sheet'!$B$6:$AX$1386,48,0)</f>
        <v>TRAN THI THU</v>
      </c>
      <c r="D142" s="824" t="str">
        <f>+VLOOKUP(B142,'Salary sheet'!$B$6:$BW$1386,49,0)</f>
        <v>050055059702</v>
      </c>
      <c r="E142" s="620">
        <f>+VLOOKUP(B142,'Salary sheet'!$B$6:$AT$1292,45,0)</f>
        <v>6672909</v>
      </c>
      <c r="F142" s="1029" t="s">
        <v>5723</v>
      </c>
      <c r="G142" s="824" t="str">
        <f>+VLOOKUP(B142,'Salary sheet'!$B$6:$E$2281,4,0)</f>
        <v>FACTORY A</v>
      </c>
      <c r="H142" s="607" t="str">
        <f>+VLOOKUP(B142,'Salary sheet'!$B$6:$AZ$1386,50,0)</f>
        <v>SK1 Box</v>
      </c>
      <c r="I142" s="607" t="str">
        <f t="shared" si="15"/>
        <v>C16426TRAN THI THU050055059702</v>
      </c>
      <c r="J142" s="853" t="str">
        <f>+VLOOKUP(B142,'[5]04 2025'!$B$2:$F$1371,5,0)</f>
        <v>C16426TRAN THI THU050055059702</v>
      </c>
      <c r="K142" s="607">
        <f t="shared" si="1"/>
        <v>1</v>
      </c>
      <c r="P142" s="685"/>
    </row>
    <row r="143" spans="1:16" s="607" customFormat="1" ht="18" customHeight="1">
      <c r="A143" s="826">
        <f>SUBTOTAL(3,B$6:B143)</f>
        <v>138</v>
      </c>
      <c r="B143" s="824" t="s">
        <v>1071</v>
      </c>
      <c r="C143" s="824" t="str">
        <f>+VLOOKUP(B143,'Salary sheet'!$B$6:$AX$1386,48,0)</f>
        <v>THAN THI HONG THAM</v>
      </c>
      <c r="D143" s="824" t="str">
        <f>+VLOOKUP(B143,'Salary sheet'!$B$6:$BW$1386,49,0)</f>
        <v>050040851191</v>
      </c>
      <c r="E143" s="620">
        <f>+VLOOKUP(B143,'Salary sheet'!$B$6:$AT$1292,45,0)</f>
        <v>9314987</v>
      </c>
      <c r="F143" s="1029" t="s">
        <v>5723</v>
      </c>
      <c r="G143" s="824" t="str">
        <f>+VLOOKUP(B143,'Salary sheet'!$B$6:$E$2281,4,0)</f>
        <v>FACTORY A</v>
      </c>
      <c r="H143" s="607" t="str">
        <f>+VLOOKUP(B143,'Salary sheet'!$B$6:$AZ$1386,50,0)</f>
        <v>SK1 Box</v>
      </c>
      <c r="I143" s="607" t="str">
        <f t="shared" si="15"/>
        <v>C0415THAN THI HONG THAM050040851191</v>
      </c>
      <c r="J143" s="853" t="str">
        <f>+VLOOKUP(B143,'[5]04 2025'!$B$2:$F$1371,5,0)</f>
        <v>C0415THAN THI HONG THAM050040851191</v>
      </c>
      <c r="K143" s="607">
        <f t="shared" si="1"/>
        <v>1</v>
      </c>
      <c r="P143" s="685"/>
    </row>
    <row r="144" spans="1:16" s="607" customFormat="1" ht="18" customHeight="1">
      <c r="A144" s="826">
        <f>SUBTOTAL(3,B$6:B144)</f>
        <v>139</v>
      </c>
      <c r="B144" s="824" t="s">
        <v>1073</v>
      </c>
      <c r="C144" s="824" t="str">
        <f>+VLOOKUP(B144,'Salary sheet'!$B$6:$AX$1386,48,0)</f>
        <v>TO THI XUAN</v>
      </c>
      <c r="D144" s="824" t="str">
        <f>+VLOOKUP(B144,'Salary sheet'!$B$6:$BW$1386,49,0)</f>
        <v>050069429529</v>
      </c>
      <c r="E144" s="620">
        <f>+VLOOKUP(B144,'Salary sheet'!$B$6:$AT$1292,45,0)</f>
        <v>9316155</v>
      </c>
      <c r="F144" s="1029" t="s">
        <v>5723</v>
      </c>
      <c r="G144" s="824" t="str">
        <f>+VLOOKUP(B144,'Salary sheet'!$B$6:$E$2281,4,0)</f>
        <v>FACTORY A</v>
      </c>
      <c r="H144" s="607" t="str">
        <f>+VLOOKUP(B144,'Salary sheet'!$B$6:$AZ$1386,50,0)</f>
        <v>SK1 Box</v>
      </c>
      <c r="I144" s="607" t="str">
        <f t="shared" si="15"/>
        <v>C0880TO THI XUAN050069429529</v>
      </c>
      <c r="J144" s="853" t="str">
        <f>+VLOOKUP(B144,'[5]04 2025'!$B$2:$F$1371,5,0)</f>
        <v>C0880TO THI XUAN050069429529</v>
      </c>
      <c r="K144" s="607">
        <f t="shared" si="1"/>
        <v>1</v>
      </c>
      <c r="P144" s="685"/>
    </row>
    <row r="145" spans="1:16" s="607" customFormat="1" ht="18" customHeight="1">
      <c r="A145" s="826">
        <f>SUBTOTAL(3,B$6:B145)</f>
        <v>140</v>
      </c>
      <c r="B145" s="824" t="s">
        <v>1075</v>
      </c>
      <c r="C145" s="824" t="str">
        <f>+VLOOKUP(B145,'Salary sheet'!$B$6:$AX$1386,48,0)</f>
        <v>HO THI HIEN</v>
      </c>
      <c r="D145" s="824" t="str">
        <f>+VLOOKUP(B145,'Salary sheet'!$B$6:$BW$1386,49,0)</f>
        <v>050079857197</v>
      </c>
      <c r="E145" s="620">
        <f>+VLOOKUP(B145,'Salary sheet'!$B$6:$AT$1292,45,0)</f>
        <v>9095120</v>
      </c>
      <c r="F145" s="1029" t="s">
        <v>5723</v>
      </c>
      <c r="G145" s="824" t="str">
        <f>+VLOOKUP(B145,'Salary sheet'!$B$6:$E$2281,4,0)</f>
        <v>FACTORY A</v>
      </c>
      <c r="H145" s="607" t="str">
        <f>+VLOOKUP(B145,'Salary sheet'!$B$6:$AZ$1386,50,0)</f>
        <v>SK1 Box</v>
      </c>
      <c r="I145" s="607" t="str">
        <f t="shared" si="15"/>
        <v>C10507HO THI HIEN050079857197</v>
      </c>
      <c r="J145" s="853" t="str">
        <f>+VLOOKUP(B145,'[5]04 2025'!$B$2:$F$1371,5,0)</f>
        <v>C10507HO THI HIEN050079857197</v>
      </c>
      <c r="K145" s="607">
        <f t="shared" si="1"/>
        <v>1</v>
      </c>
      <c r="P145" s="685"/>
    </row>
    <row r="146" spans="1:16" s="607" customFormat="1" ht="18" customHeight="1">
      <c r="A146" s="826">
        <f>SUBTOTAL(3,B$6:B146)</f>
        <v>141</v>
      </c>
      <c r="B146" s="824" t="s">
        <v>1077</v>
      </c>
      <c r="C146" s="824" t="str">
        <f>+VLOOKUP(B146,'Salary sheet'!$B$6:$AX$1386,48,0)</f>
        <v>VAN THI HUYNH YEN</v>
      </c>
      <c r="D146" s="824" t="str">
        <f>+VLOOKUP(B146,'Salary sheet'!$B$6:$BW$1386,49,0)</f>
        <v>050116635655</v>
      </c>
      <c r="E146" s="620">
        <f>+VLOOKUP(B146,'Salary sheet'!$B$6:$AT$1292,45,0)</f>
        <v>2078169</v>
      </c>
      <c r="F146" s="1029" t="s">
        <v>5723</v>
      </c>
      <c r="G146" s="824" t="str">
        <f>+VLOOKUP(B146,'Salary sheet'!$B$6:$E$2281,4,0)</f>
        <v>FACTORY A</v>
      </c>
      <c r="H146" s="607" t="str">
        <f>+VLOOKUP(B146,'Salary sheet'!$B$6:$AZ$1386,50,0)</f>
        <v>SK1 Box</v>
      </c>
      <c r="I146" s="607" t="str">
        <f t="shared" si="15"/>
        <v>C12033VAN THI HUYNH YEN050116635655</v>
      </c>
      <c r="J146" s="853" t="str">
        <f>+VLOOKUP(B146,'[5]04 2025'!$B$2:$F$1371,5,0)</f>
        <v>C12033VAN THI HUYNH YEN050116635655</v>
      </c>
      <c r="K146" s="607">
        <f t="shared" si="1"/>
        <v>1</v>
      </c>
      <c r="P146" s="685"/>
    </row>
    <row r="147" spans="1:16" s="607" customFormat="1" ht="18" customHeight="1">
      <c r="A147" s="826">
        <f>SUBTOTAL(3,B$6:B147)</f>
        <v>142</v>
      </c>
      <c r="B147" s="824" t="s">
        <v>1079</v>
      </c>
      <c r="C147" s="824" t="str">
        <f>+VLOOKUP(B147,'Salary sheet'!$B$6:$AX$1386,48,0)</f>
        <v>TRAN THI THU THIEN</v>
      </c>
      <c r="D147" s="824" t="str">
        <f>+VLOOKUP(B147,'Salary sheet'!$B$6:$BW$1386,49,0)</f>
        <v>050040851485</v>
      </c>
      <c r="E147" s="620">
        <f>+VLOOKUP(B147,'Salary sheet'!$B$6:$AT$1292,45,0)</f>
        <v>8867138</v>
      </c>
      <c r="F147" s="1029" t="s">
        <v>5723</v>
      </c>
      <c r="G147" s="824" t="str">
        <f>+VLOOKUP(B147,'Salary sheet'!$B$6:$E$2281,4,0)</f>
        <v>FACTORY A</v>
      </c>
      <c r="H147" s="607" t="str">
        <f>+VLOOKUP(B147,'Salary sheet'!$B$6:$AZ$1386,50,0)</f>
        <v>SK1 Box</v>
      </c>
      <c r="I147" s="607" t="str">
        <f t="shared" si="15"/>
        <v>C12597TRAN THI THU THIEN050040851485</v>
      </c>
      <c r="J147" s="853" t="str">
        <f>+VLOOKUP(B147,'[5]04 2025'!$B$2:$F$1371,5,0)</f>
        <v>C12597TRAN THI THU THIEN050040851485</v>
      </c>
      <c r="K147" s="607">
        <f t="shared" si="1"/>
        <v>1</v>
      </c>
      <c r="P147" s="685"/>
    </row>
    <row r="148" spans="1:16" s="607" customFormat="1" ht="18" customHeight="1">
      <c r="A148" s="826">
        <f>SUBTOTAL(3,B$6:B148)</f>
        <v>143</v>
      </c>
      <c r="B148" s="824" t="s">
        <v>1082</v>
      </c>
      <c r="C148" s="824" t="str">
        <f>+VLOOKUP(B148,'Salary sheet'!$B$6:$AX$1386,48,0)</f>
        <v>THI HEN</v>
      </c>
      <c r="D148" s="824" t="str">
        <f>+VLOOKUP(B148,'Salary sheet'!$B$6:$BW$1386,49,0)</f>
        <v>050042471809</v>
      </c>
      <c r="E148" s="620">
        <f>+VLOOKUP(B148,'Salary sheet'!$B$6:$AT$1292,45,0)</f>
        <v>8266957</v>
      </c>
      <c r="F148" s="1029" t="s">
        <v>5723</v>
      </c>
      <c r="G148" s="824" t="str">
        <f>+VLOOKUP(B148,'Salary sheet'!$B$6:$E$2281,4,0)</f>
        <v>FACTORY A</v>
      </c>
      <c r="H148" s="607" t="str">
        <f>+VLOOKUP(B148,'Salary sheet'!$B$6:$AZ$1386,50,0)</f>
        <v>SK1 Box</v>
      </c>
      <c r="I148" s="607" t="str">
        <f t="shared" si="15"/>
        <v>C12817THI HEN050042471809</v>
      </c>
      <c r="J148" s="853" t="str">
        <f>+VLOOKUP(B148,'[5]04 2025'!$B$2:$F$1371,5,0)</f>
        <v>C12817THI HEN050042471809</v>
      </c>
      <c r="K148" s="607">
        <f t="shared" si="1"/>
        <v>1</v>
      </c>
      <c r="P148" s="685"/>
    </row>
    <row r="149" spans="1:16" s="607" customFormat="1" ht="18" customHeight="1">
      <c r="A149" s="826">
        <f>SUBTOTAL(3,B$6:B149)</f>
        <v>144</v>
      </c>
      <c r="B149" s="824" t="s">
        <v>1084</v>
      </c>
      <c r="C149" s="824" t="str">
        <f>+VLOOKUP(B149,'Salary sheet'!$B$6:$AX$1386,48,0)</f>
        <v>NGUYEN DINH CHUYEN</v>
      </c>
      <c r="D149" s="824" t="str">
        <f>+VLOOKUP(B149,'Salary sheet'!$B$6:$BW$1386,49,0)</f>
        <v>050118170447</v>
      </c>
      <c r="E149" s="620">
        <f>+VLOOKUP(B149,'Salary sheet'!$B$6:$AT$1292,45,0)</f>
        <v>7655766</v>
      </c>
      <c r="F149" s="1029" t="s">
        <v>5723</v>
      </c>
      <c r="G149" s="824" t="str">
        <f>+VLOOKUP(B149,'Salary sheet'!$B$6:$E$2281,4,0)</f>
        <v>FACTORY A</v>
      </c>
      <c r="H149" s="607" t="str">
        <f>+VLOOKUP(B149,'Salary sheet'!$B$6:$AZ$1386,50,0)</f>
        <v>SK1 Box</v>
      </c>
      <c r="I149" s="607" t="str">
        <f t="shared" si="15"/>
        <v>C13887NGUYEN DINH CHUYEN050118170447</v>
      </c>
      <c r="J149" s="853" t="str">
        <f>+VLOOKUP(B149,'[5]04 2025'!$B$2:$F$1371,5,0)</f>
        <v>C13887NGUYEN DINH CHUYEN050118170447</v>
      </c>
      <c r="K149" s="607">
        <f t="shared" si="1"/>
        <v>1</v>
      </c>
      <c r="P149" s="685"/>
    </row>
    <row r="150" spans="1:16" s="607" customFormat="1" ht="18" customHeight="1">
      <c r="A150" s="826">
        <f>SUBTOTAL(3,B$6:B150)</f>
        <v>145</v>
      </c>
      <c r="B150" s="824" t="s">
        <v>1086</v>
      </c>
      <c r="C150" s="824" t="str">
        <f>+VLOOKUP(B150,'Salary sheet'!$B$6:$AX$1386,48,0)</f>
        <v>LE MINH MINH</v>
      </c>
      <c r="D150" s="824" t="str">
        <f>+VLOOKUP(B150,'Salary sheet'!$B$6:$BW$1386,49,0)</f>
        <v>050122381975</v>
      </c>
      <c r="E150" s="620">
        <f>+VLOOKUP(B150,'Salary sheet'!$B$6:$AT$1292,45,0)</f>
        <v>9803154</v>
      </c>
      <c r="F150" s="1029" t="s">
        <v>5723</v>
      </c>
      <c r="G150" s="824" t="str">
        <f>+VLOOKUP(B150,'Salary sheet'!$B$6:$E$2281,4,0)</f>
        <v>FACTORY A</v>
      </c>
      <c r="H150" s="607" t="str">
        <f>+VLOOKUP(B150,'Salary sheet'!$B$6:$AZ$1386,50,0)</f>
        <v>SK1 Box</v>
      </c>
      <c r="I150" s="607" t="str">
        <f t="shared" si="15"/>
        <v>C14424LE MINH MINH050122381975</v>
      </c>
      <c r="J150" s="853" t="str">
        <f>+VLOOKUP(B150,'[5]04 2025'!$B$2:$F$1371,5,0)</f>
        <v>C14424LE MINH MINH050122381975</v>
      </c>
      <c r="K150" s="607">
        <f t="shared" si="1"/>
        <v>1</v>
      </c>
      <c r="P150" s="685"/>
    </row>
    <row r="151" spans="1:16" s="607" customFormat="1" ht="18" customHeight="1">
      <c r="A151" s="826">
        <f>SUBTOTAL(3,B$6:B151)</f>
        <v>146</v>
      </c>
      <c r="B151" s="824" t="s">
        <v>1088</v>
      </c>
      <c r="C151" s="824" t="str">
        <f>+VLOOKUP(B151,'Salary sheet'!$B$6:$AX$1386,48,0)</f>
        <v>HONG THI THUY HOA</v>
      </c>
      <c r="D151" s="824" t="str">
        <f>+VLOOKUP(B151,'Salary sheet'!$B$6:$BW$1386,49,0)</f>
        <v>050040851371</v>
      </c>
      <c r="E151" s="620">
        <f>+VLOOKUP(B151,'Salary sheet'!$B$6:$AT$1292,45,0)</f>
        <v>9567875</v>
      </c>
      <c r="F151" s="1029" t="s">
        <v>5723</v>
      </c>
      <c r="G151" s="824" t="str">
        <f>+VLOOKUP(B151,'Salary sheet'!$B$6:$E$2281,4,0)</f>
        <v>FACTORY A</v>
      </c>
      <c r="H151" s="607" t="str">
        <f>+VLOOKUP(B151,'Salary sheet'!$B$6:$AZ$1386,50,0)</f>
        <v>SK1 Box</v>
      </c>
      <c r="I151" s="607" t="str">
        <f t="shared" si="15"/>
        <v>C14514HONG THI THUY HOA050040851371</v>
      </c>
      <c r="J151" s="853" t="str">
        <f>+VLOOKUP(B151,'[5]04 2025'!$B$2:$F$1371,5,0)</f>
        <v>C14514HONG THI THUY HOA050040851371</v>
      </c>
      <c r="K151" s="607">
        <f t="shared" si="1"/>
        <v>1</v>
      </c>
      <c r="P151" s="685"/>
    </row>
    <row r="152" spans="1:16" s="607" customFormat="1" ht="18" customHeight="1">
      <c r="A152" s="826">
        <f>SUBTOTAL(3,B$6:B152)</f>
        <v>147</v>
      </c>
      <c r="B152" s="824" t="s">
        <v>1090</v>
      </c>
      <c r="C152" s="824" t="str">
        <f>+VLOOKUP(B152,'Salary sheet'!$B$6:$AX$1386,48,0)</f>
        <v>NGUYEN THANH HANG</v>
      </c>
      <c r="D152" s="824" t="str">
        <f>+VLOOKUP(B152,'Salary sheet'!$B$6:$BW$1386,49,0)</f>
        <v>050147769625</v>
      </c>
      <c r="E152" s="620">
        <f>+VLOOKUP(B152,'Salary sheet'!$B$6:$AT$1292,45,0)</f>
        <v>8940029</v>
      </c>
      <c r="F152" s="1029" t="s">
        <v>5723</v>
      </c>
      <c r="G152" s="824" t="str">
        <f>+VLOOKUP(B152,'Salary sheet'!$B$6:$E$2281,4,0)</f>
        <v>FACTORY A</v>
      </c>
      <c r="H152" s="607" t="str">
        <f>+VLOOKUP(B152,'Salary sheet'!$B$6:$AZ$1386,50,0)</f>
        <v>SK1 Box</v>
      </c>
      <c r="I152" s="607" t="str">
        <f t="shared" si="15"/>
        <v>C15478NGUYEN THANH HANG050147769625</v>
      </c>
      <c r="J152" s="853" t="str">
        <f>+VLOOKUP(B152,'[5]04 2025'!$B$2:$F$1371,5,0)</f>
        <v>C15478NGUYEN THANH HANG050147769625</v>
      </c>
      <c r="K152" s="607">
        <f t="shared" si="1"/>
        <v>1</v>
      </c>
      <c r="P152" s="685"/>
    </row>
    <row r="153" spans="1:16" s="607" customFormat="1" ht="18" customHeight="1">
      <c r="A153" s="826">
        <f>SUBTOTAL(3,B$6:B153)</f>
        <v>148</v>
      </c>
      <c r="B153" s="824" t="s">
        <v>1092</v>
      </c>
      <c r="C153" s="824" t="str">
        <f>+VLOOKUP(B153,'Salary sheet'!$B$6:$AX$1386,48,0)</f>
        <v>NGUYEN QUOC THUAN</v>
      </c>
      <c r="D153" s="824" t="str">
        <f>+VLOOKUP(B153,'Salary sheet'!$B$6:$BW$1386,49,0)</f>
        <v>060115030860</v>
      </c>
      <c r="E153" s="620">
        <f>+VLOOKUP(B153,'Salary sheet'!$B$6:$AT$1292,45,0)</f>
        <v>8416568</v>
      </c>
      <c r="F153" s="1029" t="s">
        <v>5723</v>
      </c>
      <c r="G153" s="824" t="str">
        <f>+VLOOKUP(B153,'Salary sheet'!$B$6:$E$2281,4,0)</f>
        <v>FACTORY A</v>
      </c>
      <c r="H153" s="607" t="str">
        <f>+VLOOKUP(B153,'Salary sheet'!$B$6:$AZ$1386,50,0)</f>
        <v>SK1 Box</v>
      </c>
      <c r="I153" s="607" t="str">
        <f t="shared" si="15"/>
        <v>C15499NGUYEN QUOC THUAN060115030860</v>
      </c>
      <c r="J153" s="853" t="str">
        <f>+VLOOKUP(B153,'[5]04 2025'!$B$2:$F$1371,5,0)</f>
        <v>C15499NGUYEN QUOC THUAN060115030860</v>
      </c>
      <c r="K153" s="607">
        <f t="shared" si="1"/>
        <v>1</v>
      </c>
      <c r="P153" s="685"/>
    </row>
    <row r="154" spans="1:16" s="607" customFormat="1" ht="18" customHeight="1">
      <c r="A154" s="826">
        <f>SUBTOTAL(3,B$6:B154)</f>
        <v>149</v>
      </c>
      <c r="B154" s="824" t="s">
        <v>1094</v>
      </c>
      <c r="C154" s="824" t="str">
        <f>+VLOOKUP(B154,'Salary sheet'!$B$6:$AX$1386,48,0)</f>
        <v>HUYNH THI TU BINH</v>
      </c>
      <c r="D154" s="824" t="str">
        <f>+VLOOKUP(B154,'Salary sheet'!$B$6:$BW$1386,49,0)</f>
        <v>050118880541</v>
      </c>
      <c r="E154" s="620">
        <f>+VLOOKUP(B154,'Salary sheet'!$B$6:$AT$1292,45,0)</f>
        <v>6255236</v>
      </c>
      <c r="F154" s="1029" t="s">
        <v>5723</v>
      </c>
      <c r="G154" s="824" t="str">
        <f>+VLOOKUP(B154,'Salary sheet'!$B$6:$E$2281,4,0)</f>
        <v>FACTORY A</v>
      </c>
      <c r="H154" s="607" t="str">
        <f>+VLOOKUP(B154,'Salary sheet'!$B$6:$AZ$1386,50,0)</f>
        <v>SK1 Box</v>
      </c>
      <c r="I154" s="607" t="str">
        <f t="shared" si="15"/>
        <v>C15512HUYNH THI TU BINH050118880541</v>
      </c>
      <c r="J154" s="853" t="str">
        <f>+VLOOKUP(B154,'[5]04 2025'!$B$2:$F$1371,5,0)</f>
        <v>C15512HUYNH THI TU BINH050118880541</v>
      </c>
      <c r="K154" s="607">
        <f t="shared" si="1"/>
        <v>1</v>
      </c>
      <c r="P154" s="685"/>
    </row>
    <row r="155" spans="1:16" s="607" customFormat="1" ht="18" customHeight="1">
      <c r="A155" s="826">
        <f>SUBTOTAL(3,B$6:B155)</f>
        <v>150</v>
      </c>
      <c r="B155" s="824" t="s">
        <v>1096</v>
      </c>
      <c r="C155" s="824" t="str">
        <f>+VLOOKUP(B155,'Salary sheet'!$B$6:$AX$1386,48,0)</f>
        <v>MAI NGOC CHAM</v>
      </c>
      <c r="D155" s="824" t="str">
        <f>+VLOOKUP(B155,'Salary sheet'!$B$6:$BW$1386,49,0)</f>
        <v>060086770736</v>
      </c>
      <c r="E155" s="620">
        <f>+VLOOKUP(B155,'Salary sheet'!$B$6:$AT$1292,45,0)</f>
        <v>8558769</v>
      </c>
      <c r="F155" s="1029" t="s">
        <v>5723</v>
      </c>
      <c r="G155" s="824" t="str">
        <f>+VLOOKUP(B155,'Salary sheet'!$B$6:$E$2281,4,0)</f>
        <v>FACTORY A</v>
      </c>
      <c r="H155" s="607" t="str">
        <f>+VLOOKUP(B155,'Salary sheet'!$B$6:$AZ$1386,50,0)</f>
        <v>SK1 Box</v>
      </c>
      <c r="I155" s="607" t="str">
        <f t="shared" si="15"/>
        <v>C15518MAI NGOC CHAM060086770736</v>
      </c>
      <c r="J155" s="853" t="str">
        <f>+VLOOKUP(B155,'[5]04 2025'!$B$2:$F$1371,5,0)</f>
        <v>C15518MAI NGOC CHAM060086770736</v>
      </c>
      <c r="K155" s="607">
        <f t="shared" si="1"/>
        <v>1</v>
      </c>
      <c r="P155" s="685"/>
    </row>
    <row r="156" spans="1:16" s="607" customFormat="1" ht="18" customHeight="1">
      <c r="A156" s="826">
        <f>SUBTOTAL(3,B$6:B156)</f>
        <v>151</v>
      </c>
      <c r="B156" s="824" t="s">
        <v>1098</v>
      </c>
      <c r="C156" s="824" t="str">
        <f>+VLOOKUP(B156,'Salary sheet'!$B$6:$AX$1386,48,0)</f>
        <v>NGUYEN THI PHUONG THAO</v>
      </c>
      <c r="D156" s="824" t="str">
        <f>+VLOOKUP(B156,'Salary sheet'!$B$6:$BW$1386,49,0)</f>
        <v>050112517968</v>
      </c>
      <c r="E156" s="620">
        <f>+VLOOKUP(B156,'Salary sheet'!$B$6:$AT$1292,45,0)</f>
        <v>6701991</v>
      </c>
      <c r="F156" s="1029" t="s">
        <v>5723</v>
      </c>
      <c r="G156" s="824" t="str">
        <f>+VLOOKUP(B156,'Salary sheet'!$B$6:$E$2281,4,0)</f>
        <v>FACTORY A</v>
      </c>
      <c r="H156" s="607" t="str">
        <f>+VLOOKUP(B156,'Salary sheet'!$B$6:$AZ$1386,50,0)</f>
        <v>SK1 Box</v>
      </c>
      <c r="I156" s="607" t="str">
        <f t="shared" si="15"/>
        <v>C15623NGUYEN THI PHUONG THAO050112517968</v>
      </c>
      <c r="J156" s="853" t="str">
        <f>+VLOOKUP(B156,'[5]04 2025'!$B$2:$F$1371,5,0)</f>
        <v>C15623NGUYEN THI PHUONG THAO050112517968</v>
      </c>
      <c r="K156" s="607">
        <f t="shared" si="1"/>
        <v>1</v>
      </c>
      <c r="P156" s="685"/>
    </row>
    <row r="157" spans="1:16" s="607" customFormat="1" ht="18" customHeight="1">
      <c r="A157" s="826">
        <f>SUBTOTAL(3,B$6:B157)</f>
        <v>152</v>
      </c>
      <c r="B157" s="824" t="s">
        <v>1100</v>
      </c>
      <c r="C157" s="824" t="str">
        <f>+VLOOKUP(B157,'Salary sheet'!$B$6:$AX$1386,48,0)</f>
        <v>NGO THI GIAU</v>
      </c>
      <c r="D157" s="824" t="str">
        <f>+VLOOKUP(B157,'Salary sheet'!$B$6:$BW$1386,49,0)</f>
        <v>060055351328</v>
      </c>
      <c r="E157" s="620">
        <f>+VLOOKUP(B157,'Salary sheet'!$B$6:$AT$1292,45,0)</f>
        <v>8592966</v>
      </c>
      <c r="F157" s="1029" t="s">
        <v>5723</v>
      </c>
      <c r="G157" s="824" t="str">
        <f>+VLOOKUP(B157,'Salary sheet'!$B$6:$E$2281,4,0)</f>
        <v>FACTORY A</v>
      </c>
      <c r="H157" s="607" t="str">
        <f>+VLOOKUP(B157,'Salary sheet'!$B$6:$AZ$1386,50,0)</f>
        <v>SK1 Box</v>
      </c>
      <c r="I157" s="607" t="str">
        <f t="shared" si="15"/>
        <v>C15634NGO THI GIAU060055351328</v>
      </c>
      <c r="J157" s="853" t="str">
        <f>+VLOOKUP(B157,'[5]04 2025'!$B$2:$F$1371,5,0)</f>
        <v>C15634NGO THI GIAU060055351328</v>
      </c>
      <c r="K157" s="607">
        <f t="shared" si="1"/>
        <v>1</v>
      </c>
      <c r="P157" s="685"/>
    </row>
    <row r="158" spans="1:16" s="607" customFormat="1" ht="18" customHeight="1">
      <c r="A158" s="826">
        <f>SUBTOTAL(3,B$6:B158)</f>
        <v>153</v>
      </c>
      <c r="B158" s="824" t="s">
        <v>1102</v>
      </c>
      <c r="C158" s="824" t="str">
        <f>+VLOOKUP(B158,'Salary sheet'!$B$6:$AX$1386,48,0)</f>
        <v>LE THI HONG TRANG</v>
      </c>
      <c r="D158" s="824" t="str">
        <f>+VLOOKUP(B158,'Salary sheet'!$B$6:$BW$1386,49,0)</f>
        <v>050040851124</v>
      </c>
      <c r="E158" s="620">
        <f>+VLOOKUP(B158,'Salary sheet'!$B$6:$AT$1292,45,0)</f>
        <v>8333872</v>
      </c>
      <c r="F158" s="1029" t="s">
        <v>5723</v>
      </c>
      <c r="G158" s="824" t="str">
        <f>+VLOOKUP(B158,'Salary sheet'!$B$6:$E$2281,4,0)</f>
        <v>FACTORY A</v>
      </c>
      <c r="H158" s="607" t="str">
        <f>+VLOOKUP(B158,'Salary sheet'!$B$6:$AZ$1386,50,0)</f>
        <v>SK1 Box</v>
      </c>
      <c r="I158" s="607" t="str">
        <f t="shared" si="15"/>
        <v>C15707LE THI HONG TRANG050040851124</v>
      </c>
      <c r="J158" s="853" t="str">
        <f>+VLOOKUP(B158,'[5]04 2025'!$B$2:$F$1371,5,0)</f>
        <v>C15707LE THI HONG TRANG050040851124</v>
      </c>
      <c r="K158" s="607">
        <f t="shared" si="1"/>
        <v>1</v>
      </c>
      <c r="P158" s="685"/>
    </row>
    <row r="159" spans="1:16" s="607" customFormat="1" ht="18" customHeight="1">
      <c r="A159" s="826">
        <f>SUBTOTAL(3,B$6:B159)</f>
        <v>154</v>
      </c>
      <c r="B159" s="824" t="s">
        <v>1104</v>
      </c>
      <c r="C159" s="824" t="str">
        <f>+VLOOKUP(B159,'Salary sheet'!$B$6:$AX$1386,48,0)</f>
        <v>THI MINH</v>
      </c>
      <c r="D159" s="824" t="str">
        <f>+VLOOKUP(B159,'Salary sheet'!$B$6:$BW$1386,49,0)</f>
        <v>050153344024</v>
      </c>
      <c r="E159" s="620">
        <f>+VLOOKUP(B159,'Salary sheet'!$B$6:$AT$1292,45,0)</f>
        <v>5355924</v>
      </c>
      <c r="F159" s="1029" t="s">
        <v>5723</v>
      </c>
      <c r="G159" s="824" t="str">
        <f>+VLOOKUP(B159,'Salary sheet'!$B$6:$E$2281,4,0)</f>
        <v>FACTORY A</v>
      </c>
      <c r="H159" s="607" t="str">
        <f>+VLOOKUP(B159,'Salary sheet'!$B$6:$AZ$1386,50,0)</f>
        <v>SK1 Box</v>
      </c>
      <c r="I159" s="607" t="str">
        <f t="shared" si="15"/>
        <v>C16376THI MINH050153344024</v>
      </c>
      <c r="J159" s="853" t="str">
        <f>+VLOOKUP(B159,'[5]04 2025'!$B$2:$F$1371,5,0)</f>
        <v>C16376THI MINH050153344024</v>
      </c>
      <c r="K159" s="607">
        <f t="shared" si="1"/>
        <v>1</v>
      </c>
      <c r="P159" s="685"/>
    </row>
    <row r="160" spans="1:16" s="607" customFormat="1" ht="18" customHeight="1">
      <c r="A160" s="826">
        <f>SUBTOTAL(3,B$6:B160)</f>
        <v>155</v>
      </c>
      <c r="B160" s="824" t="s">
        <v>1106</v>
      </c>
      <c r="C160" s="824" t="str">
        <f>+VLOOKUP(B160,'Salary sheet'!$B$6:$AX$1386,48,0)</f>
        <v>NGUYEN THI NGOC LY</v>
      </c>
      <c r="D160" s="824" t="str">
        <f>+VLOOKUP(B160,'Salary sheet'!$B$6:$BW$1386,49,0)</f>
        <v>050158061594</v>
      </c>
      <c r="E160" s="620">
        <f>+VLOOKUP(B160,'Salary sheet'!$B$6:$AT$1292,45,0)</f>
        <v>5233816</v>
      </c>
      <c r="F160" s="1029" t="s">
        <v>5723</v>
      </c>
      <c r="G160" s="824" t="str">
        <f>+VLOOKUP(B160,'Salary sheet'!$B$6:$E$2281,4,0)</f>
        <v>FACTORY A</v>
      </c>
      <c r="H160" s="607" t="str">
        <f>+VLOOKUP(B160,'Salary sheet'!$B$6:$AZ$1386,50,0)</f>
        <v>SK1 Box</v>
      </c>
      <c r="I160" s="607" t="str">
        <f t="shared" si="15"/>
        <v>C16397NGUYEN THI NGOC LY050158061594</v>
      </c>
      <c r="J160" s="853" t="str">
        <f>+VLOOKUP(B160,'[5]04 2025'!$B$2:$F$1371,5,0)</f>
        <v>C16397NGUYEN THI NGOC LY050158061594</v>
      </c>
      <c r="K160" s="607">
        <f t="shared" si="1"/>
        <v>1</v>
      </c>
      <c r="P160" s="685"/>
    </row>
    <row r="161" spans="1:16" s="607" customFormat="1" ht="18" customHeight="1">
      <c r="A161" s="826">
        <f>SUBTOTAL(3,B$6:B161)</f>
        <v>156</v>
      </c>
      <c r="B161" s="824" t="s">
        <v>1109</v>
      </c>
      <c r="C161" s="824" t="str">
        <f>+VLOOKUP(B161,'Salary sheet'!$B$6:$AX$1386,48,0)</f>
        <v>DIEU HY</v>
      </c>
      <c r="D161" s="824" t="str">
        <f>+VLOOKUP(B161,'Salary sheet'!$B$6:$BW$1386,49,0)</f>
        <v>050135736713</v>
      </c>
      <c r="E161" s="620">
        <f>+VLOOKUP(B161,'Salary sheet'!$B$6:$AT$1292,45,0)</f>
        <v>7641824</v>
      </c>
      <c r="F161" s="1029" t="s">
        <v>5723</v>
      </c>
      <c r="G161" s="824" t="str">
        <f>+VLOOKUP(B161,'Salary sheet'!$B$6:$E$2281,4,0)</f>
        <v>FACTORY A</v>
      </c>
      <c r="H161" s="607" t="str">
        <f>+VLOOKUP(B161,'Salary sheet'!$B$6:$AZ$1386,50,0)</f>
        <v>SK1 Box</v>
      </c>
      <c r="I161" s="607" t="str">
        <f t="shared" si="15"/>
        <v>C16425DIEU HY050135736713</v>
      </c>
      <c r="J161" s="853" t="str">
        <f>+VLOOKUP(B161,'[5]04 2025'!$B$2:$F$1371,5,0)</f>
        <v>C16425DIEU HY050135736713</v>
      </c>
      <c r="K161" s="607">
        <f t="shared" si="1"/>
        <v>1</v>
      </c>
      <c r="P161" s="685"/>
    </row>
    <row r="162" spans="1:16" s="607" customFormat="1" ht="18" customHeight="1">
      <c r="A162" s="826">
        <f>SUBTOTAL(3,B$6:B162)</f>
        <v>157</v>
      </c>
      <c r="B162" s="824" t="s">
        <v>1111</v>
      </c>
      <c r="C162" s="824" t="str">
        <f>+VLOOKUP(B162,'Salary sheet'!$B$6:$AX$1386,48,0)</f>
        <v>PHAM THI HONG THU</v>
      </c>
      <c r="D162" s="824" t="str">
        <f>+VLOOKUP(B162,'Salary sheet'!$B$6:$BW$1386,49,0)</f>
        <v>050119372728</v>
      </c>
      <c r="E162" s="620">
        <f>+VLOOKUP(B162,'Salary sheet'!$B$6:$AT$1292,45,0)</f>
        <v>7760143</v>
      </c>
      <c r="F162" s="1029" t="s">
        <v>5723</v>
      </c>
      <c r="G162" s="824" t="str">
        <f>+VLOOKUP(B162,'Salary sheet'!$B$6:$E$2281,4,0)</f>
        <v>FACTORY A</v>
      </c>
      <c r="H162" s="607" t="str">
        <f>+VLOOKUP(B162,'Salary sheet'!$B$6:$AZ$1386,50,0)</f>
        <v>SK1 Box</v>
      </c>
      <c r="I162" s="607" t="str">
        <f t="shared" si="15"/>
        <v>C16461PHAM THI HONG THU050119372728</v>
      </c>
      <c r="J162" s="853" t="str">
        <f>+VLOOKUP(B162,'[5]04 2025'!$B$2:$F$1371,5,0)</f>
        <v>C16461PHAM THI HONG THU050119372728</v>
      </c>
      <c r="K162" s="607">
        <f t="shared" si="1"/>
        <v>1</v>
      </c>
      <c r="P162" s="685"/>
    </row>
    <row r="163" spans="1:16" s="607" customFormat="1" ht="18" customHeight="1">
      <c r="A163" s="826">
        <f>SUBTOTAL(3,B$6:B163)</f>
        <v>158</v>
      </c>
      <c r="B163" s="824" t="s">
        <v>1113</v>
      </c>
      <c r="C163" s="824" t="str">
        <f>+VLOOKUP(B163,'Salary sheet'!$B$6:$AX$1386,48,0)</f>
        <v>NGUYEN HOANG PHUONG THAO</v>
      </c>
      <c r="D163" s="824" t="str">
        <f>+VLOOKUP(B163,'Salary sheet'!$B$6:$BW$1386,49,0)</f>
        <v>050158450256</v>
      </c>
      <c r="E163" s="620">
        <f>+VLOOKUP(B163,'Salary sheet'!$B$6:$AT$1292,45,0)</f>
        <v>7756746</v>
      </c>
      <c r="F163" s="1029" t="s">
        <v>5723</v>
      </c>
      <c r="G163" s="824" t="str">
        <f>+VLOOKUP(B163,'Salary sheet'!$B$6:$E$2281,4,0)</f>
        <v>FACTORY A</v>
      </c>
      <c r="H163" s="607" t="str">
        <f>+VLOOKUP(B163,'Salary sheet'!$B$6:$AZ$1386,50,0)</f>
        <v>SK1 Box</v>
      </c>
      <c r="I163" s="607" t="str">
        <f t="shared" si="15"/>
        <v>C16462NGUYEN HOANG PHUONG THAO050158450256</v>
      </c>
      <c r="J163" s="853" t="str">
        <f>+VLOOKUP(B163,'[5]04 2025'!$B$2:$F$1371,5,0)</f>
        <v>C16462NGUYEN HOANG PHUONG THAO050158450256</v>
      </c>
      <c r="K163" s="607">
        <f t="shared" si="1"/>
        <v>1</v>
      </c>
      <c r="P163" s="685"/>
    </row>
    <row r="164" spans="1:16" s="607" customFormat="1" ht="18" customHeight="1">
      <c r="A164" s="826">
        <f>SUBTOTAL(3,B$6:B164)</f>
        <v>159</v>
      </c>
      <c r="B164" s="824" t="s">
        <v>1115</v>
      </c>
      <c r="C164" s="824" t="str">
        <f>+VLOOKUP(B164,'Salary sheet'!$B$6:$AX$1386,48,0)</f>
        <v>THI P LUOT</v>
      </c>
      <c r="D164" s="824" t="str">
        <f>+VLOOKUP(B164,'Salary sheet'!$B$6:$BW$1386,49,0)</f>
        <v>059101011998</v>
      </c>
      <c r="E164" s="620">
        <f>+VLOOKUP(B164,'Salary sheet'!$B$6:$AT$1292,45,0)</f>
        <v>6630849</v>
      </c>
      <c r="F164" s="1029" t="s">
        <v>5723</v>
      </c>
      <c r="G164" s="824" t="str">
        <f>+VLOOKUP(B164,'Salary sheet'!$B$6:$E$2281,4,0)</f>
        <v>FACTORY A</v>
      </c>
      <c r="H164" s="607" t="str">
        <f>+VLOOKUP(B164,'Salary sheet'!$B$6:$AZ$1386,50,0)</f>
        <v>SK1 Box</v>
      </c>
      <c r="I164" s="607" t="str">
        <f t="shared" si="15"/>
        <v>C16480THI P LUOT059101011998</v>
      </c>
      <c r="J164" s="853" t="str">
        <f>+VLOOKUP(B164,'[5]04 2025'!$B$2:$F$1371,5,0)</f>
        <v>C16480THI P LUOT059101011998</v>
      </c>
      <c r="K164" s="607">
        <f t="shared" si="1"/>
        <v>1</v>
      </c>
      <c r="P164" s="685"/>
    </row>
    <row r="165" spans="1:16" s="607" customFormat="1" ht="18" customHeight="1">
      <c r="A165" s="826">
        <f>SUBTOTAL(3,B$6:B165)</f>
        <v>160</v>
      </c>
      <c r="B165" s="824" t="s">
        <v>1117</v>
      </c>
      <c r="C165" s="824" t="str">
        <f>+VLOOKUP(B165,'Salary sheet'!$B$6:$AX$1386,48,0)</f>
        <v>NGUYEN THI THU THUY</v>
      </c>
      <c r="D165" s="824" t="str">
        <f>+VLOOKUP(B165,'Salary sheet'!$B$6:$BW$1386,49,0)</f>
        <v>050345900530</v>
      </c>
      <c r="E165" s="620">
        <f>+VLOOKUP(B165,'Salary sheet'!$B$6:$AT$1292,45,0)</f>
        <v>7615496</v>
      </c>
      <c r="F165" s="1029" t="s">
        <v>5723</v>
      </c>
      <c r="G165" s="824" t="str">
        <f>+VLOOKUP(B165,'Salary sheet'!$B$6:$E$2281,4,0)</f>
        <v>FACTORY A</v>
      </c>
      <c r="H165" s="607" t="str">
        <f>+VLOOKUP(B165,'Salary sheet'!$B$6:$AZ$1386,50,0)</f>
        <v>SK1 Box</v>
      </c>
      <c r="I165" s="607" t="str">
        <f t="shared" si="15"/>
        <v>C16518NGUYEN THI THU THUY050345900530</v>
      </c>
      <c r="J165" s="853" t="str">
        <f>+VLOOKUP(B165,'[5]04 2025'!$B$2:$F$1371,5,0)</f>
        <v>C16518NGUYEN THI THU THUY050345900530</v>
      </c>
      <c r="K165" s="607">
        <f t="shared" si="1"/>
        <v>1</v>
      </c>
      <c r="P165" s="685"/>
    </row>
    <row r="166" spans="1:16" s="607" customFormat="1" ht="18" customHeight="1">
      <c r="A166" s="826">
        <f>SUBTOTAL(3,B$6:B166)</f>
        <v>161</v>
      </c>
      <c r="B166" s="824" t="s">
        <v>1119</v>
      </c>
      <c r="C166" s="824" t="str">
        <f>+VLOOKUP(B166,'Salary sheet'!$B$6:$AX$1386,48,0)</f>
        <v>NGUYEN NGOC HANH</v>
      </c>
      <c r="D166" s="824" t="str">
        <f>+VLOOKUP(B166,'Salary sheet'!$B$6:$BW$1386,49,0)</f>
        <v>050117176255</v>
      </c>
      <c r="E166" s="620">
        <f>+VLOOKUP(B166,'Salary sheet'!$B$6:$AT$1292,45,0)</f>
        <v>8134285</v>
      </c>
      <c r="F166" s="1029" t="s">
        <v>5723</v>
      </c>
      <c r="G166" s="824" t="str">
        <f>+VLOOKUP(B166,'Salary sheet'!$B$6:$E$2281,4,0)</f>
        <v>FACTORY A</v>
      </c>
      <c r="H166" s="607" t="str">
        <f>+VLOOKUP(B166,'Salary sheet'!$B$6:$AZ$1386,50,0)</f>
        <v>SK1 Box</v>
      </c>
      <c r="I166" s="607" t="str">
        <f t="shared" si="15"/>
        <v>C16521NGUYEN NGOC HANH050117176255</v>
      </c>
      <c r="J166" s="853" t="str">
        <f>+VLOOKUP(B166,'[5]04 2025'!$B$2:$F$1371,5,0)</f>
        <v>C16521NGUYEN NGOC HANH050117176255</v>
      </c>
      <c r="K166" s="607">
        <f t="shared" si="1"/>
        <v>1</v>
      </c>
      <c r="P166" s="685"/>
    </row>
    <row r="167" spans="1:16" s="607" customFormat="1" ht="18" customHeight="1">
      <c r="A167" s="826">
        <f>SUBTOTAL(3,B$6:B167)</f>
        <v>162</v>
      </c>
      <c r="B167" s="824" t="s">
        <v>1121</v>
      </c>
      <c r="C167" s="824" t="str">
        <f>+VLOOKUP(B167,'Salary sheet'!$B$6:$AX$1386,48,0)</f>
        <v>THI TRINH</v>
      </c>
      <c r="D167" s="824" t="str">
        <f>+VLOOKUP(B167,'Salary sheet'!$B$6:$BW$1386,49,0)</f>
        <v>0359766121</v>
      </c>
      <c r="E167" s="620">
        <f>+VLOOKUP(B167,'Salary sheet'!$B$6:$AT$1292,45,0)</f>
        <v>6699237</v>
      </c>
      <c r="F167" s="1029" t="s">
        <v>5723</v>
      </c>
      <c r="G167" s="824" t="str">
        <f>+VLOOKUP(B167,'Salary sheet'!$B$6:$E$2281,4,0)</f>
        <v>FACTORY A</v>
      </c>
      <c r="H167" s="607" t="str">
        <f>+VLOOKUP(B167,'Salary sheet'!$B$6:$AZ$1386,50,0)</f>
        <v>SK1 Box</v>
      </c>
      <c r="I167" s="607" t="str">
        <f t="shared" si="15"/>
        <v>C16567THI TRINH0359766121</v>
      </c>
      <c r="J167" s="853" t="str">
        <f>+VLOOKUP(B167,'[5]04 2025'!$B$2:$F$1371,5,0)</f>
        <v>C16567THI TRINH0359766121</v>
      </c>
      <c r="K167" s="607">
        <f t="shared" si="1"/>
        <v>1</v>
      </c>
      <c r="P167" s="685"/>
    </row>
    <row r="168" spans="1:16" s="607" customFormat="1" ht="18" customHeight="1">
      <c r="A168" s="826">
        <f>SUBTOTAL(3,B$6:B168)</f>
        <v>163</v>
      </c>
      <c r="B168" s="824" t="s">
        <v>1123</v>
      </c>
      <c r="C168" s="824" t="str">
        <f>+VLOOKUP(B168,'Salary sheet'!$B$6:$AX$1386,48,0)</f>
        <v>DIEU THI DANG LY</v>
      </c>
      <c r="D168" s="824" t="str">
        <f>+VLOOKUP(B168,'Salary sheet'!$B$6:$BW$1386,49,0)</f>
        <v>050134666061</v>
      </c>
      <c r="E168" s="620">
        <f>+VLOOKUP(B168,'Salary sheet'!$B$6:$AT$1292,45,0)</f>
        <v>6906154</v>
      </c>
      <c r="F168" s="1029" t="s">
        <v>5723</v>
      </c>
      <c r="G168" s="824" t="str">
        <f>+VLOOKUP(B168,'Salary sheet'!$B$6:$E$2281,4,0)</f>
        <v>FACTORY A</v>
      </c>
      <c r="H168" s="607" t="str">
        <f>+VLOOKUP(B168,'Salary sheet'!$B$6:$AZ$1386,50,0)</f>
        <v>SK1 Box</v>
      </c>
      <c r="I168" s="607" t="str">
        <f t="shared" si="15"/>
        <v>C16569DIEU THI DANG LY050134666061</v>
      </c>
      <c r="J168" s="853" t="str">
        <f>+VLOOKUP(B168,'[5]04 2025'!$B$2:$F$1371,5,0)</f>
        <v>C16569DIEU THI DANG LY050134666061</v>
      </c>
      <c r="K168" s="607">
        <f t="shared" si="1"/>
        <v>1</v>
      </c>
      <c r="P168" s="685"/>
    </row>
    <row r="169" spans="1:16" s="607" customFormat="1" ht="18" customHeight="1">
      <c r="A169" s="826">
        <f>SUBTOTAL(3,B$6:B169)</f>
        <v>164</v>
      </c>
      <c r="B169" s="824" t="s">
        <v>5726</v>
      </c>
      <c r="C169" s="824" t="str">
        <f>+VLOOKUP(B169,'Salary sheet'!$B$6:$AX$1386,48,0)</f>
        <v>DANG THI THAO</v>
      </c>
      <c r="D169" s="824" t="str">
        <f>+VLOOKUP(B169,'Salary sheet'!$B$6:$BW$1386,49,0)</f>
        <v>050041500120</v>
      </c>
      <c r="E169" s="620">
        <f>+VLOOKUP(B169,'Salary sheet'!$B$6:$AT$1292,45,0)</f>
        <v>6558192</v>
      </c>
      <c r="F169" s="1029" t="s">
        <v>5723</v>
      </c>
      <c r="G169" s="824" t="str">
        <f>+VLOOKUP(B169,'Salary sheet'!$B$6:$E$2281,4,0)</f>
        <v>FACTORY A</v>
      </c>
      <c r="H169" s="607" t="str">
        <f>+VLOOKUP(B169,'Salary sheet'!$B$6:$AZ$1386,50,0)</f>
        <v>SK1 Box</v>
      </c>
      <c r="I169" s="607" t="str">
        <f t="shared" si="15"/>
        <v>C16582DANG THI THAO050041500120</v>
      </c>
      <c r="J169" s="853" t="str">
        <f>+VLOOKUP(B169,'[5]04 2025'!$B$2:$F$1371,5,0)</f>
        <v>C16582DANG THI THAO050041500120</v>
      </c>
      <c r="K169" s="607">
        <f t="shared" ref="K169:K232" si="16">+IF(J169=I169,1,0)</f>
        <v>1</v>
      </c>
      <c r="P169" s="685"/>
    </row>
    <row r="170" spans="1:16" s="607" customFormat="1" ht="18" customHeight="1">
      <c r="A170" s="826">
        <f>SUBTOTAL(3,B$6:B170)</f>
        <v>165</v>
      </c>
      <c r="B170" s="824" t="s">
        <v>5728</v>
      </c>
      <c r="C170" s="824" t="str">
        <f>+VLOOKUP(B170,'Salary sheet'!$B$6:$AX$1386,48,0)</f>
        <v>HO THI CHAC</v>
      </c>
      <c r="D170" s="824" t="str">
        <f>+VLOOKUP(B170,'Salary sheet'!$B$6:$BW$1386,49,0)</f>
        <v>056509091995</v>
      </c>
      <c r="E170" s="620">
        <f>+VLOOKUP(B170,'Salary sheet'!$B$6:$AT$1292,45,0)</f>
        <v>5674712</v>
      </c>
      <c r="F170" s="1029" t="s">
        <v>5723</v>
      </c>
      <c r="G170" s="824" t="str">
        <f>+VLOOKUP(B170,'Salary sheet'!$B$6:$E$2281,4,0)</f>
        <v>FACTORY A</v>
      </c>
      <c r="H170" s="607" t="str">
        <f>+VLOOKUP(B170,'Salary sheet'!$B$6:$AZ$1386,50,0)</f>
        <v>SK1 Box</v>
      </c>
      <c r="I170" s="607" t="str">
        <f t="shared" si="15"/>
        <v>C16589HO THI CHAC056509091995</v>
      </c>
      <c r="J170" s="853" t="str">
        <f>+VLOOKUP(B170,'[5]04 2025'!$B$2:$F$1371,5,0)</f>
        <v>C16589HO THI CHAC056509091995</v>
      </c>
      <c r="K170" s="607">
        <f t="shared" si="16"/>
        <v>1</v>
      </c>
      <c r="P170" s="685"/>
    </row>
    <row r="171" spans="1:16" s="607" customFormat="1" ht="18" customHeight="1">
      <c r="A171" s="826">
        <f>SUBTOTAL(3,B$6:B171)</f>
        <v>166</v>
      </c>
      <c r="B171" s="824" t="s">
        <v>5730</v>
      </c>
      <c r="C171" s="824" t="str">
        <f>+VLOOKUP(B171,'Salary sheet'!$B$6:$AX$1386,48,0)</f>
        <v>HO THI THAO VY</v>
      </c>
      <c r="D171" s="824" t="str">
        <f>+VLOOKUP(B171,'Salary sheet'!$B$6:$BW$1386,49,0)</f>
        <v>051127092005</v>
      </c>
      <c r="E171" s="620">
        <f>+VLOOKUP(B171,'Salary sheet'!$B$6:$AT$1292,45,0)</f>
        <v>3014861</v>
      </c>
      <c r="F171" s="1029" t="s">
        <v>5723</v>
      </c>
      <c r="G171" s="824" t="str">
        <f>+VLOOKUP(B171,'Salary sheet'!$B$6:$E$2281,4,0)</f>
        <v>FACTORY A</v>
      </c>
      <c r="H171" s="607" t="str">
        <f>+VLOOKUP(B171,'Salary sheet'!$B$6:$AZ$1386,50,0)</f>
        <v>SK1 Box</v>
      </c>
      <c r="I171" s="607" t="str">
        <f t="shared" si="15"/>
        <v>C16602HO THI THAO VY051127092005</v>
      </c>
      <c r="J171" s="853" t="str">
        <f>+VLOOKUP(B171,'[5]04 2025'!$B$2:$F$1371,5,0)</f>
        <v>C16602HO THI THAO VY051127092005</v>
      </c>
      <c r="K171" s="607">
        <f t="shared" si="16"/>
        <v>1</v>
      </c>
      <c r="P171" s="685"/>
    </row>
    <row r="172" spans="1:16" s="607" customFormat="1" ht="18" customHeight="1">
      <c r="A172" s="826">
        <f>SUBTOTAL(3,B$6:B172)</f>
        <v>167</v>
      </c>
      <c r="B172" s="824" t="s">
        <v>5732</v>
      </c>
      <c r="C172" s="824" t="str">
        <f>+VLOOKUP(B172,'Salary sheet'!$B$6:$AX$1386,48,0)</f>
        <v>NGUYEN VO KIM QUYEN</v>
      </c>
      <c r="D172" s="824" t="str">
        <f>+VLOOKUP(B172,'Salary sheet'!$B$6:$BW$1386,49,0)</f>
        <v>050156212811</v>
      </c>
      <c r="E172" s="620">
        <f>+VLOOKUP(B172,'Salary sheet'!$B$6:$AT$1292,45,0)</f>
        <v>3495842</v>
      </c>
      <c r="F172" s="1029" t="s">
        <v>5723</v>
      </c>
      <c r="G172" s="824" t="str">
        <f>+VLOOKUP(B172,'Salary sheet'!$B$6:$E$2281,4,0)</f>
        <v>FACTORY A</v>
      </c>
      <c r="H172" s="607" t="str">
        <f>+VLOOKUP(B172,'Salary sheet'!$B$6:$AZ$1386,50,0)</f>
        <v>SK1 Box</v>
      </c>
      <c r="I172" s="607" t="str">
        <f t="shared" si="15"/>
        <v>C16604NGUYEN VO KIM QUYEN050156212811</v>
      </c>
      <c r="J172" s="853" t="str">
        <f>+VLOOKUP(B172,'[5]04 2025'!$B$2:$F$1371,5,0)</f>
        <v>C16604NGUYEN VO KIM QUYEN050156212811</v>
      </c>
      <c r="K172" s="607">
        <f t="shared" si="16"/>
        <v>1</v>
      </c>
      <c r="P172" s="685"/>
    </row>
    <row r="173" spans="1:16" s="607" customFormat="1" ht="18" customHeight="1">
      <c r="A173" s="826">
        <f>SUBTOTAL(3,B$6:B173)</f>
        <v>168</v>
      </c>
      <c r="B173" s="824" t="s">
        <v>5734</v>
      </c>
      <c r="C173" s="824" t="str">
        <f>+VLOOKUP(B173,'Salary sheet'!$B$6:$AX$1386,48,0)</f>
        <v>VUONG PHUNG</v>
      </c>
      <c r="D173" s="824" t="str">
        <f>+VLOOKUP(B173,'Salary sheet'!$B$6:$BW$1386,49,0)</f>
        <v>050072373445</v>
      </c>
      <c r="E173" s="620">
        <f>+VLOOKUP(B173,'Salary sheet'!$B$6:$AT$1292,45,0)</f>
        <v>1414634</v>
      </c>
      <c r="F173" s="1029" t="s">
        <v>5723</v>
      </c>
      <c r="G173" s="824" t="str">
        <f>+VLOOKUP(B173,'Salary sheet'!$B$6:$E$2281,4,0)</f>
        <v>FACTORY A</v>
      </c>
      <c r="H173" s="607" t="str">
        <f>+VLOOKUP(B173,'Salary sheet'!$B$6:$AZ$1386,50,0)</f>
        <v>SK1 Box</v>
      </c>
      <c r="I173" s="607" t="str">
        <f t="shared" si="15"/>
        <v>C16628VUONG PHUNG050072373445</v>
      </c>
      <c r="J173" s="853" t="str">
        <f>+VLOOKUP(B173,'[5]04 2025'!$B$2:$F$1371,5,0)</f>
        <v>C16628VUONG PHUNG050072373445</v>
      </c>
      <c r="K173" s="607">
        <f t="shared" si="16"/>
        <v>1</v>
      </c>
      <c r="P173" s="685"/>
    </row>
    <row r="174" spans="1:16" s="607" customFormat="1" ht="18" customHeight="1">
      <c r="A174" s="826">
        <f>SUBTOTAL(3,B$6:B174)</f>
        <v>169</v>
      </c>
      <c r="B174" s="824" t="s">
        <v>1125</v>
      </c>
      <c r="C174" s="824" t="str">
        <f>+VLOOKUP(B174,'Salary sheet'!$B$6:$AX$1386,48,0)</f>
        <v>CHU THI LAN HUONG</v>
      </c>
      <c r="D174" s="824" t="str">
        <f>+VLOOKUP(B174,'Salary sheet'!$B$6:$BW$1386,49,0)</f>
        <v>050040933041</v>
      </c>
      <c r="E174" s="620">
        <f>+VLOOKUP(B174,'Salary sheet'!$B$6:$AT$1292,45,0)</f>
        <v>9058959</v>
      </c>
      <c r="F174" s="1029" t="s">
        <v>5723</v>
      </c>
      <c r="G174" s="824" t="str">
        <f>+VLOOKUP(B174,'Salary sheet'!$B$6:$E$2281,4,0)</f>
        <v>FACTORY A</v>
      </c>
      <c r="H174" s="607" t="str">
        <f>+VLOOKUP(B174,'Salary sheet'!$B$6:$AZ$1386,50,0)</f>
        <v>SK1 Box</v>
      </c>
      <c r="I174" s="607" t="str">
        <f t="shared" si="15"/>
        <v>C2007CHU THI LAN HUONG050040933041</v>
      </c>
      <c r="J174" s="853" t="str">
        <f>+VLOOKUP(B174,'[5]04 2025'!$B$2:$F$1371,5,0)</f>
        <v>C2007CHU THI LAN HUONG050040933041</v>
      </c>
      <c r="K174" s="607">
        <f t="shared" si="16"/>
        <v>1</v>
      </c>
      <c r="P174" s="685"/>
    </row>
    <row r="175" spans="1:16" s="607" customFormat="1" ht="18" customHeight="1">
      <c r="A175" s="826">
        <f>SUBTOTAL(3,B$6:B175)</f>
        <v>170</v>
      </c>
      <c r="B175" s="824" t="s">
        <v>1127</v>
      </c>
      <c r="C175" s="824" t="str">
        <f>+VLOOKUP(B175,'Salary sheet'!$B$6:$AX$1386,48,0)</f>
        <v>TRAN THI THANH TAM</v>
      </c>
      <c r="D175" s="824" t="str">
        <f>+VLOOKUP(B175,'Salary sheet'!$B$6:$BW$1386,49,0)</f>
        <v>050040935336</v>
      </c>
      <c r="E175" s="620">
        <f>+VLOOKUP(B175,'Salary sheet'!$B$6:$AT$1292,45,0)</f>
        <v>9645493</v>
      </c>
      <c r="F175" s="1029" t="s">
        <v>5723</v>
      </c>
      <c r="G175" s="824" t="str">
        <f>+VLOOKUP(B175,'Salary sheet'!$B$6:$E$2281,4,0)</f>
        <v>FACTORY A</v>
      </c>
      <c r="H175" s="607" t="str">
        <f>+VLOOKUP(B175,'Salary sheet'!$B$6:$AZ$1386,50,0)</f>
        <v>SK1 Box</v>
      </c>
      <c r="I175" s="607" t="str">
        <f t="shared" si="15"/>
        <v>C2328TRAN THI THANH TAM050040935336</v>
      </c>
      <c r="J175" s="853" t="str">
        <f>+VLOOKUP(B175,'[5]04 2025'!$B$2:$F$1371,5,0)</f>
        <v>C2328TRAN THI THANH TAM050040935336</v>
      </c>
      <c r="K175" s="607">
        <f t="shared" si="16"/>
        <v>1</v>
      </c>
      <c r="P175" s="685"/>
    </row>
    <row r="176" spans="1:16" s="607" customFormat="1" ht="18" customHeight="1">
      <c r="A176" s="826">
        <f>SUBTOTAL(3,B$6:B176)</f>
        <v>171</v>
      </c>
      <c r="B176" s="824" t="s">
        <v>1129</v>
      </c>
      <c r="C176" s="824" t="str">
        <f>+VLOOKUP(B176,'Salary sheet'!$B$6:$AX$1386,48,0)</f>
        <v>NGUYEN THI PHUONG</v>
      </c>
      <c r="D176" s="824" t="str">
        <f>+VLOOKUP(B176,'Salary sheet'!$B$6:$BW$1386,49,0)</f>
        <v>050040998559</v>
      </c>
      <c r="E176" s="620">
        <f>+VLOOKUP(B176,'Salary sheet'!$B$6:$AT$1292,45,0)</f>
        <v>9571597</v>
      </c>
      <c r="F176" s="1029" t="s">
        <v>5723</v>
      </c>
      <c r="G176" s="824" t="str">
        <f>+VLOOKUP(B176,'Salary sheet'!$B$6:$E$2281,4,0)</f>
        <v>FACTORY A</v>
      </c>
      <c r="H176" s="607" t="str">
        <f>+VLOOKUP(B176,'Salary sheet'!$B$6:$AZ$1386,50,0)</f>
        <v>SK1 Box</v>
      </c>
      <c r="I176" s="607" t="str">
        <f t="shared" si="15"/>
        <v>C3425NGUYEN THI PHUONG050040998559</v>
      </c>
      <c r="J176" s="853" t="str">
        <f>+VLOOKUP(B176,'[5]04 2025'!$B$2:$F$1371,5,0)</f>
        <v>C3425NGUYEN THI PHUONG050040998559</v>
      </c>
      <c r="K176" s="607">
        <f t="shared" si="16"/>
        <v>1</v>
      </c>
      <c r="P176" s="685"/>
    </row>
    <row r="177" spans="1:16" s="607" customFormat="1" ht="18" customHeight="1">
      <c r="A177" s="826">
        <f>SUBTOTAL(3,B$6:B177)</f>
        <v>172</v>
      </c>
      <c r="B177" s="824" t="s">
        <v>1131</v>
      </c>
      <c r="C177" s="824" t="str">
        <f>+VLOOKUP(B177,'Salary sheet'!$B$6:$AX$1386,48,0)</f>
        <v>NGO THI LUYEN</v>
      </c>
      <c r="D177" s="824" t="str">
        <f>+VLOOKUP(B177,'Salary sheet'!$B$6:$BW$1386,49,0)</f>
        <v>050040935239</v>
      </c>
      <c r="E177" s="620">
        <f>+VLOOKUP(B177,'Salary sheet'!$B$6:$AT$1292,45,0)</f>
        <v>10122704</v>
      </c>
      <c r="F177" s="1029" t="s">
        <v>5723</v>
      </c>
      <c r="G177" s="824" t="str">
        <f>+VLOOKUP(B177,'Salary sheet'!$B$6:$E$2281,4,0)</f>
        <v>FACTORY A</v>
      </c>
      <c r="H177" s="607" t="str">
        <f>+VLOOKUP(B177,'Salary sheet'!$B$6:$AZ$1386,50,0)</f>
        <v>SK1 Box</v>
      </c>
      <c r="I177" s="607" t="str">
        <f t="shared" si="15"/>
        <v>C5164NGO THI LUYEN050040935239</v>
      </c>
      <c r="J177" s="853" t="str">
        <f>+VLOOKUP(B177,'[5]04 2025'!$B$2:$F$1371,5,0)</f>
        <v>C5164NGO THI LUYEN050040935239</v>
      </c>
      <c r="K177" s="607">
        <f t="shared" si="16"/>
        <v>1</v>
      </c>
      <c r="P177" s="685"/>
    </row>
    <row r="178" spans="1:16" s="607" customFormat="1" ht="18" customHeight="1">
      <c r="A178" s="826">
        <f>SUBTOTAL(3,B$6:B178)</f>
        <v>173</v>
      </c>
      <c r="B178" s="824" t="s">
        <v>1133</v>
      </c>
      <c r="C178" s="824" t="str">
        <f>+VLOOKUP(B178,'Salary sheet'!$B$6:$AX$1386,48,0)</f>
        <v>NGUYEN THI LUONG</v>
      </c>
      <c r="D178" s="824" t="str">
        <f>+VLOOKUP(B178,'Salary sheet'!$B$6:$BW$1386,49,0)</f>
        <v>050040850551</v>
      </c>
      <c r="E178" s="620">
        <f>+VLOOKUP(B178,'Salary sheet'!$B$6:$AT$1292,45,0)</f>
        <v>8170563</v>
      </c>
      <c r="F178" s="1029" t="s">
        <v>5723</v>
      </c>
      <c r="G178" s="824" t="str">
        <f>+VLOOKUP(B178,'Salary sheet'!$B$6:$E$2281,4,0)</f>
        <v>FACTORY A</v>
      </c>
      <c r="H178" s="607" t="str">
        <f>+VLOOKUP(B178,'Salary sheet'!$B$6:$AZ$1386,50,0)</f>
        <v>SK1 Box</v>
      </c>
      <c r="I178" s="607" t="str">
        <f t="shared" si="15"/>
        <v>C5337NGUYEN THI LUONG050040850551</v>
      </c>
      <c r="J178" s="853" t="str">
        <f>+VLOOKUP(B178,'[5]04 2025'!$B$2:$F$1371,5,0)</f>
        <v>C5337NGUYEN THI LUONG050040850551</v>
      </c>
      <c r="K178" s="607">
        <f t="shared" si="16"/>
        <v>1</v>
      </c>
      <c r="P178" s="685"/>
    </row>
    <row r="179" spans="1:16" s="607" customFormat="1" ht="18" customHeight="1">
      <c r="A179" s="826">
        <f>SUBTOTAL(3,B$6:B179)</f>
        <v>174</v>
      </c>
      <c r="B179" s="824" t="s">
        <v>1135</v>
      </c>
      <c r="C179" s="824" t="str">
        <f>+VLOOKUP(B179,'Salary sheet'!$B$6:$AX$1386,48,0)</f>
        <v>LE THI HIEN</v>
      </c>
      <c r="D179" s="824" t="str">
        <f>+VLOOKUP(B179,'Salary sheet'!$B$6:$BW$1386,49,0)</f>
        <v>050040935506</v>
      </c>
      <c r="E179" s="620">
        <f>+VLOOKUP(B179,'Salary sheet'!$B$6:$AT$1292,45,0)</f>
        <v>9314401</v>
      </c>
      <c r="F179" s="1029" t="s">
        <v>5723</v>
      </c>
      <c r="G179" s="824" t="str">
        <f>+VLOOKUP(B179,'Salary sheet'!$B$6:$E$2281,4,0)</f>
        <v>FACTORY A</v>
      </c>
      <c r="H179" s="607" t="str">
        <f>+VLOOKUP(B179,'Salary sheet'!$B$6:$AZ$1386,50,0)</f>
        <v>SK1 Box</v>
      </c>
      <c r="I179" s="607" t="str">
        <f t="shared" si="15"/>
        <v>C5619LE THI HIEN050040935506</v>
      </c>
      <c r="J179" s="853" t="str">
        <f>+VLOOKUP(B179,'[5]04 2025'!$B$2:$F$1371,5,0)</f>
        <v>C5619LE THI HIEN050040935506</v>
      </c>
      <c r="K179" s="607">
        <f t="shared" si="16"/>
        <v>1</v>
      </c>
      <c r="P179" s="685"/>
    </row>
    <row r="180" spans="1:16" s="607" customFormat="1" ht="18" customHeight="1">
      <c r="A180" s="826">
        <f>SUBTOTAL(3,B$6:B180)</f>
        <v>175</v>
      </c>
      <c r="B180" s="824" t="s">
        <v>1137</v>
      </c>
      <c r="C180" s="824" t="str">
        <f>+VLOOKUP(B180,'Salary sheet'!$B$6:$AX$1386,48,0)</f>
        <v>NGUYEN THI NGOC LUA</v>
      </c>
      <c r="D180" s="824" t="str">
        <f>+VLOOKUP(B180,'Salary sheet'!$B$6:$BW$1386,49,0)</f>
        <v>050040935603</v>
      </c>
      <c r="E180" s="620">
        <f>+VLOOKUP(B180,'Salary sheet'!$B$6:$AT$1292,45,0)</f>
        <v>7729115</v>
      </c>
      <c r="F180" s="1029" t="s">
        <v>5723</v>
      </c>
      <c r="G180" s="824" t="str">
        <f>+VLOOKUP(B180,'Salary sheet'!$B$6:$E$2281,4,0)</f>
        <v>FACTORY A</v>
      </c>
      <c r="H180" s="607" t="str">
        <f>+VLOOKUP(B180,'Salary sheet'!$B$6:$AZ$1386,50,0)</f>
        <v>SK1 Box</v>
      </c>
      <c r="I180" s="607" t="str">
        <f t="shared" si="15"/>
        <v>C5625NGUYEN THI NGOC LUA050040935603</v>
      </c>
      <c r="J180" s="853" t="str">
        <f>+VLOOKUP(B180,'[5]04 2025'!$B$2:$F$1371,5,0)</f>
        <v>C5625NGUYEN THI NGOC LUA050040935603</v>
      </c>
      <c r="K180" s="607">
        <f t="shared" si="16"/>
        <v>1</v>
      </c>
      <c r="P180" s="685"/>
    </row>
    <row r="181" spans="1:16" s="607" customFormat="1" ht="18" customHeight="1">
      <c r="A181" s="826">
        <f>SUBTOTAL(3,B$6:B181)</f>
        <v>176</v>
      </c>
      <c r="B181" s="824" t="s">
        <v>1139</v>
      </c>
      <c r="C181" s="824" t="str">
        <f>+VLOOKUP(B181,'Salary sheet'!$B$6:$AX$1386,48,0)</f>
        <v>TRAN THANH THAO</v>
      </c>
      <c r="D181" s="824" t="str">
        <f>+VLOOKUP(B181,'Salary sheet'!$B$6:$BW$1386,49,0)</f>
        <v>050040935115</v>
      </c>
      <c r="E181" s="620">
        <f>+VLOOKUP(B181,'Salary sheet'!$B$6:$AT$1292,45,0)</f>
        <v>6634184</v>
      </c>
      <c r="F181" s="1029" t="s">
        <v>5723</v>
      </c>
      <c r="G181" s="824" t="str">
        <f>+VLOOKUP(B181,'Salary sheet'!$B$6:$E$2281,4,0)</f>
        <v>FACTORY A</v>
      </c>
      <c r="H181" s="607" t="str">
        <f>+VLOOKUP(B181,'Salary sheet'!$B$6:$AZ$1386,50,0)</f>
        <v>SK1 Box</v>
      </c>
      <c r="I181" s="607" t="str">
        <f t="shared" si="15"/>
        <v>C5790TRAN THANH THAO050040935115</v>
      </c>
      <c r="J181" s="853" t="str">
        <f>+VLOOKUP(B181,'[5]04 2025'!$B$2:$F$1371,5,0)</f>
        <v>C5790TRAN THANH THAO050040935115</v>
      </c>
      <c r="K181" s="607">
        <f t="shared" si="16"/>
        <v>1</v>
      </c>
      <c r="P181" s="685"/>
    </row>
    <row r="182" spans="1:16" s="607" customFormat="1" ht="18" customHeight="1">
      <c r="A182" s="826">
        <f>SUBTOTAL(3,B$6:B182)</f>
        <v>177</v>
      </c>
      <c r="B182" s="824" t="s">
        <v>5736</v>
      </c>
      <c r="C182" s="824" t="str">
        <f>+VLOOKUP(B182,'Salary sheet'!$B$6:$AX$1386,48,0)</f>
        <v>NGUYEN THI THANH XUAN</v>
      </c>
      <c r="D182" s="824" t="str">
        <f>+VLOOKUP(B182,'Salary sheet'!$B$6:$BW$1386,49,0)</f>
        <v>050040934127</v>
      </c>
      <c r="E182" s="620">
        <f>+VLOOKUP(B182,'Salary sheet'!$B$6:$AT$1292,45,0)</f>
        <v>663323</v>
      </c>
      <c r="F182" s="1029" t="s">
        <v>5723</v>
      </c>
      <c r="G182" s="824" t="str">
        <f>+VLOOKUP(B182,'Salary sheet'!$B$6:$E$2281,4,0)</f>
        <v>FACTORY A</v>
      </c>
      <c r="H182" s="607" t="str">
        <f>+VLOOKUP(B182,'Salary sheet'!$B$6:$AZ$1386,50,0)</f>
        <v>SK1 Box</v>
      </c>
      <c r="I182" s="607" t="str">
        <f t="shared" si="15"/>
        <v>C6162NGUYEN THI THANH XUAN050040934127</v>
      </c>
      <c r="J182" s="853" t="str">
        <f>+VLOOKUP(B182,'[5]04 2025'!$B$2:$F$1371,5,0)</f>
        <v>C6162NGUYEN THI THANH XUAN050040934127</v>
      </c>
      <c r="K182" s="607">
        <f t="shared" si="16"/>
        <v>1</v>
      </c>
      <c r="P182" s="685"/>
    </row>
    <row r="183" spans="1:16" s="607" customFormat="1" ht="18" customHeight="1">
      <c r="A183" s="826">
        <f>SUBTOTAL(3,B$6:B183)</f>
        <v>178</v>
      </c>
      <c r="B183" s="824" t="s">
        <v>1141</v>
      </c>
      <c r="C183" s="824" t="str">
        <f>+VLOOKUP(B183,'Salary sheet'!$B$6:$AX$1386,48,0)</f>
        <v>PHAM THI THANH TRANG</v>
      </c>
      <c r="D183" s="824" t="str">
        <f>+VLOOKUP(B183,'Salary sheet'!$B$6:$BW$1386,49,0)</f>
        <v>050040851957</v>
      </c>
      <c r="E183" s="620">
        <f>+VLOOKUP(B183,'Salary sheet'!$B$6:$AT$1292,45,0)</f>
        <v>10572207</v>
      </c>
      <c r="F183" s="1029" t="s">
        <v>5723</v>
      </c>
      <c r="G183" s="824" t="str">
        <f>+VLOOKUP(B183,'Salary sheet'!$B$6:$E$2281,4,0)</f>
        <v>FACTORY A</v>
      </c>
      <c r="H183" s="607" t="str">
        <f>+VLOOKUP(B183,'Salary sheet'!$B$6:$AZ$1386,50,0)</f>
        <v>SK1 Box</v>
      </c>
      <c r="I183" s="607" t="str">
        <f t="shared" si="15"/>
        <v>C6372PHAM THI THANH TRANG050040851957</v>
      </c>
      <c r="J183" s="853" t="str">
        <f>+VLOOKUP(B183,'[5]04 2025'!$B$2:$F$1371,5,0)</f>
        <v>C6372PHAM THI THANH TRANG050040851957</v>
      </c>
      <c r="K183" s="607">
        <f t="shared" si="16"/>
        <v>1</v>
      </c>
      <c r="P183" s="685"/>
    </row>
    <row r="184" spans="1:16" s="607" customFormat="1" ht="18" customHeight="1">
      <c r="A184" s="826">
        <f>SUBTOTAL(3,B$6:B184)</f>
        <v>179</v>
      </c>
      <c r="B184" s="824" t="s">
        <v>1143</v>
      </c>
      <c r="C184" s="824" t="str">
        <f>+VLOOKUP(B184,'Salary sheet'!$B$6:$AX$1386,48,0)</f>
        <v>NGUYEN THI DIEP TRINH</v>
      </c>
      <c r="D184" s="824" t="str">
        <f>+VLOOKUP(B184,'Salary sheet'!$B$6:$BW$1386,49,0)</f>
        <v>050059877434</v>
      </c>
      <c r="E184" s="620">
        <f>+VLOOKUP(B184,'Salary sheet'!$B$6:$AT$1292,45,0)</f>
        <v>9093527</v>
      </c>
      <c r="F184" s="1029" t="s">
        <v>5723</v>
      </c>
      <c r="G184" s="824" t="str">
        <f>+VLOOKUP(B184,'Salary sheet'!$B$6:$E$2281,4,0)</f>
        <v>FACTORY A</v>
      </c>
      <c r="H184" s="607" t="str">
        <f>+VLOOKUP(B184,'Salary sheet'!$B$6:$AZ$1386,50,0)</f>
        <v>SK1 Box</v>
      </c>
      <c r="I184" s="607" t="str">
        <f t="shared" si="12"/>
        <v>C6763NGUYEN THI DIEP TRINH050059877434</v>
      </c>
      <c r="J184" s="853" t="str">
        <f>+VLOOKUP(B184,'[5]04 2025'!$B$2:$F$1371,5,0)</f>
        <v>C6763NGUYEN THI DIEP TRINH050059877434</v>
      </c>
      <c r="K184" s="607">
        <f t="shared" si="16"/>
        <v>1</v>
      </c>
      <c r="P184" s="685"/>
    </row>
    <row r="185" spans="1:16" s="607" customFormat="1" ht="18" customHeight="1">
      <c r="A185" s="826">
        <f>SUBTOTAL(3,B$6:B185)</f>
        <v>180</v>
      </c>
      <c r="B185" s="824" t="s">
        <v>1145</v>
      </c>
      <c r="C185" s="824" t="str">
        <f>+VLOOKUP(B185,'Salary sheet'!$B$6:$AX$1386,48,0)</f>
        <v>THI YEN</v>
      </c>
      <c r="D185" s="824" t="str">
        <f>+VLOOKUP(B185,'Salary sheet'!$B$6:$BW$1386,49,0)</f>
        <v>050075311971</v>
      </c>
      <c r="E185" s="620">
        <f>+VLOOKUP(B185,'Salary sheet'!$B$6:$AT$1292,45,0)</f>
        <v>9442122</v>
      </c>
      <c r="F185" s="1029" t="s">
        <v>5723</v>
      </c>
      <c r="G185" s="824" t="str">
        <f>+VLOOKUP(B185,'Salary sheet'!$B$6:$E$2281,4,0)</f>
        <v>FACTORY A</v>
      </c>
      <c r="H185" s="607" t="str">
        <f>+VLOOKUP(B185,'Salary sheet'!$B$6:$AZ$1386,50,0)</f>
        <v>SK1 Box</v>
      </c>
      <c r="I185" s="607" t="str">
        <f t="shared" si="12"/>
        <v>C6889THI YEN050075311971</v>
      </c>
      <c r="J185" s="853" t="str">
        <f>+VLOOKUP(B185,'[5]04 2025'!$B$2:$F$1371,5,0)</f>
        <v>C6889THI YEN050075311971</v>
      </c>
      <c r="K185" s="607">
        <f t="shared" si="16"/>
        <v>1</v>
      </c>
      <c r="P185" s="685"/>
    </row>
    <row r="186" spans="1:16" s="607" customFormat="1" ht="18" customHeight="1">
      <c r="A186" s="826">
        <f>SUBTOTAL(3,B$6:B186)</f>
        <v>181</v>
      </c>
      <c r="B186" s="824" t="s">
        <v>1147</v>
      </c>
      <c r="C186" s="824" t="str">
        <f>+VLOOKUP(B186,'Salary sheet'!$B$6:$AX$1386,48,0)</f>
        <v>TRAN VAN TUONG</v>
      </c>
      <c r="D186" s="824" t="str">
        <f>+VLOOKUP(B186,'Salary sheet'!$B$6:$BW$1386,49,0)</f>
        <v>050090473600</v>
      </c>
      <c r="E186" s="620">
        <f>+VLOOKUP(B186,'Salary sheet'!$B$6:$AT$1292,45,0)</f>
        <v>9016038</v>
      </c>
      <c r="F186" s="1029" t="s">
        <v>5723</v>
      </c>
      <c r="G186" s="824" t="str">
        <f>+VLOOKUP(B186,'Salary sheet'!$B$6:$E$2281,4,0)</f>
        <v>FACTORY A</v>
      </c>
      <c r="H186" s="607" t="str">
        <f>+VLOOKUP(B186,'Salary sheet'!$B$6:$AZ$1386,50,0)</f>
        <v>SK1 Box</v>
      </c>
      <c r="I186" s="607" t="str">
        <f t="shared" si="12"/>
        <v>C7256TRAN VAN TUONG050090473600</v>
      </c>
      <c r="J186" s="853" t="str">
        <f>+VLOOKUP(B186,'[5]04 2025'!$B$2:$F$1371,5,0)</f>
        <v>C7256TRAN VAN TUONG050090473600</v>
      </c>
      <c r="K186" s="607">
        <f t="shared" si="16"/>
        <v>1</v>
      </c>
      <c r="P186" s="685"/>
    </row>
    <row r="187" spans="1:16" s="607" customFormat="1" ht="18" customHeight="1">
      <c r="A187" s="826">
        <f>SUBTOTAL(3,B$6:B187)</f>
        <v>182</v>
      </c>
      <c r="B187" s="824" t="s">
        <v>1149</v>
      </c>
      <c r="C187" s="824" t="str">
        <f>+VLOOKUP(B187,'Salary sheet'!$B$6:$AX$1386,48,0)</f>
        <v>LE THI KIM TUYEN</v>
      </c>
      <c r="D187" s="824" t="str">
        <f>+VLOOKUP(B187,'Salary sheet'!$B$6:$BW$1386,49,0)</f>
        <v>050103659512</v>
      </c>
      <c r="E187" s="620">
        <f>+VLOOKUP(B187,'Salary sheet'!$B$6:$AT$1292,45,0)</f>
        <v>9036148</v>
      </c>
      <c r="F187" s="1029" t="s">
        <v>5723</v>
      </c>
      <c r="G187" s="824" t="str">
        <f>+VLOOKUP(B187,'Salary sheet'!$B$6:$E$2281,4,0)</f>
        <v>FACTORY A</v>
      </c>
      <c r="H187" s="607" t="str">
        <f>+VLOOKUP(B187,'Salary sheet'!$B$6:$AZ$1386,50,0)</f>
        <v>SK1 Box</v>
      </c>
      <c r="I187" s="607" t="str">
        <f t="shared" si="12"/>
        <v>C7757LE THI KIM TUYEN050103659512</v>
      </c>
      <c r="J187" s="853" t="str">
        <f>+VLOOKUP(B187,'[5]04 2025'!$B$2:$F$1371,5,0)</f>
        <v>C7757LE THI KIM TUYEN050103659512</v>
      </c>
      <c r="K187" s="607">
        <f t="shared" si="16"/>
        <v>1</v>
      </c>
      <c r="P187" s="685"/>
    </row>
    <row r="188" spans="1:16" s="607" customFormat="1" ht="18" customHeight="1">
      <c r="A188" s="826">
        <f>SUBTOTAL(3,B$6:B188)</f>
        <v>183</v>
      </c>
      <c r="B188" s="824" t="s">
        <v>1151</v>
      </c>
      <c r="C188" s="824" t="str">
        <f>+VLOOKUP(B188,'Salary sheet'!$B$6:$AX$1386,48,0)</f>
        <v>VU THI LUNG</v>
      </c>
      <c r="D188" s="824" t="str">
        <f>+VLOOKUP(B188,'Salary sheet'!$B$6:$BW$1386,49,0)</f>
        <v>050040935395</v>
      </c>
      <c r="E188" s="620">
        <f>+VLOOKUP(B188,'Salary sheet'!$B$6:$AT$1292,45,0)</f>
        <v>9259863</v>
      </c>
      <c r="F188" s="1029" t="s">
        <v>5723</v>
      </c>
      <c r="G188" s="824" t="str">
        <f>+VLOOKUP(B188,'Salary sheet'!$B$6:$E$2281,4,0)</f>
        <v>FACTORY A</v>
      </c>
      <c r="H188" s="607" t="str">
        <f>+VLOOKUP(B188,'Salary sheet'!$B$6:$AZ$1386,50,0)</f>
        <v>SK1 Box</v>
      </c>
      <c r="I188" s="607" t="str">
        <f t="shared" si="12"/>
        <v>C0871VU THI LUNG050040935395</v>
      </c>
      <c r="J188" s="853" t="str">
        <f>+VLOOKUP(B188,'[5]04 2025'!$B$2:$F$1371,5,0)</f>
        <v>C0871VU THI LUNG050040935395</v>
      </c>
      <c r="K188" s="607">
        <f t="shared" si="16"/>
        <v>1</v>
      </c>
      <c r="P188" s="685"/>
    </row>
    <row r="189" spans="1:16" s="607" customFormat="1" ht="18" customHeight="1">
      <c r="A189" s="826">
        <f>SUBTOTAL(3,B$6:B189)</f>
        <v>184</v>
      </c>
      <c r="B189" s="824" t="s">
        <v>1153</v>
      </c>
      <c r="C189" s="824" t="str">
        <f>+VLOOKUP(B189,'Salary sheet'!$B$6:$AX$1386,48,0)</f>
        <v>NGUYEN THI PHUONG</v>
      </c>
      <c r="D189" s="824" t="str">
        <f>+VLOOKUP(B189,'Salary sheet'!$B$6:$BW$1386,49,0)</f>
        <v>050079625660</v>
      </c>
      <c r="E189" s="620">
        <f>+VLOOKUP(B189,'Salary sheet'!$B$6:$AT$1292,45,0)</f>
        <v>9089450</v>
      </c>
      <c r="F189" s="1029" t="s">
        <v>5723</v>
      </c>
      <c r="G189" s="824" t="str">
        <f>+VLOOKUP(B189,'Salary sheet'!$B$6:$E$2281,4,0)</f>
        <v>FACTORY A</v>
      </c>
      <c r="H189" s="607" t="str">
        <f>+VLOOKUP(B189,'Salary sheet'!$B$6:$AZ$1386,50,0)</f>
        <v>SK1 Box</v>
      </c>
      <c r="I189" s="607" t="str">
        <f t="shared" si="12"/>
        <v>C10608NGUYEN THI PHUONG050079625660</v>
      </c>
      <c r="J189" s="853" t="str">
        <f>+VLOOKUP(B189,'[5]04 2025'!$B$2:$F$1371,5,0)</f>
        <v>C10608NGUYEN THI PHUONG050079625660</v>
      </c>
      <c r="K189" s="607">
        <f t="shared" si="16"/>
        <v>1</v>
      </c>
      <c r="P189" s="685"/>
    </row>
    <row r="190" spans="1:16" s="607" customFormat="1" ht="18" customHeight="1">
      <c r="A190" s="826">
        <f>SUBTOTAL(3,B$6:B190)</f>
        <v>185</v>
      </c>
      <c r="B190" s="824" t="s">
        <v>1155</v>
      </c>
      <c r="C190" s="824" t="str">
        <f>+VLOOKUP(B190,'Salary sheet'!$B$6:$AX$1386,48,0)</f>
        <v>KIEU MINH TAM</v>
      </c>
      <c r="D190" s="824" t="str">
        <f>+VLOOKUP(B190,'Salary sheet'!$B$6:$BW$1386,49,0)</f>
        <v>050110754199</v>
      </c>
      <c r="E190" s="620">
        <f>+VLOOKUP(B190,'Salary sheet'!$B$6:$AT$1292,45,0)</f>
        <v>12150250</v>
      </c>
      <c r="F190" s="1029" t="s">
        <v>5723</v>
      </c>
      <c r="G190" s="824" t="str">
        <f>+VLOOKUP(B190,'Salary sheet'!$B$6:$E$2281,4,0)</f>
        <v>FACTORY A</v>
      </c>
      <c r="H190" s="607" t="str">
        <f>+VLOOKUP(B190,'Salary sheet'!$B$6:$AZ$1386,50,0)</f>
        <v>SK1 Box</v>
      </c>
      <c r="I190" s="607" t="str">
        <f t="shared" si="12"/>
        <v>C11011KIEU MINH TAM050110754199</v>
      </c>
      <c r="J190" s="853" t="str">
        <f>+VLOOKUP(B190,'[5]04 2025'!$B$2:$F$1371,5,0)</f>
        <v>C11011KIEU MINH TAM050110754199</v>
      </c>
      <c r="K190" s="607">
        <f t="shared" si="16"/>
        <v>1</v>
      </c>
      <c r="P190" s="685"/>
    </row>
    <row r="191" spans="1:16" s="607" customFormat="1" ht="18" customHeight="1">
      <c r="A191" s="826">
        <f>SUBTOTAL(3,B$6:B191)</f>
        <v>186</v>
      </c>
      <c r="B191" s="824" t="s">
        <v>1157</v>
      </c>
      <c r="C191" s="824" t="str">
        <f>+VLOOKUP(B191,'Salary sheet'!$B$6:$AX$1386,48,0)</f>
        <v>TRAN THI HAI VAN</v>
      </c>
      <c r="D191" s="824" t="str">
        <f>+VLOOKUP(B191,'Salary sheet'!$B$6:$BW$1386,49,0)</f>
        <v>050059823970</v>
      </c>
      <c r="E191" s="620">
        <f>+VLOOKUP(B191,'Salary sheet'!$B$6:$AT$1292,45,0)</f>
        <v>9385964</v>
      </c>
      <c r="F191" s="1029" t="s">
        <v>5723</v>
      </c>
      <c r="G191" s="824" t="str">
        <f>+VLOOKUP(B191,'Salary sheet'!$B$6:$E$2281,4,0)</f>
        <v>FACTORY A</v>
      </c>
      <c r="H191" s="607" t="str">
        <f>+VLOOKUP(B191,'Salary sheet'!$B$6:$AZ$1386,50,0)</f>
        <v>SK1 Box</v>
      </c>
      <c r="I191" s="607" t="str">
        <f t="shared" si="12"/>
        <v>C11167TRAN THI HAI VAN050059823970</v>
      </c>
      <c r="J191" s="853" t="str">
        <f>+VLOOKUP(B191,'[5]04 2025'!$B$2:$F$1371,5,0)</f>
        <v>C11167TRAN THI HAI VAN050059823970</v>
      </c>
      <c r="K191" s="607">
        <f t="shared" si="16"/>
        <v>1</v>
      </c>
      <c r="P191" s="685"/>
    </row>
    <row r="192" spans="1:16" s="607" customFormat="1" ht="18" customHeight="1">
      <c r="A192" s="826">
        <f>SUBTOTAL(3,B$6:B192)</f>
        <v>187</v>
      </c>
      <c r="B192" s="824" t="s">
        <v>1159</v>
      </c>
      <c r="C192" s="824" t="str">
        <f>+VLOOKUP(B192,'Salary sheet'!$B$6:$AX$1386,48,0)</f>
        <v>TANG VAN TRUONG</v>
      </c>
      <c r="D192" s="824" t="str">
        <f>+VLOOKUP(B192,'Salary sheet'!$B$6:$BW$1386,49,0)</f>
        <v>050102264719</v>
      </c>
      <c r="E192" s="620">
        <f>+VLOOKUP(B192,'Salary sheet'!$B$6:$AT$1292,45,0)</f>
        <v>12163098</v>
      </c>
      <c r="F192" s="1029" t="s">
        <v>5723</v>
      </c>
      <c r="G192" s="824" t="str">
        <f>+VLOOKUP(B192,'Salary sheet'!$B$6:$E$2281,4,0)</f>
        <v>FACTORY A</v>
      </c>
      <c r="H192" s="607" t="str">
        <f>+VLOOKUP(B192,'Salary sheet'!$B$6:$AZ$1386,50,0)</f>
        <v>SK1 Box</v>
      </c>
      <c r="I192" s="607" t="str">
        <f t="shared" si="12"/>
        <v>C11168TANG VAN TRUONG050102264719</v>
      </c>
      <c r="J192" s="853" t="str">
        <f>+VLOOKUP(B192,'[5]04 2025'!$B$2:$F$1371,5,0)</f>
        <v>C11168TANG VAN TRUONG050102264719</v>
      </c>
      <c r="K192" s="607">
        <f t="shared" si="16"/>
        <v>1</v>
      </c>
      <c r="P192" s="685"/>
    </row>
    <row r="193" spans="1:16" s="607" customFormat="1" ht="18" customHeight="1">
      <c r="A193" s="826">
        <f>SUBTOTAL(3,B$6:B193)</f>
        <v>188</v>
      </c>
      <c r="B193" s="824" t="s">
        <v>1161</v>
      </c>
      <c r="C193" s="824" t="str">
        <f>+VLOOKUP(B193,'Salary sheet'!$B$6:$AX$1386,48,0)</f>
        <v>KIM VIET</v>
      </c>
      <c r="D193" s="824" t="str">
        <f>+VLOOKUP(B193,'Salary sheet'!$B$6:$BW$1386,49,0)</f>
        <v>050102703054</v>
      </c>
      <c r="E193" s="620">
        <f>+VLOOKUP(B193,'Salary sheet'!$B$6:$AT$1292,45,0)</f>
        <v>7242077</v>
      </c>
      <c r="F193" s="1029" t="s">
        <v>5723</v>
      </c>
      <c r="G193" s="824" t="str">
        <f>+VLOOKUP(B193,'Salary sheet'!$B$6:$E$2281,4,0)</f>
        <v>FACTORY A</v>
      </c>
      <c r="H193" s="607" t="str">
        <f>+VLOOKUP(B193,'Salary sheet'!$B$6:$AZ$1386,50,0)</f>
        <v>SK1 Box</v>
      </c>
      <c r="I193" s="607" t="str">
        <f t="shared" si="12"/>
        <v>C12698KIM VIET050102703054</v>
      </c>
      <c r="J193" s="853" t="str">
        <f>+VLOOKUP(B193,'[5]04 2025'!$B$2:$F$1371,5,0)</f>
        <v>C12698KIM VIET050102703054</v>
      </c>
      <c r="K193" s="607">
        <f t="shared" si="16"/>
        <v>1</v>
      </c>
      <c r="P193" s="685"/>
    </row>
    <row r="194" spans="1:16" s="607" customFormat="1" ht="18" customHeight="1">
      <c r="A194" s="826">
        <f>SUBTOTAL(3,B$6:B194)</f>
        <v>189</v>
      </c>
      <c r="B194" s="824" t="s">
        <v>1164</v>
      </c>
      <c r="C194" s="824" t="str">
        <f>+VLOOKUP(B194,'Salary sheet'!$B$6:$AX$1386,48,0)</f>
        <v>VU NGOC BE</v>
      </c>
      <c r="D194" s="824" t="str">
        <f>+VLOOKUP(B194,'Salary sheet'!$B$6:$BW$1386,49,0)</f>
        <v>050069057060</v>
      </c>
      <c r="E194" s="620">
        <f>+VLOOKUP(B194,'Salary sheet'!$B$6:$AT$1292,45,0)</f>
        <v>6149297</v>
      </c>
      <c r="F194" s="1029" t="s">
        <v>5723</v>
      </c>
      <c r="G194" s="824" t="str">
        <f>+VLOOKUP(B194,'Salary sheet'!$B$6:$E$2281,4,0)</f>
        <v>FACTORY A</v>
      </c>
      <c r="H194" s="607" t="str">
        <f>+VLOOKUP(B194,'Salary sheet'!$B$6:$AZ$1386,50,0)</f>
        <v>SK1 Box</v>
      </c>
      <c r="I194" s="607" t="str">
        <f t="shared" si="12"/>
        <v>C13367VU NGOC BE050069057060</v>
      </c>
      <c r="J194" s="853" t="str">
        <f>+VLOOKUP(B194,'[5]04 2025'!$B$2:$F$1371,5,0)</f>
        <v>C13367VU NGOC BE050069057060</v>
      </c>
      <c r="K194" s="607">
        <f t="shared" si="16"/>
        <v>1</v>
      </c>
      <c r="P194" s="685"/>
    </row>
    <row r="195" spans="1:16" s="607" customFormat="1" ht="18" customHeight="1">
      <c r="A195" s="826">
        <f>SUBTOTAL(3,B$6:B195)</f>
        <v>190</v>
      </c>
      <c r="B195" s="824" t="s">
        <v>1166</v>
      </c>
      <c r="C195" s="824" t="str">
        <f>+VLOOKUP(B195,'Salary sheet'!$B$6:$AX$1386,48,0)</f>
        <v>LE NGOC DIEM</v>
      </c>
      <c r="D195" s="824" t="str">
        <f>+VLOOKUP(B195,'Salary sheet'!$B$6:$BW$1386,49,0)</f>
        <v>050132152303</v>
      </c>
      <c r="E195" s="620">
        <f>+VLOOKUP(B195,'Salary sheet'!$B$6:$AT$1292,45,0)</f>
        <v>9419450</v>
      </c>
      <c r="F195" s="1029" t="s">
        <v>5723</v>
      </c>
      <c r="G195" s="824" t="str">
        <f>+VLOOKUP(B195,'Salary sheet'!$B$6:$E$2281,4,0)</f>
        <v>FACTORY A</v>
      </c>
      <c r="H195" s="607" t="str">
        <f>+VLOOKUP(B195,'Salary sheet'!$B$6:$AZ$1386,50,0)</f>
        <v>SK1 Box</v>
      </c>
      <c r="I195" s="607" t="str">
        <f t="shared" si="12"/>
        <v>C14224LE NGOC DIEM050132152303</v>
      </c>
      <c r="J195" s="853" t="str">
        <f>+VLOOKUP(B195,'[5]04 2025'!$B$2:$F$1371,5,0)</f>
        <v>C14224LE NGOC DIEM050132152303</v>
      </c>
      <c r="K195" s="607">
        <f t="shared" si="16"/>
        <v>1</v>
      </c>
      <c r="P195" s="685"/>
    </row>
    <row r="196" spans="1:16" s="607" customFormat="1" ht="18" customHeight="1">
      <c r="A196" s="826">
        <f>SUBTOTAL(3,B$6:B196)</f>
        <v>191</v>
      </c>
      <c r="B196" s="824" t="s">
        <v>1168</v>
      </c>
      <c r="C196" s="824" t="str">
        <f>+VLOOKUP(B196,'Salary sheet'!$B$6:$AX$1386,48,0)</f>
        <v>HUYNH MINH TOAN</v>
      </c>
      <c r="D196" s="824" t="str">
        <f>+VLOOKUP(B196,'Salary sheet'!$B$6:$BW$1386,49,0)</f>
        <v>050135737728</v>
      </c>
      <c r="E196" s="620">
        <f>+VLOOKUP(B196,'Salary sheet'!$B$6:$AT$1292,45,0)</f>
        <v>9675393</v>
      </c>
      <c r="F196" s="1029" t="s">
        <v>5723</v>
      </c>
      <c r="G196" s="824" t="str">
        <f>+VLOOKUP(B196,'Salary sheet'!$B$6:$E$2281,4,0)</f>
        <v>FACTORY A</v>
      </c>
      <c r="H196" s="607" t="str">
        <f>+VLOOKUP(B196,'Salary sheet'!$B$6:$AZ$1386,50,0)</f>
        <v>SK1 Box</v>
      </c>
      <c r="I196" s="607" t="str">
        <f t="shared" si="12"/>
        <v>C14496HUYNH MINH TOAN050135737728</v>
      </c>
      <c r="J196" s="853" t="str">
        <f>+VLOOKUP(B196,'[5]04 2025'!$B$2:$F$1371,5,0)</f>
        <v>C14496HUYNH MINH TOAN050135737728</v>
      </c>
      <c r="K196" s="607">
        <f t="shared" si="16"/>
        <v>1</v>
      </c>
      <c r="P196" s="685"/>
    </row>
    <row r="197" spans="1:16" s="607" customFormat="1" ht="18" customHeight="1">
      <c r="A197" s="826">
        <f>SUBTOTAL(3,B$6:B197)</f>
        <v>192</v>
      </c>
      <c r="B197" s="824" t="s">
        <v>1170</v>
      </c>
      <c r="C197" s="824" t="str">
        <f>+VLOOKUP(B197,'Salary sheet'!$B$6:$AX$1386,48,0)</f>
        <v>LAM HONG PHUOC</v>
      </c>
      <c r="D197" s="824" t="str">
        <f>+VLOOKUP(B197,'Salary sheet'!$B$6:$BW$1386,49,0)</f>
        <v>050103659458</v>
      </c>
      <c r="E197" s="620">
        <f>+VLOOKUP(B197,'Salary sheet'!$B$6:$AT$1292,45,0)</f>
        <v>9816555</v>
      </c>
      <c r="F197" s="1029" t="s">
        <v>5723</v>
      </c>
      <c r="G197" s="824" t="str">
        <f>+VLOOKUP(B197,'Salary sheet'!$B$6:$E$2281,4,0)</f>
        <v>FACTORY A</v>
      </c>
      <c r="H197" s="607" t="str">
        <f>+VLOOKUP(B197,'Salary sheet'!$B$6:$AZ$1386,50,0)</f>
        <v>SK1 Box</v>
      </c>
      <c r="I197" s="607" t="str">
        <f t="shared" si="12"/>
        <v>C14525LAM HONG PHUOC050103659458</v>
      </c>
      <c r="J197" s="853" t="str">
        <f>+VLOOKUP(B197,'[5]04 2025'!$B$2:$F$1371,5,0)</f>
        <v>C14525LAM HONG PHUOC050103659458</v>
      </c>
      <c r="K197" s="607">
        <f t="shared" si="16"/>
        <v>1</v>
      </c>
      <c r="P197" s="685"/>
    </row>
    <row r="198" spans="1:16" s="607" customFormat="1" ht="18" customHeight="1">
      <c r="A198" s="826">
        <f>SUBTOTAL(3,B$6:B198)</f>
        <v>193</v>
      </c>
      <c r="B198" s="824" t="s">
        <v>5738</v>
      </c>
      <c r="C198" s="824" t="str">
        <f>+VLOOKUP(B198,'Salary sheet'!$B$6:$AX$1386,48,0)</f>
        <v>NGUYEN THI YEN NHI</v>
      </c>
      <c r="D198" s="824" t="str">
        <f>+VLOOKUP(B198,'Salary sheet'!$B$6:$BW$1386,49,0)</f>
        <v>051823062002</v>
      </c>
      <c r="E198" s="620">
        <f>+VLOOKUP(B198,'Salary sheet'!$B$6:$AT$1292,45,0)</f>
        <v>6001890</v>
      </c>
      <c r="F198" s="1029" t="s">
        <v>5723</v>
      </c>
      <c r="G198" s="824" t="str">
        <f>+VLOOKUP(B198,'Salary sheet'!$B$6:$E$2281,4,0)</f>
        <v>FACTORY A</v>
      </c>
      <c r="H198" s="607" t="str">
        <f>+VLOOKUP(B198,'Salary sheet'!$B$6:$AZ$1386,50,0)</f>
        <v>SK1 Box</v>
      </c>
      <c r="I198" s="607" t="str">
        <f t="shared" si="12"/>
        <v>C16580NGUYEN THI YEN NHI051823062002</v>
      </c>
      <c r="J198" s="853" t="str">
        <f>+VLOOKUP(B198,'[5]04 2025'!$B$2:$F$1371,5,0)</f>
        <v>C16580NGUYEN THI YEN NHI051823062002</v>
      </c>
      <c r="K198" s="607">
        <f t="shared" si="16"/>
        <v>1</v>
      </c>
      <c r="P198" s="685"/>
    </row>
    <row r="199" spans="1:16" s="607" customFormat="1" ht="18" customHeight="1">
      <c r="A199" s="826">
        <f>SUBTOTAL(3,B$6:B199)</f>
        <v>194</v>
      </c>
      <c r="B199" s="824" t="s">
        <v>5740</v>
      </c>
      <c r="C199" s="824" t="str">
        <f>+VLOOKUP(B199,'Salary sheet'!$B$6:$AX$1386,48,0)</f>
        <v>NGUYEN HAI YEN</v>
      </c>
      <c r="D199" s="824" t="str">
        <f>+VLOOKUP(B199,'Salary sheet'!$B$6:$BW$1386,49,0)</f>
        <v>050114072006</v>
      </c>
      <c r="E199" s="620">
        <f>+VLOOKUP(B199,'Salary sheet'!$B$6:$AT$1292,45,0)</f>
        <v>6093407</v>
      </c>
      <c r="F199" s="1029" t="s">
        <v>5723</v>
      </c>
      <c r="G199" s="824" t="str">
        <f>+VLOOKUP(B199,'Salary sheet'!$B$6:$E$2281,4,0)</f>
        <v>FACTORY A</v>
      </c>
      <c r="H199" s="607" t="str">
        <f>+VLOOKUP(B199,'Salary sheet'!$B$6:$AZ$1386,50,0)</f>
        <v>SK1 Box</v>
      </c>
      <c r="I199" s="607" t="str">
        <f t="shared" si="12"/>
        <v>C16581NGUYEN HAI YEN050114072006</v>
      </c>
      <c r="J199" s="853" t="str">
        <f>+VLOOKUP(B199,'[5]04 2025'!$B$2:$F$1371,5,0)</f>
        <v>C16581NGUYEN HAI YEN050114072006</v>
      </c>
      <c r="K199" s="607">
        <f t="shared" si="16"/>
        <v>1</v>
      </c>
      <c r="P199" s="685"/>
    </row>
    <row r="200" spans="1:16" s="607" customFormat="1" ht="18" customHeight="1">
      <c r="A200" s="826">
        <f>SUBTOTAL(3,B$6:B200)</f>
        <v>195</v>
      </c>
      <c r="B200" s="824" t="s">
        <v>1173</v>
      </c>
      <c r="C200" s="824" t="str">
        <f>+VLOOKUP(B200,'Salary sheet'!$B$6:$AX$1386,48,0)</f>
        <v>TRAN THI BAC</v>
      </c>
      <c r="D200" s="824" t="str">
        <f>+VLOOKUP(B200,'Salary sheet'!$B$6:$BW$1386,49,0)</f>
        <v>050040933759</v>
      </c>
      <c r="E200" s="620">
        <f>+VLOOKUP(B200,'Salary sheet'!$B$6:$AT$1292,45,0)</f>
        <v>8848418</v>
      </c>
      <c r="F200" s="1029" t="s">
        <v>5723</v>
      </c>
      <c r="G200" s="824" t="str">
        <f>+VLOOKUP(B200,'Salary sheet'!$B$6:$E$2281,4,0)</f>
        <v>FACTORY A</v>
      </c>
      <c r="H200" s="607" t="str">
        <f>+VLOOKUP(B200,'Salary sheet'!$B$6:$AZ$1386,50,0)</f>
        <v>SK1 Box</v>
      </c>
      <c r="I200" s="607" t="str">
        <f t="shared" si="12"/>
        <v>C2372TRAN THI BAC050040933759</v>
      </c>
      <c r="J200" s="853" t="str">
        <f>+VLOOKUP(B200,'[5]04 2025'!$B$2:$F$1371,5,0)</f>
        <v>C2372TRAN THI BAC050040933759</v>
      </c>
      <c r="K200" s="607">
        <f t="shared" si="16"/>
        <v>1</v>
      </c>
      <c r="P200" s="685"/>
    </row>
    <row r="201" spans="1:16" s="607" customFormat="1" ht="18" customHeight="1">
      <c r="A201" s="826">
        <f>SUBTOTAL(3,B$6:B201)</f>
        <v>196</v>
      </c>
      <c r="B201" s="824" t="s">
        <v>1177</v>
      </c>
      <c r="C201" s="824" t="str">
        <f>+VLOOKUP(B201,'Salary sheet'!$B$6:$AX$1386,48,0)</f>
        <v>LUONG THI THUC</v>
      </c>
      <c r="D201" s="824" t="str">
        <f>+VLOOKUP(B201,'Salary sheet'!$B$6:$BW$1386,49,0)</f>
        <v>050040933147</v>
      </c>
      <c r="E201" s="620">
        <f>+VLOOKUP(B201,'Salary sheet'!$B$6:$AT$1292,45,0)</f>
        <v>9206027</v>
      </c>
      <c r="F201" s="1029" t="s">
        <v>5723</v>
      </c>
      <c r="G201" s="824" t="str">
        <f>+VLOOKUP(B201,'Salary sheet'!$B$6:$E$2281,4,0)</f>
        <v>FACTORY A</v>
      </c>
      <c r="H201" s="607" t="str">
        <f>+VLOOKUP(B201,'Salary sheet'!$B$6:$AZ$1386,50,0)</f>
        <v>SK1 Box</v>
      </c>
      <c r="I201" s="607" t="str">
        <f t="shared" si="12"/>
        <v>C3815LUONG THI THUC050040933147</v>
      </c>
      <c r="J201" s="853" t="str">
        <f>+VLOOKUP(B201,'[5]04 2025'!$B$2:$F$1371,5,0)</f>
        <v>C3815LUONG THI THUC050040933147</v>
      </c>
      <c r="K201" s="607">
        <f t="shared" si="16"/>
        <v>1</v>
      </c>
      <c r="P201" s="685"/>
    </row>
    <row r="202" spans="1:16" s="607" customFormat="1" ht="18" customHeight="1">
      <c r="A202" s="826">
        <f>SUBTOTAL(3,B$6:B202)</f>
        <v>197</v>
      </c>
      <c r="B202" s="824" t="s">
        <v>1179</v>
      </c>
      <c r="C202" s="824" t="str">
        <f>+VLOOKUP(B202,'Salary sheet'!$B$6:$AX$1386,48,0)</f>
        <v>LUU THI THANH NGA</v>
      </c>
      <c r="D202" s="824" t="str">
        <f>+VLOOKUP(B202,'Salary sheet'!$B$6:$BW$1386,49,0)</f>
        <v>050040863246</v>
      </c>
      <c r="E202" s="620">
        <f>+VLOOKUP(B202,'Salary sheet'!$B$6:$AT$1292,45,0)</f>
        <v>8702544</v>
      </c>
      <c r="F202" s="1029" t="s">
        <v>5723</v>
      </c>
      <c r="G202" s="824" t="str">
        <f>+VLOOKUP(B202,'Salary sheet'!$B$6:$E$2281,4,0)</f>
        <v>FACTORY A</v>
      </c>
      <c r="H202" s="607" t="str">
        <f>+VLOOKUP(B202,'Salary sheet'!$B$6:$AZ$1386,50,0)</f>
        <v>SK1 Box</v>
      </c>
      <c r="I202" s="607" t="str">
        <f t="shared" si="12"/>
        <v>C4471LUU THI THANH NGA050040863246</v>
      </c>
      <c r="J202" s="853" t="str">
        <f>+VLOOKUP(B202,'[5]04 2025'!$B$2:$F$1371,5,0)</f>
        <v>C4471LUU THI THANH NGA050040863246</v>
      </c>
      <c r="K202" s="607">
        <f t="shared" si="16"/>
        <v>1</v>
      </c>
      <c r="P202" s="685"/>
    </row>
    <row r="203" spans="1:16" s="607" customFormat="1" ht="18" customHeight="1">
      <c r="A203" s="826">
        <f>SUBTOTAL(3,B$6:B203)</f>
        <v>198</v>
      </c>
      <c r="B203" s="824" t="s">
        <v>1185</v>
      </c>
      <c r="C203" s="824" t="str">
        <f>+VLOOKUP(B203,'Salary sheet'!$B$6:$AX$1386,48,0)</f>
        <v>NGUYEN THI HONG THI</v>
      </c>
      <c r="D203" s="824" t="str">
        <f>+VLOOKUP(B203,'Salary sheet'!$B$6:$BW$1386,49,0)</f>
        <v>050040787231</v>
      </c>
      <c r="E203" s="620">
        <f>+VLOOKUP(B203,'Salary sheet'!$B$6:$AT$1292,45,0)</f>
        <v>6923379</v>
      </c>
      <c r="F203" s="1029" t="s">
        <v>5723</v>
      </c>
      <c r="G203" s="824" t="str">
        <f>+VLOOKUP(B203,'Salary sheet'!$B$6:$E$2281,4,0)</f>
        <v>FACTORY A</v>
      </c>
      <c r="H203" s="607" t="str">
        <f>+VLOOKUP(B203,'Salary sheet'!$B$6:$AZ$1386,50,0)</f>
        <v>SK1 Box</v>
      </c>
      <c r="I203" s="607" t="str">
        <f t="shared" si="12"/>
        <v>C5010NGUYEN THI HONG THI050040787231</v>
      </c>
      <c r="J203" s="853" t="str">
        <f>+VLOOKUP(B203,'[5]04 2025'!$B$2:$F$1371,5,0)</f>
        <v>C5010NGUYEN THI HONG THI050040787231</v>
      </c>
      <c r="K203" s="607">
        <f t="shared" si="16"/>
        <v>1</v>
      </c>
      <c r="P203" s="685"/>
    </row>
    <row r="204" spans="1:16" s="607" customFormat="1" ht="18" customHeight="1">
      <c r="A204" s="826">
        <f>SUBTOTAL(3,B$6:B204)</f>
        <v>199</v>
      </c>
      <c r="B204" s="824" t="s">
        <v>1189</v>
      </c>
      <c r="C204" s="824" t="str">
        <f>+VLOOKUP(B204,'Salary sheet'!$B$6:$AX$1386,48,0)</f>
        <v>LE TIEN THANH</v>
      </c>
      <c r="D204" s="824" t="str">
        <f>+VLOOKUP(B204,'Salary sheet'!$B$6:$BW$1386,49,0)</f>
        <v>050040820148</v>
      </c>
      <c r="E204" s="620">
        <f>+VLOOKUP(B204,'Salary sheet'!$B$6:$AT$1292,45,0)</f>
        <v>13661065</v>
      </c>
      <c r="F204" s="1029" t="s">
        <v>5723</v>
      </c>
      <c r="G204" s="824" t="str">
        <f>+VLOOKUP(B204,'Salary sheet'!$B$6:$E$2281,4,0)</f>
        <v>FACTORY A</v>
      </c>
      <c r="H204" s="607" t="str">
        <f>+VLOOKUP(B204,'Salary sheet'!$B$6:$AZ$1386,50,0)</f>
        <v>SK1 Box</v>
      </c>
      <c r="I204" s="607" t="str">
        <f t="shared" si="12"/>
        <v>C5738LE TIEN THANH050040820148</v>
      </c>
      <c r="J204" s="853" t="str">
        <f>+VLOOKUP(B204,'[5]04 2025'!$B$2:$F$1371,5,0)</f>
        <v>C5738LE TIEN THANH050040820148</v>
      </c>
      <c r="K204" s="607">
        <f t="shared" si="16"/>
        <v>1</v>
      </c>
      <c r="P204" s="685"/>
    </row>
    <row r="205" spans="1:16" s="607" customFormat="1" ht="18" customHeight="1">
      <c r="A205" s="826">
        <f>SUBTOTAL(3,B$6:B205)</f>
        <v>200</v>
      </c>
      <c r="B205" s="824" t="s">
        <v>1194</v>
      </c>
      <c r="C205" s="824" t="str">
        <f>+VLOOKUP(B205,'Salary sheet'!$B$6:$AX$1386,48,0)</f>
        <v>NGUYEN VAN HAU</v>
      </c>
      <c r="D205" s="824" t="str">
        <f>+VLOOKUP(B205,'Salary sheet'!$B$6:$BW$1386,49,0)</f>
        <v>050137489918</v>
      </c>
      <c r="E205" s="620">
        <f>+VLOOKUP(B205,'Salary sheet'!$B$6:$AT$1292,45,0)</f>
        <v>11924719</v>
      </c>
      <c r="F205" s="1029" t="s">
        <v>5723</v>
      </c>
      <c r="G205" s="824" t="str">
        <f>+VLOOKUP(B205,'Salary sheet'!$B$6:$E$2281,4,0)</f>
        <v>FACTORY A</v>
      </c>
      <c r="H205" s="607" t="str">
        <f>+VLOOKUP(B205,'Salary sheet'!$B$6:$AZ$1386,50,0)</f>
        <v>SK1 Box</v>
      </c>
      <c r="I205" s="607" t="str">
        <f t="shared" si="12"/>
        <v>C6075NGUYEN VAN HAU050137489918</v>
      </c>
      <c r="J205" s="853" t="str">
        <f>+VLOOKUP(B205,'[5]04 2025'!$B$2:$F$1371,5,0)</f>
        <v>C6075NGUYEN VAN HAU050137489918</v>
      </c>
      <c r="K205" s="607">
        <f t="shared" si="16"/>
        <v>1</v>
      </c>
      <c r="P205" s="685"/>
    </row>
    <row r="206" spans="1:16" s="607" customFormat="1" ht="18" customHeight="1">
      <c r="A206" s="826">
        <f>SUBTOTAL(3,B$6:B206)</f>
        <v>201</v>
      </c>
      <c r="B206" s="824" t="s">
        <v>1198</v>
      </c>
      <c r="C206" s="824" t="str">
        <f>+VLOOKUP(B206,'Salary sheet'!$B$6:$AX$1386,48,0)</f>
        <v>NGUYEN VAN HONG HIEU</v>
      </c>
      <c r="D206" s="824" t="str">
        <f>+VLOOKUP(B206,'Salary sheet'!$B$6:$BW$1386,49,0)</f>
        <v>050103660049</v>
      </c>
      <c r="E206" s="620">
        <f>+VLOOKUP(B206,'Salary sheet'!$B$6:$AT$1292,45,0)</f>
        <v>10559556</v>
      </c>
      <c r="F206" s="1029" t="s">
        <v>5723</v>
      </c>
      <c r="G206" s="824" t="str">
        <f>+VLOOKUP(B206,'Salary sheet'!$B$6:$E$2281,4,0)</f>
        <v>FACTORY A</v>
      </c>
      <c r="H206" s="607" t="str">
        <f>+VLOOKUP(B206,'Salary sheet'!$B$6:$AZ$1386,50,0)</f>
        <v>SK1 Box</v>
      </c>
      <c r="I206" s="607" t="str">
        <f t="shared" si="12"/>
        <v>C7984NGUYEN VAN HONG HIEU050103660049</v>
      </c>
      <c r="J206" s="853" t="str">
        <f>+VLOOKUP(B206,'[5]04 2025'!$B$2:$F$1371,5,0)</f>
        <v>C7984NGUYEN VAN HONG HIEU050103660049</v>
      </c>
      <c r="K206" s="607">
        <f t="shared" si="16"/>
        <v>1</v>
      </c>
      <c r="P206" s="685"/>
    </row>
    <row r="207" spans="1:16" s="607" customFormat="1" ht="18" customHeight="1">
      <c r="A207" s="826">
        <f>SUBTOTAL(3,B$6:B207)</f>
        <v>202</v>
      </c>
      <c r="B207" s="824" t="s">
        <v>1200</v>
      </c>
      <c r="C207" s="824" t="str">
        <f>+VLOOKUP(B207,'Salary sheet'!$B$6:$AX$1386,48,0)</f>
        <v>NGUYEN THI SEN</v>
      </c>
      <c r="D207" s="824" t="str">
        <f>+VLOOKUP(B207,'Salary sheet'!$B$6:$BW$1386,49,0)</f>
        <v>050040932906</v>
      </c>
      <c r="E207" s="620">
        <f>+VLOOKUP(B207,'Salary sheet'!$B$6:$AT$1292,45,0)</f>
        <v>9123470</v>
      </c>
      <c r="F207" s="1029" t="s">
        <v>5723</v>
      </c>
      <c r="G207" s="824" t="str">
        <f>+VLOOKUP(B207,'Salary sheet'!$B$6:$E$2281,4,0)</f>
        <v>FACTORY A</v>
      </c>
      <c r="H207" s="607" t="str">
        <f>+VLOOKUP(B207,'Salary sheet'!$B$6:$AZ$1386,50,0)</f>
        <v>SK1 Box</v>
      </c>
      <c r="I207" s="607" t="str">
        <f t="shared" si="12"/>
        <v>C0823NGUYEN THI SEN050040932906</v>
      </c>
      <c r="J207" s="853" t="str">
        <f>+VLOOKUP(B207,'[5]04 2025'!$B$2:$F$1371,5,0)</f>
        <v>C0823NGUYEN THI SEN050040932906</v>
      </c>
      <c r="K207" s="607">
        <f t="shared" si="16"/>
        <v>1</v>
      </c>
      <c r="P207" s="685"/>
    </row>
    <row r="208" spans="1:16" s="607" customFormat="1" ht="18" customHeight="1">
      <c r="A208" s="826">
        <f>SUBTOTAL(3,B$6:B208)</f>
        <v>203</v>
      </c>
      <c r="B208" s="824" t="s">
        <v>1203</v>
      </c>
      <c r="C208" s="824" t="str">
        <f>+VLOOKUP(B208,'Salary sheet'!$B$6:$AX$1386,48,0)</f>
        <v>LE QUANG LONG</v>
      </c>
      <c r="D208" s="824" t="str">
        <f>+VLOOKUP(B208,'Salary sheet'!$B$6:$BW$1386,49,0)</f>
        <v>050123179266</v>
      </c>
      <c r="E208" s="620">
        <f>+VLOOKUP(B208,'Salary sheet'!$B$6:$AT$1292,45,0)</f>
        <v>8594236</v>
      </c>
      <c r="F208" s="1029" t="s">
        <v>5723</v>
      </c>
      <c r="G208" s="824" t="str">
        <f>+VLOOKUP(B208,'Salary sheet'!$B$6:$E$2281,4,0)</f>
        <v>FACTORY A</v>
      </c>
      <c r="H208" s="607" t="str">
        <f>+VLOOKUP(B208,'Salary sheet'!$B$6:$AZ$1386,50,0)</f>
        <v>SK1 Box</v>
      </c>
      <c r="I208" s="607" t="str">
        <f t="shared" si="12"/>
        <v>C13076LE QUANG LONG050123179266</v>
      </c>
      <c r="J208" s="853" t="str">
        <f>+VLOOKUP(B208,'[5]04 2025'!$B$2:$F$1371,5,0)</f>
        <v>C13076LE QUANG LONG050123179266</v>
      </c>
      <c r="K208" s="607">
        <f t="shared" si="16"/>
        <v>1</v>
      </c>
      <c r="P208" s="685"/>
    </row>
    <row r="209" spans="1:16" s="607" customFormat="1" ht="18" customHeight="1">
      <c r="A209" s="826">
        <f>SUBTOTAL(3,B$6:B209)</f>
        <v>204</v>
      </c>
      <c r="B209" s="824" t="s">
        <v>1205</v>
      </c>
      <c r="C209" s="824" t="str">
        <f>+VLOOKUP(B209,'Salary sheet'!$B$6:$AX$1386,48,0)</f>
        <v>NGUYEN THI HANG</v>
      </c>
      <c r="D209" s="824" t="str">
        <f>+VLOOKUP(B209,'Salary sheet'!$B$6:$BW$1386,49,0)</f>
        <v>050060011051</v>
      </c>
      <c r="E209" s="620">
        <f>+VLOOKUP(B209,'Salary sheet'!$B$6:$AT$1292,45,0)</f>
        <v>8884042</v>
      </c>
      <c r="F209" s="1029" t="s">
        <v>5723</v>
      </c>
      <c r="G209" s="824" t="str">
        <f>+VLOOKUP(B209,'Salary sheet'!$B$6:$E$2281,4,0)</f>
        <v>FACTORY A</v>
      </c>
      <c r="H209" s="607" t="str">
        <f>+VLOOKUP(B209,'Salary sheet'!$B$6:$AZ$1386,50,0)</f>
        <v>SK1 Box</v>
      </c>
      <c r="I209" s="607" t="str">
        <f t="shared" ref="I209:I255" si="17">+CONCATENATE(B209,C209,D209)</f>
        <v>C13318NGUYEN THI HANG050060011051</v>
      </c>
      <c r="J209" s="853" t="str">
        <f>+VLOOKUP(B209,'[5]04 2025'!$B$2:$F$1371,5,0)</f>
        <v>C13318NGUYEN THI HANG050060011051</v>
      </c>
      <c r="K209" s="607">
        <f t="shared" si="16"/>
        <v>1</v>
      </c>
      <c r="P209" s="685"/>
    </row>
    <row r="210" spans="1:16" s="607" customFormat="1" ht="18" customHeight="1">
      <c r="A210" s="826">
        <f>SUBTOTAL(3,B$6:B210)</f>
        <v>205</v>
      </c>
      <c r="B210" s="824" t="s">
        <v>1206</v>
      </c>
      <c r="C210" s="824" t="str">
        <f>+VLOOKUP(B210,'Salary sheet'!$B$6:$AX$1386,48,0)</f>
        <v>DU THI HA</v>
      </c>
      <c r="D210" s="824" t="str">
        <f>+VLOOKUP(B210,'Salary sheet'!$B$6:$BW$1386,49,0)</f>
        <v>050040932991</v>
      </c>
      <c r="E210" s="620">
        <f>+VLOOKUP(B210,'Salary sheet'!$B$6:$AT$1292,45,0)</f>
        <v>6878686</v>
      </c>
      <c r="F210" s="1029" t="s">
        <v>5723</v>
      </c>
      <c r="G210" s="824" t="str">
        <f>+VLOOKUP(B210,'Salary sheet'!$B$6:$E$2281,4,0)</f>
        <v>FACTORY A</v>
      </c>
      <c r="H210" s="607" t="str">
        <f>+VLOOKUP(B210,'Salary sheet'!$B$6:$AZ$1386,50,0)</f>
        <v>SK1 Box</v>
      </c>
      <c r="I210" s="607" t="str">
        <f t="shared" si="17"/>
        <v>C1441DU THI HA050040932991</v>
      </c>
      <c r="J210" s="853" t="str">
        <f>+VLOOKUP(B210,'[5]04 2025'!$B$2:$F$1371,5,0)</f>
        <v>C1441DU THI HA050040932991</v>
      </c>
      <c r="K210" s="607">
        <f t="shared" si="16"/>
        <v>1</v>
      </c>
      <c r="P210" s="685"/>
    </row>
    <row r="211" spans="1:16" s="607" customFormat="1" ht="18" customHeight="1">
      <c r="A211" s="826">
        <f>SUBTOTAL(3,B$6:B211)</f>
        <v>206</v>
      </c>
      <c r="B211" s="824" t="s">
        <v>1208</v>
      </c>
      <c r="C211" s="824" t="str">
        <f>+VLOOKUP(B211,'Salary sheet'!$B$6:$AX$1386,48,0)</f>
        <v>VO THI THANH THUY</v>
      </c>
      <c r="D211" s="824" t="str">
        <f>+VLOOKUP(B211,'Salary sheet'!$B$6:$BW$1386,49,0)</f>
        <v>050135732955</v>
      </c>
      <c r="E211" s="620">
        <f>+VLOOKUP(B211,'Salary sheet'!$B$6:$AT$1292,45,0)</f>
        <v>9263055</v>
      </c>
      <c r="F211" s="1029" t="s">
        <v>5723</v>
      </c>
      <c r="G211" s="824" t="str">
        <f>+VLOOKUP(B211,'Salary sheet'!$B$6:$E$2281,4,0)</f>
        <v>FACTORY A</v>
      </c>
      <c r="H211" s="607" t="str">
        <f>+VLOOKUP(B211,'Salary sheet'!$B$6:$AZ$1386,50,0)</f>
        <v>SK1 Box</v>
      </c>
      <c r="I211" s="607" t="str">
        <f t="shared" si="17"/>
        <v>C14510VO THI THANH THUY050135732955</v>
      </c>
      <c r="J211" s="853" t="str">
        <f>+VLOOKUP(B211,'[5]04 2025'!$B$2:$F$1371,5,0)</f>
        <v>C14510VO THI THANH THUY050135732955</v>
      </c>
      <c r="K211" s="607">
        <f t="shared" si="16"/>
        <v>1</v>
      </c>
      <c r="P211" s="685"/>
    </row>
    <row r="212" spans="1:16" s="607" customFormat="1" ht="18" customHeight="1">
      <c r="A212" s="826">
        <f>SUBTOTAL(3,B$6:B212)</f>
        <v>207</v>
      </c>
      <c r="B212" s="824" t="s">
        <v>1210</v>
      </c>
      <c r="C212" s="824" t="str">
        <f>+VLOOKUP(B212,'Salary sheet'!$B$6:$AX$1386,48,0)</f>
        <v>PHAM TU ANH</v>
      </c>
      <c r="D212" s="824" t="str">
        <f>+VLOOKUP(B212,'Salary sheet'!$B$6:$BW$1386,49,0)</f>
        <v>050138683165</v>
      </c>
      <c r="E212" s="620">
        <f>+VLOOKUP(B212,'Salary sheet'!$B$6:$AT$1292,45,0)</f>
        <v>8958707</v>
      </c>
      <c r="F212" s="1029" t="s">
        <v>5723</v>
      </c>
      <c r="G212" s="824" t="str">
        <f>+VLOOKUP(B212,'Salary sheet'!$B$6:$E$2281,4,0)</f>
        <v>FACTORY A</v>
      </c>
      <c r="H212" s="607" t="str">
        <f>+VLOOKUP(B212,'Salary sheet'!$B$6:$AZ$1386,50,0)</f>
        <v>SK1 Box</v>
      </c>
      <c r="I212" s="607" t="str">
        <f t="shared" si="17"/>
        <v>C15247PHAM TU ANH050138683165</v>
      </c>
      <c r="J212" s="853" t="str">
        <f>+VLOOKUP(B212,'[5]04 2025'!$B$2:$F$1371,5,0)</f>
        <v>C15247PHAM TU ANH050138683165</v>
      </c>
      <c r="K212" s="607">
        <f t="shared" si="16"/>
        <v>1</v>
      </c>
      <c r="P212" s="685"/>
    </row>
    <row r="213" spans="1:16" s="607" customFormat="1" ht="18" customHeight="1">
      <c r="A213" s="826">
        <f>SUBTOTAL(3,B$6:B213)</f>
        <v>208</v>
      </c>
      <c r="B213" s="824" t="s">
        <v>1212</v>
      </c>
      <c r="C213" s="824" t="str">
        <f>+VLOOKUP(B213,'Salary sheet'!$B$6:$AX$1386,48,0)</f>
        <v>PHAM THI TRAM ANH</v>
      </c>
      <c r="D213" s="824" t="str">
        <f>+VLOOKUP(B213,'Salary sheet'!$B$6:$BW$1386,49,0)</f>
        <v>050113230719</v>
      </c>
      <c r="E213" s="620">
        <f>+VLOOKUP(B213,'Salary sheet'!$B$6:$AT$1292,45,0)</f>
        <v>8973049</v>
      </c>
      <c r="F213" s="1029" t="s">
        <v>5723</v>
      </c>
      <c r="G213" s="824" t="str">
        <f>+VLOOKUP(B213,'Salary sheet'!$B$6:$E$2281,4,0)</f>
        <v>FACTORY A</v>
      </c>
      <c r="H213" s="607" t="str">
        <f>+VLOOKUP(B213,'Salary sheet'!$B$6:$AZ$1386,50,0)</f>
        <v>SK1 Box</v>
      </c>
      <c r="I213" s="607" t="str">
        <f t="shared" si="17"/>
        <v>C15248PHAM THI TRAM ANH050113230719</v>
      </c>
      <c r="J213" s="853" t="str">
        <f>+VLOOKUP(B213,'[5]04 2025'!$B$2:$F$1371,5,0)</f>
        <v>C15248PHAM THI TRAM ANH050113230719</v>
      </c>
      <c r="K213" s="607">
        <f t="shared" si="16"/>
        <v>1</v>
      </c>
      <c r="P213" s="685"/>
    </row>
    <row r="214" spans="1:16" s="607" customFormat="1" ht="18" customHeight="1">
      <c r="A214" s="826">
        <f>SUBTOTAL(3,B$6:B214)</f>
        <v>209</v>
      </c>
      <c r="B214" s="824" t="s">
        <v>1214</v>
      </c>
      <c r="C214" s="824" t="str">
        <f>+VLOOKUP(B214,'Salary sheet'!$B$6:$AX$1386,48,0)</f>
        <v>PHAM THI BONG</v>
      </c>
      <c r="D214" s="824" t="str">
        <f>+VLOOKUP(B214,'Salary sheet'!$B$6:$BW$1386,49,0)</f>
        <v>050140885603</v>
      </c>
      <c r="E214" s="620">
        <f>+VLOOKUP(B214,'Salary sheet'!$B$6:$AT$1292,45,0)</f>
        <v>8636128</v>
      </c>
      <c r="F214" s="1029" t="s">
        <v>5723</v>
      </c>
      <c r="G214" s="824" t="str">
        <f>+VLOOKUP(B214,'Salary sheet'!$B$6:$E$2281,4,0)</f>
        <v>FACTORY A</v>
      </c>
      <c r="H214" s="607" t="str">
        <f>+VLOOKUP(B214,'Salary sheet'!$B$6:$AZ$1386,50,0)</f>
        <v>SK1 Box</v>
      </c>
      <c r="I214" s="607" t="str">
        <f t="shared" si="17"/>
        <v>C15454PHAM THI BONG050140885603</v>
      </c>
      <c r="J214" s="853" t="str">
        <f>+VLOOKUP(B214,'[5]04 2025'!$B$2:$F$1371,5,0)</f>
        <v>C15454PHAM THI BONG050140885603</v>
      </c>
      <c r="K214" s="607">
        <f t="shared" si="16"/>
        <v>1</v>
      </c>
      <c r="P214" s="685"/>
    </row>
    <row r="215" spans="1:16" s="607" customFormat="1" ht="18" customHeight="1">
      <c r="A215" s="826">
        <f>SUBTOTAL(3,B$6:B215)</f>
        <v>210</v>
      </c>
      <c r="B215" s="824" t="s">
        <v>1216</v>
      </c>
      <c r="C215" s="824" t="str">
        <f>+VLOOKUP(B215,'Salary sheet'!$B$6:$AX$1386,48,0)</f>
        <v>LE THI HANG</v>
      </c>
      <c r="D215" s="824" t="str">
        <f>+VLOOKUP(B215,'Salary sheet'!$B$6:$BW$1386,49,0)</f>
        <v>050040933031</v>
      </c>
      <c r="E215" s="620">
        <f>+VLOOKUP(B215,'Salary sheet'!$B$6:$AT$1292,45,0)</f>
        <v>7896023</v>
      </c>
      <c r="F215" s="1029" t="s">
        <v>5723</v>
      </c>
      <c r="G215" s="824" t="str">
        <f>+VLOOKUP(B215,'Salary sheet'!$B$6:$E$2281,4,0)</f>
        <v>FACTORY A</v>
      </c>
      <c r="H215" s="607" t="str">
        <f>+VLOOKUP(B215,'Salary sheet'!$B$6:$AZ$1386,50,0)</f>
        <v>SK1 Box</v>
      </c>
      <c r="I215" s="607" t="str">
        <f t="shared" si="17"/>
        <v>C16358LE THI HANG050040933031</v>
      </c>
      <c r="J215" s="853" t="str">
        <f>+VLOOKUP(B215,'[5]04 2025'!$B$2:$F$1371,5,0)</f>
        <v>C16358LE THI HANG050040933031</v>
      </c>
      <c r="K215" s="607">
        <f t="shared" si="16"/>
        <v>1</v>
      </c>
      <c r="P215" s="685"/>
    </row>
    <row r="216" spans="1:16" s="607" customFormat="1" ht="18" customHeight="1">
      <c r="A216" s="826">
        <f>SUBTOTAL(3,B$6:B216)</f>
        <v>211</v>
      </c>
      <c r="B216" s="824" t="s">
        <v>5742</v>
      </c>
      <c r="C216" s="824" t="str">
        <f>+VLOOKUP(B216,'Salary sheet'!$B$6:$AX$1386,48,0)</f>
        <v>LE LENH TIEN</v>
      </c>
      <c r="D216" s="824" t="str">
        <f>+VLOOKUP(B216,'Salary sheet'!$B$6:$BW$1386,49,0)</f>
        <v>050066214394</v>
      </c>
      <c r="E216" s="620">
        <f>+VLOOKUP(B216,'Salary sheet'!$B$6:$AT$1292,45,0)</f>
        <v>3193372</v>
      </c>
      <c r="F216" s="1029" t="s">
        <v>5723</v>
      </c>
      <c r="G216" s="824" t="str">
        <f>+VLOOKUP(B216,'Salary sheet'!$B$6:$E$2281,4,0)</f>
        <v>FACTORY A</v>
      </c>
      <c r="H216" s="607" t="str">
        <f>+VLOOKUP(B216,'Salary sheet'!$B$6:$AZ$1386,50,0)</f>
        <v>SK1 Box</v>
      </c>
      <c r="I216" s="607" t="str">
        <f t="shared" si="17"/>
        <v>C16605LE LENH TIEN050066214394</v>
      </c>
      <c r="J216" s="853" t="str">
        <f>+VLOOKUP(B216,'[5]04 2025'!$B$2:$F$1371,5,0)</f>
        <v>C16605LE LENH TIEN050066214394</v>
      </c>
      <c r="K216" s="607">
        <f t="shared" si="16"/>
        <v>1</v>
      </c>
      <c r="P216" s="685"/>
    </row>
    <row r="217" spans="1:16" s="607" customFormat="1" ht="18" customHeight="1">
      <c r="A217" s="826">
        <f>SUBTOTAL(3,B$6:B217)</f>
        <v>212</v>
      </c>
      <c r="B217" s="824" t="s">
        <v>1218</v>
      </c>
      <c r="C217" s="824" t="str">
        <f>+VLOOKUP(B217,'Salary sheet'!$B$6:$AX$1386,48,0)</f>
        <v>TO MY TRANG</v>
      </c>
      <c r="D217" s="824" t="str">
        <f>+VLOOKUP(B217,'Salary sheet'!$B$6:$BW$1386,49,0)</f>
        <v>050040932817</v>
      </c>
      <c r="E217" s="620">
        <f>+VLOOKUP(B217,'Salary sheet'!$B$6:$AT$1292,45,0)</f>
        <v>9120921</v>
      </c>
      <c r="F217" s="1029" t="s">
        <v>5723</v>
      </c>
      <c r="G217" s="824" t="str">
        <f>+VLOOKUP(B217,'Salary sheet'!$B$6:$E$2281,4,0)</f>
        <v>FACTORY A</v>
      </c>
      <c r="H217" s="607" t="str">
        <f>+VLOOKUP(B217,'Salary sheet'!$B$6:$AZ$1386,50,0)</f>
        <v>SK1 Box</v>
      </c>
      <c r="I217" s="607" t="str">
        <f t="shared" si="17"/>
        <v>C2426TO MY TRANG050040932817</v>
      </c>
      <c r="J217" s="853" t="str">
        <f>+VLOOKUP(B217,'[5]04 2025'!$B$2:$F$1371,5,0)</f>
        <v>C2426TO MY TRANG050040932817</v>
      </c>
      <c r="K217" s="607">
        <f t="shared" si="16"/>
        <v>1</v>
      </c>
      <c r="P217" s="685"/>
    </row>
    <row r="218" spans="1:16" s="607" customFormat="1" ht="18" customHeight="1">
      <c r="A218" s="826">
        <f>SUBTOTAL(3,B$6:B218)</f>
        <v>213</v>
      </c>
      <c r="B218" s="824" t="s">
        <v>1220</v>
      </c>
      <c r="C218" s="824" t="str">
        <f>+VLOOKUP(B218,'Salary sheet'!$B$6:$AX$1386,48,0)</f>
        <v>DO THI HANH PHUC</v>
      </c>
      <c r="D218" s="824" t="str">
        <f>+VLOOKUP(B218,'Salary sheet'!$B$6:$BW$1386,49,0)</f>
        <v>050040966045</v>
      </c>
      <c r="E218" s="620">
        <f>+VLOOKUP(B218,'Salary sheet'!$B$6:$AT$1292,45,0)</f>
        <v>9110302</v>
      </c>
      <c r="F218" s="1029" t="s">
        <v>5723</v>
      </c>
      <c r="G218" s="824" t="str">
        <f>+VLOOKUP(B218,'Salary sheet'!$B$6:$E$2281,4,0)</f>
        <v>FACTORY A</v>
      </c>
      <c r="H218" s="607" t="str">
        <f>+VLOOKUP(B218,'Salary sheet'!$B$6:$AZ$1386,50,0)</f>
        <v>SK1 Box</v>
      </c>
      <c r="I218" s="607" t="str">
        <f t="shared" si="17"/>
        <v>C3942DO THI HANH PHUC050040966045</v>
      </c>
      <c r="J218" s="853" t="str">
        <f>+VLOOKUP(B218,'[5]04 2025'!$B$2:$F$1371,5,0)</f>
        <v>C3942DO THI HANH PHUC050040966045</v>
      </c>
      <c r="K218" s="607">
        <f t="shared" si="16"/>
        <v>1</v>
      </c>
      <c r="P218" s="685"/>
    </row>
    <row r="219" spans="1:16" s="607" customFormat="1" ht="18" customHeight="1">
      <c r="A219" s="826">
        <f>SUBTOTAL(3,B$6:B219)</f>
        <v>214</v>
      </c>
      <c r="B219" s="824" t="s">
        <v>1222</v>
      </c>
      <c r="C219" s="824" t="str">
        <f>+VLOOKUP(B219,'Salary sheet'!$B$6:$AX$1386,48,0)</f>
        <v>NGUYEN THUY VU THAO</v>
      </c>
      <c r="D219" s="824" t="str">
        <f>+VLOOKUP(B219,'Salary sheet'!$B$6:$BW$1386,49,0)</f>
        <v>050040932868</v>
      </c>
      <c r="E219" s="620">
        <f>+VLOOKUP(B219,'Salary sheet'!$B$6:$AT$1292,45,0)</f>
        <v>4797210</v>
      </c>
      <c r="F219" s="1029" t="s">
        <v>5723</v>
      </c>
      <c r="G219" s="824" t="str">
        <f>+VLOOKUP(B219,'Salary sheet'!$B$6:$E$2281,4,0)</f>
        <v>FACTORY A</v>
      </c>
      <c r="H219" s="607" t="str">
        <f>+VLOOKUP(B219,'Salary sheet'!$B$6:$AZ$1386,50,0)</f>
        <v>SK1 Box</v>
      </c>
      <c r="I219" s="607" t="str">
        <f t="shared" si="17"/>
        <v>C4642NGUYEN THUY VU THAO050040932868</v>
      </c>
      <c r="J219" s="853" t="str">
        <f>+VLOOKUP(B219,'[5]04 2025'!$B$2:$F$1371,5,0)</f>
        <v>C4642NGUYEN THUY VU THAO050040932868</v>
      </c>
      <c r="K219" s="607">
        <f t="shared" si="16"/>
        <v>1</v>
      </c>
      <c r="P219" s="685"/>
    </row>
    <row r="220" spans="1:16" s="607" customFormat="1" ht="18" customHeight="1">
      <c r="A220" s="826">
        <f>SUBTOTAL(3,B$6:B220)</f>
        <v>215</v>
      </c>
      <c r="B220" s="824" t="s">
        <v>1224</v>
      </c>
      <c r="C220" s="824" t="str">
        <f>+VLOOKUP(B220,'Salary sheet'!$B$6:$AX$1386,48,0)</f>
        <v>LA THI HUE</v>
      </c>
      <c r="D220" s="824" t="str">
        <f>+VLOOKUP(B220,'Salary sheet'!$B$6:$BW$1386,49,0)</f>
        <v>050040934704</v>
      </c>
      <c r="E220" s="620">
        <f>+VLOOKUP(B220,'Salary sheet'!$B$6:$AT$1292,45,0)</f>
        <v>9030726</v>
      </c>
      <c r="F220" s="1029" t="s">
        <v>5723</v>
      </c>
      <c r="G220" s="824" t="str">
        <f>+VLOOKUP(B220,'Salary sheet'!$B$6:$E$2281,4,0)</f>
        <v>FACTORY A</v>
      </c>
      <c r="H220" s="607" t="str">
        <f>+VLOOKUP(B220,'Salary sheet'!$B$6:$AZ$1386,50,0)</f>
        <v>SK1 Box</v>
      </c>
      <c r="I220" s="607" t="str">
        <f t="shared" si="17"/>
        <v>C5408LA THI HUE050040934704</v>
      </c>
      <c r="J220" s="853" t="str">
        <f>+VLOOKUP(B220,'[5]04 2025'!$B$2:$F$1371,5,0)</f>
        <v>C5408LA THI HUE050040934704</v>
      </c>
      <c r="K220" s="607">
        <f t="shared" si="16"/>
        <v>1</v>
      </c>
      <c r="P220" s="685"/>
    </row>
    <row r="221" spans="1:16" s="607" customFormat="1" ht="18" customHeight="1">
      <c r="A221" s="826">
        <f>SUBTOTAL(3,B$6:B221)</f>
        <v>216</v>
      </c>
      <c r="B221" s="824" t="s">
        <v>1226</v>
      </c>
      <c r="C221" s="824" t="str">
        <f>+VLOOKUP(B221,'Salary sheet'!$B$6:$AX$1386,48,0)</f>
        <v>NGUYEN THI LE HANG</v>
      </c>
      <c r="D221" s="824" t="str">
        <f>+VLOOKUP(B221,'Salary sheet'!$B$6:$BW$1386,49,0)</f>
        <v>050040967084</v>
      </c>
      <c r="E221" s="620">
        <f>+VLOOKUP(B221,'Salary sheet'!$B$6:$AT$1292,45,0)</f>
        <v>9687712</v>
      </c>
      <c r="F221" s="1029" t="s">
        <v>5723</v>
      </c>
      <c r="G221" s="824" t="str">
        <f>+VLOOKUP(B221,'Salary sheet'!$B$6:$E$2281,4,0)</f>
        <v>FACTORY A</v>
      </c>
      <c r="H221" s="607" t="str">
        <f>+VLOOKUP(B221,'Salary sheet'!$B$6:$AZ$1386,50,0)</f>
        <v>SK1 Box</v>
      </c>
      <c r="I221" s="607" t="str">
        <f t="shared" si="17"/>
        <v>C5587NGUYEN THI LE HANG050040967084</v>
      </c>
      <c r="J221" s="853" t="str">
        <f>+VLOOKUP(B221,'[5]04 2025'!$B$2:$F$1371,5,0)</f>
        <v>C5587NGUYEN THI LE HANG050040967084</v>
      </c>
      <c r="K221" s="607">
        <f t="shared" si="16"/>
        <v>1</v>
      </c>
      <c r="P221" s="685"/>
    </row>
    <row r="222" spans="1:16" s="607" customFormat="1" ht="18" customHeight="1">
      <c r="A222" s="826">
        <f>SUBTOTAL(3,B$6:B222)</f>
        <v>217</v>
      </c>
      <c r="B222" s="824" t="s">
        <v>1228</v>
      </c>
      <c r="C222" s="824" t="str">
        <f>+VLOOKUP(B222,'Salary sheet'!$B$6:$AX$1386,48,0)</f>
        <v>LE THI LIEN</v>
      </c>
      <c r="D222" s="824" t="str">
        <f>+VLOOKUP(B222,'Salary sheet'!$B$6:$BW$1386,49,0)</f>
        <v>050040964069</v>
      </c>
      <c r="E222" s="620">
        <f>+VLOOKUP(B222,'Salary sheet'!$B$6:$AT$1292,45,0)</f>
        <v>9059110</v>
      </c>
      <c r="F222" s="1029" t="s">
        <v>5723</v>
      </c>
      <c r="G222" s="824" t="str">
        <f>+VLOOKUP(B222,'Salary sheet'!$B$6:$E$2281,4,0)</f>
        <v>FACTORY A</v>
      </c>
      <c r="H222" s="607" t="str">
        <f>+VLOOKUP(B222,'Salary sheet'!$B$6:$AZ$1386,50,0)</f>
        <v>SK1 Box</v>
      </c>
      <c r="I222" s="607" t="str">
        <f t="shared" si="17"/>
        <v>C5621LE THI LIEN050040964069</v>
      </c>
      <c r="J222" s="853" t="str">
        <f>+VLOOKUP(B222,'[5]04 2025'!$B$2:$F$1371,5,0)</f>
        <v>C5621LE THI LIEN050040964069</v>
      </c>
      <c r="K222" s="607">
        <f t="shared" si="16"/>
        <v>1</v>
      </c>
      <c r="P222" s="685"/>
    </row>
    <row r="223" spans="1:16" s="607" customFormat="1" ht="18" customHeight="1">
      <c r="A223" s="826">
        <f>SUBTOTAL(3,B$6:B223)</f>
        <v>218</v>
      </c>
      <c r="B223" s="824" t="s">
        <v>1230</v>
      </c>
      <c r="C223" s="824" t="str">
        <f>+VLOOKUP(B223,'Salary sheet'!$B$6:$AX$1386,48,0)</f>
        <v>VO THI HONG TIEN</v>
      </c>
      <c r="D223" s="824" t="str">
        <f>+VLOOKUP(B223,'Salary sheet'!$B$6:$BW$1386,49,0)</f>
        <v>050040933198</v>
      </c>
      <c r="E223" s="620">
        <f>+VLOOKUP(B223,'Salary sheet'!$B$6:$AT$1292,45,0)</f>
        <v>9402388</v>
      </c>
      <c r="F223" s="1029" t="s">
        <v>5723</v>
      </c>
      <c r="G223" s="824" t="str">
        <f>+VLOOKUP(B223,'Salary sheet'!$B$6:$E$2281,4,0)</f>
        <v>FACTORY A</v>
      </c>
      <c r="H223" s="607" t="str">
        <f>+VLOOKUP(B223,'Salary sheet'!$B$6:$AZ$1386,50,0)</f>
        <v>SK1 Box</v>
      </c>
      <c r="I223" s="607" t="str">
        <f t="shared" si="17"/>
        <v>C6142VO THI HONG TIEN050040933198</v>
      </c>
      <c r="J223" s="853" t="str">
        <f>+VLOOKUP(B223,'[5]04 2025'!$B$2:$F$1371,5,0)</f>
        <v>C6142VO THI HONG TIEN050040933198</v>
      </c>
      <c r="K223" s="607">
        <f t="shared" si="16"/>
        <v>1</v>
      </c>
      <c r="P223" s="685"/>
    </row>
    <row r="224" spans="1:16" s="607" customFormat="1" ht="18" customHeight="1">
      <c r="A224" s="826">
        <f>SUBTOTAL(3,B$6:B224)</f>
        <v>219</v>
      </c>
      <c r="B224" s="824" t="s">
        <v>1233</v>
      </c>
      <c r="C224" s="824" t="str">
        <f>+VLOOKUP(B224,'Salary sheet'!$B$6:$AX$1386,48,0)</f>
        <v>TRAN THI HOANG OANH</v>
      </c>
      <c r="D224" s="824" t="str">
        <f>+VLOOKUP(B224,'Salary sheet'!$B$6:$BW$1386,49,0)</f>
        <v>050098252107</v>
      </c>
      <c r="E224" s="620">
        <f>+VLOOKUP(B224,'Salary sheet'!$B$6:$AT$1292,45,0)</f>
        <v>7273952</v>
      </c>
      <c r="F224" s="1029" t="s">
        <v>5723</v>
      </c>
      <c r="G224" s="824" t="str">
        <f>+VLOOKUP(B224,'Salary sheet'!$B$6:$E$2281,4,0)</f>
        <v>FACTORY A</v>
      </c>
      <c r="H224" s="607" t="str">
        <f>+VLOOKUP(B224,'Salary sheet'!$B$6:$AZ$1386,50,0)</f>
        <v>SK1 Box</v>
      </c>
      <c r="I224" s="607" t="str">
        <f t="shared" si="17"/>
        <v>C7538TRAN THI HOANG OANH050098252107</v>
      </c>
      <c r="J224" s="853" t="str">
        <f>+VLOOKUP(B224,'[5]04 2025'!$B$2:$F$1371,5,0)</f>
        <v>C7538TRAN THI HOANG OANH050098252107</v>
      </c>
      <c r="K224" s="607">
        <f t="shared" si="16"/>
        <v>1</v>
      </c>
      <c r="P224" s="685"/>
    </row>
    <row r="225" spans="1:16" s="607" customFormat="1" ht="18" customHeight="1">
      <c r="A225" s="826">
        <f>SUBTOTAL(3,B$6:B225)</f>
        <v>220</v>
      </c>
      <c r="B225" s="824" t="s">
        <v>1235</v>
      </c>
      <c r="C225" s="824" t="str">
        <f>+VLOOKUP(B225,'Salary sheet'!$B$6:$AX$1386,48,0)</f>
        <v>LE THI PHUONG</v>
      </c>
      <c r="D225" s="824" t="str">
        <f>+VLOOKUP(B225,'Salary sheet'!$B$6:$BW$1386,49,0)</f>
        <v>050099760726</v>
      </c>
      <c r="E225" s="620">
        <f>+VLOOKUP(B225,'Salary sheet'!$B$6:$AT$1292,45,0)</f>
        <v>8875165</v>
      </c>
      <c r="F225" s="1029" t="s">
        <v>5723</v>
      </c>
      <c r="G225" s="824" t="str">
        <f>+VLOOKUP(B225,'Salary sheet'!$B$6:$E$2281,4,0)</f>
        <v>FACTORY A</v>
      </c>
      <c r="H225" s="607" t="str">
        <f>+VLOOKUP(B225,'Salary sheet'!$B$6:$AZ$1386,50,0)</f>
        <v>SK1 Box</v>
      </c>
      <c r="I225" s="607" t="str">
        <f t="shared" si="17"/>
        <v>C7693LE THI PHUONG050099760726</v>
      </c>
      <c r="J225" s="853" t="str">
        <f>+VLOOKUP(B225,'[5]04 2025'!$B$2:$F$1371,5,0)</f>
        <v>C7693LE THI PHUONG050099760726</v>
      </c>
      <c r="K225" s="607">
        <f t="shared" si="16"/>
        <v>1</v>
      </c>
      <c r="P225" s="685"/>
    </row>
    <row r="226" spans="1:16" s="607" customFormat="1" ht="18" customHeight="1">
      <c r="A226" s="826">
        <f>SUBTOTAL(3,B$6:B226)</f>
        <v>221</v>
      </c>
      <c r="B226" s="824" t="s">
        <v>1237</v>
      </c>
      <c r="C226" s="824" t="str">
        <f>+VLOOKUP(B226,'Salary sheet'!$B$6:$AX$1386,48,0)</f>
        <v>NGUYEN THANH SANG</v>
      </c>
      <c r="D226" s="824" t="str">
        <f>+VLOOKUP(B226,'Salary sheet'!$B$6:$BW$1386,49,0)</f>
        <v>050135731258</v>
      </c>
      <c r="E226" s="620">
        <f>+VLOOKUP(B226,'Salary sheet'!$B$6:$AT$1292,45,0)</f>
        <v>10592331</v>
      </c>
      <c r="F226" s="1029" t="s">
        <v>5723</v>
      </c>
      <c r="G226" s="824" t="str">
        <f>+VLOOKUP(B226,'Salary sheet'!$B$6:$E$2281,4,0)</f>
        <v>FACTORY A</v>
      </c>
      <c r="H226" s="607" t="str">
        <f>+VLOOKUP(B226,'Salary sheet'!$B$6:$AZ$1386,50,0)</f>
        <v>SK1 Box</v>
      </c>
      <c r="I226" s="607" t="str">
        <f t="shared" si="17"/>
        <v>C14791NGUYEN THANH SANG050135731258</v>
      </c>
      <c r="J226" s="853" t="str">
        <f>+VLOOKUP(B226,'[5]04 2025'!$B$2:$F$1371,5,0)</f>
        <v>C14791NGUYEN THANH SANG050135731258</v>
      </c>
      <c r="K226" s="607">
        <f t="shared" si="16"/>
        <v>1</v>
      </c>
      <c r="P226" s="685"/>
    </row>
    <row r="227" spans="1:16" s="607" customFormat="1" ht="18" customHeight="1">
      <c r="A227" s="826">
        <f>SUBTOTAL(3,B$6:B227)</f>
        <v>222</v>
      </c>
      <c r="B227" s="824" t="s">
        <v>1239</v>
      </c>
      <c r="C227" s="824" t="str">
        <f>+VLOOKUP(B227,'Salary sheet'!$B$6:$AX$1386,48,0)</f>
        <v>PHAM TRUONG GIANG</v>
      </c>
      <c r="D227" s="824" t="str">
        <f>+VLOOKUP(B227,'Salary sheet'!$B$6:$BW$1386,49,0)</f>
        <v>050040825433</v>
      </c>
      <c r="E227" s="620">
        <f>+VLOOKUP(B227,'Salary sheet'!$B$6:$AT$1292,45,0)</f>
        <v>11634785</v>
      </c>
      <c r="F227" s="1029" t="s">
        <v>5723</v>
      </c>
      <c r="G227" s="824" t="str">
        <f>+VLOOKUP(B227,'Salary sheet'!$B$6:$E$2281,4,0)</f>
        <v>FACTORY A</v>
      </c>
      <c r="H227" s="607" t="str">
        <f>+VLOOKUP(B227,'Salary sheet'!$B$6:$AZ$1386,50,0)</f>
        <v>SK1 Box</v>
      </c>
      <c r="I227" s="607" t="str">
        <f t="shared" si="17"/>
        <v>C6119PHAM TRUONG GIANG050040825433</v>
      </c>
      <c r="J227" s="853" t="str">
        <f>+VLOOKUP(B227,'[5]04 2025'!$B$2:$F$1371,5,0)</f>
        <v>C6119PHAM TRUONG GIANG050040825433</v>
      </c>
      <c r="K227" s="607">
        <f t="shared" si="16"/>
        <v>1</v>
      </c>
      <c r="P227" s="685"/>
    </row>
    <row r="228" spans="1:16" s="607" customFormat="1" ht="18" customHeight="1">
      <c r="A228" s="826">
        <f>SUBTOTAL(3,B$6:B228)</f>
        <v>223</v>
      </c>
      <c r="B228" s="824" t="s">
        <v>1241</v>
      </c>
      <c r="C228" s="824" t="str">
        <f>+VLOOKUP(B228,'Salary sheet'!$B$6:$AX$1386,48,0)</f>
        <v>NGUYEN VAN TAI</v>
      </c>
      <c r="D228" s="824" t="str">
        <f>+VLOOKUP(B228,'Salary sheet'!$B$6:$BW$1386,49,0)</f>
        <v>050106514248</v>
      </c>
      <c r="E228" s="620">
        <f>+VLOOKUP(B228,'Salary sheet'!$B$6:$AT$1292,45,0)</f>
        <v>9860782</v>
      </c>
      <c r="F228" s="1029" t="s">
        <v>5723</v>
      </c>
      <c r="G228" s="824" t="str">
        <f>+VLOOKUP(B228,'Salary sheet'!$B$6:$E$2281,4,0)</f>
        <v>FACTORY A</v>
      </c>
      <c r="H228" s="607" t="str">
        <f>+VLOOKUP(B228,'Salary sheet'!$B$6:$AZ$1386,50,0)</f>
        <v>SK1 Box</v>
      </c>
      <c r="I228" s="607" t="str">
        <f t="shared" si="17"/>
        <v>C10587NGUYEN VAN TAI050106514248</v>
      </c>
      <c r="J228" s="853" t="str">
        <f>+VLOOKUP(B228,'[5]04 2025'!$B$2:$F$1371,5,0)</f>
        <v>C10587NGUYEN VAN TAI050106514248</v>
      </c>
      <c r="K228" s="607">
        <f t="shared" si="16"/>
        <v>1</v>
      </c>
      <c r="P228" s="685"/>
    </row>
    <row r="229" spans="1:16" s="607" customFormat="1" ht="18" customHeight="1">
      <c r="A229" s="826">
        <f>SUBTOTAL(3,B$6:B229)</f>
        <v>224</v>
      </c>
      <c r="B229" s="824" t="s">
        <v>1243</v>
      </c>
      <c r="C229" s="824" t="str">
        <f>+VLOOKUP(B229,'Salary sheet'!$B$6:$AX$1386,48,0)</f>
        <v>DOAN VAN MINH</v>
      </c>
      <c r="D229" s="824" t="str">
        <f>+VLOOKUP(B229,'Salary sheet'!$B$6:$BW$1386,49,0)</f>
        <v>050106626003</v>
      </c>
      <c r="E229" s="620">
        <f>+VLOOKUP(B229,'Salary sheet'!$B$6:$AT$1292,45,0)</f>
        <v>9165258</v>
      </c>
      <c r="F229" s="1029" t="s">
        <v>5723</v>
      </c>
      <c r="G229" s="824" t="str">
        <f>+VLOOKUP(B229,'Salary sheet'!$B$6:$E$2281,4,0)</f>
        <v>FACTORY A</v>
      </c>
      <c r="H229" s="607" t="str">
        <f>+VLOOKUP(B229,'Salary sheet'!$B$6:$AZ$1386,50,0)</f>
        <v>SK1 Box</v>
      </c>
      <c r="I229" s="607" t="str">
        <f t="shared" si="17"/>
        <v>C10660DOAN VAN MINH050106626003</v>
      </c>
      <c r="J229" s="853" t="str">
        <f>+VLOOKUP(B229,'[5]04 2025'!$B$2:$F$1371,5,0)</f>
        <v>C10660DOAN VAN MINH050106626003</v>
      </c>
      <c r="K229" s="607">
        <f t="shared" si="16"/>
        <v>1</v>
      </c>
      <c r="P229" s="685"/>
    </row>
    <row r="230" spans="1:16" s="607" customFormat="1" ht="18" customHeight="1">
      <c r="A230" s="826">
        <f>SUBTOTAL(3,B$6:B230)</f>
        <v>225</v>
      </c>
      <c r="B230" s="824" t="s">
        <v>1245</v>
      </c>
      <c r="C230" s="824" t="str">
        <f>+VLOOKUP(B230,'Salary sheet'!$B$6:$AX$1386,48,0)</f>
        <v>PHAN THI HEN</v>
      </c>
      <c r="D230" s="824" t="str">
        <f>+VLOOKUP(B230,'Salary sheet'!$B$6:$BW$1386,49,0)</f>
        <v>050108563394</v>
      </c>
      <c r="E230" s="620">
        <f>+VLOOKUP(B230,'Salary sheet'!$B$6:$AT$1292,45,0)</f>
        <v>10118375</v>
      </c>
      <c r="F230" s="1029" t="s">
        <v>5723</v>
      </c>
      <c r="G230" s="824" t="str">
        <f>+VLOOKUP(B230,'Salary sheet'!$B$6:$E$2281,4,0)</f>
        <v>FACTORY A</v>
      </c>
      <c r="H230" s="607" t="str">
        <f>+VLOOKUP(B230,'Salary sheet'!$B$6:$AZ$1386,50,0)</f>
        <v>SK1 Box</v>
      </c>
      <c r="I230" s="607" t="str">
        <f t="shared" si="17"/>
        <v>C10823PHAN THI HEN050108563394</v>
      </c>
      <c r="J230" s="853" t="str">
        <f>+VLOOKUP(B230,'[5]04 2025'!$B$2:$F$1371,5,0)</f>
        <v>C10823PHAN THI HEN050108563394</v>
      </c>
      <c r="K230" s="607">
        <f t="shared" si="16"/>
        <v>1</v>
      </c>
      <c r="P230" s="685"/>
    </row>
    <row r="231" spans="1:16" s="607" customFormat="1" ht="18" customHeight="1">
      <c r="A231" s="826">
        <f>SUBTOTAL(3,B$6:B231)</f>
        <v>226</v>
      </c>
      <c r="B231" s="824" t="s">
        <v>1247</v>
      </c>
      <c r="C231" s="824" t="str">
        <f>+VLOOKUP(B231,'Salary sheet'!$B$6:$AX$1386,48,0)</f>
        <v>PHAN DAI HOC</v>
      </c>
      <c r="D231" s="824" t="str">
        <f>+VLOOKUP(B231,'Salary sheet'!$B$6:$BW$1386,49,0)</f>
        <v>050110223517</v>
      </c>
      <c r="E231" s="620">
        <f>+VLOOKUP(B231,'Salary sheet'!$B$6:$AT$1292,45,0)</f>
        <v>9730441</v>
      </c>
      <c r="F231" s="1029" t="s">
        <v>5723</v>
      </c>
      <c r="G231" s="824" t="str">
        <f>+VLOOKUP(B231,'Salary sheet'!$B$6:$E$2281,4,0)</f>
        <v>FACTORY A</v>
      </c>
      <c r="H231" s="607" t="str">
        <f>+VLOOKUP(B231,'Salary sheet'!$B$6:$AZ$1386,50,0)</f>
        <v>SK1 Box</v>
      </c>
      <c r="I231" s="607" t="str">
        <f t="shared" si="17"/>
        <v>C10984PHAN DAI HOC050110223517</v>
      </c>
      <c r="J231" s="853" t="str">
        <f>+VLOOKUP(B231,'[5]04 2025'!$B$2:$F$1371,5,0)</f>
        <v>C10984PHAN DAI HOC050110223517</v>
      </c>
      <c r="K231" s="607">
        <f t="shared" si="16"/>
        <v>1</v>
      </c>
      <c r="P231" s="685"/>
    </row>
    <row r="232" spans="1:16" s="607" customFormat="1" ht="18" customHeight="1">
      <c r="A232" s="826">
        <f>SUBTOTAL(3,B$6:B232)</f>
        <v>227</v>
      </c>
      <c r="B232" s="824" t="s">
        <v>1249</v>
      </c>
      <c r="C232" s="824" t="str">
        <f>+VLOOKUP(B232,'Salary sheet'!$B$6:$AX$1386,48,0)</f>
        <v>NGUYEN THI THU DUNG</v>
      </c>
      <c r="D232" s="824" t="str">
        <f>+VLOOKUP(B232,'Salary sheet'!$B$6:$BW$1386,49,0)</f>
        <v>050042471681</v>
      </c>
      <c r="E232" s="620">
        <f>+VLOOKUP(B232,'Salary sheet'!$B$6:$AT$1292,45,0)</f>
        <v>10034448</v>
      </c>
      <c r="F232" s="1029" t="s">
        <v>5723</v>
      </c>
      <c r="G232" s="824" t="str">
        <f>+VLOOKUP(B232,'Salary sheet'!$B$6:$E$2281,4,0)</f>
        <v>FACTORY A</v>
      </c>
      <c r="H232" s="607" t="str">
        <f>+VLOOKUP(B232,'Salary sheet'!$B$6:$AZ$1386,50,0)</f>
        <v>SK1 Box</v>
      </c>
      <c r="I232" s="607" t="str">
        <f t="shared" si="17"/>
        <v>C11323NGUYEN THI THU DUNG050042471681</v>
      </c>
      <c r="J232" s="853" t="str">
        <f>+VLOOKUP(B232,'[5]04 2025'!$B$2:$F$1371,5,0)</f>
        <v>C11323NGUYEN THI THU DUNG050042471681</v>
      </c>
      <c r="K232" s="607">
        <f t="shared" si="16"/>
        <v>1</v>
      </c>
      <c r="P232" s="685"/>
    </row>
    <row r="233" spans="1:16" s="607" customFormat="1" ht="18" customHeight="1">
      <c r="A233" s="826">
        <f>SUBTOTAL(3,B$6:B233)</f>
        <v>228</v>
      </c>
      <c r="B233" s="824" t="s">
        <v>1251</v>
      </c>
      <c r="C233" s="824" t="str">
        <f>+VLOOKUP(B233,'Salary sheet'!$B$6:$AX$1386,48,0)</f>
        <v>THACH THI XA QUI</v>
      </c>
      <c r="D233" s="824" t="str">
        <f>+VLOOKUP(B233,'Salary sheet'!$B$6:$BW$1386,49,0)</f>
        <v>050093971164</v>
      </c>
      <c r="E233" s="620">
        <f>+VLOOKUP(B233,'Salary sheet'!$B$6:$AT$1292,45,0)</f>
        <v>10093655</v>
      </c>
      <c r="F233" s="1029" t="s">
        <v>5723</v>
      </c>
      <c r="G233" s="824" t="str">
        <f>+VLOOKUP(B233,'Salary sheet'!$B$6:$E$2281,4,0)</f>
        <v>FACTORY A</v>
      </c>
      <c r="H233" s="607" t="str">
        <f>+VLOOKUP(B233,'Salary sheet'!$B$6:$AZ$1386,50,0)</f>
        <v>SK1 Box</v>
      </c>
      <c r="I233" s="607" t="str">
        <f t="shared" si="17"/>
        <v>C11552THACH THI XA QUI050093971164</v>
      </c>
      <c r="J233" s="853" t="str">
        <f>+VLOOKUP(B233,'[5]04 2025'!$B$2:$F$1371,5,0)</f>
        <v>C11552THACH THI XA QUI050093971164</v>
      </c>
      <c r="K233" s="607">
        <f t="shared" ref="K233:K296" si="18">+IF(J233=I233,1,0)</f>
        <v>1</v>
      </c>
      <c r="P233" s="685"/>
    </row>
    <row r="234" spans="1:16" s="607" customFormat="1" ht="18" customHeight="1">
      <c r="A234" s="826">
        <f>SUBTOTAL(3,B$6:B234)</f>
        <v>229</v>
      </c>
      <c r="B234" s="824" t="s">
        <v>1253</v>
      </c>
      <c r="C234" s="824" t="str">
        <f>+VLOOKUP(B234,'Salary sheet'!$B$6:$AX$1386,48,0)</f>
        <v>DANG THI KIM LIEN</v>
      </c>
      <c r="D234" s="824" t="str">
        <f>+VLOOKUP(B234,'Salary sheet'!$B$6:$BW$1386,49,0)</f>
        <v>050112496308</v>
      </c>
      <c r="E234" s="620">
        <f>+VLOOKUP(B234,'Salary sheet'!$B$6:$AT$1292,45,0)</f>
        <v>12006471</v>
      </c>
      <c r="F234" s="1029" t="s">
        <v>5723</v>
      </c>
      <c r="G234" s="824" t="str">
        <f>+VLOOKUP(B234,'Salary sheet'!$B$6:$E$2281,4,0)</f>
        <v>FACTORY A</v>
      </c>
      <c r="H234" s="607" t="str">
        <f>+VLOOKUP(B234,'Salary sheet'!$B$6:$AZ$1386,50,0)</f>
        <v>SK1 Box</v>
      </c>
      <c r="I234" s="607" t="str">
        <f t="shared" si="17"/>
        <v>C11647DANG THI KIM LIEN050112496308</v>
      </c>
      <c r="J234" s="853" t="str">
        <f>+VLOOKUP(B234,'[5]04 2025'!$B$2:$F$1371,5,0)</f>
        <v>C11647DANG THI KIM LIEN050112496308</v>
      </c>
      <c r="K234" s="607">
        <f t="shared" si="18"/>
        <v>1</v>
      </c>
      <c r="P234" s="685"/>
    </row>
    <row r="235" spans="1:16" s="607" customFormat="1" ht="18" customHeight="1">
      <c r="A235" s="826">
        <f>SUBTOTAL(3,B$6:B235)</f>
        <v>230</v>
      </c>
      <c r="B235" s="824" t="s">
        <v>1256</v>
      </c>
      <c r="C235" s="824" t="str">
        <f>+VLOOKUP(B235,'Salary sheet'!$B$6:$AX$1386,48,0)</f>
        <v>DIEU THI HONG UYEN</v>
      </c>
      <c r="D235" s="824" t="str">
        <f>+VLOOKUP(B235,'Salary sheet'!$B$6:$BW$1386,49,0)</f>
        <v>050116651073</v>
      </c>
      <c r="E235" s="620">
        <f>+VLOOKUP(B235,'Salary sheet'!$B$6:$AT$1292,45,0)</f>
        <v>4357057</v>
      </c>
      <c r="F235" s="1029" t="s">
        <v>5723</v>
      </c>
      <c r="G235" s="824" t="str">
        <f>+VLOOKUP(B235,'Salary sheet'!$B$6:$E$2281,4,0)</f>
        <v>FACTORY A</v>
      </c>
      <c r="H235" s="607" t="str">
        <f>+VLOOKUP(B235,'Salary sheet'!$B$6:$AZ$1386,50,0)</f>
        <v>SK1 Box</v>
      </c>
      <c r="I235" s="607" t="str">
        <f t="shared" si="17"/>
        <v>C11865DIEU THI HONG UYEN050116651073</v>
      </c>
      <c r="J235" s="853" t="str">
        <f>+VLOOKUP(B235,'[5]04 2025'!$B$2:$F$1371,5,0)</f>
        <v>C11865DIEU THI HONG UYEN050116651073</v>
      </c>
      <c r="K235" s="607">
        <f t="shared" si="18"/>
        <v>1</v>
      </c>
      <c r="P235" s="685"/>
    </row>
    <row r="236" spans="1:16" s="607" customFormat="1" ht="18" customHeight="1">
      <c r="A236" s="826">
        <f>SUBTOTAL(3,B$6:B236)</f>
        <v>231</v>
      </c>
      <c r="B236" s="824" t="s">
        <v>1258</v>
      </c>
      <c r="C236" s="824" t="str">
        <f>+VLOOKUP(B236,'Salary sheet'!$B$6:$AX$1386,48,0)</f>
        <v>BUI VAN SINH</v>
      </c>
      <c r="D236" s="824" t="str">
        <f>+VLOOKUP(B236,'Salary sheet'!$B$6:$BW$1386,49,0)</f>
        <v>050114056429</v>
      </c>
      <c r="E236" s="620">
        <f>+VLOOKUP(B236,'Salary sheet'!$B$6:$AT$1292,45,0)</f>
        <v>9915964</v>
      </c>
      <c r="F236" s="1029" t="s">
        <v>5723</v>
      </c>
      <c r="G236" s="824" t="str">
        <f>+VLOOKUP(B236,'Salary sheet'!$B$6:$E$2281,4,0)</f>
        <v>FACTORY A</v>
      </c>
      <c r="H236" s="607" t="str">
        <f>+VLOOKUP(B236,'Salary sheet'!$B$6:$AZ$1386,50,0)</f>
        <v>SK1 Box</v>
      </c>
      <c r="I236" s="607" t="str">
        <f t="shared" si="17"/>
        <v>C11904BUI VAN SINH050114056429</v>
      </c>
      <c r="J236" s="853" t="str">
        <f>+VLOOKUP(B236,'[5]04 2025'!$B$2:$F$1371,5,0)</f>
        <v>C11904BUI VAN SINH050114056429</v>
      </c>
      <c r="K236" s="607">
        <f t="shared" si="18"/>
        <v>1</v>
      </c>
      <c r="P236" s="685"/>
    </row>
    <row r="237" spans="1:16" s="607" customFormat="1" ht="18" customHeight="1">
      <c r="A237" s="826">
        <f>SUBTOTAL(3,B$6:B237)</f>
        <v>232</v>
      </c>
      <c r="B237" s="824" t="s">
        <v>1260</v>
      </c>
      <c r="C237" s="824" t="str">
        <f>+VLOOKUP(B237,'Salary sheet'!$B$6:$AX$1386,48,0)</f>
        <v>NGUYEN THI PHUNG</v>
      </c>
      <c r="D237" s="824" t="str">
        <f>+VLOOKUP(B237,'Salary sheet'!$B$6:$BW$1386,49,0)</f>
        <v>050048099596</v>
      </c>
      <c r="E237" s="620">
        <f>+VLOOKUP(B237,'Salary sheet'!$B$6:$AT$1292,45,0)</f>
        <v>7564573</v>
      </c>
      <c r="F237" s="1029" t="s">
        <v>5723</v>
      </c>
      <c r="G237" s="824" t="str">
        <f>+VLOOKUP(B237,'Salary sheet'!$B$6:$E$2281,4,0)</f>
        <v>FACTORY A</v>
      </c>
      <c r="H237" s="607" t="str">
        <f>+VLOOKUP(B237,'Salary sheet'!$B$6:$AZ$1386,50,0)</f>
        <v>SK1 Box</v>
      </c>
      <c r="I237" s="607" t="str">
        <f t="shared" si="17"/>
        <v>C11909NGUYEN THI PHUNG050048099596</v>
      </c>
      <c r="J237" s="853" t="str">
        <f>+VLOOKUP(B237,'[5]04 2025'!$B$2:$F$1371,5,0)</f>
        <v>C11909NGUYEN THI PHUNG050048099596</v>
      </c>
      <c r="K237" s="607">
        <f t="shared" si="18"/>
        <v>1</v>
      </c>
      <c r="P237" s="685"/>
    </row>
    <row r="238" spans="1:16" s="607" customFormat="1" ht="18" customHeight="1">
      <c r="A238" s="826">
        <f>SUBTOTAL(3,B$6:B238)</f>
        <v>233</v>
      </c>
      <c r="B238" s="824" t="s">
        <v>1262</v>
      </c>
      <c r="C238" s="824" t="str">
        <f>+VLOOKUP(B238,'Salary sheet'!$B$6:$AX$1386,48,0)</f>
        <v>DIEU BANG</v>
      </c>
      <c r="D238" s="824" t="str">
        <f>+VLOOKUP(B238,'Salary sheet'!$B$6:$BW$1386,49,0)</f>
        <v>050116653068</v>
      </c>
      <c r="E238" s="620">
        <f>+VLOOKUP(B238,'Salary sheet'!$B$6:$AT$1292,45,0)</f>
        <v>9808470</v>
      </c>
      <c r="F238" s="1029" t="s">
        <v>5723</v>
      </c>
      <c r="G238" s="824" t="str">
        <f>+VLOOKUP(B238,'Salary sheet'!$B$6:$E$2281,4,0)</f>
        <v>FACTORY A</v>
      </c>
      <c r="H238" s="607" t="str">
        <f>+VLOOKUP(B238,'Salary sheet'!$B$6:$AZ$1386,50,0)</f>
        <v>SK1 Box</v>
      </c>
      <c r="I238" s="607" t="str">
        <f t="shared" si="17"/>
        <v>C12035DIEU BANG050116653068</v>
      </c>
      <c r="J238" s="853" t="str">
        <f>+VLOOKUP(B238,'[5]04 2025'!$B$2:$F$1371,5,0)</f>
        <v>C12035DIEU BANG050116653068</v>
      </c>
      <c r="K238" s="607">
        <f t="shared" si="18"/>
        <v>1</v>
      </c>
      <c r="P238" s="685"/>
    </row>
    <row r="239" spans="1:16" s="607" customFormat="1" ht="18" customHeight="1">
      <c r="A239" s="826">
        <f>SUBTOTAL(3,B$6:B239)</f>
        <v>234</v>
      </c>
      <c r="B239" s="824" t="s">
        <v>1264</v>
      </c>
      <c r="C239" s="824" t="str">
        <f>+VLOOKUP(B239,'Salary sheet'!$B$6:$AX$1386,48,0)</f>
        <v>NGUYEN THI KIM YEN</v>
      </c>
      <c r="D239" s="824" t="str">
        <f>+VLOOKUP(B239,'Salary sheet'!$B$6:$BW$1386,49,0)</f>
        <v>050069829462</v>
      </c>
      <c r="E239" s="620">
        <f>+VLOOKUP(B239,'Salary sheet'!$B$6:$AT$1292,45,0)</f>
        <v>9846424</v>
      </c>
      <c r="F239" s="1029" t="s">
        <v>5723</v>
      </c>
      <c r="G239" s="824" t="str">
        <f>+VLOOKUP(B239,'Salary sheet'!$B$6:$E$2281,4,0)</f>
        <v>FACTORY A</v>
      </c>
      <c r="H239" s="607" t="str">
        <f>+VLOOKUP(B239,'Salary sheet'!$B$6:$AZ$1386,50,0)</f>
        <v>SK1 Box</v>
      </c>
      <c r="I239" s="607" t="str">
        <f t="shared" si="17"/>
        <v>C12081NGUYEN THI KIM YEN050069829462</v>
      </c>
      <c r="J239" s="853" t="str">
        <f>+VLOOKUP(B239,'[5]04 2025'!$B$2:$F$1371,5,0)</f>
        <v>C12081NGUYEN THI KIM YEN050069829462</v>
      </c>
      <c r="K239" s="607">
        <f t="shared" si="18"/>
        <v>1</v>
      </c>
      <c r="P239" s="685"/>
    </row>
    <row r="240" spans="1:16" s="607" customFormat="1" ht="18" customHeight="1">
      <c r="A240" s="826">
        <f>SUBTOTAL(3,B$6:B240)</f>
        <v>235</v>
      </c>
      <c r="B240" s="824" t="s">
        <v>1266</v>
      </c>
      <c r="C240" s="824" t="str">
        <f>+VLOOKUP(B240,'Salary sheet'!$B$6:$AX$1386,48,0)</f>
        <v>NGO VAN KHA</v>
      </c>
      <c r="D240" s="824" t="str">
        <f>+VLOOKUP(B240,'Salary sheet'!$B$6:$BW$1386,49,0)</f>
        <v>050114273373</v>
      </c>
      <c r="E240" s="620">
        <f>+VLOOKUP(B240,'Salary sheet'!$B$6:$AT$1292,45,0)</f>
        <v>9879276</v>
      </c>
      <c r="F240" s="1029" t="s">
        <v>5723</v>
      </c>
      <c r="G240" s="824" t="str">
        <f>+VLOOKUP(B240,'Salary sheet'!$B$6:$E$2281,4,0)</f>
        <v>FACTORY A</v>
      </c>
      <c r="H240" s="607" t="str">
        <f>+VLOOKUP(B240,'Salary sheet'!$B$6:$AZ$1386,50,0)</f>
        <v>SK1 Box</v>
      </c>
      <c r="I240" s="607" t="str">
        <f t="shared" si="17"/>
        <v>C13790NGO VAN KHA050114273373</v>
      </c>
      <c r="J240" s="853" t="str">
        <f>+VLOOKUP(B240,'[5]04 2025'!$B$2:$F$1371,5,0)</f>
        <v>C13790NGO VAN KHA050114273373</v>
      </c>
      <c r="K240" s="607">
        <f t="shared" si="18"/>
        <v>1</v>
      </c>
      <c r="P240" s="685"/>
    </row>
    <row r="241" spans="1:16" s="607" customFormat="1" ht="18" customHeight="1">
      <c r="A241" s="826">
        <f>SUBTOTAL(3,B$6:B241)</f>
        <v>236</v>
      </c>
      <c r="B241" s="824" t="s">
        <v>1268</v>
      </c>
      <c r="C241" s="824" t="str">
        <f>+VLOOKUP(B241,'Salary sheet'!$B$6:$AX$1386,48,0)</f>
        <v>KIEU MINH CHI</v>
      </c>
      <c r="D241" s="824" t="str">
        <f>+VLOOKUP(B241,'Salary sheet'!$B$6:$BW$1386,49,0)</f>
        <v>050119246056</v>
      </c>
      <c r="E241" s="620">
        <f>+VLOOKUP(B241,'Salary sheet'!$B$6:$AT$1292,45,0)</f>
        <v>9562555</v>
      </c>
      <c r="F241" s="1029" t="s">
        <v>5723</v>
      </c>
      <c r="G241" s="824" t="str">
        <f>+VLOOKUP(B241,'Salary sheet'!$B$6:$E$2281,4,0)</f>
        <v>FACTORY A</v>
      </c>
      <c r="H241" s="607" t="str">
        <f>+VLOOKUP(B241,'Salary sheet'!$B$6:$AZ$1386,50,0)</f>
        <v>SK1 Box</v>
      </c>
      <c r="I241" s="607" t="str">
        <f t="shared" si="17"/>
        <v>C13815KIEU MINH CHI050119246056</v>
      </c>
      <c r="J241" s="853" t="str">
        <f>+VLOOKUP(B241,'[5]04 2025'!$B$2:$F$1371,5,0)</f>
        <v>C13815KIEU MINH CHI050119246056</v>
      </c>
      <c r="K241" s="607">
        <f t="shared" si="18"/>
        <v>1</v>
      </c>
      <c r="P241" s="685"/>
    </row>
    <row r="242" spans="1:16" s="607" customFormat="1" ht="18" customHeight="1">
      <c r="A242" s="826">
        <f>SUBTOTAL(3,B$6:B242)</f>
        <v>237</v>
      </c>
      <c r="B242" s="824" t="s">
        <v>1270</v>
      </c>
      <c r="C242" s="824" t="str">
        <f>+VLOOKUP(B242,'Salary sheet'!$B$6:$AX$1386,48,0)</f>
        <v>HUYNH NGOC TUAN</v>
      </c>
      <c r="D242" s="824" t="str">
        <f>+VLOOKUP(B242,'Salary sheet'!$B$6:$BW$1386,49,0)</f>
        <v>050131564152</v>
      </c>
      <c r="E242" s="620">
        <f>+VLOOKUP(B242,'Salary sheet'!$B$6:$AT$1292,45,0)</f>
        <v>9445536</v>
      </c>
      <c r="F242" s="1029" t="s">
        <v>5723</v>
      </c>
      <c r="G242" s="824" t="str">
        <f>+VLOOKUP(B242,'Salary sheet'!$B$6:$E$2281,4,0)</f>
        <v>FACTORY A</v>
      </c>
      <c r="H242" s="607" t="str">
        <f>+VLOOKUP(B242,'Salary sheet'!$B$6:$AZ$1386,50,0)</f>
        <v>SK1 Box</v>
      </c>
      <c r="I242" s="607" t="str">
        <f t="shared" si="17"/>
        <v>C14239HUYNH NGOC TUAN050131564152</v>
      </c>
      <c r="J242" s="853" t="str">
        <f>+VLOOKUP(B242,'[5]04 2025'!$B$2:$F$1371,5,0)</f>
        <v>C14239HUYNH NGOC TUAN050131564152</v>
      </c>
      <c r="K242" s="607">
        <f t="shared" si="18"/>
        <v>1</v>
      </c>
      <c r="P242" s="685"/>
    </row>
    <row r="243" spans="1:16" s="607" customFormat="1" ht="18" customHeight="1">
      <c r="A243" s="826">
        <f>SUBTOTAL(3,B$6:B243)</f>
        <v>238</v>
      </c>
      <c r="B243" s="824" t="s">
        <v>1272</v>
      </c>
      <c r="C243" s="824" t="str">
        <f>+VLOOKUP(B243,'Salary sheet'!$B$6:$AX$1386,48,0)</f>
        <v>PHAN THI OANH</v>
      </c>
      <c r="D243" s="824" t="str">
        <f>+VLOOKUP(B243,'Salary sheet'!$B$6:$BW$1386,49,0)</f>
        <v>050132089490</v>
      </c>
      <c r="E243" s="620">
        <f>+VLOOKUP(B243,'Salary sheet'!$B$6:$AT$1292,45,0)</f>
        <v>9902376</v>
      </c>
      <c r="F243" s="1029" t="s">
        <v>5723</v>
      </c>
      <c r="G243" s="824" t="str">
        <f>+VLOOKUP(B243,'Salary sheet'!$B$6:$E$2281,4,0)</f>
        <v>FACTORY A</v>
      </c>
      <c r="H243" s="607" t="str">
        <f>+VLOOKUP(B243,'Salary sheet'!$B$6:$AZ$1386,50,0)</f>
        <v>SK1 Box</v>
      </c>
      <c r="I243" s="607" t="str">
        <f t="shared" si="17"/>
        <v>C14240PHAN THI OANH050132089490</v>
      </c>
      <c r="J243" s="853" t="str">
        <f>+VLOOKUP(B243,'[5]04 2025'!$B$2:$F$1371,5,0)</f>
        <v>C14240PHAN THI OANH050132089490</v>
      </c>
      <c r="K243" s="607">
        <f t="shared" si="18"/>
        <v>1</v>
      </c>
      <c r="P243" s="685"/>
    </row>
    <row r="244" spans="1:16" s="607" customFormat="1" ht="18" customHeight="1">
      <c r="A244" s="826">
        <f>SUBTOTAL(3,B$6:B244)</f>
        <v>239</v>
      </c>
      <c r="B244" s="824" t="s">
        <v>1274</v>
      </c>
      <c r="C244" s="824" t="str">
        <f>+VLOOKUP(B244,'Salary sheet'!$B$6:$AX$1386,48,0)</f>
        <v>PHAM THI NGOC ANH</v>
      </c>
      <c r="D244" s="824" t="str">
        <f>+VLOOKUP(B244,'Salary sheet'!$B$6:$BW$1386,49,0)</f>
        <v>050040792985</v>
      </c>
      <c r="E244" s="620">
        <f>+VLOOKUP(B244,'Salary sheet'!$B$6:$AT$1292,45,0)</f>
        <v>9594353</v>
      </c>
      <c r="F244" s="1029" t="s">
        <v>5723</v>
      </c>
      <c r="G244" s="824" t="str">
        <f>+VLOOKUP(B244,'Salary sheet'!$B$6:$E$2281,4,0)</f>
        <v>FACTORY A</v>
      </c>
      <c r="H244" s="607" t="str">
        <f>+VLOOKUP(B244,'Salary sheet'!$B$6:$AZ$1386,50,0)</f>
        <v>SK1 Box</v>
      </c>
      <c r="I244" s="607" t="str">
        <f t="shared" si="17"/>
        <v>C14982PHAM THI NGOC ANH050040792985</v>
      </c>
      <c r="J244" s="853" t="str">
        <f>+VLOOKUP(B244,'[5]04 2025'!$B$2:$F$1371,5,0)</f>
        <v>C14982PHAM THI NGOC ANH050040792985</v>
      </c>
      <c r="K244" s="607">
        <f t="shared" si="18"/>
        <v>1</v>
      </c>
      <c r="P244" s="685"/>
    </row>
    <row r="245" spans="1:16" s="607" customFormat="1" ht="18" customHeight="1">
      <c r="A245" s="826">
        <f>SUBTOTAL(3,B$6:B245)</f>
        <v>240</v>
      </c>
      <c r="B245" s="824" t="s">
        <v>1276</v>
      </c>
      <c r="C245" s="824" t="str">
        <f>+VLOOKUP(B245,'Salary sheet'!$B$6:$AX$1386,48,0)</f>
        <v>NGUYEN THI KIM MY</v>
      </c>
      <c r="D245" s="824" t="str">
        <f>+VLOOKUP(B245,'Salary sheet'!$B$6:$BW$1386,49,0)</f>
        <v>050045647509</v>
      </c>
      <c r="E245" s="620">
        <f>+VLOOKUP(B245,'Salary sheet'!$B$6:$AT$1292,45,0)</f>
        <v>9084035</v>
      </c>
      <c r="F245" s="1029" t="s">
        <v>5723</v>
      </c>
      <c r="G245" s="824" t="str">
        <f>+VLOOKUP(B245,'Salary sheet'!$B$6:$E$2281,4,0)</f>
        <v>FACTORY A</v>
      </c>
      <c r="H245" s="607" t="str">
        <f>+VLOOKUP(B245,'Salary sheet'!$B$6:$AZ$1386,50,0)</f>
        <v>SK1 Box</v>
      </c>
      <c r="I245" s="607" t="str">
        <f t="shared" si="17"/>
        <v>C15449NGUYEN THI KIM MY050045647509</v>
      </c>
      <c r="J245" s="853" t="str">
        <f>+VLOOKUP(B245,'[5]04 2025'!$B$2:$F$1371,5,0)</f>
        <v>C15449NGUYEN THI KIM MY050045647509</v>
      </c>
      <c r="K245" s="607">
        <f t="shared" si="18"/>
        <v>1</v>
      </c>
      <c r="P245" s="685"/>
    </row>
    <row r="246" spans="1:16" s="607" customFormat="1" ht="18" customHeight="1">
      <c r="A246" s="826">
        <f>SUBTOTAL(3,B$6:B246)</f>
        <v>241</v>
      </c>
      <c r="B246" s="824" t="s">
        <v>1278</v>
      </c>
      <c r="C246" s="824" t="str">
        <f>+VLOOKUP(B246,'Salary sheet'!$B$6:$AX$1386,48,0)</f>
        <v>TRAN THI HOANG THUONG</v>
      </c>
      <c r="D246" s="824" t="str">
        <f>+VLOOKUP(B246,'Salary sheet'!$B$6:$BW$1386,49,0)</f>
        <v>050112035203</v>
      </c>
      <c r="E246" s="620">
        <f>+VLOOKUP(B246,'Salary sheet'!$B$6:$AT$1292,45,0)</f>
        <v>8912216</v>
      </c>
      <c r="F246" s="1029" t="s">
        <v>5723</v>
      </c>
      <c r="G246" s="824" t="str">
        <f>+VLOOKUP(B246,'Salary sheet'!$B$6:$E$2281,4,0)</f>
        <v>FACTORY A</v>
      </c>
      <c r="H246" s="607" t="str">
        <f>+VLOOKUP(B246,'Salary sheet'!$B$6:$AZ$1386,50,0)</f>
        <v>SK1 Box</v>
      </c>
      <c r="I246" s="607" t="str">
        <f t="shared" si="17"/>
        <v>C15506TRAN THI HOANG THUONG050112035203</v>
      </c>
      <c r="J246" s="853" t="str">
        <f>+VLOOKUP(B246,'[5]04 2025'!$B$2:$F$1371,5,0)</f>
        <v>C15506TRAN THI HOANG THUONG050112035203</v>
      </c>
      <c r="K246" s="607">
        <f t="shared" si="18"/>
        <v>1</v>
      </c>
      <c r="P246" s="685"/>
    </row>
    <row r="247" spans="1:16" s="607" customFormat="1" ht="18" customHeight="1">
      <c r="A247" s="826">
        <f>SUBTOTAL(3,B$6:B247)</f>
        <v>242</v>
      </c>
      <c r="B247" s="824" t="s">
        <v>1280</v>
      </c>
      <c r="C247" s="824" t="str">
        <f>+VLOOKUP(B247,'Salary sheet'!$B$6:$AX$1386,48,0)</f>
        <v>THACH THI THUY TIEN</v>
      </c>
      <c r="D247" s="824" t="str">
        <f>+VLOOKUP(B247,'Salary sheet'!$B$6:$BW$1386,49,0)</f>
        <v>050121173341</v>
      </c>
      <c r="E247" s="620">
        <f>+VLOOKUP(B247,'Salary sheet'!$B$6:$AT$1292,45,0)</f>
        <v>9309598</v>
      </c>
      <c r="F247" s="1029" t="s">
        <v>5723</v>
      </c>
      <c r="G247" s="824" t="str">
        <f>+VLOOKUP(B247,'Salary sheet'!$B$6:$E$2281,4,0)</f>
        <v>FACTORY A</v>
      </c>
      <c r="H247" s="607" t="str">
        <f>+VLOOKUP(B247,'Salary sheet'!$B$6:$AZ$1386,50,0)</f>
        <v>SK1 Box</v>
      </c>
      <c r="I247" s="607" t="str">
        <f t="shared" si="17"/>
        <v>C15603THACH THI THUY TIEN050121173341</v>
      </c>
      <c r="J247" s="853" t="str">
        <f>+VLOOKUP(B247,'[5]04 2025'!$B$2:$F$1371,5,0)</f>
        <v>C15603THACH THI THUY TIEN050121173341</v>
      </c>
      <c r="K247" s="607">
        <f t="shared" si="18"/>
        <v>1</v>
      </c>
      <c r="P247" s="685"/>
    </row>
    <row r="248" spans="1:16" s="607" customFormat="1" ht="18" customHeight="1">
      <c r="A248" s="826">
        <f>SUBTOTAL(3,B$6:B248)</f>
        <v>243</v>
      </c>
      <c r="B248" s="824" t="s">
        <v>1282</v>
      </c>
      <c r="C248" s="824" t="str">
        <f>+VLOOKUP(B248,'Salary sheet'!$B$6:$AX$1386,48,0)</f>
        <v>DU VAN QUANG</v>
      </c>
      <c r="D248" s="824" t="str">
        <f>+VLOOKUP(B248,'Salary sheet'!$B$6:$BW$1386,49,0)</f>
        <v>050040825638</v>
      </c>
      <c r="E248" s="620">
        <f>+VLOOKUP(B248,'Salary sheet'!$B$6:$AT$1292,45,0)</f>
        <v>8704826</v>
      </c>
      <c r="F248" s="1029" t="s">
        <v>5723</v>
      </c>
      <c r="G248" s="824" t="str">
        <f>+VLOOKUP(B248,'Salary sheet'!$B$6:$E$2281,4,0)</f>
        <v>FACTORY A</v>
      </c>
      <c r="H248" s="607" t="str">
        <f>+VLOOKUP(B248,'Salary sheet'!$B$6:$AZ$1386,50,0)</f>
        <v>SK1 Box</v>
      </c>
      <c r="I248" s="607" t="str">
        <f t="shared" si="17"/>
        <v>C15637DU VAN QUANG050040825638</v>
      </c>
      <c r="J248" s="853" t="str">
        <f>+VLOOKUP(B248,'[5]04 2025'!$B$2:$F$1371,5,0)</f>
        <v>C15637DU VAN QUANG050040825638</v>
      </c>
      <c r="K248" s="607">
        <f t="shared" si="18"/>
        <v>1</v>
      </c>
      <c r="P248" s="685"/>
    </row>
    <row r="249" spans="1:16" s="607" customFormat="1" ht="18" customHeight="1">
      <c r="A249" s="826">
        <f>SUBTOTAL(3,B$6:B249)</f>
        <v>244</v>
      </c>
      <c r="B249" s="824" t="s">
        <v>1284</v>
      </c>
      <c r="C249" s="824" t="str">
        <f>+VLOOKUP(B249,'Salary sheet'!$B$6:$AX$1386,48,0)</f>
        <v>PHAN PHI LONG</v>
      </c>
      <c r="D249" s="824" t="str">
        <f>+VLOOKUP(B249,'Salary sheet'!$B$6:$BW$1386,49,0)</f>
        <v>050051931286</v>
      </c>
      <c r="E249" s="620">
        <f>+VLOOKUP(B249,'Salary sheet'!$B$6:$AT$1292,45,0)</f>
        <v>8418541</v>
      </c>
      <c r="F249" s="1029" t="s">
        <v>5723</v>
      </c>
      <c r="G249" s="824" t="str">
        <f>+VLOOKUP(B249,'Salary sheet'!$B$6:$E$2281,4,0)</f>
        <v>FACTORY A</v>
      </c>
      <c r="H249" s="607" t="str">
        <f>+VLOOKUP(B249,'Salary sheet'!$B$6:$AZ$1386,50,0)</f>
        <v>SK1 Box</v>
      </c>
      <c r="I249" s="607" t="str">
        <f t="shared" si="17"/>
        <v>C16096PHAN PHI LONG050051931286</v>
      </c>
      <c r="J249" s="853" t="str">
        <f>+VLOOKUP(B249,'[5]04 2025'!$B$2:$F$1371,5,0)</f>
        <v>C16096PHAN PHI LONG050051931286</v>
      </c>
      <c r="K249" s="607">
        <f t="shared" si="18"/>
        <v>1</v>
      </c>
      <c r="P249" s="685"/>
    </row>
    <row r="250" spans="1:16" s="607" customFormat="1" ht="18" customHeight="1">
      <c r="A250" s="826">
        <f>SUBTOTAL(3,B$6:B250)</f>
        <v>245</v>
      </c>
      <c r="B250" s="824" t="s">
        <v>1286</v>
      </c>
      <c r="C250" s="824" t="str">
        <f>+VLOOKUP(B250,'Salary sheet'!$B$6:$AX$1386,48,0)</f>
        <v>NGUYEN THI KIM TUYEN</v>
      </c>
      <c r="D250" s="824" t="str">
        <f>+VLOOKUP(B250,'Salary sheet'!$B$6:$BW$1386,49,0)</f>
        <v>050040932795</v>
      </c>
      <c r="E250" s="620">
        <f>+VLOOKUP(B250,'Salary sheet'!$B$6:$AT$1292,45,0)</f>
        <v>8648000</v>
      </c>
      <c r="F250" s="1029" t="s">
        <v>5723</v>
      </c>
      <c r="G250" s="824" t="str">
        <f>+VLOOKUP(B250,'Salary sheet'!$B$6:$E$2281,4,0)</f>
        <v>FACTORY A</v>
      </c>
      <c r="H250" s="607" t="str">
        <f>+VLOOKUP(B250,'Salary sheet'!$B$6:$AZ$1386,50,0)</f>
        <v>SK1 Box</v>
      </c>
      <c r="I250" s="607" t="str">
        <f t="shared" si="17"/>
        <v>C16136NGUYEN THI KIM TUYEN050040932795</v>
      </c>
      <c r="J250" s="853" t="str">
        <f>+VLOOKUP(B250,'[5]04 2025'!$B$2:$F$1371,5,0)</f>
        <v>C16136NGUYEN THI KIM TUYEN050040932795</v>
      </c>
      <c r="K250" s="607">
        <f t="shared" si="18"/>
        <v>1</v>
      </c>
      <c r="P250" s="685"/>
    </row>
    <row r="251" spans="1:16" s="607" customFormat="1" ht="18" customHeight="1">
      <c r="A251" s="826">
        <f>SUBTOTAL(3,B$6:B251)</f>
        <v>246</v>
      </c>
      <c r="B251" s="824" t="s">
        <v>1288</v>
      </c>
      <c r="C251" s="824" t="str">
        <f>+VLOOKUP(B251,'Salary sheet'!$B$6:$AX$1386,48,0)</f>
        <v>LAM THI NHU QUYNH</v>
      </c>
      <c r="D251" s="824" t="str">
        <f>+VLOOKUP(B251,'Salary sheet'!$B$6:$BW$1386,49,0)</f>
        <v>050135776944</v>
      </c>
      <c r="E251" s="620">
        <f>+VLOOKUP(B251,'Salary sheet'!$B$6:$AT$1292,45,0)</f>
        <v>6553392</v>
      </c>
      <c r="F251" s="1029" t="s">
        <v>5723</v>
      </c>
      <c r="G251" s="824" t="str">
        <f>+VLOOKUP(B251,'Salary sheet'!$B$6:$E$2281,4,0)</f>
        <v>FACTORY A</v>
      </c>
      <c r="H251" s="607" t="str">
        <f>+VLOOKUP(B251,'Salary sheet'!$B$6:$AZ$1386,50,0)</f>
        <v>SK1 Box</v>
      </c>
      <c r="I251" s="607" t="str">
        <f t="shared" si="17"/>
        <v>C16235LAM THI NHU QUYNH050135776944</v>
      </c>
      <c r="J251" s="853" t="str">
        <f>+VLOOKUP(B251,'[5]04 2025'!$B$2:$F$1371,5,0)</f>
        <v>C16235LAM THI NHU QUYNH050135776944</v>
      </c>
      <c r="K251" s="607">
        <f t="shared" si="18"/>
        <v>1</v>
      </c>
      <c r="P251" s="685"/>
    </row>
    <row r="252" spans="1:16" s="607" customFormat="1" ht="18" customHeight="1">
      <c r="A252" s="826">
        <f>SUBTOTAL(3,B$6:B252)</f>
        <v>247</v>
      </c>
      <c r="B252" s="824" t="s">
        <v>1290</v>
      </c>
      <c r="C252" s="824" t="str">
        <f>+VLOOKUP(B252,'Salary sheet'!$B$6:$AX$1386,48,0)</f>
        <v>HUYNH VAN HOI</v>
      </c>
      <c r="D252" s="824" t="str">
        <f>+VLOOKUP(B252,'Salary sheet'!$B$6:$BW$1386,49,0)</f>
        <v>050812130424</v>
      </c>
      <c r="E252" s="620">
        <f>+VLOOKUP(B252,'Salary sheet'!$B$6:$AT$1292,45,0)</f>
        <v>6378871</v>
      </c>
      <c r="F252" s="1029" t="s">
        <v>5723</v>
      </c>
      <c r="G252" s="824" t="str">
        <f>+VLOOKUP(B252,'Salary sheet'!$B$6:$E$2281,4,0)</f>
        <v>FACTORY A</v>
      </c>
      <c r="H252" s="607" t="str">
        <f>+VLOOKUP(B252,'Salary sheet'!$B$6:$AZ$1386,50,0)</f>
        <v>SK1 Box</v>
      </c>
      <c r="I252" s="607" t="str">
        <f t="shared" si="17"/>
        <v>C16459HUYNH VAN HOI050812130424</v>
      </c>
      <c r="J252" s="853" t="str">
        <f>+VLOOKUP(B252,'[5]04 2025'!$B$2:$F$1371,5,0)</f>
        <v>C16459HUYNH VAN HOI050812130424</v>
      </c>
      <c r="K252" s="607">
        <f t="shared" si="18"/>
        <v>1</v>
      </c>
      <c r="P252" s="685"/>
    </row>
    <row r="253" spans="1:16" s="607" customFormat="1" ht="18" customHeight="1">
      <c r="A253" s="826">
        <f>SUBTOTAL(3,B$6:B253)</f>
        <v>248</v>
      </c>
      <c r="B253" s="824" t="s">
        <v>1292</v>
      </c>
      <c r="C253" s="824" t="str">
        <f>+VLOOKUP(B253,'Salary sheet'!$B$6:$AX$1386,48,0)</f>
        <v>TRAN THI BICH PHUONG</v>
      </c>
      <c r="D253" s="824" t="str">
        <f>+VLOOKUP(B253,'Salary sheet'!$B$6:$BW$1386,49,0)</f>
        <v>050866999671</v>
      </c>
      <c r="E253" s="620">
        <f>+VLOOKUP(B253,'Salary sheet'!$B$6:$AT$1292,45,0)</f>
        <v>8223624</v>
      </c>
      <c r="F253" s="1029" t="s">
        <v>5723</v>
      </c>
      <c r="G253" s="824" t="str">
        <f>+VLOOKUP(B253,'Salary sheet'!$B$6:$E$2281,4,0)</f>
        <v>FACTORY A</v>
      </c>
      <c r="H253" s="607" t="str">
        <f>+VLOOKUP(B253,'Salary sheet'!$B$6:$AZ$1386,50,0)</f>
        <v>SK1 Box</v>
      </c>
      <c r="I253" s="607" t="str">
        <f t="shared" si="17"/>
        <v>C16479TRAN THI BICH PHUONG050866999671</v>
      </c>
      <c r="J253" s="853" t="str">
        <f>+VLOOKUP(B253,'[5]04 2025'!$B$2:$F$1371,5,0)</f>
        <v>C16479TRAN THI BICH PHUONG050866999671</v>
      </c>
      <c r="K253" s="607">
        <f t="shared" si="18"/>
        <v>1</v>
      </c>
      <c r="P253" s="685"/>
    </row>
    <row r="254" spans="1:16" s="607" customFormat="1" ht="18" customHeight="1">
      <c r="A254" s="826">
        <f>SUBTOTAL(3,B$6:B254)</f>
        <v>249</v>
      </c>
      <c r="B254" s="824" t="s">
        <v>1294</v>
      </c>
      <c r="C254" s="824" t="str">
        <f>+VLOOKUP(B254,'Salary sheet'!$B$6:$AX$1386,48,0)</f>
        <v>PHAM THI PHUONG DUNG</v>
      </c>
      <c r="D254" s="824" t="str">
        <f>+VLOOKUP(B254,'Salary sheet'!$B$6:$BW$1386,49,0)</f>
        <v>050040846465</v>
      </c>
      <c r="E254" s="620">
        <f>+VLOOKUP(B254,'Salary sheet'!$B$6:$AT$1292,45,0)</f>
        <v>8031910</v>
      </c>
      <c r="F254" s="1029" t="s">
        <v>5723</v>
      </c>
      <c r="G254" s="824" t="str">
        <f>+VLOOKUP(B254,'Salary sheet'!$B$6:$E$2281,4,0)</f>
        <v>FACTORY A</v>
      </c>
      <c r="H254" s="607" t="str">
        <f>+VLOOKUP(B254,'Salary sheet'!$B$6:$AZ$1386,50,0)</f>
        <v>SK1 Box</v>
      </c>
      <c r="I254" s="607" t="str">
        <f t="shared" si="17"/>
        <v>C4644PHAM THI PHUONG DUNG050040846465</v>
      </c>
      <c r="J254" s="853" t="str">
        <f>+VLOOKUP(B254,'[5]04 2025'!$B$2:$F$1371,5,0)</f>
        <v>C4644PHAM THI PHUONG DUNG050040846465</v>
      </c>
      <c r="K254" s="607">
        <f t="shared" si="18"/>
        <v>1</v>
      </c>
      <c r="P254" s="685"/>
    </row>
    <row r="255" spans="1:16" s="607" customFormat="1" ht="18" customHeight="1">
      <c r="A255" s="826">
        <f>SUBTOTAL(3,B$6:B255)</f>
        <v>250</v>
      </c>
      <c r="B255" s="824" t="s">
        <v>1296</v>
      </c>
      <c r="C255" s="824" t="str">
        <f>+VLOOKUP(B255,'Salary sheet'!$B$6:$AX$1386,48,0)</f>
        <v>LE THI LUU</v>
      </c>
      <c r="D255" s="824" t="str">
        <f>+VLOOKUP(B255,'Salary sheet'!$B$6:$BW$1386,49,0)</f>
        <v>050040849324</v>
      </c>
      <c r="E255" s="620">
        <f>+VLOOKUP(B255,'Salary sheet'!$B$6:$AT$1292,45,0)</f>
        <v>10090399</v>
      </c>
      <c r="F255" s="1029" t="s">
        <v>5723</v>
      </c>
      <c r="G255" s="824" t="str">
        <f>+VLOOKUP(B255,'Salary sheet'!$B$6:$E$2281,4,0)</f>
        <v>FACTORY A</v>
      </c>
      <c r="H255" s="607" t="str">
        <f>+VLOOKUP(B255,'Salary sheet'!$B$6:$AZ$1386,50,0)</f>
        <v>SK1 Box</v>
      </c>
      <c r="I255" s="607" t="str">
        <f t="shared" si="17"/>
        <v>C5776LE THI LUU050040849324</v>
      </c>
      <c r="J255" s="853" t="str">
        <f>+VLOOKUP(B255,'[5]04 2025'!$B$2:$F$1371,5,0)</f>
        <v>C5776LE THI LUU050040849324</v>
      </c>
      <c r="K255" s="607">
        <f t="shared" si="18"/>
        <v>1</v>
      </c>
      <c r="P255" s="685"/>
    </row>
    <row r="256" spans="1:16" s="607" customFormat="1" ht="18" customHeight="1">
      <c r="A256" s="826">
        <f>SUBTOTAL(3,B$6:B256)</f>
        <v>251</v>
      </c>
      <c r="B256" s="824" t="s">
        <v>1298</v>
      </c>
      <c r="C256" s="824" t="str">
        <f>+VLOOKUP(B256,'Salary sheet'!$B$6:$AX$1386,48,0)</f>
        <v>NGUYEN THI HONG</v>
      </c>
      <c r="D256" s="824" t="str">
        <f>+VLOOKUP(B256,'Salary sheet'!$B$6:$BW$1386,49,0)</f>
        <v>050056814377</v>
      </c>
      <c r="E256" s="620">
        <f>+VLOOKUP(B256,'Salary sheet'!$B$6:$AT$1292,45,0)</f>
        <v>9927096</v>
      </c>
      <c r="F256" s="1029" t="s">
        <v>5723</v>
      </c>
      <c r="G256" s="824" t="str">
        <f>+VLOOKUP(B256,'Salary sheet'!$B$6:$E$2281,4,0)</f>
        <v>FACTORY A</v>
      </c>
      <c r="H256" s="607" t="str">
        <f>+VLOOKUP(B256,'Salary sheet'!$B$6:$AZ$1386,50,0)</f>
        <v>SK1 Box</v>
      </c>
      <c r="I256" s="607" t="str">
        <f t="shared" ref="I256:I280" si="19">+CONCATENATE(B256,C256,D256)</f>
        <v>C6325NGUYEN THI HONG050056814377</v>
      </c>
      <c r="J256" s="853" t="str">
        <f>+VLOOKUP(B256,'[5]04 2025'!$B$2:$F$1371,5,0)</f>
        <v>C6325NGUYEN THI HONG050056814377</v>
      </c>
      <c r="K256" s="607">
        <f t="shared" si="18"/>
        <v>1</v>
      </c>
      <c r="P256" s="685"/>
    </row>
    <row r="257" spans="1:16" s="607" customFormat="1" ht="18" customHeight="1">
      <c r="A257" s="826">
        <f>SUBTOTAL(3,B$6:B257)</f>
        <v>252</v>
      </c>
      <c r="B257" s="824" t="s">
        <v>1300</v>
      </c>
      <c r="C257" s="824" t="str">
        <f>+VLOOKUP(B257,'Salary sheet'!$B$6:$AX$1386,48,0)</f>
        <v>NGUYEN BA CHAT</v>
      </c>
      <c r="D257" s="824" t="str">
        <f>+VLOOKUP(B257,'Salary sheet'!$B$6:$BW$1386,49,0)</f>
        <v>050073798334</v>
      </c>
      <c r="E257" s="620">
        <f>+VLOOKUP(B257,'Salary sheet'!$B$6:$AT$1292,45,0)</f>
        <v>9592485</v>
      </c>
      <c r="F257" s="1029" t="s">
        <v>5723</v>
      </c>
      <c r="G257" s="824" t="str">
        <f>+VLOOKUP(B257,'Salary sheet'!$B$6:$E$2281,4,0)</f>
        <v>FACTORY A</v>
      </c>
      <c r="H257" s="607" t="str">
        <f>+VLOOKUP(B257,'Salary sheet'!$B$6:$AZ$1386,50,0)</f>
        <v>SK1 Box</v>
      </c>
      <c r="I257" s="607" t="str">
        <f t="shared" si="19"/>
        <v>C6820NGUYEN BA CHAT050073798334</v>
      </c>
      <c r="J257" s="853" t="str">
        <f>+VLOOKUP(B257,'[5]04 2025'!$B$2:$F$1371,5,0)</f>
        <v>C6820NGUYEN BA CHAT050073798334</v>
      </c>
      <c r="K257" s="607">
        <f t="shared" si="18"/>
        <v>1</v>
      </c>
      <c r="P257" s="685"/>
    </row>
    <row r="258" spans="1:16" s="607" customFormat="1" ht="18" customHeight="1">
      <c r="A258" s="826">
        <f>SUBTOTAL(3,B$6:B258)</f>
        <v>253</v>
      </c>
      <c r="B258" s="824" t="s">
        <v>1302</v>
      </c>
      <c r="C258" s="824" t="str">
        <f>+VLOOKUP(B258,'Salary sheet'!$B$6:$AX$1386,48,0)</f>
        <v>NGUYEN KIM THO</v>
      </c>
      <c r="D258" s="824" t="str">
        <f>+VLOOKUP(B258,'Salary sheet'!$B$6:$BW$1386,49,0)</f>
        <v>050099761056</v>
      </c>
      <c r="E258" s="620">
        <f>+VLOOKUP(B258,'Salary sheet'!$B$6:$AT$1292,45,0)</f>
        <v>10118375</v>
      </c>
      <c r="F258" s="1029" t="s">
        <v>5723</v>
      </c>
      <c r="G258" s="824" t="str">
        <f>+VLOOKUP(B258,'Salary sheet'!$B$6:$E$2281,4,0)</f>
        <v>FACTORY A</v>
      </c>
      <c r="H258" s="607" t="str">
        <f>+VLOOKUP(B258,'Salary sheet'!$B$6:$AZ$1386,50,0)</f>
        <v>SK1 Box</v>
      </c>
      <c r="I258" s="607" t="str">
        <f t="shared" si="19"/>
        <v>C7626NGUYEN KIM THO050099761056</v>
      </c>
      <c r="J258" s="853" t="str">
        <f>+VLOOKUP(B258,'[5]04 2025'!$B$2:$F$1371,5,0)</f>
        <v>C7626NGUYEN KIM THO050099761056</v>
      </c>
      <c r="K258" s="607">
        <f t="shared" si="18"/>
        <v>1</v>
      </c>
      <c r="P258" s="685"/>
    </row>
    <row r="259" spans="1:16" s="607" customFormat="1" ht="18" customHeight="1">
      <c r="A259" s="826">
        <f>SUBTOTAL(3,B$6:B259)</f>
        <v>254</v>
      </c>
      <c r="B259" s="824" t="s">
        <v>1304</v>
      </c>
      <c r="C259" s="824" t="str">
        <f>+VLOOKUP(B259,'Salary sheet'!$B$6:$AX$1386,48,0)</f>
        <v>TRAN THI BE</v>
      </c>
      <c r="D259" s="824" t="str">
        <f>+VLOOKUP(B259,'Salary sheet'!$B$6:$BW$1386,49,0)</f>
        <v>050096625836</v>
      </c>
      <c r="E259" s="620">
        <f>+VLOOKUP(B259,'Salary sheet'!$B$6:$AT$1292,45,0)</f>
        <v>9350156</v>
      </c>
      <c r="F259" s="1029" t="s">
        <v>5723</v>
      </c>
      <c r="G259" s="824" t="str">
        <f>+VLOOKUP(B259,'Salary sheet'!$B$6:$E$2281,4,0)</f>
        <v>FACTORY A</v>
      </c>
      <c r="H259" s="607" t="str">
        <f>+VLOOKUP(B259,'Salary sheet'!$B$6:$AZ$1386,50,0)</f>
        <v>SK1 Box</v>
      </c>
      <c r="I259" s="607" t="str">
        <f t="shared" si="19"/>
        <v>C8050TRAN THI BE050096625836</v>
      </c>
      <c r="J259" s="853" t="str">
        <f>+VLOOKUP(B259,'[5]04 2025'!$B$2:$F$1371,5,0)</f>
        <v>C8050TRAN THI BE050096625836</v>
      </c>
      <c r="K259" s="607">
        <f t="shared" si="18"/>
        <v>1</v>
      </c>
      <c r="P259" s="685"/>
    </row>
    <row r="260" spans="1:16" s="607" customFormat="1" ht="18" customHeight="1">
      <c r="A260" s="826">
        <f>SUBTOTAL(3,B$6:B260)</f>
        <v>255</v>
      </c>
      <c r="B260" s="824" t="s">
        <v>1306</v>
      </c>
      <c r="C260" s="824" t="str">
        <f>+VLOOKUP(B260,'Salary sheet'!$B$6:$AX$1386,48,0)</f>
        <v>NGUYEN MINH LINH</v>
      </c>
      <c r="D260" s="824" t="str">
        <f>+VLOOKUP(B260,'Salary sheet'!$B$6:$BW$1386,49,0)</f>
        <v>050103659709</v>
      </c>
      <c r="E260" s="620">
        <f>+VLOOKUP(B260,'Salary sheet'!$B$6:$AT$1292,45,0)</f>
        <v>9943555</v>
      </c>
      <c r="F260" s="1029" t="s">
        <v>5723</v>
      </c>
      <c r="G260" s="824" t="str">
        <f>+VLOOKUP(B260,'Salary sheet'!$B$6:$E$2281,4,0)</f>
        <v>FACTORY A</v>
      </c>
      <c r="H260" s="607" t="str">
        <f>+VLOOKUP(B260,'Salary sheet'!$B$6:$AZ$1386,50,0)</f>
        <v>SK1 Box</v>
      </c>
      <c r="I260" s="607" t="str">
        <f t="shared" si="19"/>
        <v>C8278NGUYEN MINH LINH050103659709</v>
      </c>
      <c r="J260" s="853" t="str">
        <f>+VLOOKUP(B260,'[5]04 2025'!$B$2:$F$1371,5,0)</f>
        <v>C8278NGUYEN MINH LINH050103659709</v>
      </c>
      <c r="K260" s="607">
        <f t="shared" si="18"/>
        <v>1</v>
      </c>
      <c r="P260" s="685"/>
    </row>
    <row r="261" spans="1:16" s="607" customFormat="1" ht="18" customHeight="1">
      <c r="A261" s="826">
        <f>SUBTOTAL(3,B$6:B261)</f>
        <v>256</v>
      </c>
      <c r="B261" s="824" t="s">
        <v>1308</v>
      </c>
      <c r="C261" s="824" t="str">
        <f>+VLOOKUP(B261,'Salary sheet'!$B$6:$AX$1386,48,0)</f>
        <v>NGUYEN THI HONG THUAN</v>
      </c>
      <c r="D261" s="824" t="str">
        <f>+VLOOKUP(B261,'Salary sheet'!$B$6:$BW$1386,49,0)</f>
        <v>050040933090</v>
      </c>
      <c r="E261" s="620">
        <f>+VLOOKUP(B261,'Salary sheet'!$B$6:$AT$1292,45,0)</f>
        <v>19911380</v>
      </c>
      <c r="F261" s="1029" t="s">
        <v>5723</v>
      </c>
      <c r="G261" s="824" t="str">
        <f>+VLOOKUP(B261,'Salary sheet'!$B$6:$E$2281,4,0)</f>
        <v>FACTORY A</v>
      </c>
      <c r="H261" s="607" t="str">
        <f>+VLOOKUP(B261,'Salary sheet'!$B$6:$AZ$1386,50,0)</f>
        <v>SK1 Box</v>
      </c>
      <c r="I261" s="607" t="str">
        <f t="shared" ref="I261:I267" si="20">+CONCATENATE(B261,C261,D261)</f>
        <v>C11922NGUYEN THI HONG THUAN050040933090</v>
      </c>
      <c r="J261" s="853" t="str">
        <f>+VLOOKUP(B261,'[5]04 2025'!$B$2:$F$1371,5,0)</f>
        <v>C11922NGUYEN THI HONG THUAN050040933090</v>
      </c>
      <c r="K261" s="607">
        <f t="shared" si="18"/>
        <v>1</v>
      </c>
      <c r="P261" s="685"/>
    </row>
    <row r="262" spans="1:16" s="607" customFormat="1" ht="18" customHeight="1">
      <c r="A262" s="826">
        <f>SUBTOTAL(3,B$6:B262)</f>
        <v>257</v>
      </c>
      <c r="B262" s="824" t="s">
        <v>150</v>
      </c>
      <c r="C262" s="824" t="str">
        <f>+VLOOKUP(B262,'Salary sheet'!$B$6:$AX$1386,48,0)</f>
        <v>DOAN THI HIEU LOAN</v>
      </c>
      <c r="D262" s="824" t="str">
        <f>+VLOOKUP(B262,'Salary sheet'!$B$6:$BW$1386,49,0)</f>
        <v>050153746262</v>
      </c>
      <c r="E262" s="620">
        <f>+VLOOKUP(B262,'Salary sheet'!$B$6:$AT$1292,45,0)</f>
        <v>22004164</v>
      </c>
      <c r="F262" s="1029" t="s">
        <v>5723</v>
      </c>
      <c r="G262" s="824" t="str">
        <f>+VLOOKUP(B262,'Salary sheet'!$B$6:$E$2281,4,0)</f>
        <v>FACTORY A</v>
      </c>
      <c r="H262" s="607" t="str">
        <f>+VLOOKUP(B262,'Salary sheet'!$B$6:$AZ$1386,50,0)</f>
        <v>SK1 Box</v>
      </c>
      <c r="I262" s="607" t="str">
        <f t="shared" si="20"/>
        <v>C3402DOAN THI HIEU LOAN050153746262</v>
      </c>
      <c r="J262" s="853" t="str">
        <f>+VLOOKUP(B262,'[5]04 2025'!$B$2:$F$1371,5,0)</f>
        <v>C3402DOAN THI HIEU LOAN050153746262</v>
      </c>
      <c r="K262" s="607">
        <f t="shared" si="18"/>
        <v>1</v>
      </c>
      <c r="P262" s="685"/>
    </row>
    <row r="263" spans="1:16" s="607" customFormat="1" ht="18" customHeight="1">
      <c r="A263" s="826">
        <f>SUBTOTAL(3,B$6:B263)</f>
        <v>258</v>
      </c>
      <c r="B263" s="824" t="s">
        <v>1312</v>
      </c>
      <c r="C263" s="824" t="str">
        <f>+VLOOKUP(B263,'Salary sheet'!$B$6:$AX$1386,48,0)</f>
        <v>NGUYEN THI LIEN</v>
      </c>
      <c r="D263" s="824" t="str">
        <f>+VLOOKUP(B263,'Salary sheet'!$B$6:$BW$1386,49,0)</f>
        <v>050040965057</v>
      </c>
      <c r="E263" s="620">
        <f>+VLOOKUP(B263,'Salary sheet'!$B$6:$AT$1292,45,0)</f>
        <v>12045274</v>
      </c>
      <c r="F263" s="1029" t="s">
        <v>5723</v>
      </c>
      <c r="G263" s="824" t="str">
        <f>+VLOOKUP(B263,'Salary sheet'!$B$6:$E$2281,4,0)</f>
        <v>FACTORY A</v>
      </c>
      <c r="H263" s="607" t="str">
        <f>+VLOOKUP(B263,'Salary sheet'!$B$6:$AZ$1386,50,0)</f>
        <v>SK1 Box</v>
      </c>
      <c r="I263" s="607" t="str">
        <f t="shared" si="20"/>
        <v>C5606NGUYEN THI LIEN050040965057</v>
      </c>
      <c r="J263" s="853" t="str">
        <f>+VLOOKUP(B263,'[5]04 2025'!$B$2:$F$1371,5,0)</f>
        <v>C5606NGUYEN THI LIEN050040965057</v>
      </c>
      <c r="K263" s="607">
        <f t="shared" si="18"/>
        <v>1</v>
      </c>
      <c r="P263" s="685"/>
    </row>
    <row r="264" spans="1:16" s="607" customFormat="1" ht="18" customHeight="1">
      <c r="A264" s="826">
        <f>SUBTOTAL(3,B$6:B264)</f>
        <v>259</v>
      </c>
      <c r="B264" s="824" t="s">
        <v>52</v>
      </c>
      <c r="C264" s="824" t="str">
        <f>+VLOOKUP(B264,'Salary sheet'!$B$6:$AX$1386,48,0)</f>
        <v>TRAN VAN NHAN</v>
      </c>
      <c r="D264" s="824" t="str">
        <f>+VLOOKUP(B264,'Salary sheet'!$B$6:$BW$1386,49,0)</f>
        <v>050040817023</v>
      </c>
      <c r="E264" s="620">
        <f>+VLOOKUP(B264,'Salary sheet'!$B$6:$AT$1292,45,0)</f>
        <v>22145033</v>
      </c>
      <c r="F264" s="1029" t="s">
        <v>5723</v>
      </c>
      <c r="G264" s="824" t="str">
        <f>+VLOOKUP(B264,'Salary sheet'!$B$6:$E$2281,4,0)</f>
        <v>FACTORY A</v>
      </c>
      <c r="H264" s="607" t="str">
        <f>+VLOOKUP(B264,'Salary sheet'!$B$6:$AZ$1386,50,0)</f>
        <v>SK1 Box</v>
      </c>
      <c r="I264" s="607" t="str">
        <f t="shared" si="20"/>
        <v>C5841TRAN VAN NHAN050040817023</v>
      </c>
      <c r="J264" s="853" t="str">
        <f>+VLOOKUP(B264,'[5]04 2025'!$B$2:$F$1371,5,0)</f>
        <v>C5841TRAN VAN NHAN050040817023</v>
      </c>
      <c r="K264" s="607">
        <f t="shared" si="18"/>
        <v>1</v>
      </c>
      <c r="P264" s="685"/>
    </row>
    <row r="265" spans="1:16" s="607" customFormat="1" ht="18" customHeight="1">
      <c r="A265" s="826">
        <f>SUBTOTAL(3,B$6:B265)</f>
        <v>260</v>
      </c>
      <c r="B265" s="824" t="s">
        <v>1315</v>
      </c>
      <c r="C265" s="824" t="str">
        <f>+VLOOKUP(B265,'Salary sheet'!$B$6:$AX$1386,48,0)</f>
        <v>DONG THI THU HIEN</v>
      </c>
      <c r="D265" s="824" t="str">
        <f>+VLOOKUP(B265,'Salary sheet'!$B$6:$BW$1386,49,0)</f>
        <v>050040958301</v>
      </c>
      <c r="E265" s="620">
        <f>+VLOOKUP(B265,'Salary sheet'!$B$6:$AT$1292,45,0)</f>
        <v>18267603</v>
      </c>
      <c r="F265" s="1029" t="s">
        <v>5723</v>
      </c>
      <c r="G265" s="824" t="str">
        <f>+VLOOKUP(B265,'Salary sheet'!$B$6:$E$2281,4,0)</f>
        <v>FACTORY A</v>
      </c>
      <c r="H265" s="607" t="str">
        <f>+VLOOKUP(B265,'Salary sheet'!$B$6:$AZ$1386,50,0)</f>
        <v>SK1 Box</v>
      </c>
      <c r="I265" s="607" t="str">
        <f t="shared" si="20"/>
        <v>C6063DONG THI THU HIEN050040958301</v>
      </c>
      <c r="J265" s="853" t="str">
        <f>+VLOOKUP(B265,'[5]04 2025'!$B$2:$F$1371,5,0)</f>
        <v>C6063DONG THI THU HIEN050040958301</v>
      </c>
      <c r="K265" s="607">
        <f t="shared" si="18"/>
        <v>1</v>
      </c>
      <c r="P265" s="685"/>
    </row>
    <row r="266" spans="1:16" s="607" customFormat="1" ht="18" customHeight="1">
      <c r="A266" s="826">
        <f>SUBTOTAL(3,B$6:B266)</f>
        <v>261</v>
      </c>
      <c r="B266" s="824" t="s">
        <v>1317</v>
      </c>
      <c r="C266" s="824" t="str">
        <f>+VLOOKUP(B266,'Salary sheet'!$B$6:$AX$1386,48,0)</f>
        <v>NGUYEN THI CAM TIEN</v>
      </c>
      <c r="D266" s="824" t="str">
        <f>+VLOOKUP(B266,'Salary sheet'!$B$6:$BW$1386,49,0)</f>
        <v>050040965758</v>
      </c>
      <c r="E266" s="620">
        <f>+VLOOKUP(B266,'Salary sheet'!$B$6:$AT$1292,45,0)</f>
        <v>7899349</v>
      </c>
      <c r="F266" s="1029" t="s">
        <v>5723</v>
      </c>
      <c r="G266" s="824" t="str">
        <f>+VLOOKUP(B266,'Salary sheet'!$B$6:$E$2281,4,0)</f>
        <v>FACTORY A</v>
      </c>
      <c r="H266" s="607" t="str">
        <f>+VLOOKUP(B266,'Salary sheet'!$B$6:$AZ$1386,50,0)</f>
        <v>SK1 Box</v>
      </c>
      <c r="I266" s="607" t="str">
        <f t="shared" si="20"/>
        <v>C13547NGUYEN THI CAM TIEN050040965758</v>
      </c>
      <c r="J266" s="853" t="str">
        <f>+VLOOKUP(B266,'[5]04 2025'!$B$2:$F$1371,5,0)</f>
        <v>C13547NGUYEN THI CAM TIEN050040965758</v>
      </c>
      <c r="K266" s="607">
        <f t="shared" si="18"/>
        <v>1</v>
      </c>
      <c r="P266" s="685"/>
    </row>
    <row r="267" spans="1:16" s="607" customFormat="1" ht="18" customHeight="1">
      <c r="A267" s="826">
        <f>SUBTOTAL(3,B$6:B267)</f>
        <v>262</v>
      </c>
      <c r="B267" s="824" t="s">
        <v>1320</v>
      </c>
      <c r="C267" s="824" t="str">
        <f>+VLOOKUP(B267,'Salary sheet'!$B$6:$AX$1386,48,0)</f>
        <v>NGUYEN THI TUYET NGAN</v>
      </c>
      <c r="D267" s="824" t="str">
        <f>+VLOOKUP(B267,'Salary sheet'!$B$6:$BW$1386,49,0)</f>
        <v>050127345462</v>
      </c>
      <c r="E267" s="620">
        <f>+VLOOKUP(B267,'Salary sheet'!$B$6:$AT$1292,45,0)</f>
        <v>9647240</v>
      </c>
      <c r="F267" s="1029" t="s">
        <v>5723</v>
      </c>
      <c r="G267" s="824" t="str">
        <f>+VLOOKUP(B267,'Salary sheet'!$B$6:$E$2281,4,0)</f>
        <v>FACTORY A</v>
      </c>
      <c r="H267" s="607" t="str">
        <f>+VLOOKUP(B267,'Salary sheet'!$B$6:$AZ$1386,50,0)</f>
        <v>SK1 Box</v>
      </c>
      <c r="I267" s="607" t="str">
        <f t="shared" si="20"/>
        <v>C13762NGUYEN THI TUYET NGAN050127345462</v>
      </c>
      <c r="J267" s="853" t="str">
        <f>+VLOOKUP(B267,'[5]04 2025'!$B$2:$F$1371,5,0)</f>
        <v>C13762NGUYEN THI TUYET NGAN050127345462</v>
      </c>
      <c r="K267" s="607">
        <f t="shared" si="18"/>
        <v>1</v>
      </c>
      <c r="P267" s="685"/>
    </row>
    <row r="268" spans="1:16" s="607" customFormat="1" ht="18" customHeight="1">
      <c r="A268" s="826">
        <f>SUBTOTAL(3,B$6:B268)</f>
        <v>263</v>
      </c>
      <c r="B268" s="824" t="s">
        <v>1323</v>
      </c>
      <c r="C268" s="824" t="str">
        <f>+VLOOKUP(B268,'Salary sheet'!$B$6:$AX$1386,48,0)</f>
        <v>DANG VU THAO HUYEN</v>
      </c>
      <c r="D268" s="824" t="str">
        <f>+VLOOKUP(B268,'Salary sheet'!$B$6:$BW$1386,49,0)</f>
        <v>050120705986</v>
      </c>
      <c r="E268" s="620">
        <f>+VLOOKUP(B268,'Salary sheet'!$B$6:$AT$1292,45,0)</f>
        <v>8869115</v>
      </c>
      <c r="F268" s="1029" t="s">
        <v>5723</v>
      </c>
      <c r="G268" s="824" t="str">
        <f>+VLOOKUP(B268,'Salary sheet'!$B$6:$E$2281,4,0)</f>
        <v>FACTORY A</v>
      </c>
      <c r="H268" s="607" t="str">
        <f>+VLOOKUP(B268,'Salary sheet'!$B$6:$AZ$1386,50,0)</f>
        <v>SK1 Box</v>
      </c>
      <c r="I268" s="607" t="str">
        <f t="shared" si="19"/>
        <v>C15453DANG VU THAO HUYEN050120705986</v>
      </c>
      <c r="J268" s="853" t="str">
        <f>+VLOOKUP(B268,'[5]04 2025'!$B$2:$F$1371,5,0)</f>
        <v>C15453DANG VU THAO HUYEN050120705986</v>
      </c>
      <c r="K268" s="607">
        <f t="shared" si="18"/>
        <v>1</v>
      </c>
      <c r="P268" s="685"/>
    </row>
    <row r="269" spans="1:16" s="607" customFormat="1" ht="18" customHeight="1">
      <c r="A269" s="826">
        <f>SUBTOTAL(3,B$6:B269)</f>
        <v>264</v>
      </c>
      <c r="B269" s="824" t="s">
        <v>1325</v>
      </c>
      <c r="C269" s="824" t="str">
        <f>+VLOOKUP(B269,'Salary sheet'!$B$6:$AX$1386,48,0)</f>
        <v>PHAM THI THU THUONG</v>
      </c>
      <c r="D269" s="824" t="str">
        <f>+VLOOKUP(B269,'Salary sheet'!$B$6:$BW$1386,49,0)</f>
        <v>050135011281</v>
      </c>
      <c r="E269" s="620">
        <f>+VLOOKUP(B269,'Salary sheet'!$B$6:$AT$1292,45,0)</f>
        <v>8266431</v>
      </c>
      <c r="F269" s="1029" t="s">
        <v>5723</v>
      </c>
      <c r="G269" s="824" t="str">
        <f>+VLOOKUP(B269,'Salary sheet'!$B$6:$E$2281,4,0)</f>
        <v>FACTORY A</v>
      </c>
      <c r="H269" s="607" t="str">
        <f>+VLOOKUP(B269,'Salary sheet'!$B$6:$AZ$1386,50,0)</f>
        <v>SK1 Box</v>
      </c>
      <c r="I269" s="607" t="str">
        <f t="shared" si="19"/>
        <v>C15906PHAM THI THU THUONG050135011281</v>
      </c>
      <c r="J269" s="853" t="str">
        <f>+VLOOKUP(B269,'[5]04 2025'!$B$2:$F$1371,5,0)</f>
        <v>C15906PHAM THI THU THUONG050135011281</v>
      </c>
      <c r="K269" s="607">
        <f t="shared" si="18"/>
        <v>1</v>
      </c>
      <c r="P269" s="685"/>
    </row>
    <row r="270" spans="1:16" s="607" customFormat="1" ht="18" customHeight="1">
      <c r="A270" s="826">
        <f>SUBTOTAL(3,B$6:B270)</f>
        <v>265</v>
      </c>
      <c r="B270" s="824" t="s">
        <v>1327</v>
      </c>
      <c r="C270" s="824" t="str">
        <f>+VLOOKUP(B270,'Salary sheet'!$B$6:$AX$1386,48,0)</f>
        <v>KHIEU THI HOANG VAN</v>
      </c>
      <c r="D270" s="824" t="str">
        <f>+VLOOKUP(B270,'Salary sheet'!$B$6:$BW$1386,49,0)</f>
        <v>050074107580</v>
      </c>
      <c r="E270" s="620">
        <f>+VLOOKUP(B270,'Salary sheet'!$B$6:$AT$1292,45,0)</f>
        <v>8782804</v>
      </c>
      <c r="F270" s="1029" t="s">
        <v>5723</v>
      </c>
      <c r="G270" s="824" t="str">
        <f>+VLOOKUP(B270,'Salary sheet'!$B$6:$E$2281,4,0)</f>
        <v>FACTORY A</v>
      </c>
      <c r="H270" s="607" t="str">
        <f>+VLOOKUP(B270,'Salary sheet'!$B$6:$AZ$1386,50,0)</f>
        <v>SK1 Box</v>
      </c>
      <c r="I270" s="607" t="str">
        <f t="shared" si="19"/>
        <v>C15959KHIEU THI HOANG VAN050074107580</v>
      </c>
      <c r="J270" s="853" t="str">
        <f>+VLOOKUP(B270,'[5]04 2025'!$B$2:$F$1371,5,0)</f>
        <v>C15959KHIEU THI HOANG VAN050074107580</v>
      </c>
      <c r="K270" s="607">
        <f t="shared" si="18"/>
        <v>1</v>
      </c>
      <c r="P270" s="685"/>
    </row>
    <row r="271" spans="1:16" s="607" customFormat="1" ht="18" customHeight="1">
      <c r="A271" s="826">
        <f>SUBTOTAL(3,B$6:B271)</f>
        <v>266</v>
      </c>
      <c r="B271" s="824" t="s">
        <v>1329</v>
      </c>
      <c r="C271" s="824" t="str">
        <f>+VLOOKUP(B271,'Salary sheet'!$B$6:$AX$1386,48,0)</f>
        <v>HA NGUYEN TAN TRUNG</v>
      </c>
      <c r="D271" s="824" t="str">
        <f>+VLOOKUP(B271,'Salary sheet'!$B$6:$BW$1386,49,0)</f>
        <v>050968075690</v>
      </c>
      <c r="E271" s="620">
        <f>+VLOOKUP(B271,'Salary sheet'!$B$6:$AT$1292,45,0)</f>
        <v>8178875</v>
      </c>
      <c r="F271" s="1029" t="s">
        <v>5723</v>
      </c>
      <c r="G271" s="824" t="str">
        <f>+VLOOKUP(B271,'Salary sheet'!$B$6:$E$2281,4,0)</f>
        <v>FACTORY A</v>
      </c>
      <c r="H271" s="607" t="str">
        <f>+VLOOKUP(B271,'Salary sheet'!$B$6:$AZ$1386,50,0)</f>
        <v>SK1 Box</v>
      </c>
      <c r="I271" s="607" t="str">
        <f t="shared" si="19"/>
        <v>C16460HA NGUYEN TAN TRUNG050968075690</v>
      </c>
      <c r="J271" s="853" t="str">
        <f>+VLOOKUP(B271,'[5]04 2025'!$B$2:$F$1371,5,0)</f>
        <v>C16460HA NGUYEN TAN TRUNG050968075690</v>
      </c>
      <c r="K271" s="607">
        <f t="shared" si="18"/>
        <v>1</v>
      </c>
      <c r="P271" s="685"/>
    </row>
    <row r="272" spans="1:16" s="607" customFormat="1" ht="18" customHeight="1">
      <c r="A272" s="826">
        <f>SUBTOTAL(3,B$6:B272)</f>
        <v>267</v>
      </c>
      <c r="B272" s="824" t="s">
        <v>1331</v>
      </c>
      <c r="C272" s="824" t="str">
        <f>+VLOOKUP(B272,'Salary sheet'!$B$6:$AX$1386,48,0)</f>
        <v>DO THI NGA</v>
      </c>
      <c r="D272" s="824" t="str">
        <f>+VLOOKUP(B272,'Salary sheet'!$B$6:$BW$1386,49,0)</f>
        <v>050040966088</v>
      </c>
      <c r="E272" s="620">
        <f>+VLOOKUP(B272,'Salary sheet'!$B$6:$AT$1292,45,0)</f>
        <v>10507232</v>
      </c>
      <c r="F272" s="1029" t="s">
        <v>5723</v>
      </c>
      <c r="G272" s="824" t="str">
        <f>+VLOOKUP(B272,'Salary sheet'!$B$6:$E$2281,4,0)</f>
        <v>FACTORY A</v>
      </c>
      <c r="H272" s="607" t="str">
        <f>+VLOOKUP(B272,'Salary sheet'!$B$6:$AZ$1386,50,0)</f>
        <v>SK1 Box</v>
      </c>
      <c r="I272" s="607" t="str">
        <f t="shared" si="19"/>
        <v>C2982DO THI NGA050040966088</v>
      </c>
      <c r="J272" s="853" t="str">
        <f>+VLOOKUP(B272,'[5]04 2025'!$B$2:$F$1371,5,0)</f>
        <v>C2982DO THI NGA050040966088</v>
      </c>
      <c r="K272" s="607">
        <f t="shared" si="18"/>
        <v>1</v>
      </c>
      <c r="P272" s="685"/>
    </row>
    <row r="273" spans="1:16" s="607" customFormat="1" ht="18" customHeight="1">
      <c r="A273" s="826">
        <f>SUBTOTAL(3,B$6:B273)</f>
        <v>268</v>
      </c>
      <c r="B273" s="824" t="s">
        <v>1333</v>
      </c>
      <c r="C273" s="824" t="str">
        <f>+VLOOKUP(B273,'Salary sheet'!$B$6:$AX$1386,48,0)</f>
        <v>HUYNH VAN MAU TAM</v>
      </c>
      <c r="D273" s="824" t="str">
        <f>+VLOOKUP(B273,'Salary sheet'!$B$6:$BW$1386,49,0)</f>
        <v>050042516527</v>
      </c>
      <c r="E273" s="620">
        <f>+VLOOKUP(B273,'Salary sheet'!$B$6:$AT$1292,45,0)</f>
        <v>22438462</v>
      </c>
      <c r="F273" s="1029" t="s">
        <v>5723</v>
      </c>
      <c r="G273" s="824" t="str">
        <f>+VLOOKUP(B273,'Salary sheet'!$B$6:$E$2281,4,0)</f>
        <v>FACTORY A</v>
      </c>
      <c r="H273" s="607" t="str">
        <f>+VLOOKUP(B273,'Salary sheet'!$B$6:$AZ$1386,50,0)</f>
        <v>SK1 Box</v>
      </c>
      <c r="I273" s="607" t="str">
        <f t="shared" si="19"/>
        <v>C6248HUYNH VAN MAU TAM050042516527</v>
      </c>
      <c r="J273" s="853" t="str">
        <f>+VLOOKUP(B273,'[5]04 2025'!$B$2:$F$1371,5,0)</f>
        <v>C6248HUYNH VAN MAU TAM050042516527</v>
      </c>
      <c r="K273" s="607">
        <f t="shared" si="18"/>
        <v>1</v>
      </c>
      <c r="P273" s="685"/>
    </row>
    <row r="274" spans="1:16" s="607" customFormat="1" ht="18" customHeight="1">
      <c r="A274" s="826">
        <f>SUBTOTAL(3,B$6:B274)</f>
        <v>269</v>
      </c>
      <c r="B274" s="824" t="s">
        <v>1336</v>
      </c>
      <c r="C274" s="824" t="str">
        <f>+VLOOKUP(B274,'Salary sheet'!$B$6:$AX$1386,48,0)</f>
        <v>NGUYEN NGOC TUNG</v>
      </c>
      <c r="D274" s="824" t="str">
        <f>+VLOOKUP(B274,'Salary sheet'!$B$6:$BW$1386,49,0)</f>
        <v>050131181482</v>
      </c>
      <c r="E274" s="620">
        <f>+VLOOKUP(B274,'Salary sheet'!$B$6:$AT$1292,45,0)</f>
        <v>9650216</v>
      </c>
      <c r="F274" s="1029" t="s">
        <v>5723</v>
      </c>
      <c r="G274" s="824" t="str">
        <f>+VLOOKUP(B274,'Salary sheet'!$B$6:$E$2281,4,0)</f>
        <v>FACTORY A</v>
      </c>
      <c r="H274" s="607" t="str">
        <f>+VLOOKUP(B274,'Salary sheet'!$B$6:$AZ$1386,50,0)</f>
        <v>SK1 Box</v>
      </c>
      <c r="I274" s="607" t="str">
        <f t="shared" si="19"/>
        <v>C14461NGUYEN NGOC TUNG050131181482</v>
      </c>
      <c r="J274" s="853" t="str">
        <f>+VLOOKUP(B274,'[5]04 2025'!$B$2:$F$1371,5,0)</f>
        <v>C14461NGUYEN NGOC TUNG050131181482</v>
      </c>
      <c r="K274" s="607">
        <f t="shared" si="18"/>
        <v>1</v>
      </c>
      <c r="P274" s="685"/>
    </row>
    <row r="275" spans="1:16" s="607" customFormat="1" ht="18" customHeight="1">
      <c r="A275" s="826">
        <f>SUBTOTAL(3,B$6:B275)</f>
        <v>270</v>
      </c>
      <c r="B275" s="824" t="s">
        <v>1339</v>
      </c>
      <c r="C275" s="824" t="str">
        <f>+VLOOKUP(B275,'Salary sheet'!$B$6:$AX$1386,48,0)</f>
        <v>LE THANH HIEN</v>
      </c>
      <c r="D275" s="824" t="str">
        <f>+VLOOKUP(B275,'Salary sheet'!$B$6:$BW$1386,49,0)</f>
        <v>050122289671</v>
      </c>
      <c r="E275" s="620">
        <f>+VLOOKUP(B275,'Salary sheet'!$B$6:$AT$1292,45,0)</f>
        <v>7339472</v>
      </c>
      <c r="F275" s="1029" t="s">
        <v>5723</v>
      </c>
      <c r="G275" s="824" t="str">
        <f>+VLOOKUP(B275,'Salary sheet'!$B$6:$E$2281,4,0)</f>
        <v>FACTORY A</v>
      </c>
      <c r="H275" s="607" t="str">
        <f>+VLOOKUP(B275,'Salary sheet'!$B$6:$AZ$1386,50,0)</f>
        <v>Seaman</v>
      </c>
      <c r="I275" s="607" t="str">
        <f t="shared" si="19"/>
        <v>C15431LE THANH HIEN050122289671</v>
      </c>
      <c r="J275" s="853" t="str">
        <f>+VLOOKUP(B275,'[5]04 2025'!$B$2:$F$1371,5,0)</f>
        <v>C15431LE THANH HIEN050122289671</v>
      </c>
      <c r="K275" s="607">
        <f t="shared" si="18"/>
        <v>1</v>
      </c>
      <c r="P275" s="685"/>
    </row>
    <row r="276" spans="1:16" s="607" customFormat="1" ht="18" customHeight="1">
      <c r="A276" s="826">
        <f>SUBTOTAL(3,B$6:B276)</f>
        <v>271</v>
      </c>
      <c r="B276" s="824" t="s">
        <v>1342</v>
      </c>
      <c r="C276" s="824" t="str">
        <f>+VLOOKUP(B276,'Salary sheet'!$B$6:$AX$1386,48,0)</f>
        <v>LE VAN NHO</v>
      </c>
      <c r="D276" s="824" t="str">
        <f>+VLOOKUP(B276,'Salary sheet'!$B$6:$BW$1386,49,0)</f>
        <v>050151637091</v>
      </c>
      <c r="E276" s="620">
        <f>+VLOOKUP(B276,'Salary sheet'!$B$6:$AT$1292,45,0)</f>
        <v>8458979</v>
      </c>
      <c r="F276" s="1029" t="s">
        <v>5723</v>
      </c>
      <c r="G276" s="824" t="str">
        <f>+VLOOKUP(B276,'Salary sheet'!$B$6:$E$2281,4,0)</f>
        <v>FACTORY A</v>
      </c>
      <c r="H276" s="607" t="str">
        <f>+VLOOKUP(B276,'Salary sheet'!$B$6:$AZ$1386,50,0)</f>
        <v>Seaman</v>
      </c>
      <c r="I276" s="607" t="str">
        <f t="shared" si="19"/>
        <v>C15564LE VAN NHO050151637091</v>
      </c>
      <c r="J276" s="853" t="str">
        <f>+VLOOKUP(B276,'[5]04 2025'!$B$2:$F$1371,5,0)</f>
        <v>C15564LE VAN NHO050151637091</v>
      </c>
      <c r="K276" s="607">
        <f t="shared" si="18"/>
        <v>1</v>
      </c>
      <c r="P276" s="685"/>
    </row>
    <row r="277" spans="1:16" s="607" customFormat="1" ht="18" customHeight="1">
      <c r="A277" s="826">
        <f>SUBTOTAL(3,B$6:B277)</f>
        <v>272</v>
      </c>
      <c r="B277" s="824" t="s">
        <v>1345</v>
      </c>
      <c r="C277" s="824" t="str">
        <f>+VLOOKUP(B277,'Salary sheet'!$B$6:$AX$1386,48,0)</f>
        <v>NGUYEN LUONG THANH</v>
      </c>
      <c r="D277" s="824" t="str">
        <f>+VLOOKUP(B277,'Salary sheet'!$B$6:$BW$1386,49,0)</f>
        <v>050153655054</v>
      </c>
      <c r="E277" s="620">
        <f>+VLOOKUP(B277,'Salary sheet'!$B$6:$AT$1292,45,0)</f>
        <v>20904316</v>
      </c>
      <c r="F277" s="1029" t="s">
        <v>5723</v>
      </c>
      <c r="G277" s="824" t="str">
        <f>+VLOOKUP(B277,'Salary sheet'!$B$6:$E$2281,4,0)</f>
        <v>FACTORY A</v>
      </c>
      <c r="H277" s="607" t="str">
        <f>+VLOOKUP(B277,'Salary sheet'!$B$6:$AZ$1386,50,0)</f>
        <v>Seaman</v>
      </c>
      <c r="I277" s="607" t="str">
        <f t="shared" si="19"/>
        <v>C15953NGUYEN LUONG THANH050153655054</v>
      </c>
      <c r="J277" s="853" t="str">
        <f>+VLOOKUP(B277,'[5]04 2025'!$B$2:$F$1371,5,0)</f>
        <v>C15953NGUYEN LUONG THANH050153655054</v>
      </c>
      <c r="K277" s="607">
        <f t="shared" si="18"/>
        <v>1</v>
      </c>
      <c r="P277" s="685"/>
    </row>
    <row r="278" spans="1:16" s="607" customFormat="1" ht="18" customHeight="1">
      <c r="A278" s="826">
        <f>SUBTOTAL(3,B$6:B278)</f>
        <v>273</v>
      </c>
      <c r="B278" s="824" t="s">
        <v>1348</v>
      </c>
      <c r="C278" s="824" t="str">
        <f>+VLOOKUP(B278,'Salary sheet'!$B$6:$AX$1386,48,0)</f>
        <v>KEO DINH THANH</v>
      </c>
      <c r="D278" s="824" t="str">
        <f>+VLOOKUP(B278,'Salary sheet'!$B$6:$BW$1386,49,0)</f>
        <v>050108198653</v>
      </c>
      <c r="E278" s="620">
        <f>+VLOOKUP(B278,'Salary sheet'!$B$6:$AT$1292,45,0)</f>
        <v>8568363</v>
      </c>
      <c r="F278" s="1029" t="s">
        <v>5723</v>
      </c>
      <c r="G278" s="824" t="str">
        <f>+VLOOKUP(B278,'Salary sheet'!$B$6:$E$2281,4,0)</f>
        <v>FACTORY A</v>
      </c>
      <c r="H278" s="607" t="str">
        <f>+VLOOKUP(B278,'Salary sheet'!$B$6:$AZ$1386,50,0)</f>
        <v>Seaman</v>
      </c>
      <c r="I278" s="607" t="str">
        <f t="shared" si="19"/>
        <v>C16455KEO DINH THANH050108198653</v>
      </c>
      <c r="J278" s="853" t="str">
        <f>+VLOOKUP(B278,'[5]04 2025'!$B$2:$F$1371,5,0)</f>
        <v>C16455KEO DINH THANH050108198653</v>
      </c>
      <c r="K278" s="607">
        <f t="shared" si="18"/>
        <v>1</v>
      </c>
      <c r="P278" s="685"/>
    </row>
    <row r="279" spans="1:16" s="607" customFormat="1" ht="18" customHeight="1">
      <c r="A279" s="826">
        <f>SUBTOTAL(3,B$6:B279)</f>
        <v>274</v>
      </c>
      <c r="B279" s="824" t="s">
        <v>1350</v>
      </c>
      <c r="C279" s="824" t="str">
        <f>+VLOOKUP(B279,'Salary sheet'!$B$6:$AX$1386,48,0)</f>
        <v>NGUYEN CHINH TIN</v>
      </c>
      <c r="D279" s="824" t="str">
        <f>+VLOOKUP(B279,'Salary sheet'!$B$6:$BW$1386,49,0)</f>
        <v>050051381723</v>
      </c>
      <c r="E279" s="620">
        <f>+VLOOKUP(B279,'Salary sheet'!$B$6:$AT$1292,45,0)</f>
        <v>8231715</v>
      </c>
      <c r="F279" s="1029" t="s">
        <v>5723</v>
      </c>
      <c r="G279" s="824" t="str">
        <f>+VLOOKUP(B279,'Salary sheet'!$B$6:$E$2281,4,0)</f>
        <v>FACTORY A</v>
      </c>
      <c r="H279" s="607" t="str">
        <f>+VLOOKUP(B279,'Salary sheet'!$B$6:$AZ$1386,50,0)</f>
        <v>Seaman</v>
      </c>
      <c r="I279" s="607" t="str">
        <f t="shared" si="19"/>
        <v>C14632NGUYEN CHINH TIN050051381723</v>
      </c>
      <c r="J279" s="853" t="str">
        <f>+VLOOKUP(B279,'[5]04 2025'!$B$2:$F$1371,5,0)</f>
        <v>C14632NGUYEN CHINH TIN050051381723</v>
      </c>
      <c r="K279" s="607">
        <f t="shared" si="18"/>
        <v>1</v>
      </c>
      <c r="P279" s="685"/>
    </row>
    <row r="280" spans="1:16" s="607" customFormat="1" ht="18" customHeight="1">
      <c r="A280" s="826">
        <f>SUBTOTAL(3,B$6:B280)</f>
        <v>275</v>
      </c>
      <c r="B280" s="824" t="s">
        <v>1352</v>
      </c>
      <c r="C280" s="824" t="str">
        <f>+VLOOKUP(B280,'Salary sheet'!$B$6:$AX$1386,48,0)</f>
        <v>DUONG KIM DO</v>
      </c>
      <c r="D280" s="824" t="str">
        <f>+VLOOKUP(B280,'Salary sheet'!$B$6:$BW$1386,49,0)</f>
        <v>050153623608</v>
      </c>
      <c r="E280" s="620">
        <f>+VLOOKUP(B280,'Salary sheet'!$B$6:$AT$1292,45,0)</f>
        <v>24822775</v>
      </c>
      <c r="F280" s="1029" t="s">
        <v>5723</v>
      </c>
      <c r="G280" s="824" t="str">
        <f>+VLOOKUP(B280,'Salary sheet'!$B$6:$E$2281,4,0)</f>
        <v>FACTORY A</v>
      </c>
      <c r="H280" s="607" t="str">
        <f>+VLOOKUP(B280,'Salary sheet'!$B$6:$AZ$1386,50,0)</f>
        <v>Seaman</v>
      </c>
      <c r="I280" s="607" t="str">
        <f t="shared" si="19"/>
        <v>C15912DUONG KIM DO050153623608</v>
      </c>
      <c r="J280" s="853" t="str">
        <f>+VLOOKUP(B280,'[5]04 2025'!$B$2:$F$1371,5,0)</f>
        <v>C15912DUONG KIM DO050153623608</v>
      </c>
      <c r="K280" s="607">
        <f t="shared" si="18"/>
        <v>1</v>
      </c>
      <c r="P280" s="685"/>
    </row>
    <row r="281" spans="1:16" s="607" customFormat="1" ht="18" customHeight="1">
      <c r="A281" s="826">
        <f>SUBTOTAL(3,B$6:B281)</f>
        <v>276</v>
      </c>
      <c r="B281" s="824" t="s">
        <v>1354</v>
      </c>
      <c r="C281" s="824" t="str">
        <f>+VLOOKUP(B281,'Salary sheet'!$B$6:$AX$1386,48,0)</f>
        <v>HO VINH BINH</v>
      </c>
      <c r="D281" s="824" t="str">
        <f>+VLOOKUP(B281,'Salary sheet'!$B$6:$BW$1386,49,0)</f>
        <v>050094096895</v>
      </c>
      <c r="E281" s="620">
        <f>+VLOOKUP(B281,'Salary sheet'!$B$6:$AT$1292,45,0)</f>
        <v>14392669</v>
      </c>
      <c r="F281" s="1029" t="s">
        <v>5723</v>
      </c>
      <c r="G281" s="824" t="str">
        <f>+VLOOKUP(B281,'Salary sheet'!$B$6:$E$2281,4,0)</f>
        <v>FACTORY A</v>
      </c>
      <c r="H281" s="607" t="str">
        <f>+VLOOKUP(B281,'Salary sheet'!$B$6:$AZ$1386,50,0)</f>
        <v>Seaman</v>
      </c>
      <c r="I281" s="607" t="str">
        <f t="shared" si="12"/>
        <v>C13485HO VINH BINH050094096895</v>
      </c>
      <c r="J281" s="853" t="str">
        <f>+VLOOKUP(B281,'[5]04 2025'!$B$2:$F$1371,5,0)</f>
        <v>C13485HO VINH BINH050094096895</v>
      </c>
      <c r="K281" s="607">
        <f t="shared" si="18"/>
        <v>1</v>
      </c>
      <c r="P281" s="685"/>
    </row>
    <row r="282" spans="1:16" s="607" customFormat="1" ht="18" customHeight="1">
      <c r="A282" s="826">
        <f>SUBTOTAL(3,B$6:B282)</f>
        <v>277</v>
      </c>
      <c r="B282" s="824" t="s">
        <v>1357</v>
      </c>
      <c r="C282" s="824" t="str">
        <f>+VLOOKUP(B282,'Salary sheet'!$B$6:$AX$1386,48,0)</f>
        <v>TRAN THI THAO SUONG</v>
      </c>
      <c r="D282" s="824" t="str">
        <f>+VLOOKUP(B282,'Salary sheet'!$B$6:$BW$1386,49,0)</f>
        <v>050155274732</v>
      </c>
      <c r="E282" s="620">
        <f>+VLOOKUP(B282,'Salary sheet'!$B$6:$AT$1292,45,0)</f>
        <v>6951701</v>
      </c>
      <c r="F282" s="1029" t="s">
        <v>5723</v>
      </c>
      <c r="G282" s="824" t="str">
        <f>+VLOOKUP(B282,'Salary sheet'!$B$6:$E$2281,4,0)</f>
        <v>FACTORY A</v>
      </c>
      <c r="H282" s="607" t="str">
        <f>+VLOOKUP(B282,'Salary sheet'!$B$6:$AZ$1386,50,0)</f>
        <v>Seaman</v>
      </c>
      <c r="I282" s="607" t="str">
        <f t="shared" si="12"/>
        <v>C16068TRAN THI THAO SUONG050155274732</v>
      </c>
      <c r="J282" s="853" t="str">
        <f>+VLOOKUP(B282,'[5]04 2025'!$B$2:$F$1371,5,0)</f>
        <v>C16068TRAN THI THAO SUONG050155274732</v>
      </c>
      <c r="K282" s="607">
        <f t="shared" si="18"/>
        <v>1</v>
      </c>
      <c r="P282" s="685"/>
    </row>
    <row r="283" spans="1:16" s="607" customFormat="1" ht="18" customHeight="1">
      <c r="A283" s="826">
        <f>SUBTOTAL(3,B$6:B283)</f>
        <v>278</v>
      </c>
      <c r="B283" s="824" t="s">
        <v>1359</v>
      </c>
      <c r="C283" s="824" t="str">
        <f>+VLOOKUP(B283,'Salary sheet'!$B$6:$AX$1386,48,0)</f>
        <v>NGUYEN MANH HUNG</v>
      </c>
      <c r="D283" s="824" t="str">
        <f>+VLOOKUP(B283,'Salary sheet'!$B$6:$BW$1386,49,0)</f>
        <v>050093875998</v>
      </c>
      <c r="E283" s="620">
        <f>+VLOOKUP(B283,'Salary sheet'!$B$6:$AT$1292,45,0)</f>
        <v>11050673</v>
      </c>
      <c r="F283" s="1029" t="s">
        <v>5723</v>
      </c>
      <c r="G283" s="824" t="str">
        <f>+VLOOKUP(B283,'Salary sheet'!$B$6:$E$2281,4,0)</f>
        <v>FACTORY A</v>
      </c>
      <c r="H283" s="607" t="str">
        <f>+VLOOKUP(B283,'Salary sheet'!$B$6:$AZ$1386,50,0)</f>
        <v>Seaman</v>
      </c>
      <c r="I283" s="607" t="str">
        <f t="shared" si="12"/>
        <v>C10711NGUYEN MANH HUNG050093875998</v>
      </c>
      <c r="J283" s="853" t="str">
        <f>+VLOOKUP(B283,'[5]04 2025'!$B$2:$F$1371,5,0)</f>
        <v>C10711NGUYEN MANH HUNG050093875998</v>
      </c>
      <c r="K283" s="607">
        <f t="shared" si="18"/>
        <v>1</v>
      </c>
      <c r="P283" s="685"/>
    </row>
    <row r="284" spans="1:16" s="607" customFormat="1" ht="18" customHeight="1">
      <c r="A284" s="826">
        <f>SUBTOTAL(3,B$6:B284)</f>
        <v>279</v>
      </c>
      <c r="B284" s="824" t="s">
        <v>1361</v>
      </c>
      <c r="C284" s="824" t="str">
        <f>+VLOOKUP(B284,'Salary sheet'!$B$6:$AX$1386,48,0)</f>
        <v>VO THI THANH VAN</v>
      </c>
      <c r="D284" s="824" t="str">
        <f>+VLOOKUP(B284,'Salary sheet'!$B$6:$BW$1386,49,0)</f>
        <v>050130754136</v>
      </c>
      <c r="E284" s="620">
        <f>+VLOOKUP(B284,'Salary sheet'!$B$6:$AT$1292,45,0)</f>
        <v>7988192</v>
      </c>
      <c r="F284" s="1029" t="s">
        <v>5723</v>
      </c>
      <c r="G284" s="824" t="str">
        <f>+VLOOKUP(B284,'Salary sheet'!$B$6:$E$2281,4,0)</f>
        <v>FACTORY A</v>
      </c>
      <c r="H284" s="607" t="str">
        <f>+VLOOKUP(B284,'Salary sheet'!$B$6:$AZ$1386,50,0)</f>
        <v>Seaman</v>
      </c>
      <c r="I284" s="607" t="str">
        <f t="shared" si="12"/>
        <v>C15964VO THI THANH VAN050130754136</v>
      </c>
      <c r="J284" s="853" t="str">
        <f>+VLOOKUP(B284,'[5]04 2025'!$B$2:$F$1371,5,0)</f>
        <v>C15964VO THI THANH VAN050130754136</v>
      </c>
      <c r="K284" s="607">
        <f t="shared" si="18"/>
        <v>1</v>
      </c>
      <c r="P284" s="685"/>
    </row>
    <row r="285" spans="1:16" s="607" customFormat="1" ht="18" customHeight="1">
      <c r="A285" s="826">
        <f>SUBTOTAL(3,B$6:B285)</f>
        <v>280</v>
      </c>
      <c r="B285" s="824" t="s">
        <v>1364</v>
      </c>
      <c r="C285" s="824" t="str">
        <f>+VLOOKUP(B285,'Salary sheet'!$B$6:$AX$1386,48,0)</f>
        <v>LUU THI THU HA</v>
      </c>
      <c r="D285" s="824" t="str">
        <f>+VLOOKUP(B285,'Salary sheet'!$B$6:$BW$1386,49,0)</f>
        <v>050116972929</v>
      </c>
      <c r="E285" s="620">
        <f>+VLOOKUP(B285,'Salary sheet'!$B$6:$AT$1292,45,0)</f>
        <v>7807043</v>
      </c>
      <c r="F285" s="1029" t="s">
        <v>5723</v>
      </c>
      <c r="G285" s="824" t="str">
        <f>+VLOOKUP(B285,'Salary sheet'!$B$6:$E$2281,4,0)</f>
        <v>FACTORY A</v>
      </c>
      <c r="H285" s="607" t="str">
        <f>+VLOOKUP(B285,'Salary sheet'!$B$6:$AZ$1386,50,0)</f>
        <v>Seaman</v>
      </c>
      <c r="I285" s="607" t="str">
        <f t="shared" si="12"/>
        <v>C15998LUU THI THU HA050116972929</v>
      </c>
      <c r="J285" s="853" t="str">
        <f>+VLOOKUP(B285,'[5]04 2025'!$B$2:$F$1371,5,0)</f>
        <v>C15998LUU THI THU HA050116972929</v>
      </c>
      <c r="K285" s="607">
        <f t="shared" si="18"/>
        <v>1</v>
      </c>
      <c r="P285" s="685"/>
    </row>
    <row r="286" spans="1:16" s="607" customFormat="1" ht="18" customHeight="1">
      <c r="A286" s="826">
        <f>SUBTOTAL(3,B$6:B286)</f>
        <v>281</v>
      </c>
      <c r="B286" s="824" t="s">
        <v>1366</v>
      </c>
      <c r="C286" s="824" t="str">
        <f>+VLOOKUP(B286,'Salary sheet'!$B$6:$AX$1386,48,0)</f>
        <v>DAM VAN LONG</v>
      </c>
      <c r="D286" s="824" t="str">
        <f>+VLOOKUP(B286,'Salary sheet'!$B$6:$BW$1386,49,0)</f>
        <v>050153900131</v>
      </c>
      <c r="E286" s="620">
        <f>+VLOOKUP(B286,'Salary sheet'!$B$6:$AT$1292,45,0)</f>
        <v>8885665</v>
      </c>
      <c r="F286" s="1029" t="s">
        <v>5723</v>
      </c>
      <c r="G286" s="824" t="str">
        <f>+VLOOKUP(B286,'Salary sheet'!$B$6:$E$2281,4,0)</f>
        <v>FACTORY A</v>
      </c>
      <c r="H286" s="607" t="str">
        <f>+VLOOKUP(B286,'Salary sheet'!$B$6:$AZ$1386,50,0)</f>
        <v>Seaman</v>
      </c>
      <c r="I286" s="607" t="str">
        <f t="shared" si="12"/>
        <v>C16066DAM VAN LONG050153900131</v>
      </c>
      <c r="J286" s="853" t="str">
        <f>+VLOOKUP(B286,'[5]04 2025'!$B$2:$F$1371,5,0)</f>
        <v>C16066DAM VAN LONG050153900131</v>
      </c>
      <c r="K286" s="607">
        <f t="shared" si="18"/>
        <v>1</v>
      </c>
      <c r="P286" s="685"/>
    </row>
    <row r="287" spans="1:16" s="607" customFormat="1" ht="18" customHeight="1">
      <c r="A287" s="826">
        <f>SUBTOTAL(3,B$6:B287)</f>
        <v>282</v>
      </c>
      <c r="B287" s="824" t="s">
        <v>1368</v>
      </c>
      <c r="C287" s="824" t="str">
        <f>+VLOOKUP(B287,'Salary sheet'!$B$6:$AX$1386,48,0)</f>
        <v>CHAU KHAC CUONG</v>
      </c>
      <c r="D287" s="824" t="str">
        <f>+VLOOKUP(B287,'Salary sheet'!$B$6:$BW$1386,49,0)</f>
        <v>050040786225</v>
      </c>
      <c r="E287" s="620">
        <f>+VLOOKUP(B287,'Salary sheet'!$B$6:$AT$1292,45,0)</f>
        <v>6880087</v>
      </c>
      <c r="F287" s="1029" t="s">
        <v>5723</v>
      </c>
      <c r="G287" s="824" t="str">
        <f>+VLOOKUP(B287,'Salary sheet'!$B$6:$E$2281,4,0)</f>
        <v>FACTORY A</v>
      </c>
      <c r="H287" s="607" t="str">
        <f>+VLOOKUP(B287,'Salary sheet'!$B$6:$AZ$1386,50,0)</f>
        <v>Seaman</v>
      </c>
      <c r="I287" s="607" t="str">
        <f t="shared" si="12"/>
        <v>C16436CHAU KHAC CUONG050040786225</v>
      </c>
      <c r="J287" s="853" t="str">
        <f>+VLOOKUP(B287,'[5]04 2025'!$B$2:$F$1371,5,0)</f>
        <v>C16436CHAU KHAC CUONG050040786225</v>
      </c>
      <c r="K287" s="607">
        <f t="shared" si="18"/>
        <v>1</v>
      </c>
      <c r="P287" s="685"/>
    </row>
    <row r="288" spans="1:16" s="607" customFormat="1" ht="18" customHeight="1">
      <c r="A288" s="826">
        <f>SUBTOTAL(3,B$6:B288)</f>
        <v>283</v>
      </c>
      <c r="B288" s="824" t="s">
        <v>5744</v>
      </c>
      <c r="C288" s="824" t="str">
        <f>+VLOOKUP(B288,'Salary sheet'!$B$6:$AX$1386,48,0)</f>
        <v>DO QUOC THAI</v>
      </c>
      <c r="D288" s="824" t="str">
        <f>+VLOOKUP(B288,'Salary sheet'!$B$6:$BW$1386,49,0)</f>
        <v>050357954722</v>
      </c>
      <c r="E288" s="620">
        <f>+VLOOKUP(B288,'Salary sheet'!$B$6:$AT$1292,45,0)</f>
        <v>3597671</v>
      </c>
      <c r="F288" s="1029" t="s">
        <v>5723</v>
      </c>
      <c r="G288" s="824" t="str">
        <f>+VLOOKUP(B288,'Salary sheet'!$B$6:$E$2281,4,0)</f>
        <v>FACTORY A</v>
      </c>
      <c r="H288" s="607" t="str">
        <f>+VLOOKUP(B288,'Salary sheet'!$B$6:$AZ$1386,50,0)</f>
        <v>Seaman</v>
      </c>
      <c r="I288" s="607" t="str">
        <f t="shared" si="12"/>
        <v>C16610DO QUOC THAI050357954722</v>
      </c>
      <c r="J288" s="853" t="str">
        <f>+VLOOKUP(B288,'[5]04 2025'!$B$2:$F$1371,5,0)</f>
        <v>C16610DO QUOC THAI050357954722</v>
      </c>
      <c r="K288" s="607">
        <f t="shared" si="18"/>
        <v>1</v>
      </c>
      <c r="P288" s="685"/>
    </row>
    <row r="289" spans="1:16" s="607" customFormat="1" ht="18" customHeight="1">
      <c r="A289" s="826">
        <f>SUBTOTAL(3,B$6:B289)</f>
        <v>284</v>
      </c>
      <c r="B289" s="824" t="s">
        <v>1370</v>
      </c>
      <c r="C289" s="824" t="str">
        <f>+VLOOKUP(B289,'Salary sheet'!$B$6:$AX$1386,48,0)</f>
        <v>QUACH VAN HIEN</v>
      </c>
      <c r="D289" s="824" t="str">
        <f>+VLOOKUP(B289,'Salary sheet'!$B$6:$BW$1386,49,0)</f>
        <v>050058821966</v>
      </c>
      <c r="E289" s="620">
        <f>+VLOOKUP(B289,'Salary sheet'!$B$6:$AT$1292,45,0)</f>
        <v>7607068</v>
      </c>
      <c r="F289" s="1029" t="s">
        <v>5723</v>
      </c>
      <c r="G289" s="824" t="str">
        <f>+VLOOKUP(B289,'Salary sheet'!$B$6:$E$2281,4,0)</f>
        <v>FACTORY A</v>
      </c>
      <c r="H289" s="607" t="str">
        <f>+VLOOKUP(B289,'Salary sheet'!$B$6:$AZ$1386,50,0)</f>
        <v>Seaman</v>
      </c>
      <c r="I289" s="607" t="str">
        <f t="shared" si="12"/>
        <v>C16123QUACH VAN HIEN050058821966</v>
      </c>
      <c r="J289" s="853" t="str">
        <f>+VLOOKUP(B289,'[5]04 2025'!$B$2:$F$1371,5,0)</f>
        <v>C16123QUACH VAN HIEN050058821966</v>
      </c>
      <c r="K289" s="607">
        <f t="shared" si="18"/>
        <v>1</v>
      </c>
      <c r="P289" s="685"/>
    </row>
    <row r="290" spans="1:16" s="607" customFormat="1" ht="18" customHeight="1">
      <c r="A290" s="826">
        <f>SUBTOTAL(3,B$6:B290)</f>
        <v>285</v>
      </c>
      <c r="B290" s="824" t="s">
        <v>1372</v>
      </c>
      <c r="C290" s="824" t="str">
        <f>+VLOOKUP(B290,'Salary sheet'!$B$6:$AX$1386,48,0)</f>
        <v>PHAN HO HAI</v>
      </c>
      <c r="D290" s="824" t="str">
        <f>+VLOOKUP(B290,'Salary sheet'!$B$6:$BW$1386,49,0)</f>
        <v>050126776729</v>
      </c>
      <c r="E290" s="620">
        <f>+VLOOKUP(B290,'Salary sheet'!$B$6:$AT$1292,45,0)</f>
        <v>10411862</v>
      </c>
      <c r="F290" s="1029" t="s">
        <v>5723</v>
      </c>
      <c r="G290" s="824" t="str">
        <f>+VLOOKUP(B290,'Salary sheet'!$B$6:$E$2281,4,0)</f>
        <v>FACTORY B</v>
      </c>
      <c r="H290" s="607" t="str">
        <f>+VLOOKUP(B290,'Salary sheet'!$B$6:$AZ$1386,50,0)</f>
        <v>SK1 Box</v>
      </c>
      <c r="I290" s="607" t="str">
        <f t="shared" si="12"/>
        <v>C13358PHAN HO HAI050126776729</v>
      </c>
      <c r="J290" s="853" t="str">
        <f>+VLOOKUP(B290,'[5]04 2025'!$B$2:$F$1371,5,0)</f>
        <v>C13358PHAN HO HAI050126776729</v>
      </c>
      <c r="K290" s="607">
        <f t="shared" si="18"/>
        <v>1</v>
      </c>
      <c r="P290" s="685"/>
    </row>
    <row r="291" spans="1:16" s="607" customFormat="1" ht="18" customHeight="1">
      <c r="A291" s="826">
        <f>SUBTOTAL(3,B$6:B291)</f>
        <v>286</v>
      </c>
      <c r="B291" s="824" t="s">
        <v>1375</v>
      </c>
      <c r="C291" s="824" t="str">
        <f>+VLOOKUP(B291,'Salary sheet'!$B$6:$AX$1386,48,0)</f>
        <v>TRAN VAN DUNG</v>
      </c>
      <c r="D291" s="824" t="str">
        <f>+VLOOKUP(B291,'Salary sheet'!$B$6:$BW$1386,49,0)</f>
        <v>050040819042</v>
      </c>
      <c r="E291" s="620">
        <f>+VLOOKUP(B291,'Salary sheet'!$B$6:$AT$1292,45,0)</f>
        <v>13124376</v>
      </c>
      <c r="F291" s="1029" t="s">
        <v>5723</v>
      </c>
      <c r="G291" s="824" t="str">
        <f>+VLOOKUP(B291,'Salary sheet'!$B$6:$E$2281,4,0)</f>
        <v>FACTORY B</v>
      </c>
      <c r="H291" s="607" t="str">
        <f>+VLOOKUP(B291,'Salary sheet'!$B$6:$AZ$1386,50,0)</f>
        <v>SK1 Box</v>
      </c>
      <c r="I291" s="607" t="str">
        <f t="shared" si="12"/>
        <v>C2287TRAN VAN DUNG050040819042</v>
      </c>
      <c r="J291" s="853" t="str">
        <f>+VLOOKUP(B291,'[5]04 2025'!$B$2:$F$1371,5,0)</f>
        <v>C2287TRAN VAN DUNG050040819042</v>
      </c>
      <c r="K291" s="607">
        <f t="shared" si="18"/>
        <v>1</v>
      </c>
      <c r="P291" s="685"/>
    </row>
    <row r="292" spans="1:16" s="607" customFormat="1" ht="18" customHeight="1">
      <c r="A292" s="826">
        <f>SUBTOTAL(3,B$6:B292)</f>
        <v>287</v>
      </c>
      <c r="B292" s="824" t="s">
        <v>1378</v>
      </c>
      <c r="C292" s="824" t="str">
        <f>+VLOOKUP(B292,'Salary sheet'!$B$6:$AX$1386,48,0)</f>
        <v>VO MINH THU</v>
      </c>
      <c r="D292" s="824" t="str">
        <f>+VLOOKUP(B292,'Salary sheet'!$B$6:$BW$1386,49,0)</f>
        <v>050040902543</v>
      </c>
      <c r="E292" s="620">
        <f>+VLOOKUP(B292,'Salary sheet'!$B$6:$AT$1292,45,0)</f>
        <v>12208137</v>
      </c>
      <c r="F292" s="1029" t="s">
        <v>5723</v>
      </c>
      <c r="G292" s="824" t="str">
        <f>+VLOOKUP(B292,'Salary sheet'!$B$6:$E$2281,4,0)</f>
        <v>FACTORY B</v>
      </c>
      <c r="H292" s="607" t="str">
        <f>+VLOOKUP(B292,'Salary sheet'!$B$6:$AZ$1386,50,0)</f>
        <v>SK1 Box</v>
      </c>
      <c r="I292" s="607" t="str">
        <f t="shared" si="12"/>
        <v>C7226VO MINH THU050040902543</v>
      </c>
      <c r="J292" s="853" t="str">
        <f>+VLOOKUP(B292,'[5]04 2025'!$B$2:$F$1371,5,0)</f>
        <v>C7226VO MINH THU050040902543</v>
      </c>
      <c r="K292" s="607">
        <f t="shared" si="18"/>
        <v>1</v>
      </c>
      <c r="P292" s="685"/>
    </row>
    <row r="293" spans="1:16" s="607" customFormat="1" ht="18" customHeight="1">
      <c r="A293" s="826">
        <f>SUBTOTAL(3,B$6:B293)</f>
        <v>288</v>
      </c>
      <c r="B293" s="824" t="s">
        <v>1380</v>
      </c>
      <c r="C293" s="824" t="str">
        <f>+VLOOKUP(B293,'Salary sheet'!$B$6:$AX$1386,48,0)</f>
        <v>LE VAN MANH</v>
      </c>
      <c r="D293" s="824" t="str">
        <f>+VLOOKUP(B293,'Salary sheet'!$B$6:$BW$1386,49,0)</f>
        <v>050092771250</v>
      </c>
      <c r="E293" s="620">
        <f>+VLOOKUP(B293,'Salary sheet'!$B$6:$AT$1292,45,0)</f>
        <v>10469024</v>
      </c>
      <c r="F293" s="1029" t="s">
        <v>5723</v>
      </c>
      <c r="G293" s="824" t="str">
        <f>+VLOOKUP(B293,'Salary sheet'!$B$6:$E$2281,4,0)</f>
        <v>FACTORY B</v>
      </c>
      <c r="H293" s="607" t="str">
        <f>+VLOOKUP(B293,'Salary sheet'!$B$6:$AZ$1386,50,0)</f>
        <v>SK1 Box</v>
      </c>
      <c r="I293" s="607" t="str">
        <f t="shared" si="12"/>
        <v>C7344LE VAN MANH050092771250</v>
      </c>
      <c r="J293" s="853" t="str">
        <f>+VLOOKUP(B293,'[5]04 2025'!$B$2:$F$1371,5,0)</f>
        <v>C7344LE VAN MANH050092771250</v>
      </c>
      <c r="K293" s="607">
        <f t="shared" si="18"/>
        <v>1</v>
      </c>
      <c r="P293" s="685"/>
    </row>
    <row r="294" spans="1:16" s="607" customFormat="1" ht="18" customHeight="1">
      <c r="A294" s="826">
        <f>SUBTOTAL(3,B$6:B294)</f>
        <v>289</v>
      </c>
      <c r="B294" s="824" t="s">
        <v>1383</v>
      </c>
      <c r="C294" s="824" t="str">
        <f>+VLOOKUP(B294,'Salary sheet'!$B$6:$AX$1386,48,0)</f>
        <v>MAI DINH TOAN</v>
      </c>
      <c r="D294" s="824" t="str">
        <f>+VLOOKUP(B294,'Salary sheet'!$B$6:$BW$1386,49,0)</f>
        <v>050054953930</v>
      </c>
      <c r="E294" s="620">
        <f>+VLOOKUP(B294,'Salary sheet'!$B$6:$AT$1292,45,0)</f>
        <v>10868577</v>
      </c>
      <c r="F294" s="1029" t="s">
        <v>5723</v>
      </c>
      <c r="G294" s="824" t="str">
        <f>+VLOOKUP(B294,'Salary sheet'!$B$6:$E$2281,4,0)</f>
        <v>FACTORY B</v>
      </c>
      <c r="H294" s="607" t="str">
        <f>+VLOOKUP(B294,'Salary sheet'!$B$6:$AZ$1386,50,0)</f>
        <v>SK1 Bag</v>
      </c>
      <c r="I294" s="607" t="str">
        <f t="shared" si="12"/>
        <v>C13934MAI DINH TOAN050054953930</v>
      </c>
      <c r="J294" s="853" t="str">
        <f>+VLOOKUP(B294,'[5]04 2025'!$B$2:$F$1371,5,0)</f>
        <v>C13934MAI DINH TOAN050054953930</v>
      </c>
      <c r="K294" s="607">
        <f t="shared" si="18"/>
        <v>1</v>
      </c>
      <c r="P294" s="685"/>
    </row>
    <row r="295" spans="1:16" s="607" customFormat="1" ht="18" customHeight="1">
      <c r="A295" s="826">
        <f>SUBTOTAL(3,B$6:B295)</f>
        <v>290</v>
      </c>
      <c r="B295" s="824" t="s">
        <v>1385</v>
      </c>
      <c r="C295" s="824" t="str">
        <f>+VLOOKUP(B295,'Salary sheet'!$B$6:$AX$1386,48,0)</f>
        <v>DO MINH TRI</v>
      </c>
      <c r="D295" s="824" t="str">
        <f>+VLOOKUP(B295,'Salary sheet'!$B$6:$BW$1386,49,0)</f>
        <v>050127733225</v>
      </c>
      <c r="E295" s="620">
        <f>+VLOOKUP(B295,'Salary sheet'!$B$6:$AT$1292,45,0)</f>
        <v>10441440</v>
      </c>
      <c r="F295" s="1029" t="s">
        <v>5723</v>
      </c>
      <c r="G295" s="824" t="str">
        <f>+VLOOKUP(B295,'Salary sheet'!$B$6:$E$2281,4,0)</f>
        <v>FACTORY B</v>
      </c>
      <c r="H295" s="607" t="str">
        <f>+VLOOKUP(B295,'Salary sheet'!$B$6:$AZ$1386,50,0)</f>
        <v>SK1 Bag</v>
      </c>
      <c r="I295" s="607" t="str">
        <f t="shared" si="12"/>
        <v>C14085DO MINH TRI050127733225</v>
      </c>
      <c r="J295" s="853" t="str">
        <f>+VLOOKUP(B295,'[5]04 2025'!$B$2:$F$1371,5,0)</f>
        <v>C14085DO MINH TRI050127733225</v>
      </c>
      <c r="K295" s="607">
        <f t="shared" si="18"/>
        <v>1</v>
      </c>
      <c r="P295" s="685"/>
    </row>
    <row r="296" spans="1:16" s="607" customFormat="1" ht="18" customHeight="1">
      <c r="A296" s="826">
        <f>SUBTOTAL(3,B$6:B296)</f>
        <v>291</v>
      </c>
      <c r="B296" s="824" t="s">
        <v>1387</v>
      </c>
      <c r="C296" s="824" t="str">
        <f>+VLOOKUP(B296,'Salary sheet'!$B$6:$AX$1386,48,0)</f>
        <v>LE THANH HAI</v>
      </c>
      <c r="D296" s="824" t="str">
        <f>+VLOOKUP(B296,'Salary sheet'!$B$6:$BW$1386,49,0)</f>
        <v>050112250287</v>
      </c>
      <c r="E296" s="620">
        <f>+VLOOKUP(B296,'Salary sheet'!$B$6:$AT$1292,45,0)</f>
        <v>10686105</v>
      </c>
      <c r="F296" s="1029" t="s">
        <v>5723</v>
      </c>
      <c r="G296" s="824" t="str">
        <f>+VLOOKUP(B296,'Salary sheet'!$B$6:$E$2281,4,0)</f>
        <v>FACTORY B</v>
      </c>
      <c r="H296" s="607" t="str">
        <f>+VLOOKUP(B296,'Salary sheet'!$B$6:$AZ$1386,50,0)</f>
        <v>SK1 Bag</v>
      </c>
      <c r="I296" s="607" t="str">
        <f t="shared" si="12"/>
        <v>C14556LE THANH HAI050112250287</v>
      </c>
      <c r="J296" s="853" t="str">
        <f>+VLOOKUP(B296,'[5]04 2025'!$B$2:$F$1371,5,0)</f>
        <v>C14556LE THANH HAI050112250287</v>
      </c>
      <c r="K296" s="607">
        <f t="shared" si="18"/>
        <v>1</v>
      </c>
      <c r="P296" s="685"/>
    </row>
    <row r="297" spans="1:16" s="607" customFormat="1" ht="18" customHeight="1">
      <c r="A297" s="826">
        <f>SUBTOTAL(3,B$6:B297)</f>
        <v>292</v>
      </c>
      <c r="B297" s="824" t="s">
        <v>1389</v>
      </c>
      <c r="C297" s="824" t="str">
        <f>+VLOOKUP(B297,'Salary sheet'!$B$6:$AX$1386,48,0)</f>
        <v>NGUYEN LE LAI</v>
      </c>
      <c r="D297" s="824" t="str">
        <f>+VLOOKUP(B297,'Salary sheet'!$B$6:$BW$1386,49,0)</f>
        <v>050144011039</v>
      </c>
      <c r="E297" s="620">
        <f>+VLOOKUP(B297,'Salary sheet'!$B$6:$AT$1292,45,0)</f>
        <v>8127173</v>
      </c>
      <c r="F297" s="1029" t="s">
        <v>5723</v>
      </c>
      <c r="G297" s="824" t="str">
        <f>+VLOOKUP(B297,'Salary sheet'!$B$6:$E$2281,4,0)</f>
        <v>FACTORY B</v>
      </c>
      <c r="H297" s="607" t="str">
        <f>+VLOOKUP(B297,'Salary sheet'!$B$6:$AZ$1386,50,0)</f>
        <v>SK1 Bag</v>
      </c>
      <c r="I297" s="607" t="str">
        <f t="shared" si="12"/>
        <v>C15876NGUYEN LE LAI050144011039</v>
      </c>
      <c r="J297" s="853" t="str">
        <f>+VLOOKUP(B297,'[5]04 2025'!$B$2:$F$1371,5,0)</f>
        <v>C15876NGUYEN LE LAI050144011039</v>
      </c>
      <c r="K297" s="607">
        <f t="shared" ref="K297:K359" si="21">+IF(J297=I297,1,0)</f>
        <v>1</v>
      </c>
      <c r="P297" s="685"/>
    </row>
    <row r="298" spans="1:16" s="607" customFormat="1" ht="18" customHeight="1">
      <c r="A298" s="826">
        <f>SUBTOTAL(3,B$6:B298)</f>
        <v>293</v>
      </c>
      <c r="B298" s="824" t="s">
        <v>1391</v>
      </c>
      <c r="C298" s="824" t="str">
        <f>+VLOOKUP(B298,'Salary sheet'!$B$6:$AX$1386,48,0)</f>
        <v>NGUYEN THANH TUAN</v>
      </c>
      <c r="D298" s="824" t="str">
        <f>+VLOOKUP(B298,'Salary sheet'!$B$6:$BW$1386,49,0)</f>
        <v>050117955912</v>
      </c>
      <c r="E298" s="620">
        <f>+VLOOKUP(B298,'Salary sheet'!$B$6:$AT$1292,45,0)</f>
        <v>8842607</v>
      </c>
      <c r="F298" s="1029" t="s">
        <v>5723</v>
      </c>
      <c r="G298" s="824" t="str">
        <f>+VLOOKUP(B298,'Salary sheet'!$B$6:$E$2281,4,0)</f>
        <v>FACTORY B</v>
      </c>
      <c r="H298" s="607" t="str">
        <f>+VLOOKUP(B298,'Salary sheet'!$B$6:$AZ$1386,50,0)</f>
        <v>SK1 Bag</v>
      </c>
      <c r="I298" s="607" t="str">
        <f t="shared" si="12"/>
        <v>C15948NGUYEN THANH TUAN050117955912</v>
      </c>
      <c r="J298" s="853" t="str">
        <f>+VLOOKUP(B298,'[5]04 2025'!$B$2:$F$1371,5,0)</f>
        <v>C15948NGUYEN THANH TUAN050117955912</v>
      </c>
      <c r="K298" s="607">
        <f t="shared" si="21"/>
        <v>1</v>
      </c>
      <c r="P298" s="685"/>
    </row>
    <row r="299" spans="1:16" s="607" customFormat="1" ht="18" customHeight="1">
      <c r="A299" s="826">
        <f>SUBTOTAL(3,B$6:B299)</f>
        <v>294</v>
      </c>
      <c r="B299" s="824" t="s">
        <v>1393</v>
      </c>
      <c r="C299" s="824" t="str">
        <f>+VLOOKUP(B299,'Salary sheet'!$B$6:$AX$1386,48,0)</f>
        <v>LAM VAN XOM</v>
      </c>
      <c r="D299" s="824" t="str">
        <f>+VLOOKUP(B299,'Salary sheet'!$B$6:$BW$1386,49,0)</f>
        <v>0834289556</v>
      </c>
      <c r="E299" s="620">
        <f>+VLOOKUP(B299,'Salary sheet'!$B$6:$AT$1292,45,0)</f>
        <v>8414450</v>
      </c>
      <c r="F299" s="1029" t="s">
        <v>5723</v>
      </c>
      <c r="G299" s="824" t="str">
        <f>+VLOOKUP(B299,'Salary sheet'!$B$6:$E$2281,4,0)</f>
        <v>FACTORY B</v>
      </c>
      <c r="H299" s="607" t="str">
        <f>+VLOOKUP(B299,'Salary sheet'!$B$6:$AZ$1386,50,0)</f>
        <v>SK1 Bag</v>
      </c>
      <c r="I299" s="607" t="str">
        <f t="shared" si="12"/>
        <v>C16091LAM VAN XOM0834289556</v>
      </c>
      <c r="J299" s="853" t="str">
        <f>+VLOOKUP(B299,'[5]04 2025'!$B$2:$F$1371,5,0)</f>
        <v>C16091LAM VAN XOM0834289556</v>
      </c>
      <c r="K299" s="607">
        <f t="shared" si="21"/>
        <v>1</v>
      </c>
      <c r="P299" s="685"/>
    </row>
    <row r="300" spans="1:16" s="607" customFormat="1" ht="18" customHeight="1">
      <c r="A300" s="826">
        <f>SUBTOTAL(3,B$6:B300)</f>
        <v>295</v>
      </c>
      <c r="B300" s="824" t="s">
        <v>1396</v>
      </c>
      <c r="C300" s="824" t="str">
        <f>+VLOOKUP(B300,'Salary sheet'!$B$6:$AX$1386,48,0)</f>
        <v>NGUYEN THANH TAM</v>
      </c>
      <c r="D300" s="824" t="str">
        <f>+VLOOKUP(B300,'Salary sheet'!$B$6:$BW$1386,49,0)</f>
        <v>050155273221</v>
      </c>
      <c r="E300" s="620">
        <f>+VLOOKUP(B300,'Salary sheet'!$B$6:$AT$1292,45,0)</f>
        <v>8242304</v>
      </c>
      <c r="F300" s="1029" t="s">
        <v>5723</v>
      </c>
      <c r="G300" s="824" t="str">
        <f>+VLOOKUP(B300,'Salary sheet'!$B$6:$E$2281,4,0)</f>
        <v>FACTORY B</v>
      </c>
      <c r="H300" s="607" t="str">
        <f>+VLOOKUP(B300,'Salary sheet'!$B$6:$AZ$1386,50,0)</f>
        <v>SK1 Bag</v>
      </c>
      <c r="I300" s="607" t="str">
        <f t="shared" si="12"/>
        <v>C16152NGUYEN THANH TAM050155273221</v>
      </c>
      <c r="J300" s="853" t="str">
        <f>+VLOOKUP(B300,'[5]04 2025'!$B$2:$F$1371,5,0)</f>
        <v>C16152NGUYEN THANH TAM050155273221</v>
      </c>
      <c r="K300" s="607">
        <f t="shared" si="21"/>
        <v>1</v>
      </c>
      <c r="P300" s="685"/>
    </row>
    <row r="301" spans="1:16" s="607" customFormat="1" ht="18" customHeight="1">
      <c r="A301" s="826">
        <f>SUBTOTAL(3,B$6:B301)</f>
        <v>296</v>
      </c>
      <c r="B301" s="824" t="s">
        <v>1398</v>
      </c>
      <c r="C301" s="824" t="str">
        <f>+VLOOKUP(B301,'Salary sheet'!$B$6:$AX$1386,48,0)</f>
        <v>PHAN MINH THANH</v>
      </c>
      <c r="D301" s="824" t="str">
        <f>+VLOOKUP(B301,'Salary sheet'!$B$6:$BW$1386,49,0)</f>
        <v>050106514132</v>
      </c>
      <c r="E301" s="620">
        <f>+VLOOKUP(B301,'Salary sheet'!$B$6:$AT$1292,45,0)</f>
        <v>7819395</v>
      </c>
      <c r="F301" s="1029" t="s">
        <v>5723</v>
      </c>
      <c r="G301" s="824" t="str">
        <f>+VLOOKUP(B301,'Salary sheet'!$B$6:$E$2281,4,0)</f>
        <v>FACTORY B</v>
      </c>
      <c r="H301" s="607" t="str">
        <f>+VLOOKUP(B301,'Salary sheet'!$B$6:$AZ$1386,50,0)</f>
        <v>SK1 Bag</v>
      </c>
      <c r="I301" s="607" t="str">
        <f t="shared" si="12"/>
        <v>C16418PHAN MINH THANH050106514132</v>
      </c>
      <c r="J301" s="853" t="str">
        <f>+VLOOKUP(B301,'[5]04 2025'!$B$2:$F$1371,5,0)</f>
        <v>C16418PHAN MINH THANH050106514132</v>
      </c>
      <c r="K301" s="607">
        <f t="shared" si="21"/>
        <v>1</v>
      </c>
      <c r="P301" s="685"/>
    </row>
    <row r="302" spans="1:16" s="607" customFormat="1" ht="18" customHeight="1">
      <c r="A302" s="826">
        <f>SUBTOTAL(3,B$6:B302)</f>
        <v>297</v>
      </c>
      <c r="B302" s="824" t="s">
        <v>1400</v>
      </c>
      <c r="C302" s="824" t="str">
        <f>+VLOOKUP(B302,'Salary sheet'!$B$6:$AX$1386,48,0)</f>
        <v>LE TIEN PHUC</v>
      </c>
      <c r="D302" s="824" t="str">
        <f>+VLOOKUP(B302,'Salary sheet'!$B$6:$BW$1386,49,0)</f>
        <v>050158103033</v>
      </c>
      <c r="E302" s="620">
        <f>+VLOOKUP(B302,'Salary sheet'!$B$6:$AT$1292,45,0)</f>
        <v>8285705</v>
      </c>
      <c r="F302" s="1029" t="s">
        <v>5723</v>
      </c>
      <c r="G302" s="824" t="str">
        <f>+VLOOKUP(B302,'Salary sheet'!$B$6:$E$2281,4,0)</f>
        <v>FACTORY B</v>
      </c>
      <c r="H302" s="607" t="str">
        <f>+VLOOKUP(B302,'Salary sheet'!$B$6:$AZ$1386,50,0)</f>
        <v>SK1 Bag</v>
      </c>
      <c r="I302" s="607" t="str">
        <f t="shared" si="12"/>
        <v>C16427LE TIEN PHUC050158103033</v>
      </c>
      <c r="J302" s="853" t="str">
        <f>+VLOOKUP(B302,'[5]04 2025'!$B$2:$F$1371,5,0)</f>
        <v>C16427LE TIEN PHUC050158103033</v>
      </c>
      <c r="K302" s="607">
        <f t="shared" si="21"/>
        <v>1</v>
      </c>
      <c r="P302" s="685"/>
    </row>
    <row r="303" spans="1:16" s="607" customFormat="1" ht="18" customHeight="1">
      <c r="A303" s="826">
        <f>SUBTOTAL(3,B$6:B303)</f>
        <v>298</v>
      </c>
      <c r="B303" s="824" t="s">
        <v>1402</v>
      </c>
      <c r="C303" s="824" t="str">
        <f>+VLOOKUP(B303,'Salary sheet'!$B$6:$AX$1386,48,0)</f>
        <v>LE VAN DINH</v>
      </c>
      <c r="D303" s="824" t="str">
        <f>+VLOOKUP(B303,'Salary sheet'!$B$6:$BW$1386,49,0)</f>
        <v>050075311939</v>
      </c>
      <c r="E303" s="620">
        <f>+VLOOKUP(B303,'Salary sheet'!$B$6:$AT$1292,45,0)</f>
        <v>8359876</v>
      </c>
      <c r="F303" s="1029" t="s">
        <v>5723</v>
      </c>
      <c r="G303" s="824" t="str">
        <f>+VLOOKUP(B303,'Salary sheet'!$B$6:$E$2281,4,0)</f>
        <v>FACTORY B</v>
      </c>
      <c r="H303" s="607" t="str">
        <f>+VLOOKUP(B303,'Salary sheet'!$B$6:$AZ$1386,50,0)</f>
        <v>SK1 Bag</v>
      </c>
      <c r="I303" s="607" t="str">
        <f t="shared" si="12"/>
        <v>C16428LE VAN DINH050075311939</v>
      </c>
      <c r="J303" s="853" t="str">
        <f>+VLOOKUP(B303,'[5]04 2025'!$B$2:$F$1371,5,0)</f>
        <v>C16428LE VAN DINH050075311939</v>
      </c>
      <c r="K303" s="607">
        <f t="shared" si="21"/>
        <v>1</v>
      </c>
      <c r="P303" s="685"/>
    </row>
    <row r="304" spans="1:16" s="607" customFormat="1" ht="18" customHeight="1">
      <c r="A304" s="826">
        <f>SUBTOTAL(3,B$6:B304)</f>
        <v>299</v>
      </c>
      <c r="B304" s="824" t="s">
        <v>1404</v>
      </c>
      <c r="C304" s="824" t="str">
        <f>+VLOOKUP(B304,'Salary sheet'!$B$6:$AX$1386,48,0)</f>
        <v>DUONG QUOC HUYNH</v>
      </c>
      <c r="D304" s="824" t="str">
        <f>+VLOOKUP(B304,'Salary sheet'!$B$6:$BW$1386,49,0)</f>
        <v>050040931667</v>
      </c>
      <c r="E304" s="620">
        <f>+VLOOKUP(B304,'Salary sheet'!$B$6:$AT$1292,45,0)</f>
        <v>15175943</v>
      </c>
      <c r="F304" s="1029" t="s">
        <v>5723</v>
      </c>
      <c r="G304" s="824" t="str">
        <f>+VLOOKUP(B304,'Salary sheet'!$B$6:$E$2281,4,0)</f>
        <v>FACTORY B</v>
      </c>
      <c r="H304" s="607" t="str">
        <f>+VLOOKUP(B304,'Salary sheet'!$B$6:$AZ$1386,50,0)</f>
        <v>SK1 Bag</v>
      </c>
      <c r="I304" s="607" t="str">
        <f t="shared" si="12"/>
        <v>C5842DUONG QUOC HUYNH050040931667</v>
      </c>
      <c r="J304" s="853" t="str">
        <f>+VLOOKUP(B304,'[5]04 2025'!$B$2:$F$1371,5,0)</f>
        <v>C5842DUONG QUOC HUYNH050040931667</v>
      </c>
      <c r="K304" s="607">
        <f t="shared" si="21"/>
        <v>1</v>
      </c>
      <c r="P304" s="685"/>
    </row>
    <row r="305" spans="1:16" s="607" customFormat="1" ht="18" customHeight="1">
      <c r="A305" s="826">
        <f>SUBTOTAL(3,B$6:B305)</f>
        <v>300</v>
      </c>
      <c r="B305" s="824" t="s">
        <v>1407</v>
      </c>
      <c r="C305" s="824" t="str">
        <f>+VLOOKUP(B305,'Salary sheet'!$B$6:$AX$1386,48,0)</f>
        <v>DIEU DONG</v>
      </c>
      <c r="D305" s="824" t="str">
        <f>+VLOOKUP(B305,'Salary sheet'!$B$6:$BW$1386,49,0)</f>
        <v>050040931330</v>
      </c>
      <c r="E305" s="620">
        <f>+VLOOKUP(B305,'Salary sheet'!$B$6:$AT$1292,45,0)</f>
        <v>6446026</v>
      </c>
      <c r="F305" s="1029" t="s">
        <v>5723</v>
      </c>
      <c r="G305" s="824" t="str">
        <f>+VLOOKUP(B305,'Salary sheet'!$B$6:$E$2281,4,0)</f>
        <v>FACTORY B</v>
      </c>
      <c r="H305" s="607" t="str">
        <f>+VLOOKUP(B305,'Salary sheet'!$B$6:$AZ$1386,50,0)</f>
        <v>SK1 Bag</v>
      </c>
      <c r="I305" s="607" t="str">
        <f t="shared" si="12"/>
        <v>C6004DIEU DONG050040931330</v>
      </c>
      <c r="J305" s="853" t="str">
        <f>+VLOOKUP(B305,'[5]04 2025'!$B$2:$F$1371,5,0)</f>
        <v>C6004DIEU DONG050040931330</v>
      </c>
      <c r="K305" s="607">
        <f t="shared" si="21"/>
        <v>1</v>
      </c>
      <c r="P305" s="685"/>
    </row>
    <row r="306" spans="1:16" s="607" customFormat="1" ht="18" customHeight="1">
      <c r="A306" s="826">
        <f>SUBTOTAL(3,B$6:B306)</f>
        <v>301</v>
      </c>
      <c r="B306" s="824" t="s">
        <v>1409</v>
      </c>
      <c r="C306" s="824" t="str">
        <f>+VLOOKUP(B306,'Salary sheet'!$B$6:$AX$1386,48,0)</f>
        <v>LE HUU NHAN</v>
      </c>
      <c r="D306" s="824" t="str">
        <f>+VLOOKUP(B306,'Salary sheet'!$B$6:$BW$1386,49,0)</f>
        <v>050087500796</v>
      </c>
      <c r="E306" s="620">
        <f>+VLOOKUP(B306,'Salary sheet'!$B$6:$AT$1292,45,0)</f>
        <v>10639715</v>
      </c>
      <c r="F306" s="1029" t="s">
        <v>5723</v>
      </c>
      <c r="G306" s="824" t="str">
        <f>+VLOOKUP(B306,'Salary sheet'!$B$6:$E$2281,4,0)</f>
        <v>FACTORY B</v>
      </c>
      <c r="H306" s="607" t="str">
        <f>+VLOOKUP(B306,'Salary sheet'!$B$6:$AZ$1386,50,0)</f>
        <v>SK1 Bag</v>
      </c>
      <c r="I306" s="607" t="str">
        <f t="shared" si="12"/>
        <v>C7190LE HUU NHAN050087500796</v>
      </c>
      <c r="J306" s="853" t="str">
        <f>+VLOOKUP(B306,'[5]04 2025'!$B$2:$F$1371,5,0)</f>
        <v>C7190LE HUU NHAN050087500796</v>
      </c>
      <c r="K306" s="607">
        <f t="shared" si="21"/>
        <v>1</v>
      </c>
      <c r="P306" s="685"/>
    </row>
    <row r="307" spans="1:16" s="607" customFormat="1" ht="18" customHeight="1">
      <c r="A307" s="826">
        <f>SUBTOTAL(3,B$6:B307)</f>
        <v>302</v>
      </c>
      <c r="B307" s="824" t="s">
        <v>1411</v>
      </c>
      <c r="C307" s="824" t="str">
        <f>+VLOOKUP(B307,'Salary sheet'!$B$6:$AX$1386,48,0)</f>
        <v>MAI THI BUOI</v>
      </c>
      <c r="D307" s="824" t="str">
        <f>+VLOOKUP(B307,'Salary sheet'!$B$6:$BW$1386,49,0)</f>
        <v>050040874388</v>
      </c>
      <c r="E307" s="620">
        <f>+VLOOKUP(B307,'Salary sheet'!$B$6:$AT$1292,45,0)</f>
        <v>11170837</v>
      </c>
      <c r="F307" s="1029" t="s">
        <v>5723</v>
      </c>
      <c r="G307" s="824" t="str">
        <f>+VLOOKUP(B307,'Salary sheet'!$B$6:$E$2281,4,0)</f>
        <v>FACTORY B</v>
      </c>
      <c r="H307" s="607" t="str">
        <f>+VLOOKUP(B307,'Salary sheet'!$B$6:$AZ$1386,50,0)</f>
        <v>SK1 Box</v>
      </c>
      <c r="I307" s="607" t="str">
        <f t="shared" si="12"/>
        <v>C0718MAI THI BUOI050040874388</v>
      </c>
      <c r="J307" s="853" t="str">
        <f>+VLOOKUP(B307,'[5]04 2025'!$B$2:$F$1371,5,0)</f>
        <v>C0718MAI THI BUOI050040874388</v>
      </c>
      <c r="K307" s="607">
        <f t="shared" si="21"/>
        <v>1</v>
      </c>
      <c r="P307" s="685"/>
    </row>
    <row r="308" spans="1:16" s="607" customFormat="1" ht="18" customHeight="1">
      <c r="A308" s="826">
        <f>SUBTOTAL(3,B$6:B308)</f>
        <v>303</v>
      </c>
      <c r="B308" s="824" t="s">
        <v>1414</v>
      </c>
      <c r="C308" s="824" t="str">
        <f>+VLOOKUP(B308,'Salary sheet'!$B$6:$AX$1386,48,0)</f>
        <v>NGUYEN QUANG LINH</v>
      </c>
      <c r="D308" s="824" t="str">
        <f>+VLOOKUP(B308,'Salary sheet'!$B$6:$BW$1386,49,0)</f>
        <v>050123002102</v>
      </c>
      <c r="E308" s="620">
        <f>+VLOOKUP(B308,'Salary sheet'!$B$6:$AT$1292,45,0)</f>
        <v>10779135</v>
      </c>
      <c r="F308" s="1029" t="s">
        <v>5723</v>
      </c>
      <c r="G308" s="824" t="str">
        <f>+VLOOKUP(B308,'Salary sheet'!$B$6:$E$2281,4,0)</f>
        <v>FACTORY B</v>
      </c>
      <c r="H308" s="607" t="str">
        <f>+VLOOKUP(B308,'Salary sheet'!$B$6:$AZ$1386,50,0)</f>
        <v>SK1 Box</v>
      </c>
      <c r="I308" s="607" t="str">
        <f t="shared" si="12"/>
        <v>C13306NGUYEN QUANG LINH050123002102</v>
      </c>
      <c r="J308" s="853" t="str">
        <f>+VLOOKUP(B308,'[5]04 2025'!$B$2:$F$1371,5,0)</f>
        <v>C13306NGUYEN QUANG LINH050123002102</v>
      </c>
      <c r="K308" s="607">
        <f t="shared" si="21"/>
        <v>1</v>
      </c>
      <c r="P308" s="685"/>
    </row>
    <row r="309" spans="1:16" s="607" customFormat="1" ht="18" customHeight="1">
      <c r="A309" s="826">
        <f>SUBTOTAL(3,B$6:B309)</f>
        <v>304</v>
      </c>
      <c r="B309" s="824" t="s">
        <v>1416</v>
      </c>
      <c r="C309" s="824" t="str">
        <f>+VLOOKUP(B309,'Salary sheet'!$B$6:$AX$1386,48,0)</f>
        <v>DIEU TRUNG THANH</v>
      </c>
      <c r="D309" s="824" t="str">
        <f>+VLOOKUP(B309,'Salary sheet'!$B$6:$BW$1386,49,0)</f>
        <v>050040935875</v>
      </c>
      <c r="E309" s="620">
        <f>+VLOOKUP(B309,'Salary sheet'!$B$6:$AT$1292,45,0)</f>
        <v>9405250</v>
      </c>
      <c r="F309" s="1029" t="s">
        <v>5723</v>
      </c>
      <c r="G309" s="824" t="str">
        <f>+VLOOKUP(B309,'Salary sheet'!$B$6:$E$2281,4,0)</f>
        <v>FACTORY B</v>
      </c>
      <c r="H309" s="607" t="str">
        <f>+VLOOKUP(B309,'Salary sheet'!$B$6:$AZ$1386,50,0)</f>
        <v>SK1 Box</v>
      </c>
      <c r="I309" s="607" t="str">
        <f t="shared" si="12"/>
        <v>C15575DIEU TRUNG THANH050040935875</v>
      </c>
      <c r="J309" s="853" t="str">
        <f>+VLOOKUP(B309,'[5]04 2025'!$B$2:$F$1371,5,0)</f>
        <v>C15575DIEU TRUNG THANH050040935875</v>
      </c>
      <c r="K309" s="607">
        <f t="shared" si="21"/>
        <v>1</v>
      </c>
      <c r="P309" s="685"/>
    </row>
    <row r="310" spans="1:16" s="607" customFormat="1" ht="18" customHeight="1">
      <c r="A310" s="826">
        <f>SUBTOTAL(3,B$6:B310)</f>
        <v>305</v>
      </c>
      <c r="B310" s="824" t="s">
        <v>1418</v>
      </c>
      <c r="C310" s="824" t="str">
        <f>+VLOOKUP(B310,'Salary sheet'!$B$6:$AX$1386,48,0)</f>
        <v>NGUYEN THI KIM</v>
      </c>
      <c r="D310" s="824" t="str">
        <f>+VLOOKUP(B310,'Salary sheet'!$B$6:$BW$1386,49,0)</f>
        <v>050040931802</v>
      </c>
      <c r="E310" s="620">
        <f>+VLOOKUP(B310,'Salary sheet'!$B$6:$AT$1292,45,0)</f>
        <v>11944089</v>
      </c>
      <c r="F310" s="1029" t="s">
        <v>5723</v>
      </c>
      <c r="G310" s="824" t="str">
        <f>+VLOOKUP(B310,'Salary sheet'!$B$6:$E$2281,4,0)</f>
        <v>FACTORY B</v>
      </c>
      <c r="H310" s="607" t="str">
        <f>+VLOOKUP(B310,'Salary sheet'!$B$6:$AZ$1386,50,0)</f>
        <v>SK1 Box</v>
      </c>
      <c r="I310" s="607" t="str">
        <f t="shared" si="12"/>
        <v>C4480NGUYEN THI KIM050040931802</v>
      </c>
      <c r="J310" s="853" t="str">
        <f>+VLOOKUP(B310,'[5]04 2025'!$B$2:$F$1371,5,0)</f>
        <v>C4480NGUYEN THI KIM050040931802</v>
      </c>
      <c r="K310" s="607">
        <f t="shared" si="21"/>
        <v>1</v>
      </c>
      <c r="P310" s="685"/>
    </row>
    <row r="311" spans="1:16" s="607" customFormat="1" ht="18" customHeight="1">
      <c r="A311" s="826">
        <f>SUBTOTAL(3,B$6:B311)</f>
        <v>306</v>
      </c>
      <c r="B311" s="824" t="s">
        <v>1421</v>
      </c>
      <c r="C311" s="824" t="str">
        <f>+VLOOKUP(B311,'Salary sheet'!$B$6:$AX$1386,48,0)</f>
        <v>BUI VAN HAI</v>
      </c>
      <c r="D311" s="824" t="str">
        <f>+VLOOKUP(B311,'Salary sheet'!$B$6:$BW$1386,49,0)</f>
        <v>050077957100</v>
      </c>
      <c r="E311" s="620">
        <f>+VLOOKUP(B311,'Salary sheet'!$B$6:$AT$1292,45,0)</f>
        <v>9008723</v>
      </c>
      <c r="F311" s="1029" t="s">
        <v>5723</v>
      </c>
      <c r="G311" s="824" t="str">
        <f>+VLOOKUP(B311,'Salary sheet'!$B$6:$E$2281,4,0)</f>
        <v>FACTORY B</v>
      </c>
      <c r="H311" s="607" t="str">
        <f>+VLOOKUP(B311,'Salary sheet'!$B$6:$AZ$1386,50,0)</f>
        <v>SK1 Bag</v>
      </c>
      <c r="I311" s="607" t="str">
        <f t="shared" si="12"/>
        <v>C15330BUI VAN HAI050077957100</v>
      </c>
      <c r="J311" s="853" t="str">
        <f>+VLOOKUP(B311,'[5]04 2025'!$B$2:$F$1371,5,0)</f>
        <v>C15330BUI VAN HAI050077957100</v>
      </c>
      <c r="K311" s="607">
        <f t="shared" si="21"/>
        <v>1</v>
      </c>
      <c r="P311" s="685"/>
    </row>
    <row r="312" spans="1:16" s="607" customFormat="1" ht="18" customHeight="1">
      <c r="A312" s="826">
        <f>SUBTOTAL(3,B$6:B312)</f>
        <v>307</v>
      </c>
      <c r="B312" s="824" t="s">
        <v>1423</v>
      </c>
      <c r="C312" s="824" t="str">
        <f>+VLOOKUP(B312,'Salary sheet'!$B$6:$AX$1386,48,0)</f>
        <v>LE VAN HUNG</v>
      </c>
      <c r="D312" s="824" t="str">
        <f>+VLOOKUP(B312,'Salary sheet'!$B$6:$BW$1386,49,0)</f>
        <v>050070598237</v>
      </c>
      <c r="E312" s="620">
        <f>+VLOOKUP(B312,'Salary sheet'!$B$6:$AT$1292,45,0)</f>
        <v>9541961</v>
      </c>
      <c r="F312" s="1029" t="s">
        <v>5723</v>
      </c>
      <c r="G312" s="824" t="str">
        <f>+VLOOKUP(B312,'Salary sheet'!$B$6:$E$2281,4,0)</f>
        <v>FACTORY B</v>
      </c>
      <c r="H312" s="607" t="str">
        <f>+VLOOKUP(B312,'Salary sheet'!$B$6:$AZ$1386,50,0)</f>
        <v>SK1 Bag</v>
      </c>
      <c r="I312" s="607" t="str">
        <f t="shared" si="12"/>
        <v>C15372LE VAN HUNG050070598237</v>
      </c>
      <c r="J312" s="853" t="str">
        <f>+VLOOKUP(B312,'[5]04 2025'!$B$2:$F$1371,5,0)</f>
        <v>C15372LE VAN HUNG050070598237</v>
      </c>
      <c r="K312" s="607">
        <f t="shared" si="21"/>
        <v>1</v>
      </c>
      <c r="P312" s="685"/>
    </row>
    <row r="313" spans="1:16" s="607" customFormat="1" ht="18" customHeight="1">
      <c r="A313" s="826">
        <f>SUBTOTAL(3,B$6:B313)</f>
        <v>308</v>
      </c>
      <c r="B313" s="824" t="s">
        <v>1425</v>
      </c>
      <c r="C313" s="824" t="str">
        <f>+VLOOKUP(B313,'Salary sheet'!$B$6:$AX$1386,48,0)</f>
        <v>DO MINH TAM</v>
      </c>
      <c r="D313" s="824" t="str">
        <f>+VLOOKUP(B313,'Salary sheet'!$B$6:$BW$1386,49,0)</f>
        <v>050040874280</v>
      </c>
      <c r="E313" s="620">
        <f>+VLOOKUP(B313,'Salary sheet'!$B$6:$AT$1292,45,0)</f>
        <v>5883465</v>
      </c>
      <c r="F313" s="1029" t="s">
        <v>5723</v>
      </c>
      <c r="G313" s="824" t="str">
        <f>+VLOOKUP(B313,'Salary sheet'!$B$6:$E$2281,4,0)</f>
        <v>FACTORY B</v>
      </c>
      <c r="H313" s="607" t="str">
        <f>+VLOOKUP(B313,'Salary sheet'!$B$6:$AZ$1386,50,0)</f>
        <v>SK1 Bag</v>
      </c>
      <c r="I313" s="607" t="str">
        <f t="shared" si="12"/>
        <v>C15633DO MINH TAM050040874280</v>
      </c>
      <c r="J313" s="853" t="str">
        <f>+VLOOKUP(B313,'[5]04 2025'!$B$2:$F$1371,5,0)</f>
        <v>C15633DO MINH TAM050040874280</v>
      </c>
      <c r="K313" s="607">
        <f t="shared" si="21"/>
        <v>1</v>
      </c>
      <c r="P313" s="685"/>
    </row>
    <row r="314" spans="1:16" s="607" customFormat="1" ht="18" customHeight="1">
      <c r="A314" s="826">
        <f>SUBTOTAL(3,B$6:B314)</f>
        <v>309</v>
      </c>
      <c r="B314" s="824" t="s">
        <v>1427</v>
      </c>
      <c r="C314" s="824" t="str">
        <f>+VLOOKUP(B314,'Salary sheet'!$B$6:$AX$1386,48,0)</f>
        <v>TRAN PHUOC BINH</v>
      </c>
      <c r="D314" s="824" t="str">
        <f>+VLOOKUP(B314,'Salary sheet'!$B$6:$BW$1386,49,0)</f>
        <v>050119574517</v>
      </c>
      <c r="E314" s="620">
        <f>+VLOOKUP(B314,'Salary sheet'!$B$6:$AT$1292,45,0)</f>
        <v>8190226</v>
      </c>
      <c r="F314" s="1029" t="s">
        <v>5723</v>
      </c>
      <c r="G314" s="824" t="str">
        <f>+VLOOKUP(B314,'Salary sheet'!$B$6:$E$2281,4,0)</f>
        <v>FACTORY B</v>
      </c>
      <c r="H314" s="607" t="str">
        <f>+VLOOKUP(B314,'Salary sheet'!$B$6:$AZ$1386,50,0)</f>
        <v>SK1 Bag</v>
      </c>
      <c r="I314" s="607" t="str">
        <f t="shared" si="12"/>
        <v>C16365TRAN PHUOC BINH050119574517</v>
      </c>
      <c r="J314" s="853" t="str">
        <f>+VLOOKUP(B314,'[5]04 2025'!$B$2:$F$1371,5,0)</f>
        <v>C16365TRAN PHUOC BINH050119574517</v>
      </c>
      <c r="K314" s="607">
        <f t="shared" si="21"/>
        <v>1</v>
      </c>
      <c r="P314" s="685"/>
    </row>
    <row r="315" spans="1:16" s="607" customFormat="1" ht="18" customHeight="1">
      <c r="A315" s="826">
        <f>SUBTOTAL(3,B$6:B315)</f>
        <v>310</v>
      </c>
      <c r="B315" s="824" t="s">
        <v>1429</v>
      </c>
      <c r="C315" s="824" t="str">
        <f>+VLOOKUP(B315,'Salary sheet'!$B$6:$AX$1386,48,0)</f>
        <v>NGUYEN VAN NGUYEN</v>
      </c>
      <c r="D315" s="824" t="str">
        <f>+VLOOKUP(B315,'Salary sheet'!$B$6:$BW$1386,49,0)</f>
        <v>050046467253</v>
      </c>
      <c r="E315" s="620">
        <f>+VLOOKUP(B315,'Salary sheet'!$B$6:$AT$1292,45,0)</f>
        <v>11865193</v>
      </c>
      <c r="F315" s="1029" t="s">
        <v>5723</v>
      </c>
      <c r="G315" s="824" t="str">
        <f>+VLOOKUP(B315,'Salary sheet'!$B$6:$E$2281,4,0)</f>
        <v>FACTORY B</v>
      </c>
      <c r="H315" s="607" t="str">
        <f>+VLOOKUP(B315,'Salary sheet'!$B$6:$AZ$1386,50,0)</f>
        <v>SK1 Bag</v>
      </c>
      <c r="I315" s="607" t="str">
        <f t="shared" si="12"/>
        <v>C7142NGUYEN VAN NGUYEN050046467253</v>
      </c>
      <c r="J315" s="853" t="str">
        <f>+VLOOKUP(B315,'[5]04 2025'!$B$2:$F$1371,5,0)</f>
        <v>C7142NGUYEN VAN NGUYEN050046467253</v>
      </c>
      <c r="K315" s="607">
        <f t="shared" si="21"/>
        <v>1</v>
      </c>
      <c r="P315" s="685"/>
    </row>
    <row r="316" spans="1:16" s="607" customFormat="1" ht="18" customHeight="1">
      <c r="A316" s="826">
        <f>SUBTOTAL(3,B$6:B316)</f>
        <v>311</v>
      </c>
      <c r="B316" s="824" t="s">
        <v>1431</v>
      </c>
      <c r="C316" s="824" t="str">
        <f>+VLOOKUP(B316,'Salary sheet'!$B$6:$AX$1386,48,0)</f>
        <v>DO THANH CONG</v>
      </c>
      <c r="D316" s="824" t="str">
        <f>+VLOOKUP(B316,'Salary sheet'!$B$6:$BW$1386,49,0)</f>
        <v>050119639422</v>
      </c>
      <c r="E316" s="620">
        <f>+VLOOKUP(B316,'Salary sheet'!$B$6:$AT$1292,45,0)</f>
        <v>9991891</v>
      </c>
      <c r="F316" s="1029" t="s">
        <v>5723</v>
      </c>
      <c r="G316" s="824" t="str">
        <f>+VLOOKUP(B316,'Salary sheet'!$B$6:$E$2281,4,0)</f>
        <v>FACTORY B</v>
      </c>
      <c r="H316" s="607" t="str">
        <f>+VLOOKUP(B316,'Salary sheet'!$B$6:$AZ$1386,50,0)</f>
        <v>SK1 Box</v>
      </c>
      <c r="I316" s="607" t="str">
        <f t="shared" si="12"/>
        <v>C12454DO THANH CONG050119639422</v>
      </c>
      <c r="J316" s="853" t="str">
        <f>+VLOOKUP(B316,'[5]04 2025'!$B$2:$F$1371,5,0)</f>
        <v>C12454DO THANH CONG050119639422</v>
      </c>
      <c r="K316" s="607">
        <f t="shared" si="21"/>
        <v>1</v>
      </c>
      <c r="P316" s="685"/>
    </row>
    <row r="317" spans="1:16" s="607" customFormat="1" ht="18" customHeight="1">
      <c r="A317" s="826">
        <f>SUBTOTAL(3,B$6:B317)</f>
        <v>312</v>
      </c>
      <c r="B317" s="824" t="s">
        <v>1433</v>
      </c>
      <c r="C317" s="824" t="str">
        <f>+VLOOKUP(B317,'Salary sheet'!$B$6:$AX$1386,48,0)</f>
        <v>NGUYEN PHUONG BINH</v>
      </c>
      <c r="D317" s="824" t="str">
        <f>+VLOOKUP(B317,'Salary sheet'!$B$6:$BW$1386,49,0)</f>
        <v>050074546721</v>
      </c>
      <c r="E317" s="620">
        <f>+VLOOKUP(B317,'Salary sheet'!$B$6:$AT$1292,45,0)</f>
        <v>8835560</v>
      </c>
      <c r="F317" s="1029" t="s">
        <v>5723</v>
      </c>
      <c r="G317" s="824" t="str">
        <f>+VLOOKUP(B317,'Salary sheet'!$B$6:$E$2281,4,0)</f>
        <v>FACTORY B</v>
      </c>
      <c r="H317" s="607" t="str">
        <f>+VLOOKUP(B317,'Salary sheet'!$B$6:$AZ$1386,50,0)</f>
        <v>SK1 Box</v>
      </c>
      <c r="I317" s="607" t="str">
        <f t="shared" si="12"/>
        <v>C12592NGUYEN PHUONG BINH050074546721</v>
      </c>
      <c r="J317" s="853" t="str">
        <f>+VLOOKUP(B317,'[5]04 2025'!$B$2:$F$1371,5,0)</f>
        <v>C12592NGUYEN PHUONG BINH050074546721</v>
      </c>
      <c r="K317" s="607">
        <f t="shared" si="21"/>
        <v>1</v>
      </c>
      <c r="P317" s="685"/>
    </row>
    <row r="318" spans="1:16" s="607" customFormat="1" ht="18" customHeight="1">
      <c r="A318" s="826">
        <f>SUBTOTAL(3,B$6:B318)</f>
        <v>313</v>
      </c>
      <c r="B318" s="824" t="s">
        <v>1435</v>
      </c>
      <c r="C318" s="824" t="str">
        <f>+VLOOKUP(B318,'Salary sheet'!$B$6:$AX$1386,48,0)</f>
        <v>BUI VAN CO</v>
      </c>
      <c r="D318" s="824" t="str">
        <f>+VLOOKUP(B318,'Salary sheet'!$B$6:$BW$1386,49,0)</f>
        <v>050112168203</v>
      </c>
      <c r="E318" s="620">
        <f>+VLOOKUP(B318,'Salary sheet'!$B$6:$AT$1292,45,0)</f>
        <v>11415515</v>
      </c>
      <c r="F318" s="1029" t="s">
        <v>5723</v>
      </c>
      <c r="G318" s="824" t="str">
        <f>+VLOOKUP(B318,'Salary sheet'!$B$6:$E$2281,4,0)</f>
        <v>FACTORY B</v>
      </c>
      <c r="H318" s="607" t="str">
        <f>+VLOOKUP(B318,'Salary sheet'!$B$6:$AZ$1386,50,0)</f>
        <v>SK1 Box</v>
      </c>
      <c r="I318" s="607" t="str">
        <f t="shared" si="12"/>
        <v>C12615BUI VAN CO050112168203</v>
      </c>
      <c r="J318" s="853" t="str">
        <f>+VLOOKUP(B318,'[5]04 2025'!$B$2:$F$1371,5,0)</f>
        <v>C12615BUI VAN CO050112168203</v>
      </c>
      <c r="K318" s="607">
        <f t="shared" si="21"/>
        <v>1</v>
      </c>
      <c r="P318" s="685"/>
    </row>
    <row r="319" spans="1:16" s="607" customFormat="1" ht="18" customHeight="1">
      <c r="A319" s="826">
        <f>SUBTOTAL(3,B$6:B319)</f>
        <v>314</v>
      </c>
      <c r="B319" s="824" t="s">
        <v>1437</v>
      </c>
      <c r="C319" s="824" t="str">
        <f>+VLOOKUP(B319,'Salary sheet'!$B$6:$AX$1386,48,0)</f>
        <v>NGUYEN VAN HUNG</v>
      </c>
      <c r="D319" s="824" t="str">
        <f>+VLOOKUP(B319,'Salary sheet'!$B$6:$BW$1386,49,0)</f>
        <v>050119781660</v>
      </c>
      <c r="E319" s="620">
        <f>+VLOOKUP(B319,'Salary sheet'!$B$6:$AT$1292,45,0)</f>
        <v>9679110</v>
      </c>
      <c r="F319" s="1029" t="s">
        <v>5723</v>
      </c>
      <c r="G319" s="824" t="str">
        <f>+VLOOKUP(B319,'Salary sheet'!$B$6:$E$2281,4,0)</f>
        <v>FACTORY B</v>
      </c>
      <c r="H319" s="607" t="str">
        <f>+VLOOKUP(B319,'Salary sheet'!$B$6:$AZ$1386,50,0)</f>
        <v>SK1 Box</v>
      </c>
      <c r="I319" s="607" t="str">
        <f t="shared" si="12"/>
        <v>C12639NGUYEN VAN HUNG050119781660</v>
      </c>
      <c r="J319" s="853" t="str">
        <f>+VLOOKUP(B319,'[5]04 2025'!$B$2:$F$1371,5,0)</f>
        <v>C12639NGUYEN VAN HUNG050119781660</v>
      </c>
      <c r="K319" s="607">
        <f t="shared" si="21"/>
        <v>1</v>
      </c>
      <c r="P319" s="685"/>
    </row>
    <row r="320" spans="1:16" s="607" customFormat="1" ht="18" customHeight="1">
      <c r="A320" s="826">
        <f>SUBTOTAL(3,B$6:B320)</f>
        <v>315</v>
      </c>
      <c r="B320" s="824" t="s">
        <v>1439</v>
      </c>
      <c r="C320" s="824" t="str">
        <f>+VLOOKUP(B320,'Salary sheet'!$B$6:$AX$1386,48,0)</f>
        <v>DUONG QUOC ANH</v>
      </c>
      <c r="D320" s="824" t="str">
        <f>+VLOOKUP(B320,'Salary sheet'!$B$6:$BW$1386,49,0)</f>
        <v>050126611703</v>
      </c>
      <c r="E320" s="620">
        <f>+VLOOKUP(B320,'Salary sheet'!$B$6:$AT$1292,45,0)</f>
        <v>8457968</v>
      </c>
      <c r="F320" s="1029" t="s">
        <v>5723</v>
      </c>
      <c r="G320" s="824" t="str">
        <f>+VLOOKUP(B320,'Salary sheet'!$B$6:$E$2281,4,0)</f>
        <v>FACTORY B</v>
      </c>
      <c r="H320" s="607" t="str">
        <f>+VLOOKUP(B320,'Salary sheet'!$B$6:$AZ$1386,50,0)</f>
        <v>SK1 Box</v>
      </c>
      <c r="I320" s="607" t="str">
        <f t="shared" si="12"/>
        <v>C14370DUONG QUOC ANH050126611703</v>
      </c>
      <c r="J320" s="853" t="str">
        <f>+VLOOKUP(B320,'[5]04 2025'!$B$2:$F$1371,5,0)</f>
        <v>C14370DUONG QUOC ANH050126611703</v>
      </c>
      <c r="K320" s="607">
        <f t="shared" si="21"/>
        <v>1</v>
      </c>
      <c r="P320" s="685"/>
    </row>
    <row r="321" spans="1:16" s="607" customFormat="1" ht="18" customHeight="1">
      <c r="A321" s="826">
        <f>SUBTOTAL(3,B$6:B321)</f>
        <v>316</v>
      </c>
      <c r="B321" s="824" t="s">
        <v>1441</v>
      </c>
      <c r="C321" s="824" t="str">
        <f>+VLOOKUP(B321,'Salary sheet'!$B$6:$AX$1386,48,0)</f>
        <v>PHAN QUOC HUNG</v>
      </c>
      <c r="D321" s="824" t="str">
        <f>+VLOOKUP(B321,'Salary sheet'!$B$6:$BW$1386,49,0)</f>
        <v>050088729193</v>
      </c>
      <c r="E321" s="620">
        <f>+VLOOKUP(B321,'Salary sheet'!$B$6:$AT$1292,45,0)</f>
        <v>11318682</v>
      </c>
      <c r="F321" s="1029" t="s">
        <v>5723</v>
      </c>
      <c r="G321" s="824" t="str">
        <f>+VLOOKUP(B321,'Salary sheet'!$B$6:$E$2281,4,0)</f>
        <v>FACTORY B</v>
      </c>
      <c r="H321" s="607" t="str">
        <f>+VLOOKUP(B321,'Salary sheet'!$B$6:$AZ$1386,50,0)</f>
        <v>SK1 Box</v>
      </c>
      <c r="I321" s="607" t="str">
        <f t="shared" si="12"/>
        <v>C14591PHAN QUOC HUNG050088729193</v>
      </c>
      <c r="J321" s="853" t="str">
        <f>+VLOOKUP(B321,'[5]04 2025'!$B$2:$F$1371,5,0)</f>
        <v>C14591PHAN QUOC HUNG050088729193</v>
      </c>
      <c r="K321" s="607">
        <f t="shared" si="21"/>
        <v>1</v>
      </c>
      <c r="P321" s="685"/>
    </row>
    <row r="322" spans="1:16" s="607" customFormat="1" ht="18" customHeight="1">
      <c r="A322" s="826">
        <f>SUBTOTAL(3,B$6:B322)</f>
        <v>317</v>
      </c>
      <c r="B322" s="824" t="s">
        <v>1443</v>
      </c>
      <c r="C322" s="824" t="str">
        <f>+VLOOKUP(B322,'Salary sheet'!$B$6:$AX$1386,48,0)</f>
        <v>LAM DIEU DUONG</v>
      </c>
      <c r="D322" s="824" t="str">
        <f>+VLOOKUP(B322,'Salary sheet'!$B$6:$BW$1386,49,0)</f>
        <v>0962582741</v>
      </c>
      <c r="E322" s="620">
        <f>+VLOOKUP(B322,'Salary sheet'!$B$6:$AT$1292,45,0)</f>
        <v>6470207</v>
      </c>
      <c r="F322" s="1029" t="s">
        <v>5723</v>
      </c>
      <c r="G322" s="824" t="str">
        <f>+VLOOKUP(B322,'Salary sheet'!$B$6:$E$2281,4,0)</f>
        <v>FACTORY B</v>
      </c>
      <c r="H322" s="607" t="str">
        <f>+VLOOKUP(B322,'Salary sheet'!$B$6:$AZ$1386,50,0)</f>
        <v>SK1 Box</v>
      </c>
      <c r="I322" s="607" t="str">
        <f t="shared" si="12"/>
        <v>C16074LAM DIEU DUONG0962582741</v>
      </c>
      <c r="J322" s="853" t="str">
        <f>+VLOOKUP(B322,'[5]04 2025'!$B$2:$F$1371,5,0)</f>
        <v>C16074LAM DIEU DUONG0962582741</v>
      </c>
      <c r="K322" s="607">
        <f t="shared" si="21"/>
        <v>1</v>
      </c>
      <c r="P322" s="685"/>
    </row>
    <row r="323" spans="1:16" s="607" customFormat="1" ht="18" customHeight="1">
      <c r="A323" s="826">
        <f>SUBTOTAL(3,B$6:B323)</f>
        <v>318</v>
      </c>
      <c r="B323" s="824" t="s">
        <v>1445</v>
      </c>
      <c r="C323" s="824" t="str">
        <f>+VLOOKUP(B323,'Salary sheet'!$B$6:$AX$1386,48,0)</f>
        <v>LY TIET THANG</v>
      </c>
      <c r="D323" s="824" t="str">
        <f>+VLOOKUP(B323,'Salary sheet'!$B$6:$BW$1386,49,0)</f>
        <v>050412062005</v>
      </c>
      <c r="E323" s="620">
        <f>+VLOOKUP(B323,'Salary sheet'!$B$6:$AT$1292,45,0)</f>
        <v>7668666</v>
      </c>
      <c r="F323" s="1029" t="s">
        <v>5723</v>
      </c>
      <c r="G323" s="824" t="str">
        <f>+VLOOKUP(B323,'Salary sheet'!$B$6:$E$2281,4,0)</f>
        <v>FACTORY B</v>
      </c>
      <c r="H323" s="607" t="str">
        <f>+VLOOKUP(B323,'Salary sheet'!$B$6:$AZ$1386,50,0)</f>
        <v>SK1 Box</v>
      </c>
      <c r="I323" s="607" t="str">
        <f t="shared" si="12"/>
        <v>C16420LY TIET THANG050412062005</v>
      </c>
      <c r="J323" s="853" t="str">
        <f>+VLOOKUP(B323,'[5]04 2025'!$B$2:$F$1371,5,0)</f>
        <v>C16420LY TIET THANG050412062005</v>
      </c>
      <c r="K323" s="607">
        <f t="shared" si="21"/>
        <v>1</v>
      </c>
      <c r="P323" s="685"/>
    </row>
    <row r="324" spans="1:16" s="607" customFormat="1" ht="18" customHeight="1">
      <c r="A324" s="826">
        <f>SUBTOTAL(3,B$6:B324)</f>
        <v>319</v>
      </c>
      <c r="B324" s="824" t="s">
        <v>1447</v>
      </c>
      <c r="C324" s="824" t="str">
        <f>+VLOOKUP(B324,'Salary sheet'!$B$6:$AX$1386,48,0)</f>
        <v>DO VAN NAM</v>
      </c>
      <c r="D324" s="824" t="str">
        <f>+VLOOKUP(B324,'Salary sheet'!$B$6:$BW$1386,49,0)</f>
        <v>050129179918</v>
      </c>
      <c r="E324" s="620">
        <f>+VLOOKUP(B324,'Salary sheet'!$B$6:$AT$1292,45,0)</f>
        <v>7707774</v>
      </c>
      <c r="F324" s="1029" t="s">
        <v>5723</v>
      </c>
      <c r="G324" s="824" t="str">
        <f>+VLOOKUP(B324,'Salary sheet'!$B$6:$E$2281,4,0)</f>
        <v>FACTORY B</v>
      </c>
      <c r="H324" s="607" t="str">
        <f>+VLOOKUP(B324,'Salary sheet'!$B$6:$AZ$1386,50,0)</f>
        <v>SK1 Box</v>
      </c>
      <c r="I324" s="607" t="str">
        <f t="shared" si="12"/>
        <v>C16448DO VAN NAM050129179918</v>
      </c>
      <c r="J324" s="853" t="str">
        <f>+VLOOKUP(B324,'[5]04 2025'!$B$2:$F$1371,5,0)</f>
        <v>C16448DO VAN NAM050129179918</v>
      </c>
      <c r="K324" s="607">
        <f t="shared" si="21"/>
        <v>1</v>
      </c>
      <c r="P324" s="685"/>
    </row>
    <row r="325" spans="1:16" s="607" customFormat="1" ht="18" customHeight="1">
      <c r="A325" s="826">
        <f>SUBTOTAL(3,B$6:B325)</f>
        <v>320</v>
      </c>
      <c r="B325" s="824" t="s">
        <v>1449</v>
      </c>
      <c r="C325" s="824" t="str">
        <f>+VLOOKUP(B325,'Salary sheet'!$B$6:$AX$1386,48,0)</f>
        <v>TRAN THIEN TAM</v>
      </c>
      <c r="D325" s="824" t="str">
        <f>+VLOOKUP(B325,'Salary sheet'!$B$6:$BW$1386,49,0)</f>
        <v>053113082002</v>
      </c>
      <c r="E325" s="620">
        <f>+VLOOKUP(B325,'Salary sheet'!$B$6:$AT$1292,45,0)</f>
        <v>7628557</v>
      </c>
      <c r="F325" s="1029" t="s">
        <v>5723</v>
      </c>
      <c r="G325" s="824" t="str">
        <f>+VLOOKUP(B325,'Salary sheet'!$B$6:$E$2281,4,0)</f>
        <v>FACTORY B</v>
      </c>
      <c r="H325" s="607" t="str">
        <f>+VLOOKUP(B325,'Salary sheet'!$B$6:$AZ$1386,50,0)</f>
        <v>SK1 Box</v>
      </c>
      <c r="I325" s="607" t="str">
        <f t="shared" si="12"/>
        <v>C16481TRAN THIEN TAM053113082002</v>
      </c>
      <c r="J325" s="853" t="str">
        <f>+VLOOKUP(B325,'[5]04 2025'!$B$2:$F$1371,5,0)</f>
        <v>C16481TRAN THIEN TAM053113082002</v>
      </c>
      <c r="K325" s="607">
        <f t="shared" si="21"/>
        <v>1</v>
      </c>
      <c r="P325" s="685"/>
    </row>
    <row r="326" spans="1:16" s="607" customFormat="1" ht="18" customHeight="1">
      <c r="A326" s="826">
        <f>SUBTOTAL(3,B$6:B326)</f>
        <v>321</v>
      </c>
      <c r="B326" s="824" t="s">
        <v>1453</v>
      </c>
      <c r="C326" s="824" t="str">
        <f>+VLOOKUP(B326,'Salary sheet'!$B$6:$AX$1386,48,0)</f>
        <v>TA KHANH DUY</v>
      </c>
      <c r="D326" s="824" t="str">
        <f>+VLOOKUP(B326,'Salary sheet'!$B$6:$BW$1386,49,0)</f>
        <v>050120336948</v>
      </c>
      <c r="E326" s="620">
        <f>+VLOOKUP(B326,'Salary sheet'!$B$6:$AT$1292,45,0)</f>
        <v>7739035</v>
      </c>
      <c r="F326" s="1029" t="s">
        <v>5723</v>
      </c>
      <c r="G326" s="824" t="str">
        <f>+VLOOKUP(B326,'Salary sheet'!$B$6:$E$2281,4,0)</f>
        <v>FACTORY B</v>
      </c>
      <c r="H326" s="607" t="str">
        <f>+VLOOKUP(B326,'Salary sheet'!$B$6:$AZ$1386,50,0)</f>
        <v>SK1 Box</v>
      </c>
      <c r="I326" s="607" t="str">
        <f t="shared" si="12"/>
        <v>C16545TA KHANH DUY050120336948</v>
      </c>
      <c r="J326" s="853" t="str">
        <f>+VLOOKUP(B326,'[5]04 2025'!$B$2:$F$1371,5,0)</f>
        <v>C16545TA KHANH DUY050120336948</v>
      </c>
      <c r="K326" s="607">
        <f t="shared" si="21"/>
        <v>1</v>
      </c>
      <c r="P326" s="685"/>
    </row>
    <row r="327" spans="1:16" s="607" customFormat="1" ht="18" customHeight="1">
      <c r="A327" s="826">
        <f>SUBTOTAL(3,B$6:B327)</f>
        <v>322</v>
      </c>
      <c r="B327" s="824" t="s">
        <v>1455</v>
      </c>
      <c r="C327" s="824" t="str">
        <f>+VLOOKUP(B327,'Salary sheet'!$B$6:$AX$1386,48,0)</f>
        <v>LE VAN THU</v>
      </c>
      <c r="D327" s="824" t="str">
        <f>+VLOOKUP(B327,'Salary sheet'!$B$6:$BW$1386,49,0)</f>
        <v>050040870684</v>
      </c>
      <c r="E327" s="620">
        <f>+VLOOKUP(B327,'Salary sheet'!$B$6:$AT$1292,45,0)</f>
        <v>12222492</v>
      </c>
      <c r="F327" s="1029" t="s">
        <v>5723</v>
      </c>
      <c r="G327" s="824" t="str">
        <f>+VLOOKUP(B327,'Salary sheet'!$B$6:$E$2281,4,0)</f>
        <v>FACTORY B</v>
      </c>
      <c r="H327" s="607" t="str">
        <f>+VLOOKUP(B327,'Salary sheet'!$B$6:$AZ$1386,50,0)</f>
        <v>SK1 Box</v>
      </c>
      <c r="I327" s="607" t="str">
        <f t="shared" si="12"/>
        <v>C6000LE VAN THU050040870684</v>
      </c>
      <c r="J327" s="853" t="str">
        <f>+VLOOKUP(B327,'[5]04 2025'!$B$2:$F$1371,5,0)</f>
        <v>C6000LE VAN THU050040870684</v>
      </c>
      <c r="K327" s="607">
        <f t="shared" si="21"/>
        <v>1</v>
      </c>
      <c r="P327" s="685"/>
    </row>
    <row r="328" spans="1:16" s="607" customFormat="1" ht="18" customHeight="1">
      <c r="A328" s="826">
        <f>SUBTOTAL(3,B$6:B328)</f>
        <v>323</v>
      </c>
      <c r="B328" s="824" t="s">
        <v>1457</v>
      </c>
      <c r="C328" s="824" t="str">
        <f>+VLOOKUP(B328,'Salary sheet'!$B$6:$AX$1386,48,0)</f>
        <v>DIEU THANH HAI</v>
      </c>
      <c r="D328" s="824" t="str">
        <f>+VLOOKUP(B328,'Salary sheet'!$B$6:$BW$1386,49,0)</f>
        <v>050087500397</v>
      </c>
      <c r="E328" s="620">
        <f>+VLOOKUP(B328,'Salary sheet'!$B$6:$AT$1292,45,0)</f>
        <v>9373291</v>
      </c>
      <c r="F328" s="1029" t="s">
        <v>5723</v>
      </c>
      <c r="G328" s="824" t="str">
        <f>+VLOOKUP(B328,'Salary sheet'!$B$6:$E$2281,4,0)</f>
        <v>FACTORY B</v>
      </c>
      <c r="H328" s="607" t="str">
        <f>+VLOOKUP(B328,'Salary sheet'!$B$6:$AZ$1386,50,0)</f>
        <v>SK1 Box</v>
      </c>
      <c r="I328" s="607" t="str">
        <f t="shared" si="12"/>
        <v>C7219DIEU THANH HAI050087500397</v>
      </c>
      <c r="J328" s="853" t="str">
        <f>+VLOOKUP(B328,'[5]04 2025'!$B$2:$F$1371,5,0)</f>
        <v>C7219DIEU THANH HAI050087500397</v>
      </c>
      <c r="K328" s="607">
        <f t="shared" si="21"/>
        <v>1</v>
      </c>
      <c r="P328" s="685"/>
    </row>
    <row r="329" spans="1:16" s="607" customFormat="1" ht="18" customHeight="1">
      <c r="A329" s="826">
        <f>SUBTOTAL(3,B$6:B329)</f>
        <v>324</v>
      </c>
      <c r="B329" s="824" t="s">
        <v>1459</v>
      </c>
      <c r="C329" s="824" t="str">
        <f>+VLOOKUP(B329,'Salary sheet'!$B$6:$AX$1386,48,0)</f>
        <v>TRUONG MANH HUNG</v>
      </c>
      <c r="D329" s="824" t="str">
        <f>+VLOOKUP(B329,'Salary sheet'!$B$6:$BW$1386,49,0)</f>
        <v>050036745867</v>
      </c>
      <c r="E329" s="620">
        <f>+VLOOKUP(B329,'Salary sheet'!$B$6:$AT$1292,45,0)</f>
        <v>10115981</v>
      </c>
      <c r="F329" s="1029" t="s">
        <v>5723</v>
      </c>
      <c r="G329" s="824" t="str">
        <f>+VLOOKUP(B329,'Salary sheet'!$B$6:$E$2281,4,0)</f>
        <v>FACTORY B</v>
      </c>
      <c r="H329" s="607" t="str">
        <f>+VLOOKUP(B329,'Salary sheet'!$B$6:$AZ$1386,50,0)</f>
        <v>SK1 Box</v>
      </c>
      <c r="I329" s="607" t="str">
        <f t="shared" si="12"/>
        <v>C8054TRUONG MANH HUNG050036745867</v>
      </c>
      <c r="J329" s="853" t="str">
        <f>+VLOOKUP(B329,'[5]04 2025'!$B$2:$F$1371,5,0)</f>
        <v>C8054TRUONG MANH HUNG050036745867</v>
      </c>
      <c r="K329" s="607">
        <f t="shared" si="21"/>
        <v>1</v>
      </c>
      <c r="P329" s="685"/>
    </row>
    <row r="330" spans="1:16" s="607" customFormat="1" ht="18" customHeight="1">
      <c r="A330" s="826">
        <f>SUBTOTAL(3,B$6:B330)</f>
        <v>325</v>
      </c>
      <c r="B330" s="824" t="s">
        <v>1461</v>
      </c>
      <c r="C330" s="824" t="str">
        <f>+VLOOKUP(B330,'Salary sheet'!$B$6:$AX$1386,48,0)</f>
        <v>PHAM VAN TUAN</v>
      </c>
      <c r="D330" s="824" t="str">
        <f>+VLOOKUP(B330,'Salary sheet'!$B$6:$BW$1386,49,0)</f>
        <v>050106938250</v>
      </c>
      <c r="E330" s="620">
        <f>+VLOOKUP(B330,'Salary sheet'!$B$6:$AT$1292,45,0)</f>
        <v>11348314</v>
      </c>
      <c r="F330" s="1029" t="s">
        <v>5723</v>
      </c>
      <c r="G330" s="824" t="str">
        <f>+VLOOKUP(B330,'Salary sheet'!$B$6:$E$2281,4,0)</f>
        <v>FACTORY B</v>
      </c>
      <c r="H330" s="607" t="str">
        <f>+VLOOKUP(B330,'Salary sheet'!$B$6:$AZ$1386,50,0)</f>
        <v>SK1 Bag</v>
      </c>
      <c r="I330" s="607" t="str">
        <f t="shared" si="12"/>
        <v>C10963PHAM VAN TUAN050106938250</v>
      </c>
      <c r="J330" s="853" t="str">
        <f>+VLOOKUP(B330,'[5]04 2025'!$B$2:$F$1371,5,0)</f>
        <v>C10963PHAM VAN TUAN050106938250</v>
      </c>
      <c r="K330" s="607">
        <f t="shared" si="21"/>
        <v>1</v>
      </c>
      <c r="P330" s="685"/>
    </row>
    <row r="331" spans="1:16" s="607" customFormat="1" ht="18" customHeight="1">
      <c r="A331" s="826">
        <f>SUBTOTAL(3,B$6:B331)</f>
        <v>326</v>
      </c>
      <c r="B331" s="824" t="s">
        <v>1463</v>
      </c>
      <c r="C331" s="824" t="str">
        <f>+VLOOKUP(B331,'Salary sheet'!$B$6:$AX$1386,48,0)</f>
        <v>LE QUOC VIET</v>
      </c>
      <c r="D331" s="824" t="str">
        <f>+VLOOKUP(B331,'Salary sheet'!$B$6:$BW$1386,49,0)</f>
        <v>050135501211</v>
      </c>
      <c r="E331" s="620">
        <f>+VLOOKUP(B331,'Salary sheet'!$B$6:$AT$1292,45,0)</f>
        <v>8086116</v>
      </c>
      <c r="F331" s="1029" t="s">
        <v>5723</v>
      </c>
      <c r="G331" s="824" t="str">
        <f>+VLOOKUP(B331,'Salary sheet'!$B$6:$E$2281,4,0)</f>
        <v>FACTORY B</v>
      </c>
      <c r="H331" s="607" t="str">
        <f>+VLOOKUP(B331,'Salary sheet'!$B$6:$AZ$1386,50,0)</f>
        <v>SK1 Bag</v>
      </c>
      <c r="I331" s="607" t="str">
        <f t="shared" si="12"/>
        <v>C14529LE QUOC VIET050135501211</v>
      </c>
      <c r="J331" s="853" t="str">
        <f>+VLOOKUP(B331,'[5]04 2025'!$B$2:$F$1371,5,0)</f>
        <v>C14529LE QUOC VIET050135501211</v>
      </c>
      <c r="K331" s="607">
        <f t="shared" si="21"/>
        <v>1</v>
      </c>
      <c r="P331" s="685"/>
    </row>
    <row r="332" spans="1:16" s="607" customFormat="1" ht="18" customHeight="1">
      <c r="A332" s="826">
        <f>SUBTOTAL(3,B$6:B332)</f>
        <v>327</v>
      </c>
      <c r="B332" s="824" t="s">
        <v>1465</v>
      </c>
      <c r="C332" s="824" t="str">
        <f>+VLOOKUP(B332,'Salary sheet'!$B$6:$AX$1386,48,0)</f>
        <v>LE VAN AN TOAN</v>
      </c>
      <c r="D332" s="824" t="str">
        <f>+VLOOKUP(B332,'Salary sheet'!$B$6:$BW$1386,49,0)</f>
        <v>050151523282</v>
      </c>
      <c r="E332" s="620">
        <f>+VLOOKUP(B332,'Salary sheet'!$B$6:$AT$1292,45,0)</f>
        <v>7121198</v>
      </c>
      <c r="F332" s="1029" t="s">
        <v>5723</v>
      </c>
      <c r="G332" s="824" t="str">
        <f>+VLOOKUP(B332,'Salary sheet'!$B$6:$E$2281,4,0)</f>
        <v>FACTORY B</v>
      </c>
      <c r="H332" s="607" t="str">
        <f>+VLOOKUP(B332,'Salary sheet'!$B$6:$AZ$1386,50,0)</f>
        <v>SK1 Bag</v>
      </c>
      <c r="I332" s="607" t="str">
        <f t="shared" si="12"/>
        <v>C15628LE VAN AN TOAN050151523282</v>
      </c>
      <c r="J332" s="853" t="str">
        <f>+VLOOKUP(B332,'[5]04 2025'!$B$2:$F$1371,5,0)</f>
        <v>C15628LE VAN AN TOAN050151523282</v>
      </c>
      <c r="K332" s="607">
        <f t="shared" si="21"/>
        <v>1</v>
      </c>
      <c r="P332" s="685"/>
    </row>
    <row r="333" spans="1:16" s="607" customFormat="1" ht="18" customHeight="1">
      <c r="A333" s="826">
        <f>SUBTOTAL(3,B$6:B333)</f>
        <v>328</v>
      </c>
      <c r="B333" s="824" t="s">
        <v>1467</v>
      </c>
      <c r="C333" s="824" t="str">
        <f>+VLOOKUP(B333,'Salary sheet'!$B$6:$AX$1386,48,0)</f>
        <v>NGUYEN HOANG HUY</v>
      </c>
      <c r="D333" s="824" t="str">
        <f>+VLOOKUP(B333,'Salary sheet'!$B$6:$BW$1386,49,0)</f>
        <v>050151504946</v>
      </c>
      <c r="E333" s="620">
        <f>+VLOOKUP(B333,'Salary sheet'!$B$6:$AT$1292,45,0)</f>
        <v>7954215</v>
      </c>
      <c r="F333" s="1029" t="s">
        <v>5723</v>
      </c>
      <c r="G333" s="824" t="str">
        <f>+VLOOKUP(B333,'Salary sheet'!$B$6:$E$2281,4,0)</f>
        <v>FACTORY B</v>
      </c>
      <c r="H333" s="607" t="str">
        <f>+VLOOKUP(B333,'Salary sheet'!$B$6:$AZ$1386,50,0)</f>
        <v>SK1 Bag</v>
      </c>
      <c r="I333" s="607" t="str">
        <f t="shared" si="12"/>
        <v>C15629NGUYEN HOANG HUY050151504946</v>
      </c>
      <c r="J333" s="853" t="str">
        <f>+VLOOKUP(B333,'[5]04 2025'!$B$2:$F$1371,5,0)</f>
        <v>C15629NGUYEN HOANG HUY050151504946</v>
      </c>
      <c r="K333" s="607">
        <f t="shared" si="21"/>
        <v>1</v>
      </c>
      <c r="P333" s="685"/>
    </row>
    <row r="334" spans="1:16" s="607" customFormat="1" ht="18" customHeight="1">
      <c r="A334" s="826">
        <f>SUBTOTAL(3,B$6:B334)</f>
        <v>329</v>
      </c>
      <c r="B334" s="824" t="s">
        <v>1469</v>
      </c>
      <c r="C334" s="824" t="str">
        <f>+VLOOKUP(B334,'Salary sheet'!$B$6:$AX$1386,48,0)</f>
        <v>DIEU TRUNG NGHIA</v>
      </c>
      <c r="D334" s="824" t="str">
        <f>+VLOOKUP(B334,'Salary sheet'!$B$6:$BW$1386,49,0)</f>
        <v>050077956716</v>
      </c>
      <c r="E334" s="620">
        <f>+VLOOKUP(B334,'Salary sheet'!$B$6:$AT$1292,45,0)</f>
        <v>8934484</v>
      </c>
      <c r="F334" s="1029" t="s">
        <v>5723</v>
      </c>
      <c r="G334" s="824" t="str">
        <f>+VLOOKUP(B334,'Salary sheet'!$B$6:$E$2281,4,0)</f>
        <v>FACTORY B</v>
      </c>
      <c r="H334" s="607" t="str">
        <f>+VLOOKUP(B334,'Salary sheet'!$B$6:$AZ$1386,50,0)</f>
        <v>SK1 Bag</v>
      </c>
      <c r="I334" s="607" t="str">
        <f t="shared" si="12"/>
        <v>C15630DIEU TRUNG NGHIA050077956716</v>
      </c>
      <c r="J334" s="853" t="str">
        <f>+VLOOKUP(B334,'[5]04 2025'!$B$2:$F$1371,5,0)</f>
        <v>C15630DIEU TRUNG NGHIA050077956716</v>
      </c>
      <c r="K334" s="607">
        <f t="shared" si="21"/>
        <v>1</v>
      </c>
      <c r="P334" s="685"/>
    </row>
    <row r="335" spans="1:16" s="607" customFormat="1" ht="18" customHeight="1">
      <c r="A335" s="826">
        <f>SUBTOTAL(3,B$6:B335)</f>
        <v>330</v>
      </c>
      <c r="B335" s="824" t="s">
        <v>1471</v>
      </c>
      <c r="C335" s="824" t="str">
        <f>+VLOOKUP(B335,'Salary sheet'!$B$6:$AX$1386,48,0)</f>
        <v>VU VAN KY</v>
      </c>
      <c r="D335" s="824" t="str">
        <f>+VLOOKUP(B335,'Salary sheet'!$B$6:$BW$1386,49,0)</f>
        <v>050053265313</v>
      </c>
      <c r="E335" s="620">
        <f>+VLOOKUP(B335,'Salary sheet'!$B$6:$AT$1292,45,0)</f>
        <v>8068115</v>
      </c>
      <c r="F335" s="1029" t="s">
        <v>5723</v>
      </c>
      <c r="G335" s="824" t="str">
        <f>+VLOOKUP(B335,'Salary sheet'!$B$6:$E$2281,4,0)</f>
        <v>FACTORY B</v>
      </c>
      <c r="H335" s="607" t="str">
        <f>+VLOOKUP(B335,'Salary sheet'!$B$6:$AZ$1386,50,0)</f>
        <v>SK1 Bag</v>
      </c>
      <c r="I335" s="607" t="str">
        <f t="shared" si="12"/>
        <v>C15910VU VAN KY050053265313</v>
      </c>
      <c r="J335" s="853" t="str">
        <f>+VLOOKUP(B335,'[5]04 2025'!$B$2:$F$1371,5,0)</f>
        <v>C15910VU VAN KY050053265313</v>
      </c>
      <c r="K335" s="607">
        <f t="shared" si="21"/>
        <v>1</v>
      </c>
      <c r="P335" s="685"/>
    </row>
    <row r="336" spans="1:16" s="607" customFormat="1" ht="18" customHeight="1">
      <c r="A336" s="826">
        <f>SUBTOTAL(3,B$6:B336)</f>
        <v>331</v>
      </c>
      <c r="B336" s="824" t="s">
        <v>1473</v>
      </c>
      <c r="C336" s="824" t="str">
        <f>+VLOOKUP(B336,'Salary sheet'!$B$6:$AX$1386,48,0)</f>
        <v>BUI HUU THUONG</v>
      </c>
      <c r="D336" s="824" t="str">
        <f>+VLOOKUP(B336,'Salary sheet'!$B$6:$BW$1386,49,0)</f>
        <v>050150918186</v>
      </c>
      <c r="E336" s="620">
        <f>+VLOOKUP(B336,'Salary sheet'!$B$6:$AT$1292,45,0)</f>
        <v>8173090</v>
      </c>
      <c r="F336" s="1029" t="s">
        <v>5723</v>
      </c>
      <c r="G336" s="824" t="str">
        <f>+VLOOKUP(B336,'Salary sheet'!$B$6:$E$2281,4,0)</f>
        <v>FACTORY B</v>
      </c>
      <c r="H336" s="607" t="str">
        <f>+VLOOKUP(B336,'Salary sheet'!$B$6:$AZ$1386,50,0)</f>
        <v>SK1 Bag</v>
      </c>
      <c r="I336" s="607" t="str">
        <f t="shared" si="12"/>
        <v>C15921BUI HUU THUONG050150918186</v>
      </c>
      <c r="J336" s="853" t="str">
        <f>+VLOOKUP(B336,'[5]04 2025'!$B$2:$F$1371,5,0)</f>
        <v>C15921BUI HUU THUONG050150918186</v>
      </c>
      <c r="K336" s="607">
        <f t="shared" si="21"/>
        <v>1</v>
      </c>
      <c r="P336" s="685"/>
    </row>
    <row r="337" spans="1:16" s="607" customFormat="1" ht="18" customHeight="1">
      <c r="A337" s="826">
        <f>SUBTOTAL(3,B$6:B337)</f>
        <v>332</v>
      </c>
      <c r="B337" s="824" t="s">
        <v>1476</v>
      </c>
      <c r="C337" s="824" t="str">
        <f>+VLOOKUP(B337,'Salary sheet'!$B$6:$AX$1386,48,0)</f>
        <v>HOANG VAN HA</v>
      </c>
      <c r="D337" s="824" t="str">
        <f>+VLOOKUP(B337,'Salary sheet'!$B$6:$BW$1386,49,0)</f>
        <v>050116653025</v>
      </c>
      <c r="E337" s="620">
        <f>+VLOOKUP(B337,'Salary sheet'!$B$6:$AT$1292,45,0)</f>
        <v>8374271</v>
      </c>
      <c r="F337" s="1029" t="s">
        <v>5723</v>
      </c>
      <c r="G337" s="824" t="str">
        <f>+VLOOKUP(B337,'Salary sheet'!$B$6:$E$2281,4,0)</f>
        <v>FACTORY B</v>
      </c>
      <c r="H337" s="607" t="str">
        <f>+VLOOKUP(B337,'Salary sheet'!$B$6:$AZ$1386,50,0)</f>
        <v>SK1 Bag</v>
      </c>
      <c r="I337" s="607" t="str">
        <f t="shared" si="12"/>
        <v>C15932HOANG VAN HA050116653025</v>
      </c>
      <c r="J337" s="853" t="str">
        <f>+VLOOKUP(B337,'[5]04 2025'!$B$2:$F$1371,5,0)</f>
        <v>C15932HOANG VAN HA050116653025</v>
      </c>
      <c r="K337" s="607">
        <f t="shared" si="21"/>
        <v>1</v>
      </c>
      <c r="P337" s="685"/>
    </row>
    <row r="338" spans="1:16" s="607" customFormat="1" ht="18" customHeight="1">
      <c r="A338" s="826">
        <f>SUBTOTAL(3,B$6:B338)</f>
        <v>333</v>
      </c>
      <c r="B338" s="824" t="s">
        <v>1478</v>
      </c>
      <c r="C338" s="824" t="str">
        <f>+VLOOKUP(B338,'Salary sheet'!$B$6:$AX$1386,48,0)</f>
        <v>NGUYEN VAN CHAT</v>
      </c>
      <c r="D338" s="824" t="str">
        <f>+VLOOKUP(B338,'Salary sheet'!$B$6:$BW$1386,49,0)</f>
        <v>050153703271</v>
      </c>
      <c r="E338" s="620">
        <f>+VLOOKUP(B338,'Salary sheet'!$B$6:$AT$1292,45,0)</f>
        <v>8085379</v>
      </c>
      <c r="F338" s="1029" t="s">
        <v>5723</v>
      </c>
      <c r="G338" s="824" t="str">
        <f>+VLOOKUP(B338,'Salary sheet'!$B$6:$E$2281,4,0)</f>
        <v>FACTORY B</v>
      </c>
      <c r="H338" s="607" t="str">
        <f>+VLOOKUP(B338,'Salary sheet'!$B$6:$AZ$1386,50,0)</f>
        <v>SK1 Bag</v>
      </c>
      <c r="I338" s="607" t="str">
        <f t="shared" si="12"/>
        <v>C16137NGUYEN VAN CHAT050153703271</v>
      </c>
      <c r="J338" s="853" t="str">
        <f>+VLOOKUP(B338,'[5]04 2025'!$B$2:$F$1371,5,0)</f>
        <v>C16137NGUYEN VAN CHAT050153703271</v>
      </c>
      <c r="K338" s="607">
        <f t="shared" si="21"/>
        <v>1</v>
      </c>
      <c r="P338" s="685"/>
    </row>
    <row r="339" spans="1:16" s="607" customFormat="1" ht="18" customHeight="1">
      <c r="A339" s="826">
        <f>SUBTOTAL(3,B$6:B339)</f>
        <v>334</v>
      </c>
      <c r="B339" s="824" t="s">
        <v>1480</v>
      </c>
      <c r="C339" s="824" t="str">
        <f>+VLOOKUP(B339,'Salary sheet'!$B$6:$AX$1386,48,0)</f>
        <v>A LAI</v>
      </c>
      <c r="D339" s="824" t="str">
        <f>+VLOOKUP(B339,'Salary sheet'!$B$6:$BW$1386,49,0)</f>
        <v>050158170946</v>
      </c>
      <c r="E339" s="620">
        <f>+VLOOKUP(B339,'Salary sheet'!$B$6:$AT$1292,45,0)</f>
        <v>6731686</v>
      </c>
      <c r="F339" s="1029" t="s">
        <v>5723</v>
      </c>
      <c r="G339" s="824" t="str">
        <f>+VLOOKUP(B339,'Salary sheet'!$B$6:$E$2281,4,0)</f>
        <v>FACTORY B</v>
      </c>
      <c r="H339" s="607" t="str">
        <f>+VLOOKUP(B339,'Salary sheet'!$B$6:$AZ$1386,50,0)</f>
        <v>SK1 Bag</v>
      </c>
      <c r="I339" s="607" t="str">
        <f t="shared" si="12"/>
        <v>C16434A LAI050158170946</v>
      </c>
      <c r="J339" s="853" t="str">
        <f>+VLOOKUP(B339,'[5]04 2025'!$B$2:$F$1371,5,0)</f>
        <v>C16434A LAI050158170946</v>
      </c>
      <c r="K339" s="607">
        <f t="shared" si="21"/>
        <v>1</v>
      </c>
      <c r="P339" s="685"/>
    </row>
    <row r="340" spans="1:16" s="607" customFormat="1" ht="18" customHeight="1">
      <c r="A340" s="826">
        <f>SUBTOTAL(3,B$6:B340)</f>
        <v>335</v>
      </c>
      <c r="B340" s="824" t="s">
        <v>1482</v>
      </c>
      <c r="C340" s="824" t="str">
        <f>+VLOOKUP(B340,'Salary sheet'!$B$6:$AX$1386,48,0)</f>
        <v>NGUYEN VAN CUONG</v>
      </c>
      <c r="D340" s="824" t="str">
        <f>+VLOOKUP(B340,'Salary sheet'!$B$6:$BW$1386,49,0)</f>
        <v>050067349455</v>
      </c>
      <c r="E340" s="620">
        <f>+VLOOKUP(B340,'Salary sheet'!$B$6:$AT$1292,45,0)</f>
        <v>6063085</v>
      </c>
      <c r="F340" s="1029" t="s">
        <v>5723</v>
      </c>
      <c r="G340" s="824" t="str">
        <f>+VLOOKUP(B340,'Salary sheet'!$B$6:$E$2281,4,0)</f>
        <v>FACTORY B</v>
      </c>
      <c r="H340" s="607" t="str">
        <f>+VLOOKUP(B340,'Salary sheet'!$B$6:$AZ$1386,50,0)</f>
        <v>SK1 Bag</v>
      </c>
      <c r="I340" s="607" t="str">
        <f t="shared" si="12"/>
        <v>C16435NGUYEN VAN CUONG050067349455</v>
      </c>
      <c r="J340" s="853" t="str">
        <f>+VLOOKUP(B340,'[5]04 2025'!$B$2:$F$1371,5,0)</f>
        <v>C16435NGUYEN VAN CUONG050067349455</v>
      </c>
      <c r="K340" s="607">
        <f t="shared" si="21"/>
        <v>1</v>
      </c>
      <c r="P340" s="685"/>
    </row>
    <row r="341" spans="1:16" s="607" customFormat="1" ht="18" customHeight="1">
      <c r="A341" s="826">
        <f>SUBTOTAL(3,B$6:B341)</f>
        <v>336</v>
      </c>
      <c r="B341" s="824" t="s">
        <v>1484</v>
      </c>
      <c r="C341" s="824" t="str">
        <f>+VLOOKUP(B341,'Salary sheet'!$B$6:$AX$1386,48,0)</f>
        <v>DIEU BO</v>
      </c>
      <c r="D341" s="824" t="str">
        <f>+VLOOKUP(B341,'Salary sheet'!$B$6:$BW$1386,49,0)</f>
        <v>050155020072</v>
      </c>
      <c r="E341" s="620">
        <f>+VLOOKUP(B341,'Salary sheet'!$B$6:$AT$1292,45,0)</f>
        <v>5022104</v>
      </c>
      <c r="F341" s="1029" t="s">
        <v>5723</v>
      </c>
      <c r="G341" s="824" t="str">
        <f>+VLOOKUP(B341,'Salary sheet'!$B$6:$E$2281,4,0)</f>
        <v>FACTORY B</v>
      </c>
      <c r="H341" s="607" t="str">
        <f>+VLOOKUP(B341,'Salary sheet'!$B$6:$AZ$1386,50,0)</f>
        <v>SK1 Bag</v>
      </c>
      <c r="I341" s="607" t="str">
        <f t="shared" si="12"/>
        <v>C16483DIEU BO050155020072</v>
      </c>
      <c r="J341" s="853" t="str">
        <f>+VLOOKUP(B341,'[5]04 2025'!$B$2:$F$1371,5,0)</f>
        <v>C16483DIEU BO050155020072</v>
      </c>
      <c r="K341" s="607">
        <f t="shared" si="21"/>
        <v>1</v>
      </c>
      <c r="P341" s="685"/>
    </row>
    <row r="342" spans="1:16" s="607" customFormat="1" ht="18" customHeight="1">
      <c r="A342" s="826">
        <f>SUBTOTAL(3,B$6:B342)</f>
        <v>337</v>
      </c>
      <c r="B342" s="824" t="s">
        <v>1486</v>
      </c>
      <c r="C342" s="824" t="str">
        <f>+VLOOKUP(B342,'Salary sheet'!$B$6:$AX$1386,48,0)</f>
        <v>HO MINH HAO</v>
      </c>
      <c r="D342" s="824" t="str">
        <f>+VLOOKUP(B342,'Salary sheet'!$B$6:$BW$1386,49,0)</f>
        <v>050087500443</v>
      </c>
      <c r="E342" s="620">
        <f>+VLOOKUP(B342,'Salary sheet'!$B$6:$AT$1292,45,0)</f>
        <v>13461825</v>
      </c>
      <c r="F342" s="1029" t="s">
        <v>5723</v>
      </c>
      <c r="G342" s="824" t="str">
        <f>+VLOOKUP(B342,'Salary sheet'!$B$6:$E$2281,4,0)</f>
        <v>FACTORY B</v>
      </c>
      <c r="H342" s="607" t="str">
        <f>+VLOOKUP(B342,'Salary sheet'!$B$6:$AZ$1386,50,0)</f>
        <v>SK1 Bag</v>
      </c>
      <c r="I342" s="607" t="str">
        <f t="shared" si="12"/>
        <v>C7149HO MINH HAO050087500443</v>
      </c>
      <c r="J342" s="853" t="str">
        <f>+VLOOKUP(B342,'[5]04 2025'!$B$2:$F$1371,5,0)</f>
        <v>C7149HO MINH HAO050087500443</v>
      </c>
      <c r="K342" s="607">
        <f t="shared" si="21"/>
        <v>1</v>
      </c>
      <c r="P342" s="685"/>
    </row>
    <row r="343" spans="1:16" s="607" customFormat="1" ht="18" customHeight="1">
      <c r="A343" s="826">
        <f>SUBTOTAL(3,B$6:B343)</f>
        <v>338</v>
      </c>
      <c r="B343" s="824" t="s">
        <v>1488</v>
      </c>
      <c r="C343" s="824" t="str">
        <f>+VLOOKUP(B343,'Salary sheet'!$B$6:$AX$1386,48,0)</f>
        <v>MAI VAN THO</v>
      </c>
      <c r="D343" s="824" t="str">
        <f>+VLOOKUP(B343,'Salary sheet'!$B$6:$BW$1386,49,0)</f>
        <v>050060274778</v>
      </c>
      <c r="E343" s="620">
        <f>+VLOOKUP(B343,'Salary sheet'!$B$6:$AT$1292,45,0)</f>
        <v>8915653</v>
      </c>
      <c r="F343" s="1029" t="s">
        <v>5723</v>
      </c>
      <c r="G343" s="824" t="str">
        <f>+VLOOKUP(B343,'Salary sheet'!$B$6:$E$2281,4,0)</f>
        <v>FACTORY B</v>
      </c>
      <c r="H343" s="607" t="str">
        <f>+VLOOKUP(B343,'Salary sheet'!$B$6:$AZ$1386,50,0)</f>
        <v>SK1 Box</v>
      </c>
      <c r="I343" s="607" t="str">
        <f t="shared" si="12"/>
        <v>C12452MAI VAN THO050060274778</v>
      </c>
      <c r="J343" s="853" t="str">
        <f>+VLOOKUP(B343,'[5]04 2025'!$B$2:$F$1371,5,0)</f>
        <v>C12452MAI VAN THO050060274778</v>
      </c>
      <c r="K343" s="607">
        <f t="shared" si="21"/>
        <v>1</v>
      </c>
      <c r="P343" s="685"/>
    </row>
    <row r="344" spans="1:16" s="607" customFormat="1" ht="18" customHeight="1">
      <c r="A344" s="826">
        <f>SUBTOTAL(3,B$6:B344)</f>
        <v>339</v>
      </c>
      <c r="B344" s="824" t="s">
        <v>1490</v>
      </c>
      <c r="C344" s="824" t="str">
        <f>+VLOOKUP(B344,'Salary sheet'!$B$6:$AX$1386,48,0)</f>
        <v>PHAN THANH PHONG</v>
      </c>
      <c r="D344" s="824" t="str">
        <f>+VLOOKUP(B344,'Salary sheet'!$B$6:$BW$1386,49,0)</f>
        <v>050139281311</v>
      </c>
      <c r="E344" s="620">
        <f>+VLOOKUP(B344,'Salary sheet'!$B$6:$AT$1292,45,0)</f>
        <v>8763069</v>
      </c>
      <c r="F344" s="1029" t="s">
        <v>5723</v>
      </c>
      <c r="G344" s="824" t="str">
        <f>+VLOOKUP(B344,'Salary sheet'!$B$6:$E$2281,4,0)</f>
        <v>FACTORY B</v>
      </c>
      <c r="H344" s="607" t="str">
        <f>+VLOOKUP(B344,'Salary sheet'!$B$6:$AZ$1386,50,0)</f>
        <v>SK1 Box</v>
      </c>
      <c r="I344" s="607" t="str">
        <f t="shared" si="12"/>
        <v>C15241PHAN THANH PHONG050139281311</v>
      </c>
      <c r="J344" s="853" t="str">
        <f>+VLOOKUP(B344,'[5]04 2025'!$B$2:$F$1371,5,0)</f>
        <v>C15241PHAN THANH PHONG050139281311</v>
      </c>
      <c r="K344" s="607">
        <f t="shared" si="21"/>
        <v>1</v>
      </c>
      <c r="P344" s="685"/>
    </row>
    <row r="345" spans="1:16" s="607" customFormat="1" ht="18" customHeight="1">
      <c r="A345" s="826">
        <f>SUBTOTAL(3,B$6:B345)</f>
        <v>340</v>
      </c>
      <c r="B345" s="824" t="s">
        <v>1492</v>
      </c>
      <c r="C345" s="824" t="str">
        <f>+VLOOKUP(B345,'Salary sheet'!$B$6:$AX$1386,48,0)</f>
        <v>NGUYEN XUAN NGO</v>
      </c>
      <c r="D345" s="824" t="str">
        <f>+VLOOKUP(B345,'Salary sheet'!$B$6:$BW$1386,49,0)</f>
        <v>050120050017</v>
      </c>
      <c r="E345" s="620">
        <f>+VLOOKUP(B345,'Salary sheet'!$B$6:$AT$1292,45,0)</f>
        <v>8083606</v>
      </c>
      <c r="F345" s="1029" t="s">
        <v>5723</v>
      </c>
      <c r="G345" s="824" t="str">
        <f>+VLOOKUP(B345,'Salary sheet'!$B$6:$E$2281,4,0)</f>
        <v>FACTORY B</v>
      </c>
      <c r="H345" s="607" t="str">
        <f>+VLOOKUP(B345,'Salary sheet'!$B$6:$AZ$1386,50,0)</f>
        <v>SK1 Box</v>
      </c>
      <c r="I345" s="607" t="str">
        <f t="shared" si="12"/>
        <v>C15523NGUYEN XUAN NGO050120050017</v>
      </c>
      <c r="J345" s="853" t="str">
        <f>+VLOOKUP(B345,'[5]04 2025'!$B$2:$F$1371,5,0)</f>
        <v>C15523NGUYEN XUAN NGO050120050017</v>
      </c>
      <c r="K345" s="607">
        <f t="shared" si="21"/>
        <v>1</v>
      </c>
      <c r="P345" s="685"/>
    </row>
    <row r="346" spans="1:16" s="607" customFormat="1" ht="18" customHeight="1">
      <c r="A346" s="826">
        <f>SUBTOTAL(3,B$6:B346)</f>
        <v>341</v>
      </c>
      <c r="B346" s="824" t="s">
        <v>1494</v>
      </c>
      <c r="C346" s="824" t="str">
        <f>+VLOOKUP(B346,'Salary sheet'!$B$6:$AX$1386,48,0)</f>
        <v>VU THI XUAN</v>
      </c>
      <c r="D346" s="824" t="str">
        <f>+VLOOKUP(B346,'Salary sheet'!$B$6:$BW$1386,49,0)</f>
        <v>050104425590</v>
      </c>
      <c r="E346" s="620">
        <f>+VLOOKUP(B346,'Salary sheet'!$B$6:$AT$1292,45,0)</f>
        <v>8493375</v>
      </c>
      <c r="F346" s="1029" t="s">
        <v>5723</v>
      </c>
      <c r="G346" s="824" t="str">
        <f>+VLOOKUP(B346,'Salary sheet'!$B$6:$E$2281,4,0)</f>
        <v>FACTORY B</v>
      </c>
      <c r="H346" s="607" t="str">
        <f>+VLOOKUP(B346,'Salary sheet'!$B$6:$AZ$1386,50,0)</f>
        <v>SK1 Box</v>
      </c>
      <c r="I346" s="607" t="str">
        <f t="shared" si="12"/>
        <v>C15577VU THI XUAN050104425590</v>
      </c>
      <c r="J346" s="853" t="str">
        <f>+VLOOKUP(B346,'[5]04 2025'!$B$2:$F$1371,5,0)</f>
        <v>C15577VU THI XUAN050104425590</v>
      </c>
      <c r="K346" s="607">
        <f t="shared" si="21"/>
        <v>1</v>
      </c>
      <c r="P346" s="685"/>
    </row>
    <row r="347" spans="1:16" s="607" customFormat="1" ht="18" customHeight="1">
      <c r="A347" s="826">
        <f>SUBTOTAL(3,B$6:B347)</f>
        <v>342</v>
      </c>
      <c r="B347" s="824" t="s">
        <v>1496</v>
      </c>
      <c r="C347" s="824" t="str">
        <f>+VLOOKUP(B347,'Salary sheet'!$B$6:$AX$1386,48,0)</f>
        <v>THI KIM TIEN</v>
      </c>
      <c r="D347" s="824" t="str">
        <f>+VLOOKUP(B347,'Salary sheet'!$B$6:$BW$1386,49,0)</f>
        <v>050154831557</v>
      </c>
      <c r="E347" s="620">
        <f>+VLOOKUP(B347,'Salary sheet'!$B$6:$AT$1292,45,0)</f>
        <v>6196660</v>
      </c>
      <c r="F347" s="1029" t="s">
        <v>5723</v>
      </c>
      <c r="G347" s="824" t="str">
        <f>+VLOOKUP(B347,'Salary sheet'!$B$6:$E$2281,4,0)</f>
        <v>FACTORY B</v>
      </c>
      <c r="H347" s="607" t="str">
        <f>+VLOOKUP(B347,'Salary sheet'!$B$6:$AZ$1386,50,0)</f>
        <v>SK1 Box</v>
      </c>
      <c r="I347" s="607" t="str">
        <f t="shared" si="12"/>
        <v>C16078THI KIM TIEN050154831557</v>
      </c>
      <c r="J347" s="853" t="str">
        <f>+VLOOKUP(B347,'[5]04 2025'!$B$2:$F$1371,5,0)</f>
        <v>C16078THI KIM TIEN050154831557</v>
      </c>
      <c r="K347" s="607">
        <f t="shared" si="21"/>
        <v>1</v>
      </c>
      <c r="P347" s="685"/>
    </row>
    <row r="348" spans="1:16" s="607" customFormat="1" ht="18" customHeight="1">
      <c r="A348" s="826">
        <f>SUBTOTAL(3,B$6:B348)</f>
        <v>343</v>
      </c>
      <c r="B348" s="824" t="s">
        <v>1498</v>
      </c>
      <c r="C348" s="824" t="str">
        <f>+VLOOKUP(B348,'Salary sheet'!$B$6:$AX$1386,48,0)</f>
        <v>NGUYEN LAM HAO</v>
      </c>
      <c r="D348" s="824" t="str">
        <f>+VLOOKUP(B348,'Salary sheet'!$B$6:$BW$1386,49,0)</f>
        <v>050108683578</v>
      </c>
      <c r="E348" s="620">
        <f>+VLOOKUP(B348,'Salary sheet'!$B$6:$AT$1292,45,0)</f>
        <v>8019773</v>
      </c>
      <c r="F348" s="1029" t="s">
        <v>5723</v>
      </c>
      <c r="G348" s="824" t="str">
        <f>+VLOOKUP(B348,'Salary sheet'!$B$6:$E$2281,4,0)</f>
        <v>FACTORY B</v>
      </c>
      <c r="H348" s="607" t="str">
        <f>+VLOOKUP(B348,'Salary sheet'!$B$6:$AZ$1386,50,0)</f>
        <v>SK1 Box</v>
      </c>
      <c r="I348" s="607" t="str">
        <f t="shared" si="12"/>
        <v>C16206NGUYEN LAM HAO050108683578</v>
      </c>
      <c r="J348" s="853" t="str">
        <f>+VLOOKUP(B348,'[5]04 2025'!$B$2:$F$1371,5,0)</f>
        <v>C16206NGUYEN LAM HAO050108683578</v>
      </c>
      <c r="K348" s="607">
        <f t="shared" si="21"/>
        <v>1</v>
      </c>
      <c r="P348" s="685"/>
    </row>
    <row r="349" spans="1:16" s="607" customFormat="1" ht="18" customHeight="1">
      <c r="A349" s="826">
        <f>SUBTOTAL(3,B$6:B349)</f>
        <v>344</v>
      </c>
      <c r="B349" s="824" t="s">
        <v>1500</v>
      </c>
      <c r="C349" s="824" t="str">
        <f>+VLOOKUP(B349,'Salary sheet'!$B$6:$AX$1386,48,0)</f>
        <v>TRAN VAN TAN</v>
      </c>
      <c r="D349" s="824" t="str">
        <f>+VLOOKUP(B349,'Salary sheet'!$B$6:$BW$1386,49,0)</f>
        <v>050326701941</v>
      </c>
      <c r="E349" s="620">
        <f>+VLOOKUP(B349,'Salary sheet'!$B$6:$AT$1292,45,0)</f>
        <v>7014446</v>
      </c>
      <c r="F349" s="1029" t="s">
        <v>5723</v>
      </c>
      <c r="G349" s="824" t="str">
        <f>+VLOOKUP(B349,'Salary sheet'!$B$6:$E$2281,4,0)</f>
        <v>FACTORY B</v>
      </c>
      <c r="H349" s="607" t="str">
        <f>+VLOOKUP(B349,'Salary sheet'!$B$6:$AZ$1386,50,0)</f>
        <v>SK1 Box</v>
      </c>
      <c r="I349" s="607" t="str">
        <f t="shared" si="12"/>
        <v>C16229TRAN VAN TAN050326701941</v>
      </c>
      <c r="J349" s="853" t="str">
        <f>+VLOOKUP(B349,'[5]04 2025'!$B$2:$F$1371,5,0)</f>
        <v>C16229TRAN VAN TAN050326701941</v>
      </c>
      <c r="K349" s="607">
        <f t="shared" si="21"/>
        <v>1</v>
      </c>
      <c r="P349" s="685"/>
    </row>
    <row r="350" spans="1:16" s="607" customFormat="1" ht="18" customHeight="1">
      <c r="A350" s="826">
        <f>SUBTOTAL(3,B$6:B350)</f>
        <v>345</v>
      </c>
      <c r="B350" s="824" t="s">
        <v>1502</v>
      </c>
      <c r="C350" s="824" t="str">
        <f>+VLOOKUP(B350,'Salary sheet'!$B$6:$AX$1386,48,0)</f>
        <v>DIEU CANH</v>
      </c>
      <c r="D350" s="824" t="str">
        <f>+VLOOKUP(B350,'Salary sheet'!$B$6:$BW$1386,49,0)</f>
        <v>050111391022</v>
      </c>
      <c r="E350" s="620">
        <f>+VLOOKUP(B350,'Salary sheet'!$B$6:$AT$1292,45,0)</f>
        <v>7958533</v>
      </c>
      <c r="F350" s="1029" t="s">
        <v>5723</v>
      </c>
      <c r="G350" s="824" t="str">
        <f>+VLOOKUP(B350,'Salary sheet'!$B$6:$E$2281,4,0)</f>
        <v>FACTORY B</v>
      </c>
      <c r="H350" s="607" t="str">
        <f>+VLOOKUP(B350,'Salary sheet'!$B$6:$AZ$1386,50,0)</f>
        <v>SK1 Box</v>
      </c>
      <c r="I350" s="607" t="str">
        <f t="shared" si="12"/>
        <v>C16237DIEU CANH050111391022</v>
      </c>
      <c r="J350" s="853" t="str">
        <f>+VLOOKUP(B350,'[5]04 2025'!$B$2:$F$1371,5,0)</f>
        <v>C16237DIEU CANH050111391022</v>
      </c>
      <c r="K350" s="607">
        <f t="shared" si="21"/>
        <v>1</v>
      </c>
      <c r="P350" s="685"/>
    </row>
    <row r="351" spans="1:16" s="607" customFormat="1" ht="18" customHeight="1">
      <c r="A351" s="826">
        <f>SUBTOTAL(3,B$6:B351)</f>
        <v>346</v>
      </c>
      <c r="B351" s="824" t="s">
        <v>1504</v>
      </c>
      <c r="C351" s="824" t="str">
        <f>+VLOOKUP(B351,'Salary sheet'!$B$6:$AX$1386,48,0)</f>
        <v>SON THANH</v>
      </c>
      <c r="D351" s="824" t="str">
        <f>+VLOOKUP(B351,'Salary sheet'!$B$6:$BW$1386,49,0)</f>
        <v>050119623070</v>
      </c>
      <c r="E351" s="620">
        <f>+VLOOKUP(B351,'Salary sheet'!$B$6:$AT$1292,45,0)</f>
        <v>8019773</v>
      </c>
      <c r="F351" s="1029" t="s">
        <v>5723</v>
      </c>
      <c r="G351" s="824" t="str">
        <f>+VLOOKUP(B351,'Salary sheet'!$B$6:$E$2281,4,0)</f>
        <v>FACTORY B</v>
      </c>
      <c r="H351" s="607" t="str">
        <f>+VLOOKUP(B351,'Salary sheet'!$B$6:$AZ$1386,50,0)</f>
        <v>SK1 Box</v>
      </c>
      <c r="I351" s="607" t="str">
        <f t="shared" si="12"/>
        <v>C16291SON THANH050119623070</v>
      </c>
      <c r="J351" s="853" t="str">
        <f>+VLOOKUP(B351,'[5]04 2025'!$B$2:$F$1371,5,0)</f>
        <v>C16291SON THANH050119623070</v>
      </c>
      <c r="K351" s="607">
        <f t="shared" si="21"/>
        <v>1</v>
      </c>
      <c r="P351" s="685"/>
    </row>
    <row r="352" spans="1:16" s="607" customFormat="1" ht="18" customHeight="1">
      <c r="A352" s="826">
        <f>SUBTOTAL(3,B$6:B352)</f>
        <v>347</v>
      </c>
      <c r="B352" s="824" t="s">
        <v>1506</v>
      </c>
      <c r="C352" s="824" t="str">
        <f>+VLOOKUP(B352,'Salary sheet'!$B$6:$AX$1386,48,0)</f>
        <v>TRAN THI KIM LOAN</v>
      </c>
      <c r="D352" s="824" t="str">
        <f>+VLOOKUP(B352,'Salary sheet'!$B$6:$BW$1386,49,0)</f>
        <v>050079859432</v>
      </c>
      <c r="E352" s="620">
        <f>+VLOOKUP(B352,'Salary sheet'!$B$6:$AT$1292,45,0)</f>
        <v>7761111</v>
      </c>
      <c r="F352" s="1029" t="s">
        <v>5723</v>
      </c>
      <c r="G352" s="824" t="str">
        <f>+VLOOKUP(B352,'Salary sheet'!$B$6:$E$2281,4,0)</f>
        <v>FACTORY B</v>
      </c>
      <c r="H352" s="607" t="str">
        <f>+VLOOKUP(B352,'Salary sheet'!$B$6:$AZ$1386,50,0)</f>
        <v>SK1 Box</v>
      </c>
      <c r="I352" s="607" t="str">
        <f t="shared" si="12"/>
        <v>C16430TRAN THI KIM LOAN050079859432</v>
      </c>
      <c r="J352" s="853" t="str">
        <f>+VLOOKUP(B352,'[5]04 2025'!$B$2:$F$1371,5,0)</f>
        <v>C16430TRAN THI KIM LOAN050079859432</v>
      </c>
      <c r="K352" s="607">
        <f t="shared" si="21"/>
        <v>1</v>
      </c>
      <c r="P352" s="685"/>
    </row>
    <row r="353" spans="1:16" s="607" customFormat="1" ht="18" customHeight="1">
      <c r="A353" s="826">
        <f>SUBTOTAL(3,B$6:B353)</f>
        <v>348</v>
      </c>
      <c r="B353" s="824" t="s">
        <v>1508</v>
      </c>
      <c r="C353" s="824" t="str">
        <f>+VLOOKUP(B353,'Salary sheet'!$B$6:$AX$1386,48,0)</f>
        <v>TRAN ANH TAI</v>
      </c>
      <c r="D353" s="824" t="str">
        <f>+VLOOKUP(B353,'Salary sheet'!$B$6:$BW$1386,49,0)</f>
        <v>050120475451</v>
      </c>
      <c r="E353" s="620">
        <f>+VLOOKUP(B353,'Salary sheet'!$B$6:$AT$1292,45,0)</f>
        <v>7481163</v>
      </c>
      <c r="F353" s="1029" t="s">
        <v>5723</v>
      </c>
      <c r="G353" s="824" t="str">
        <f>+VLOOKUP(B353,'Salary sheet'!$B$6:$E$2281,4,0)</f>
        <v>FACTORY B</v>
      </c>
      <c r="H353" s="607" t="str">
        <f>+VLOOKUP(B353,'Salary sheet'!$B$6:$AZ$1386,50,0)</f>
        <v>SK1 Box</v>
      </c>
      <c r="I353" s="607" t="str">
        <f t="shared" si="12"/>
        <v>C16431TRAN ANH TAI050120475451</v>
      </c>
      <c r="J353" s="853" t="str">
        <f>+VLOOKUP(B353,'[5]04 2025'!$B$2:$F$1371,5,0)</f>
        <v>C16431TRAN ANH TAI050120475451</v>
      </c>
      <c r="K353" s="607">
        <f t="shared" si="21"/>
        <v>1</v>
      </c>
      <c r="P353" s="685"/>
    </row>
    <row r="354" spans="1:16" s="607" customFormat="1" ht="18" customHeight="1">
      <c r="A354" s="826">
        <f>SUBTOTAL(3,B$6:B354)</f>
        <v>349</v>
      </c>
      <c r="B354" s="824" t="s">
        <v>1510</v>
      </c>
      <c r="C354" s="824" t="str">
        <f>+VLOOKUP(B354,'Salary sheet'!$B$6:$AX$1386,48,0)</f>
        <v>LUU THI LAN</v>
      </c>
      <c r="D354" s="824" t="str">
        <f>+VLOOKUP(B354,'Salary sheet'!$B$6:$BW$1386,49,0)</f>
        <v>050040820490</v>
      </c>
      <c r="E354" s="620">
        <f>+VLOOKUP(B354,'Salary sheet'!$B$6:$AT$1292,45,0)</f>
        <v>9780532</v>
      </c>
      <c r="F354" s="1029" t="s">
        <v>5723</v>
      </c>
      <c r="G354" s="824" t="str">
        <f>+VLOOKUP(B354,'Salary sheet'!$B$6:$E$2281,4,0)</f>
        <v>FACTORY B</v>
      </c>
      <c r="H354" s="607" t="str">
        <f>+VLOOKUP(B354,'Salary sheet'!$B$6:$AZ$1386,50,0)</f>
        <v>SK1 Bag</v>
      </c>
      <c r="I354" s="607" t="str">
        <f t="shared" si="12"/>
        <v>C1315LUU THI LAN050040820490</v>
      </c>
      <c r="J354" s="853" t="str">
        <f>+VLOOKUP(B354,'[5]04 2025'!$B$2:$F$1371,5,0)</f>
        <v>C1315LUU THI LAN050040820490</v>
      </c>
      <c r="K354" s="607">
        <f t="shared" si="21"/>
        <v>1</v>
      </c>
      <c r="P354" s="685"/>
    </row>
    <row r="355" spans="1:16" s="607" customFormat="1" ht="18" customHeight="1">
      <c r="A355" s="826">
        <f>SUBTOTAL(3,B$6:B355)</f>
        <v>350</v>
      </c>
      <c r="B355" s="824" t="s">
        <v>1513</v>
      </c>
      <c r="C355" s="824" t="str">
        <f>+VLOOKUP(B355,'Salary sheet'!$B$6:$AX$1386,48,0)</f>
        <v>DO MINH HIEU</v>
      </c>
      <c r="D355" s="824" t="str">
        <f>+VLOOKUP(B355,'Salary sheet'!$B$6:$BW$1386,49,0)</f>
        <v>050096235248</v>
      </c>
      <c r="E355" s="620">
        <f>+VLOOKUP(B355,'Salary sheet'!$B$6:$AT$1292,45,0)</f>
        <v>10198784</v>
      </c>
      <c r="F355" s="1029" t="s">
        <v>5723</v>
      </c>
      <c r="G355" s="824" t="str">
        <f>+VLOOKUP(B355,'Salary sheet'!$B$6:$E$2281,4,0)</f>
        <v>FACTORY B</v>
      </c>
      <c r="H355" s="607" t="str">
        <f>+VLOOKUP(B355,'Salary sheet'!$B$6:$AZ$1386,50,0)</f>
        <v>SK1 Bag</v>
      </c>
      <c r="I355" s="607" t="str">
        <f t="shared" si="12"/>
        <v>C13714DO MINH HIEU050096235248</v>
      </c>
      <c r="J355" s="853" t="str">
        <f>+VLOOKUP(B355,'[5]04 2025'!$B$2:$F$1371,5,0)</f>
        <v>C13714DO MINH HIEU050096235248</v>
      </c>
      <c r="K355" s="607">
        <f t="shared" si="21"/>
        <v>1</v>
      </c>
      <c r="P355" s="685"/>
    </row>
    <row r="356" spans="1:16" s="607" customFormat="1" ht="18" customHeight="1">
      <c r="A356" s="826">
        <f>SUBTOTAL(3,B$6:B356)</f>
        <v>351</v>
      </c>
      <c r="B356" s="824" t="s">
        <v>1515</v>
      </c>
      <c r="C356" s="824" t="str">
        <f>+VLOOKUP(B356,'Salary sheet'!$B$6:$AX$1386,48,0)</f>
        <v>NGO VAN KIET</v>
      </c>
      <c r="D356" s="824" t="str">
        <f>+VLOOKUP(B356,'Salary sheet'!$B$6:$BW$1386,49,0)</f>
        <v>050134596950</v>
      </c>
      <c r="E356" s="620">
        <f>+VLOOKUP(B356,'Salary sheet'!$B$6:$AT$1292,45,0)</f>
        <v>9411767</v>
      </c>
      <c r="F356" s="1029" t="s">
        <v>5723</v>
      </c>
      <c r="G356" s="824" t="str">
        <f>+VLOOKUP(B356,'Salary sheet'!$B$6:$E$2281,4,0)</f>
        <v>FACTORY B</v>
      </c>
      <c r="H356" s="607" t="str">
        <f>+VLOOKUP(B356,'Salary sheet'!$B$6:$AZ$1386,50,0)</f>
        <v>SK1 Bag</v>
      </c>
      <c r="I356" s="607" t="str">
        <f t="shared" si="12"/>
        <v>C14432NGO VAN KIET050134596950</v>
      </c>
      <c r="J356" s="853" t="str">
        <f>+VLOOKUP(B356,'[5]04 2025'!$B$2:$F$1371,5,0)</f>
        <v>C14432NGO VAN KIET050134596950</v>
      </c>
      <c r="K356" s="607">
        <f t="shared" si="21"/>
        <v>1</v>
      </c>
      <c r="P356" s="685"/>
    </row>
    <row r="357" spans="1:16" s="607" customFormat="1" ht="18" customHeight="1">
      <c r="A357" s="826">
        <f>SUBTOTAL(3,B$6:B357)</f>
        <v>352</v>
      </c>
      <c r="B357" s="824" t="s">
        <v>1517</v>
      </c>
      <c r="C357" s="824" t="str">
        <f>+VLOOKUP(B357,'Salary sheet'!$B$6:$AX$1386,48,0)</f>
        <v>NGUYEN MINH HOANG</v>
      </c>
      <c r="D357" s="824" t="str">
        <f>+VLOOKUP(B357,'Salary sheet'!$B$6:$BW$1386,49,0)</f>
        <v>050082294632</v>
      </c>
      <c r="E357" s="620">
        <f>+VLOOKUP(B357,'Salary sheet'!$B$6:$AT$1292,45,0)</f>
        <v>10895713</v>
      </c>
      <c r="F357" s="1029" t="s">
        <v>5723</v>
      </c>
      <c r="G357" s="824" t="str">
        <f>+VLOOKUP(B357,'Salary sheet'!$B$6:$E$2281,4,0)</f>
        <v>FACTORY B</v>
      </c>
      <c r="H357" s="607" t="str">
        <f>+VLOOKUP(B357,'Salary sheet'!$B$6:$AZ$1386,50,0)</f>
        <v>SK1 Bag</v>
      </c>
      <c r="I357" s="607" t="str">
        <f t="shared" si="12"/>
        <v>C14640NGUYEN MINH HOANG050082294632</v>
      </c>
      <c r="J357" s="853" t="str">
        <f>+VLOOKUP(B357,'[5]04 2025'!$B$2:$F$1371,5,0)</f>
        <v>C14640NGUYEN MINH HOANG050082294632</v>
      </c>
      <c r="K357" s="607">
        <f t="shared" si="21"/>
        <v>1</v>
      </c>
      <c r="P357" s="685"/>
    </row>
    <row r="358" spans="1:16" s="607" customFormat="1" ht="18" customHeight="1">
      <c r="A358" s="826">
        <f>SUBTOTAL(3,B$6:B358)</f>
        <v>353</v>
      </c>
      <c r="B358" s="824" t="s">
        <v>1519</v>
      </c>
      <c r="C358" s="824" t="str">
        <f>+VLOOKUP(B358,'Salary sheet'!$B$6:$AX$1386,48,0)</f>
        <v>TRAN HUY SON</v>
      </c>
      <c r="D358" s="824" t="str">
        <f>+VLOOKUP(B358,'Salary sheet'!$B$6:$BW$1386,49,0)</f>
        <v>050138535417</v>
      </c>
      <c r="E358" s="620">
        <f>+VLOOKUP(B358,'Salary sheet'!$B$6:$AT$1292,45,0)</f>
        <v>10320230</v>
      </c>
      <c r="F358" s="1029" t="s">
        <v>5723</v>
      </c>
      <c r="G358" s="824" t="str">
        <f>+VLOOKUP(B358,'Salary sheet'!$B$6:$E$2281,4,0)</f>
        <v>FACTORY B</v>
      </c>
      <c r="H358" s="607" t="str">
        <f>+VLOOKUP(B358,'Salary sheet'!$B$6:$AZ$1386,50,0)</f>
        <v>SK1 Bag</v>
      </c>
      <c r="I358" s="607" t="str">
        <f t="shared" si="12"/>
        <v>C15716TRAN HUY SON050138535417</v>
      </c>
      <c r="J358" s="853" t="str">
        <f>+VLOOKUP(B358,'[5]04 2025'!$B$2:$F$1371,5,0)</f>
        <v>C15716TRAN HUY SON050138535417</v>
      </c>
      <c r="K358" s="607">
        <f t="shared" si="21"/>
        <v>1</v>
      </c>
      <c r="P358" s="685"/>
    </row>
    <row r="359" spans="1:16" s="607" customFormat="1" ht="18" customHeight="1">
      <c r="A359" s="826">
        <f>SUBTOTAL(3,B$6:B359)</f>
        <v>354</v>
      </c>
      <c r="B359" s="824" t="s">
        <v>1521</v>
      </c>
      <c r="C359" s="824" t="str">
        <f>+VLOOKUP(B359,'Salary sheet'!$B$6:$AX$1386,48,0)</f>
        <v>NGUYEN HOANG PHI</v>
      </c>
      <c r="D359" s="824" t="str">
        <f>+VLOOKUP(B359,'Salary sheet'!$B$6:$BW$1386,49,0)</f>
        <v>050091458443</v>
      </c>
      <c r="E359" s="620">
        <f>+VLOOKUP(B359,'Salary sheet'!$B$6:$AT$1292,45,0)</f>
        <v>5440658</v>
      </c>
      <c r="F359" s="1029" t="s">
        <v>5723</v>
      </c>
      <c r="G359" s="824" t="str">
        <f>+VLOOKUP(B359,'Salary sheet'!$B$6:$E$2281,4,0)</f>
        <v>FACTORY B</v>
      </c>
      <c r="H359" s="607" t="str">
        <f>+VLOOKUP(B359,'Salary sheet'!$B$6:$AZ$1386,50,0)</f>
        <v>SK1 Bag</v>
      </c>
      <c r="I359" s="607" t="str">
        <f t="shared" si="12"/>
        <v>C15909NGUYEN HOANG PHI050091458443</v>
      </c>
      <c r="J359" s="853" t="str">
        <f>+VLOOKUP(B359,'[5]04 2025'!$B$2:$F$1371,5,0)</f>
        <v>C15909NGUYEN HOANG PHI050091458443</v>
      </c>
      <c r="K359" s="607">
        <f t="shared" si="21"/>
        <v>1</v>
      </c>
      <c r="P359" s="685"/>
    </row>
    <row r="360" spans="1:16" s="607" customFormat="1" ht="18" customHeight="1">
      <c r="A360" s="826">
        <f>SUBTOTAL(3,B$6:B360)</f>
        <v>355</v>
      </c>
      <c r="B360" s="824" t="s">
        <v>1523</v>
      </c>
      <c r="C360" s="824" t="str">
        <f>+VLOOKUP(B360,'Salary sheet'!$B$6:$AX$1386,48,0)</f>
        <v>LE NGUYEN ANH TUAN</v>
      </c>
      <c r="D360" s="824" t="str">
        <f>+VLOOKUP(B360,'Salary sheet'!$B$6:$BW$1386,49,0)</f>
        <v>060280565582</v>
      </c>
      <c r="E360" s="620">
        <f>+VLOOKUP(B360,'Salary sheet'!$B$6:$AT$1292,45,0)</f>
        <v>7886124</v>
      </c>
      <c r="F360" s="1029" t="s">
        <v>5723</v>
      </c>
      <c r="G360" s="824" t="str">
        <f>+VLOOKUP(B360,'Salary sheet'!$B$6:$E$2281,4,0)</f>
        <v>FACTORY B</v>
      </c>
      <c r="H360" s="607" t="str">
        <f>+VLOOKUP(B360,'Salary sheet'!$B$6:$AZ$1386,50,0)</f>
        <v>SK1 Bag</v>
      </c>
      <c r="I360" s="607" t="str">
        <f t="shared" si="12"/>
        <v>C15933LE NGUYEN ANH TUAN060280565582</v>
      </c>
      <c r="J360" s="853" t="str">
        <f>+VLOOKUP(B360,'[5]04 2025'!$B$2:$F$1371,5,0)</f>
        <v>C15933LE NGUYEN ANH TUAN060280565582</v>
      </c>
      <c r="K360" s="607">
        <f t="shared" ref="K360:K423" si="22">+IF(J360=I360,1,0)</f>
        <v>1</v>
      </c>
      <c r="P360" s="685"/>
    </row>
    <row r="361" spans="1:16" s="607" customFormat="1" ht="18" customHeight="1">
      <c r="A361" s="826">
        <f>SUBTOTAL(3,B$6:B361)</f>
        <v>356</v>
      </c>
      <c r="B361" s="824" t="s">
        <v>1525</v>
      </c>
      <c r="C361" s="824" t="str">
        <f>+VLOOKUP(B361,'Salary sheet'!$B$6:$AX$1386,48,0)</f>
        <v>LAM XAM BO</v>
      </c>
      <c r="D361" s="824" t="str">
        <f>+VLOOKUP(B361,'Salary sheet'!$B$6:$BW$1386,49,0)</f>
        <v>050150993757</v>
      </c>
      <c r="E361" s="620">
        <f>+VLOOKUP(B361,'Salary sheet'!$B$6:$AT$1292,45,0)</f>
        <v>6444546</v>
      </c>
      <c r="F361" s="1029" t="s">
        <v>5723</v>
      </c>
      <c r="G361" s="824" t="str">
        <f>+VLOOKUP(B361,'Salary sheet'!$B$6:$E$2281,4,0)</f>
        <v>FACTORY B</v>
      </c>
      <c r="H361" s="607" t="str">
        <f>+VLOOKUP(B361,'Salary sheet'!$B$6:$AZ$1386,50,0)</f>
        <v>SK1 Bag</v>
      </c>
      <c r="I361" s="607" t="str">
        <f t="shared" si="12"/>
        <v>C16081LAM XAM BO050150993757</v>
      </c>
      <c r="J361" s="853" t="str">
        <f>+VLOOKUP(B361,'[5]04 2025'!$B$2:$F$1371,5,0)</f>
        <v>C16081LAM XAM BO050150993757</v>
      </c>
      <c r="K361" s="607">
        <f t="shared" si="22"/>
        <v>1</v>
      </c>
      <c r="P361" s="685"/>
    </row>
    <row r="362" spans="1:16" s="607" customFormat="1" ht="18" customHeight="1">
      <c r="A362" s="826">
        <f>SUBTOTAL(3,B$6:B362)</f>
        <v>357</v>
      </c>
      <c r="B362" s="824" t="s">
        <v>1527</v>
      </c>
      <c r="C362" s="824" t="str">
        <f>+VLOOKUP(B362,'Salary sheet'!$B$6:$AX$1386,48,0)</f>
        <v>NGUYEN VAN QUY</v>
      </c>
      <c r="D362" s="824" t="str">
        <f>+VLOOKUP(B362,'Salary sheet'!$B$6:$BW$1386,49,0)</f>
        <v>056516061983</v>
      </c>
      <c r="E362" s="620">
        <f>+VLOOKUP(B362,'Salary sheet'!$B$6:$AT$1292,45,0)</f>
        <v>7795786</v>
      </c>
      <c r="F362" s="1029" t="s">
        <v>5723</v>
      </c>
      <c r="G362" s="824" t="str">
        <f>+VLOOKUP(B362,'Salary sheet'!$B$6:$E$2281,4,0)</f>
        <v>FACTORY B</v>
      </c>
      <c r="H362" s="607" t="str">
        <f>+VLOOKUP(B362,'Salary sheet'!$B$6:$AZ$1386,50,0)</f>
        <v>SK1 Bag</v>
      </c>
      <c r="I362" s="607" t="str">
        <f t="shared" si="12"/>
        <v>C16218NGUYEN VAN QUY056516061983</v>
      </c>
      <c r="J362" s="853" t="str">
        <f>+VLOOKUP(B362,'[5]04 2025'!$B$2:$F$1371,5,0)</f>
        <v>C16218NGUYEN VAN QUY056516061983</v>
      </c>
      <c r="K362" s="607">
        <f t="shared" si="22"/>
        <v>1</v>
      </c>
      <c r="P362" s="685"/>
    </row>
    <row r="363" spans="1:16" s="607" customFormat="1" ht="18" customHeight="1">
      <c r="A363" s="826">
        <f>SUBTOTAL(3,B$6:B363)</f>
        <v>358</v>
      </c>
      <c r="B363" s="824" t="s">
        <v>1529</v>
      </c>
      <c r="C363" s="824" t="str">
        <f>+VLOOKUP(B363,'Salary sheet'!$B$6:$AX$1386,48,0)</f>
        <v>TRAN VIET HUNG</v>
      </c>
      <c r="D363" s="824" t="str">
        <f>+VLOOKUP(B363,'Salary sheet'!$B$6:$BW$1386,49,0)</f>
        <v>050040934208</v>
      </c>
      <c r="E363" s="620">
        <f>+VLOOKUP(B363,'Salary sheet'!$B$6:$AT$1292,45,0)</f>
        <v>14889313</v>
      </c>
      <c r="F363" s="1029" t="s">
        <v>5723</v>
      </c>
      <c r="G363" s="824" t="str">
        <f>+VLOOKUP(B363,'Salary sheet'!$B$6:$E$2281,4,0)</f>
        <v>FACTORY B</v>
      </c>
      <c r="H363" s="607" t="str">
        <f>+VLOOKUP(B363,'Salary sheet'!$B$6:$AZ$1386,50,0)</f>
        <v>SK1 Bag</v>
      </c>
      <c r="I363" s="607" t="str">
        <f t="shared" si="12"/>
        <v>C6164TRAN VIET HUNG050040934208</v>
      </c>
      <c r="J363" s="853" t="str">
        <f>+VLOOKUP(B363,'[5]04 2025'!$B$2:$F$1371,5,0)</f>
        <v>C6164TRAN VIET HUNG050040934208</v>
      </c>
      <c r="K363" s="607">
        <f t="shared" si="22"/>
        <v>1</v>
      </c>
      <c r="P363" s="685"/>
    </row>
    <row r="364" spans="1:16" s="607" customFormat="1" ht="18" customHeight="1">
      <c r="A364" s="826">
        <f>SUBTOTAL(3,B$6:B364)</f>
        <v>359</v>
      </c>
      <c r="B364" s="824" t="s">
        <v>1531</v>
      </c>
      <c r="C364" s="824" t="str">
        <f>+VLOOKUP(B364,'Salary sheet'!$B$6:$AX$1386,48,0)</f>
        <v>NGUYEN HONG PHONG</v>
      </c>
      <c r="D364" s="824" t="str">
        <f>+VLOOKUP(B364,'Salary sheet'!$B$6:$BW$1386,49,0)</f>
        <v>050046448798</v>
      </c>
      <c r="E364" s="620">
        <f>+VLOOKUP(B364,'Salary sheet'!$B$6:$AT$1292,45,0)</f>
        <v>13163376</v>
      </c>
      <c r="F364" s="1029" t="s">
        <v>5723</v>
      </c>
      <c r="G364" s="824" t="str">
        <f>+VLOOKUP(B364,'Salary sheet'!$B$6:$E$2281,4,0)</f>
        <v>FACTORY B</v>
      </c>
      <c r="H364" s="607" t="str">
        <f>+VLOOKUP(B364,'Salary sheet'!$B$6:$AZ$1386,50,0)</f>
        <v>SK1 Bag</v>
      </c>
      <c r="I364" s="607" t="str">
        <f t="shared" si="12"/>
        <v>C7152NGUYEN HONG PHONG050046448798</v>
      </c>
      <c r="J364" s="853" t="str">
        <f>+VLOOKUP(B364,'[5]04 2025'!$B$2:$F$1371,5,0)</f>
        <v>C7152NGUYEN HONG PHONG050046448798</v>
      </c>
      <c r="K364" s="607">
        <f t="shared" si="22"/>
        <v>1</v>
      </c>
      <c r="P364" s="685"/>
    </row>
    <row r="365" spans="1:16" s="607" customFormat="1" ht="18" customHeight="1">
      <c r="A365" s="826">
        <f>SUBTOTAL(3,B$6:B365)</f>
        <v>360</v>
      </c>
      <c r="B365" s="824" t="s">
        <v>1533</v>
      </c>
      <c r="C365" s="824" t="str">
        <f>+VLOOKUP(B365,'Salary sheet'!$B$6:$AX$1386,48,0)</f>
        <v>PHAN THANH TAI</v>
      </c>
      <c r="D365" s="824" t="str">
        <f>+VLOOKUP(B365,'Salary sheet'!$B$6:$BW$1386,49,0)</f>
        <v>050133092762</v>
      </c>
      <c r="E365" s="620">
        <f>+VLOOKUP(B365,'Salary sheet'!$B$6:$AT$1292,45,0)</f>
        <v>10015574</v>
      </c>
      <c r="F365" s="1029" t="s">
        <v>5723</v>
      </c>
      <c r="G365" s="824" t="str">
        <f>+VLOOKUP(B365,'Salary sheet'!$B$6:$E$2281,4,0)</f>
        <v>FACTORY B</v>
      </c>
      <c r="H365" s="607" t="str">
        <f>+VLOOKUP(B365,'Salary sheet'!$B$6:$AZ$1386,50,0)</f>
        <v>SK1 Box</v>
      </c>
      <c r="I365" s="607" t="str">
        <f t="shared" si="12"/>
        <v>C14433PHAN THANH TAI050133092762</v>
      </c>
      <c r="J365" s="853" t="str">
        <f>+VLOOKUP(B365,'[5]04 2025'!$B$2:$F$1371,5,0)</f>
        <v>C14433PHAN THANH TAI050133092762</v>
      </c>
      <c r="K365" s="607">
        <f t="shared" si="22"/>
        <v>1</v>
      </c>
      <c r="P365" s="685"/>
    </row>
    <row r="366" spans="1:16" s="607" customFormat="1" ht="18" customHeight="1">
      <c r="A366" s="826">
        <f>SUBTOTAL(3,B$6:B366)</f>
        <v>361</v>
      </c>
      <c r="B366" s="824" t="s">
        <v>1535</v>
      </c>
      <c r="C366" s="824" t="str">
        <f>+VLOOKUP(B366,'Salary sheet'!$B$6:$AX$1386,48,0)</f>
        <v>PHAN THANH TUNG</v>
      </c>
      <c r="D366" s="824" t="str">
        <f>+VLOOKUP(B366,'Salary sheet'!$B$6:$BW$1386,49,0)</f>
        <v>050091458168</v>
      </c>
      <c r="E366" s="620">
        <f>+VLOOKUP(B366,'Salary sheet'!$B$6:$AT$1292,45,0)</f>
        <v>10306418</v>
      </c>
      <c r="F366" s="1029" t="s">
        <v>5723</v>
      </c>
      <c r="G366" s="824" t="str">
        <f>+VLOOKUP(B366,'Salary sheet'!$B$6:$E$2281,4,0)</f>
        <v>FACTORY B</v>
      </c>
      <c r="H366" s="607" t="str">
        <f>+VLOOKUP(B366,'Salary sheet'!$B$6:$AZ$1386,50,0)</f>
        <v>SK1 Box</v>
      </c>
      <c r="I366" s="607" t="str">
        <f t="shared" si="12"/>
        <v>C15215PHAN THANH TUNG050091458168</v>
      </c>
      <c r="J366" s="853" t="str">
        <f>+VLOOKUP(B366,'[5]04 2025'!$B$2:$F$1371,5,0)</f>
        <v>C15215PHAN THANH TUNG050091458168</v>
      </c>
      <c r="K366" s="607">
        <f t="shared" si="22"/>
        <v>1</v>
      </c>
      <c r="P366" s="685"/>
    </row>
    <row r="367" spans="1:16" s="607" customFormat="1" ht="18" customHeight="1">
      <c r="A367" s="826">
        <f>SUBTOTAL(3,B$6:B367)</f>
        <v>362</v>
      </c>
      <c r="B367" s="824" t="s">
        <v>1537</v>
      </c>
      <c r="C367" s="824" t="str">
        <f>+VLOOKUP(B367,'Salary sheet'!$B$6:$AX$1386,48,0)</f>
        <v>LE BINH DONG</v>
      </c>
      <c r="D367" s="824" t="str">
        <f>+VLOOKUP(B367,'Salary sheet'!$B$6:$BW$1386,49,0)</f>
        <v>050151296154</v>
      </c>
      <c r="E367" s="620">
        <f>+VLOOKUP(B367,'Salary sheet'!$B$6:$AT$1292,45,0)</f>
        <v>8310924</v>
      </c>
      <c r="F367" s="1029" t="s">
        <v>5723</v>
      </c>
      <c r="G367" s="824" t="str">
        <f>+VLOOKUP(B367,'Salary sheet'!$B$6:$E$2281,4,0)</f>
        <v>FACTORY B</v>
      </c>
      <c r="H367" s="607" t="str">
        <f>+VLOOKUP(B367,'Salary sheet'!$B$6:$AZ$1386,50,0)</f>
        <v>SK1 Box</v>
      </c>
      <c r="I367" s="607" t="str">
        <f t="shared" si="12"/>
        <v>C15705LE BINH DONG050151296154</v>
      </c>
      <c r="J367" s="853" t="str">
        <f>+VLOOKUP(B367,'[5]04 2025'!$B$2:$F$1371,5,0)</f>
        <v>C15705LE BINH DONG050151296154</v>
      </c>
      <c r="K367" s="607">
        <f t="shared" si="22"/>
        <v>1</v>
      </c>
      <c r="P367" s="685"/>
    </row>
    <row r="368" spans="1:16" s="607" customFormat="1" ht="18" customHeight="1">
      <c r="A368" s="826">
        <f>SUBTOTAL(3,B$6:B368)</f>
        <v>363</v>
      </c>
      <c r="B368" s="824" t="s">
        <v>1539</v>
      </c>
      <c r="C368" s="824" t="str">
        <f>+VLOOKUP(B368,'Salary sheet'!$B$6:$AX$1386,48,0)</f>
        <v>DO NHAT MINH</v>
      </c>
      <c r="D368" s="824" t="str">
        <f>+VLOOKUP(B368,'Salary sheet'!$B$6:$BW$1386,49,0)</f>
        <v>050127714611</v>
      </c>
      <c r="E368" s="620">
        <f>+VLOOKUP(B368,'Salary sheet'!$B$6:$AT$1292,45,0)</f>
        <v>9442866</v>
      </c>
      <c r="F368" s="1029" t="s">
        <v>5723</v>
      </c>
      <c r="G368" s="824" t="str">
        <f>+VLOOKUP(B368,'Salary sheet'!$B$6:$E$2281,4,0)</f>
        <v>FACTORY B</v>
      </c>
      <c r="H368" s="607" t="str">
        <f>+VLOOKUP(B368,'Salary sheet'!$B$6:$AZ$1386,50,0)</f>
        <v>SK1 Box</v>
      </c>
      <c r="I368" s="607" t="str">
        <f t="shared" si="12"/>
        <v>C15750DO NHAT MINH050127714611</v>
      </c>
      <c r="J368" s="853" t="str">
        <f>+VLOOKUP(B368,'[5]04 2025'!$B$2:$F$1371,5,0)</f>
        <v>C15750DO NHAT MINH050127714611</v>
      </c>
      <c r="K368" s="607">
        <f t="shared" si="22"/>
        <v>1</v>
      </c>
      <c r="P368" s="685"/>
    </row>
    <row r="369" spans="1:16" s="607" customFormat="1" ht="18" customHeight="1">
      <c r="A369" s="826">
        <f>SUBTOTAL(3,B$6:B369)</f>
        <v>364</v>
      </c>
      <c r="B369" s="824" t="s">
        <v>1541</v>
      </c>
      <c r="C369" s="824" t="str">
        <f>+VLOOKUP(B369,'Salary sheet'!$B$6:$AX$1386,48,0)</f>
        <v>PHAN VAN TUAN</v>
      </c>
      <c r="D369" s="824" t="str">
        <f>+VLOOKUP(B369,'Salary sheet'!$B$6:$BW$1386,49,0)</f>
        <v>050118111701</v>
      </c>
      <c r="E369" s="620">
        <f>+VLOOKUP(B369,'Salary sheet'!$B$6:$AT$1292,45,0)</f>
        <v>8356137</v>
      </c>
      <c r="F369" s="1029" t="s">
        <v>5723</v>
      </c>
      <c r="G369" s="824" t="str">
        <f>+VLOOKUP(B369,'Salary sheet'!$B$6:$E$2281,4,0)</f>
        <v>FACTORY B</v>
      </c>
      <c r="H369" s="607" t="str">
        <f>+VLOOKUP(B369,'Salary sheet'!$B$6:$AZ$1386,50,0)</f>
        <v>SK1 Box</v>
      </c>
      <c r="I369" s="607" t="str">
        <f t="shared" si="12"/>
        <v>C16495PHAN VAN TUAN050118111701</v>
      </c>
      <c r="J369" s="853" t="str">
        <f>+VLOOKUP(B369,'[5]04 2025'!$B$2:$F$1371,5,0)</f>
        <v>C16495PHAN VAN TUAN050118111701</v>
      </c>
      <c r="K369" s="607">
        <f t="shared" si="22"/>
        <v>1</v>
      </c>
      <c r="P369" s="685"/>
    </row>
    <row r="370" spans="1:16" s="607" customFormat="1" ht="18" customHeight="1">
      <c r="A370" s="826">
        <f>SUBTOTAL(3,B$6:B370)</f>
        <v>365</v>
      </c>
      <c r="B370" s="824" t="s">
        <v>1543</v>
      </c>
      <c r="C370" s="824" t="str">
        <f>+VLOOKUP(B370,'Salary sheet'!$B$6:$AX$1386,48,0)</f>
        <v>HOANG VAN CHANH</v>
      </c>
      <c r="D370" s="824" t="str">
        <f>+VLOOKUP(B370,'Salary sheet'!$B$6:$BW$1386,49,0)</f>
        <v>050133508985</v>
      </c>
      <c r="E370" s="620">
        <f>+VLOOKUP(B370,'Salary sheet'!$B$6:$AT$1292,45,0)</f>
        <v>7664030</v>
      </c>
      <c r="F370" s="1029" t="s">
        <v>5723</v>
      </c>
      <c r="G370" s="824" t="str">
        <f>+VLOOKUP(B370,'Salary sheet'!$B$6:$E$2281,4,0)</f>
        <v>FACTORY B</v>
      </c>
      <c r="H370" s="607" t="str">
        <f>+VLOOKUP(B370,'Salary sheet'!$B$6:$AZ$1386,50,0)</f>
        <v>SK1 Box</v>
      </c>
      <c r="I370" s="607" t="str">
        <f t="shared" si="12"/>
        <v>C16546HOANG VAN CHANH050133508985</v>
      </c>
      <c r="J370" s="853" t="str">
        <f>+VLOOKUP(B370,'[5]04 2025'!$B$2:$F$1371,5,0)</f>
        <v>C16546HOANG VAN CHANH050133508985</v>
      </c>
      <c r="K370" s="607">
        <f t="shared" si="22"/>
        <v>1</v>
      </c>
      <c r="P370" s="685"/>
    </row>
    <row r="371" spans="1:16" s="607" customFormat="1" ht="18" customHeight="1">
      <c r="A371" s="826">
        <f>SUBTOTAL(3,B$6:B371)</f>
        <v>366</v>
      </c>
      <c r="B371" s="824" t="s">
        <v>5746</v>
      </c>
      <c r="C371" s="824" t="str">
        <f>+VLOOKUP(B371,'Salary sheet'!$B$6:$AX$1386,48,0)</f>
        <v>TRAN VAN TOAN</v>
      </c>
      <c r="D371" s="824" t="str">
        <f>+VLOOKUP(B371,'Salary sheet'!$B$6:$BW$1386,49,0)</f>
        <v>057914041977</v>
      </c>
      <c r="E371" s="620">
        <f>+VLOOKUP(B371,'Salary sheet'!$B$6:$AT$1292,45,0)</f>
        <v>6170362</v>
      </c>
      <c r="F371" s="1029" t="s">
        <v>5723</v>
      </c>
      <c r="G371" s="824" t="str">
        <f>+VLOOKUP(B371,'Salary sheet'!$B$6:$E$2281,4,0)</f>
        <v>FACTORY B</v>
      </c>
      <c r="H371" s="607" t="str">
        <f>+VLOOKUP(B371,'Salary sheet'!$B$6:$AZ$1386,50,0)</f>
        <v>SK1 Box</v>
      </c>
      <c r="I371" s="607" t="str">
        <f t="shared" si="12"/>
        <v>C16578TRAN VAN TOAN057914041977</v>
      </c>
      <c r="J371" s="853" t="str">
        <f>+VLOOKUP(B371,'[5]04 2025'!$B$2:$F$1371,5,0)</f>
        <v>C16578TRAN VAN TOAN057914041977</v>
      </c>
      <c r="K371" s="607">
        <f t="shared" si="22"/>
        <v>1</v>
      </c>
      <c r="P371" s="685"/>
    </row>
    <row r="372" spans="1:16" s="607" customFormat="1" ht="18" customHeight="1">
      <c r="A372" s="826">
        <f>SUBTOTAL(3,B$6:B372)</f>
        <v>367</v>
      </c>
      <c r="B372" s="824" t="s">
        <v>1545</v>
      </c>
      <c r="C372" s="824" t="str">
        <f>+VLOOKUP(B372,'Salary sheet'!$B$6:$AX$1386,48,0)</f>
        <v>NGUYEN VAN TIEN</v>
      </c>
      <c r="D372" s="824" t="str">
        <f>+VLOOKUP(B372,'Salary sheet'!$B$6:$BW$1386,49,0)</f>
        <v>050040934321</v>
      </c>
      <c r="E372" s="620">
        <f>+VLOOKUP(B372,'Salary sheet'!$B$6:$AT$1292,45,0)</f>
        <v>10217461</v>
      </c>
      <c r="F372" s="1029" t="s">
        <v>5723</v>
      </c>
      <c r="G372" s="824" t="str">
        <f>+VLOOKUP(B372,'Salary sheet'!$B$6:$E$2281,4,0)</f>
        <v>FACTORY B</v>
      </c>
      <c r="H372" s="607" t="str">
        <f>+VLOOKUP(B372,'Salary sheet'!$B$6:$AZ$1386,50,0)</f>
        <v>SK1 Box</v>
      </c>
      <c r="I372" s="607" t="str">
        <f t="shared" si="12"/>
        <v>C2236NGUYEN VAN TIEN050040934321</v>
      </c>
      <c r="J372" s="853" t="str">
        <f>+VLOOKUP(B372,'[5]04 2025'!$B$2:$F$1371,5,0)</f>
        <v>C2236NGUYEN VAN TIEN050040934321</v>
      </c>
      <c r="K372" s="607">
        <f t="shared" si="22"/>
        <v>1</v>
      </c>
      <c r="P372" s="685"/>
    </row>
    <row r="373" spans="1:16" s="607" customFormat="1" ht="18" customHeight="1">
      <c r="A373" s="826">
        <f>SUBTOTAL(3,B$6:B373)</f>
        <v>368</v>
      </c>
      <c r="B373" s="824" t="s">
        <v>1547</v>
      </c>
      <c r="C373" s="824" t="str">
        <f>+VLOOKUP(B373,'Salary sheet'!$B$6:$AX$1386,48,0)</f>
        <v>LE VAN DIEM</v>
      </c>
      <c r="D373" s="824" t="str">
        <f>+VLOOKUP(B373,'Salary sheet'!$B$6:$BW$1386,49,0)</f>
        <v>050075311904</v>
      </c>
      <c r="E373" s="620">
        <f>+VLOOKUP(B373,'Salary sheet'!$B$6:$AT$1292,45,0)</f>
        <v>9599180</v>
      </c>
      <c r="F373" s="1029" t="s">
        <v>5723</v>
      </c>
      <c r="G373" s="824" t="str">
        <f>+VLOOKUP(B373,'Salary sheet'!$B$6:$E$2281,4,0)</f>
        <v>FACTORY B</v>
      </c>
      <c r="H373" s="607" t="str">
        <f>+VLOOKUP(B373,'Salary sheet'!$B$6:$AZ$1386,50,0)</f>
        <v>SK1 Box</v>
      </c>
      <c r="I373" s="607" t="str">
        <f t="shared" si="12"/>
        <v>C6794LE VAN DIEM050075311904</v>
      </c>
      <c r="J373" s="853" t="str">
        <f>+VLOOKUP(B373,'[5]04 2025'!$B$2:$F$1371,5,0)</f>
        <v>C6794LE VAN DIEM050075311904</v>
      </c>
      <c r="K373" s="607">
        <f t="shared" si="22"/>
        <v>1</v>
      </c>
      <c r="P373" s="685"/>
    </row>
    <row r="374" spans="1:16" s="607" customFormat="1" ht="18" customHeight="1">
      <c r="A374" s="826">
        <f>SUBTOTAL(3,B$6:B374)</f>
        <v>369</v>
      </c>
      <c r="B374" s="824" t="s">
        <v>1549</v>
      </c>
      <c r="C374" s="824" t="str">
        <f>+VLOOKUP(B374,'Salary sheet'!$B$6:$AX$1386,48,0)</f>
        <v>NGUYEN ANH TAI</v>
      </c>
      <c r="D374" s="824" t="str">
        <f>+VLOOKUP(B374,'Salary sheet'!$B$6:$BW$1386,49,0)</f>
        <v>050055721871</v>
      </c>
      <c r="E374" s="620">
        <f>+VLOOKUP(B374,'Salary sheet'!$B$6:$AT$1292,45,0)</f>
        <v>11585000</v>
      </c>
      <c r="F374" s="1029" t="s">
        <v>5723</v>
      </c>
      <c r="G374" s="824" t="str">
        <f>+VLOOKUP(B374,'Salary sheet'!$B$6:$E$2281,4,0)</f>
        <v>FACTORY B</v>
      </c>
      <c r="H374" s="607" t="str">
        <f>+VLOOKUP(B374,'Salary sheet'!$B$6:$AZ$1386,50,0)</f>
        <v>SK1 Bag</v>
      </c>
      <c r="I374" s="607" t="str">
        <f t="shared" si="12"/>
        <v>C13990NGUYEN ANH TAI050055721871</v>
      </c>
      <c r="J374" s="853" t="str">
        <f>+VLOOKUP(B374,'[5]04 2025'!$B$2:$F$1371,5,0)</f>
        <v>C13990NGUYEN ANH TAI050055721871</v>
      </c>
      <c r="K374" s="607">
        <f t="shared" si="22"/>
        <v>1</v>
      </c>
      <c r="P374" s="685"/>
    </row>
    <row r="375" spans="1:16" s="607" customFormat="1" ht="18" customHeight="1">
      <c r="A375" s="826">
        <f>SUBTOTAL(3,B$6:B375)</f>
        <v>370</v>
      </c>
      <c r="B375" s="824" t="s">
        <v>1552</v>
      </c>
      <c r="C375" s="824" t="str">
        <f>+VLOOKUP(B375,'Salary sheet'!$B$6:$AX$1386,48,0)</f>
        <v>PHAM MINH TRI</v>
      </c>
      <c r="D375" s="824" t="str">
        <f>+VLOOKUP(B375,'Salary sheet'!$B$6:$BW$1386,49,0)</f>
        <v>050124616351</v>
      </c>
      <c r="E375" s="620">
        <f>+VLOOKUP(B375,'Salary sheet'!$B$6:$AT$1292,45,0)</f>
        <v>6821780</v>
      </c>
      <c r="F375" s="1029" t="s">
        <v>5723</v>
      </c>
      <c r="G375" s="824" t="str">
        <f>+VLOOKUP(B375,'Salary sheet'!$B$6:$E$2281,4,0)</f>
        <v>FACTORY B</v>
      </c>
      <c r="H375" s="607" t="str">
        <f>+VLOOKUP(B375,'Salary sheet'!$B$6:$AZ$1386,50,0)</f>
        <v>SK1 Box</v>
      </c>
      <c r="I375" s="607" t="str">
        <f t="shared" si="12"/>
        <v>C13113PHAM MINH TRI050124616351</v>
      </c>
      <c r="J375" s="853" t="str">
        <f>+VLOOKUP(B375,'[5]04 2025'!$B$2:$F$1371,5,0)</f>
        <v>C13113PHAM MINH TRI050124616351</v>
      </c>
      <c r="K375" s="607">
        <f t="shared" si="22"/>
        <v>1</v>
      </c>
      <c r="P375" s="685"/>
    </row>
    <row r="376" spans="1:16" s="607" customFormat="1" ht="18" customHeight="1">
      <c r="A376" s="826">
        <f>SUBTOTAL(3,B$6:B376)</f>
        <v>371</v>
      </c>
      <c r="B376" s="824" t="s">
        <v>1555</v>
      </c>
      <c r="C376" s="824" t="str">
        <f>+VLOOKUP(B376,'Salary sheet'!$B$6:$AX$1386,48,0)</f>
        <v>NGUYEN VAN HIEU</v>
      </c>
      <c r="D376" s="824" t="str">
        <f>+VLOOKUP(B376,'Salary sheet'!$B$6:$BW$1386,49,0)</f>
        <v>050143874351</v>
      </c>
      <c r="E376" s="620">
        <f>+VLOOKUP(B376,'Salary sheet'!$B$6:$AT$1292,45,0)</f>
        <v>13392434</v>
      </c>
      <c r="F376" s="1029" t="s">
        <v>5723</v>
      </c>
      <c r="G376" s="824" t="str">
        <f>+VLOOKUP(B376,'Salary sheet'!$B$6:$E$2281,4,0)</f>
        <v>FACTORY B</v>
      </c>
      <c r="H376" s="607" t="str">
        <f>+VLOOKUP(B376,'Salary sheet'!$B$6:$AZ$1386,50,0)</f>
        <v>SK1 Box</v>
      </c>
      <c r="I376" s="607" t="str">
        <f t="shared" si="12"/>
        <v>C15409NGUYEN VAN HIEU050143874351</v>
      </c>
      <c r="J376" s="853" t="str">
        <f>+VLOOKUP(B376,'[5]04 2025'!$B$2:$F$1371,5,0)</f>
        <v>C15409NGUYEN VAN HIEU050143874351</v>
      </c>
      <c r="K376" s="607">
        <f t="shared" si="22"/>
        <v>1</v>
      </c>
      <c r="P376" s="685"/>
    </row>
    <row r="377" spans="1:16" s="607" customFormat="1" ht="18" customHeight="1">
      <c r="A377" s="826">
        <f>SUBTOTAL(3,B$6:B377)</f>
        <v>372</v>
      </c>
      <c r="B377" s="824" t="s">
        <v>1558</v>
      </c>
      <c r="C377" s="824" t="str">
        <f>+VLOOKUP(B377,'Salary sheet'!$B$6:$AX$1386,48,0)</f>
        <v>LUU THANH MINH</v>
      </c>
      <c r="D377" s="824" t="str">
        <f>+VLOOKUP(B377,'Salary sheet'!$B$6:$BW$1386,49,0)</f>
        <v>050057039741</v>
      </c>
      <c r="E377" s="620">
        <f>+VLOOKUP(B377,'Salary sheet'!$B$6:$AT$1292,45,0)</f>
        <v>8871420</v>
      </c>
      <c r="F377" s="1029" t="s">
        <v>5723</v>
      </c>
      <c r="G377" s="824" t="str">
        <f>+VLOOKUP(B377,'Salary sheet'!$B$6:$E$2281,4,0)</f>
        <v>FACTORY B</v>
      </c>
      <c r="H377" s="607" t="str">
        <f>+VLOOKUP(B377,'Salary sheet'!$B$6:$AZ$1386,50,0)</f>
        <v>SK1 Box</v>
      </c>
      <c r="I377" s="607" t="str">
        <f t="shared" si="12"/>
        <v>C15987LUU THANH MINH050057039741</v>
      </c>
      <c r="J377" s="853" t="str">
        <f>+VLOOKUP(B377,'[5]04 2025'!$B$2:$F$1371,5,0)</f>
        <v>C15987LUU THANH MINH050057039741</v>
      </c>
      <c r="K377" s="607">
        <f t="shared" si="22"/>
        <v>1</v>
      </c>
      <c r="P377" s="685"/>
    </row>
    <row r="378" spans="1:16" s="607" customFormat="1" ht="18" customHeight="1">
      <c r="A378" s="826">
        <f>SUBTOTAL(3,B$6:B378)</f>
        <v>373</v>
      </c>
      <c r="B378" s="824" t="s">
        <v>1561</v>
      </c>
      <c r="C378" s="824" t="str">
        <f>+VLOOKUP(B378,'Salary sheet'!$B$6:$AX$1386,48,0)</f>
        <v>NGUYEN THI THANH MY</v>
      </c>
      <c r="D378" s="824" t="str">
        <f>+VLOOKUP(B378,'Salary sheet'!$B$6:$BW$1386,49,0)</f>
        <v>050040823201</v>
      </c>
      <c r="E378" s="620">
        <f>+VLOOKUP(B378,'Salary sheet'!$B$6:$AT$1292,45,0)</f>
        <v>11805776</v>
      </c>
      <c r="F378" s="1029" t="s">
        <v>5723</v>
      </c>
      <c r="G378" s="824" t="str">
        <f>+VLOOKUP(B378,'Salary sheet'!$B$6:$E$2281,4,0)</f>
        <v>FACTORY B</v>
      </c>
      <c r="H378" s="607" t="str">
        <f>+VLOOKUP(B378,'Salary sheet'!$B$6:$AZ$1386,50,0)</f>
        <v>SK1 Bag</v>
      </c>
      <c r="I378" s="607" t="str">
        <f t="shared" si="12"/>
        <v>C1306NGUYEN THI THANH MY050040823201</v>
      </c>
      <c r="J378" s="853" t="str">
        <f>+VLOOKUP(B378,'[5]04 2025'!$B$2:$F$1371,5,0)</f>
        <v>C1306NGUYEN THI THANH MY050040823201</v>
      </c>
      <c r="K378" s="607">
        <f t="shared" si="22"/>
        <v>1</v>
      </c>
      <c r="P378" s="685"/>
    </row>
    <row r="379" spans="1:16" s="607" customFormat="1" ht="18" customHeight="1">
      <c r="A379" s="826">
        <f>SUBTOTAL(3,B$6:B379)</f>
        <v>374</v>
      </c>
      <c r="B379" s="824" t="s">
        <v>401</v>
      </c>
      <c r="C379" s="824" t="str">
        <f>+VLOOKUP(B379,'Salary sheet'!$B$6:$AX$1386,48,0)</f>
        <v>TRAN VAN HOAI</v>
      </c>
      <c r="D379" s="824" t="str">
        <f>+VLOOKUP(B379,'Salary sheet'!$B$6:$BW$1386,49,0)</f>
        <v>050040818690</v>
      </c>
      <c r="E379" s="620">
        <f>+VLOOKUP(B379,'Salary sheet'!$B$6:$AT$1292,45,0)</f>
        <v>31761766</v>
      </c>
      <c r="F379" s="1029" t="s">
        <v>5723</v>
      </c>
      <c r="G379" s="824" t="str">
        <f>+VLOOKUP(B379,'Salary sheet'!$B$6:$E$2281,4,0)</f>
        <v>FACTORY B</v>
      </c>
      <c r="H379" s="607" t="str">
        <f>+VLOOKUP(B379,'Salary sheet'!$B$6:$AZ$1386,50,0)</f>
        <v>SK1 Box</v>
      </c>
      <c r="I379" s="607" t="str">
        <f t="shared" si="12"/>
        <v>C14623TRAN VAN HOAI050040818690</v>
      </c>
      <c r="J379" s="853" t="str">
        <f>+VLOOKUP(B379,'[5]04 2025'!$B$2:$F$1371,5,0)</f>
        <v>C14623TRAN VAN HOAI050040818690</v>
      </c>
      <c r="K379" s="607">
        <f t="shared" si="22"/>
        <v>1</v>
      </c>
      <c r="P379" s="685"/>
    </row>
    <row r="380" spans="1:16" s="607" customFormat="1" ht="18" customHeight="1">
      <c r="A380" s="826">
        <f>SUBTOTAL(3,B$6:B380)</f>
        <v>375</v>
      </c>
      <c r="B380" s="824" t="s">
        <v>1565</v>
      </c>
      <c r="C380" s="824" t="str">
        <f>+VLOOKUP(B380,'Salary sheet'!$B$6:$AX$1386,48,0)</f>
        <v>BUI THI YEN THU</v>
      </c>
      <c r="D380" s="824" t="str">
        <f>+VLOOKUP(B380,'Salary sheet'!$B$6:$BW$1386,49,0)</f>
        <v>050066285429</v>
      </c>
      <c r="E380" s="620">
        <f>+VLOOKUP(B380,'Salary sheet'!$B$6:$AT$1292,45,0)</f>
        <v>8330524</v>
      </c>
      <c r="F380" s="1029" t="s">
        <v>5723</v>
      </c>
      <c r="G380" s="824" t="str">
        <f>+VLOOKUP(B380,'Salary sheet'!$B$6:$E$2281,4,0)</f>
        <v>FACTORY B</v>
      </c>
      <c r="H380" s="607" t="str">
        <f>+VLOOKUP(B380,'Salary sheet'!$B$6:$AZ$1386,50,0)</f>
        <v>SK1 Bag</v>
      </c>
      <c r="I380" s="607" t="str">
        <f t="shared" si="12"/>
        <v>C14762BUI THI YEN THU050066285429</v>
      </c>
      <c r="J380" s="853" t="str">
        <f>+VLOOKUP(B380,'[5]04 2025'!$B$2:$F$1371,5,0)</f>
        <v>C14762BUI THI YEN THU050066285429</v>
      </c>
      <c r="K380" s="607">
        <f t="shared" si="22"/>
        <v>1</v>
      </c>
      <c r="P380" s="685"/>
    </row>
    <row r="381" spans="1:16" s="607" customFormat="1" ht="18" customHeight="1">
      <c r="A381" s="826">
        <f>SUBTOTAL(3,B$6:B381)</f>
        <v>376</v>
      </c>
      <c r="B381" s="824" t="s">
        <v>57</v>
      </c>
      <c r="C381" s="824" t="str">
        <f>+VLOOKUP(B381,'Salary sheet'!$B$6:$AX$1386,48,0)</f>
        <v>LE VAN KHOE</v>
      </c>
      <c r="D381" s="824" t="str">
        <f>+VLOOKUP(B381,'Salary sheet'!$B$6:$BW$1386,49,0)</f>
        <v>050040934399</v>
      </c>
      <c r="E381" s="620">
        <f>+VLOOKUP(B381,'Salary sheet'!$B$6:$AT$1292,45,0)</f>
        <v>21727510</v>
      </c>
      <c r="F381" s="1029" t="s">
        <v>5723</v>
      </c>
      <c r="G381" s="824" t="str">
        <f>+VLOOKUP(B381,'Salary sheet'!$B$6:$E$2281,4,0)</f>
        <v>FACTORY B</v>
      </c>
      <c r="H381" s="607" t="str">
        <f>+VLOOKUP(B381,'Salary sheet'!$B$6:$AZ$1386,50,0)</f>
        <v>SK1 Box</v>
      </c>
      <c r="I381" s="607" t="str">
        <f t="shared" si="12"/>
        <v>C3465LE VAN KHOE050040934399</v>
      </c>
      <c r="J381" s="853" t="str">
        <f>+VLOOKUP(B381,'[5]04 2025'!$B$2:$F$1371,5,0)</f>
        <v>C3465LE VAN KHOE050040934399</v>
      </c>
      <c r="K381" s="607">
        <f t="shared" si="22"/>
        <v>1</v>
      </c>
      <c r="P381" s="685"/>
    </row>
    <row r="382" spans="1:16" s="607" customFormat="1" ht="18" customHeight="1">
      <c r="A382" s="826">
        <f>SUBTOTAL(3,B$6:B382)</f>
        <v>377</v>
      </c>
      <c r="B382" s="824" t="s">
        <v>1567</v>
      </c>
      <c r="C382" s="824" t="str">
        <f>+VLOOKUP(B382,'Salary sheet'!$B$6:$AX$1386,48,0)</f>
        <v>DAM THI THUY</v>
      </c>
      <c r="D382" s="824" t="str">
        <f>+VLOOKUP(B382,'Salary sheet'!$B$6:$BW$1386,49,0)</f>
        <v>050040820369</v>
      </c>
      <c r="E382" s="620">
        <f>+VLOOKUP(B382,'Salary sheet'!$B$6:$AT$1292,45,0)</f>
        <v>20805190</v>
      </c>
      <c r="F382" s="1029" t="s">
        <v>5723</v>
      </c>
      <c r="G382" s="824" t="str">
        <f>+VLOOKUP(B382,'Salary sheet'!$B$6:$E$2281,4,0)</f>
        <v>FACTORY B</v>
      </c>
      <c r="H382" s="607" t="str">
        <f>+VLOOKUP(B382,'Salary sheet'!$B$6:$AZ$1386,50,0)</f>
        <v>SK1 Bag</v>
      </c>
      <c r="I382" s="607" t="str">
        <f t="shared" si="12"/>
        <v>C4110DAM THI THUY050040820369</v>
      </c>
      <c r="J382" s="853" t="str">
        <f>+VLOOKUP(B382,'[5]04 2025'!$B$2:$F$1371,5,0)</f>
        <v>C4110DAM THI THUY050040820369</v>
      </c>
      <c r="K382" s="607">
        <f t="shared" si="22"/>
        <v>1</v>
      </c>
      <c r="P382" s="685"/>
    </row>
    <row r="383" spans="1:16" s="607" customFormat="1" ht="18" customHeight="1">
      <c r="A383" s="826">
        <f>SUBTOTAL(3,B$6:B383)</f>
        <v>378</v>
      </c>
      <c r="B383" s="824" t="s">
        <v>1569</v>
      </c>
      <c r="C383" s="824" t="str">
        <f>+VLOOKUP(B383,'Salary sheet'!$B$6:$AX$1386,48,0)</f>
        <v>VAN THI VU THUONG</v>
      </c>
      <c r="D383" s="824" t="str">
        <f>+VLOOKUP(B383,'Salary sheet'!$B$6:$BW$1386,49,0)</f>
        <v>050040823015</v>
      </c>
      <c r="E383" s="620">
        <f>+VLOOKUP(B383,'Salary sheet'!$B$6:$AT$1292,45,0)</f>
        <v>9298272</v>
      </c>
      <c r="F383" s="1029" t="s">
        <v>5723</v>
      </c>
      <c r="G383" s="824" t="str">
        <f>+VLOOKUP(B383,'Salary sheet'!$B$6:$E$2281,4,0)</f>
        <v>FACTORY B</v>
      </c>
      <c r="H383" s="607" t="str">
        <f>+VLOOKUP(B383,'Salary sheet'!$B$6:$AZ$1386,50,0)</f>
        <v>SK1 Bag</v>
      </c>
      <c r="I383" s="607" t="str">
        <f t="shared" si="12"/>
        <v>C15710VAN THI VU THUONG050040823015</v>
      </c>
      <c r="J383" s="853" t="str">
        <f>+VLOOKUP(B383,'[5]04 2025'!$B$2:$F$1371,5,0)</f>
        <v>C15710VAN THI VU THUONG050040823015</v>
      </c>
      <c r="K383" s="607">
        <f t="shared" si="22"/>
        <v>1</v>
      </c>
      <c r="P383" s="685"/>
    </row>
    <row r="384" spans="1:16" s="607" customFormat="1" ht="18" customHeight="1">
      <c r="A384" s="826">
        <f>SUBTOTAL(3,B$6:B384)</f>
        <v>379</v>
      </c>
      <c r="B384" s="824" t="s">
        <v>1572</v>
      </c>
      <c r="C384" s="824" t="str">
        <f>+VLOOKUP(B384,'Salary sheet'!$B$6:$AX$1386,48,0)</f>
        <v>LE THI CAM NHUNG</v>
      </c>
      <c r="D384" s="824" t="str">
        <f>+VLOOKUP(B384,'Salary sheet'!$B$6:$BW$1386,49,0)</f>
        <v>050153430923</v>
      </c>
      <c r="E384" s="620">
        <f>+VLOOKUP(B384,'Salary sheet'!$B$6:$AT$1292,45,0)</f>
        <v>8663961</v>
      </c>
      <c r="F384" s="1029" t="s">
        <v>5723</v>
      </c>
      <c r="G384" s="824" t="str">
        <f>+VLOOKUP(B384,'Salary sheet'!$B$6:$E$2281,4,0)</f>
        <v>FACTORY B</v>
      </c>
      <c r="H384" s="607" t="str">
        <f>+VLOOKUP(B384,'Salary sheet'!$B$6:$AZ$1386,50,0)</f>
        <v>SK1 Box</v>
      </c>
      <c r="I384" s="607" t="str">
        <f t="shared" si="12"/>
        <v>C15937LE THI CAM NHUNG050153430923</v>
      </c>
      <c r="J384" s="853" t="str">
        <f>+VLOOKUP(B384,'[5]04 2025'!$B$2:$F$1371,5,0)</f>
        <v>C15937LE THI CAM NHUNG050153430923</v>
      </c>
      <c r="K384" s="607">
        <f t="shared" si="22"/>
        <v>1</v>
      </c>
      <c r="P384" s="685"/>
    </row>
    <row r="385" spans="1:16" s="607" customFormat="1" ht="18" customHeight="1">
      <c r="A385" s="826">
        <f>SUBTOTAL(3,B$6:B385)</f>
        <v>380</v>
      </c>
      <c r="B385" s="824" t="s">
        <v>1574</v>
      </c>
      <c r="C385" s="824" t="str">
        <f>+VLOOKUP(B385,'Salary sheet'!$B$6:$AX$1386,48,0)</f>
        <v>HUYNH THI THU HUONG</v>
      </c>
      <c r="D385" s="824" t="str">
        <f>+VLOOKUP(B385,'Salary sheet'!$B$6:$BW$1386,49,0)</f>
        <v>050133547131</v>
      </c>
      <c r="E385" s="620">
        <f>+VLOOKUP(B385,'Salary sheet'!$B$6:$AT$1292,45,0)</f>
        <v>8350622</v>
      </c>
      <c r="F385" s="1029" t="s">
        <v>5723</v>
      </c>
      <c r="G385" s="824" t="str">
        <f>+VLOOKUP(B385,'Salary sheet'!$B$6:$E$2281,4,0)</f>
        <v>FACTORY B</v>
      </c>
      <c r="H385" s="607" t="str">
        <f>+VLOOKUP(B385,'Salary sheet'!$B$6:$AZ$1386,50,0)</f>
        <v>SK1 Box</v>
      </c>
      <c r="I385" s="607" t="str">
        <f t="shared" si="12"/>
        <v>C16417HUYNH THI THU HUONG050133547131</v>
      </c>
      <c r="J385" s="853" t="str">
        <f>+VLOOKUP(B385,'[5]04 2025'!$B$2:$F$1371,5,0)</f>
        <v>C16417HUYNH THI THU HUONG050133547131</v>
      </c>
      <c r="K385" s="607">
        <f t="shared" si="22"/>
        <v>1</v>
      </c>
      <c r="P385" s="685"/>
    </row>
    <row r="386" spans="1:16" s="607" customFormat="1" ht="18" customHeight="1">
      <c r="A386" s="826">
        <f>SUBTOTAL(3,B$6:B386)</f>
        <v>381</v>
      </c>
      <c r="B386" s="824" t="s">
        <v>1576</v>
      </c>
      <c r="C386" s="824" t="str">
        <f>+VLOOKUP(B386,'Salary sheet'!$B$6:$AX$1386,48,0)</f>
        <v>VO THI BICH NGOC</v>
      </c>
      <c r="D386" s="824" t="str">
        <f>+VLOOKUP(B386,'Salary sheet'!$B$6:$BW$1386,49,0)</f>
        <v>050118892981</v>
      </c>
      <c r="E386" s="620">
        <f>+VLOOKUP(B386,'Salary sheet'!$B$6:$AT$1292,45,0)</f>
        <v>7555867</v>
      </c>
      <c r="F386" s="1029" t="s">
        <v>5723</v>
      </c>
      <c r="G386" s="824" t="str">
        <f>+VLOOKUP(B386,'Salary sheet'!$B$6:$E$2281,4,0)</f>
        <v>FACTORY B</v>
      </c>
      <c r="H386" s="607" t="str">
        <f>+VLOOKUP(B386,'Salary sheet'!$B$6:$AZ$1386,50,0)</f>
        <v>SK1 Bag</v>
      </c>
      <c r="I386" s="607" t="str">
        <f t="shared" si="12"/>
        <v>C16447VO THI BICH NGOC050118892981</v>
      </c>
      <c r="J386" s="853" t="str">
        <f>+VLOOKUP(B386,'[5]04 2025'!$B$2:$F$1371,5,0)</f>
        <v>C16447VO THI BICH NGOC050118892981</v>
      </c>
      <c r="K386" s="607">
        <f t="shared" si="22"/>
        <v>1</v>
      </c>
      <c r="P386" s="685"/>
    </row>
    <row r="387" spans="1:16" s="607" customFormat="1" ht="18" customHeight="1">
      <c r="A387" s="826">
        <f>SUBTOTAL(3,B$6:B387)</f>
        <v>382</v>
      </c>
      <c r="B387" s="824" t="s">
        <v>1578</v>
      </c>
      <c r="C387" s="824" t="str">
        <f>+VLOOKUP(B387,'Salary sheet'!$B$6:$AX$1386,48,0)</f>
        <v>HUYNH MAU BAY</v>
      </c>
      <c r="D387" s="824" t="str">
        <f>+VLOOKUP(B387,'Salary sheet'!$B$6:$BW$1386,49,0)</f>
        <v>050040931926</v>
      </c>
      <c r="E387" s="620">
        <f>+VLOOKUP(B387,'Salary sheet'!$B$6:$AT$1292,45,0)</f>
        <v>16708578</v>
      </c>
      <c r="F387" s="1029" t="s">
        <v>5723</v>
      </c>
      <c r="G387" s="824" t="str">
        <f>+VLOOKUP(B387,'Salary sheet'!$B$6:$E$2281,4,0)</f>
        <v>FACTORY B</v>
      </c>
      <c r="H387" s="607" t="str">
        <f>+VLOOKUP(B387,'Salary sheet'!$B$6:$AZ$1386,50,0)</f>
        <v>SK1 Bag</v>
      </c>
      <c r="I387" s="607" t="str">
        <f t="shared" si="12"/>
        <v>C2079HUYNH MAU BAY050040931926</v>
      </c>
      <c r="J387" s="853" t="str">
        <f>+VLOOKUP(B387,'[5]04 2025'!$B$2:$F$1371,5,0)</f>
        <v>C2079HUYNH MAU BAY050040931926</v>
      </c>
      <c r="K387" s="607">
        <f t="shared" si="22"/>
        <v>1</v>
      </c>
      <c r="P387" s="685"/>
    </row>
    <row r="388" spans="1:16" s="607" customFormat="1" ht="18" customHeight="1">
      <c r="A388" s="826">
        <f>SUBTOTAL(3,B$6:B388)</f>
        <v>383</v>
      </c>
      <c r="B388" s="824" t="s">
        <v>1581</v>
      </c>
      <c r="C388" s="824" t="str">
        <f>+VLOOKUP(B388,'Salary sheet'!$B$6:$AX$1386,48,0)</f>
        <v>LE MONG HANG</v>
      </c>
      <c r="D388" s="824" t="str">
        <f>+VLOOKUP(B388,'Salary sheet'!$B$6:$BW$1386,49,0)</f>
        <v>050040924237</v>
      </c>
      <c r="E388" s="620">
        <f>+VLOOKUP(B388,'Salary sheet'!$B$6:$AT$1292,45,0)</f>
        <v>10233157</v>
      </c>
      <c r="F388" s="1029" t="s">
        <v>5723</v>
      </c>
      <c r="G388" s="824" t="str">
        <f>+VLOOKUP(B388,'Salary sheet'!$B$6:$E$2281,4,0)</f>
        <v>FACTORY B</v>
      </c>
      <c r="H388" s="607" t="str">
        <f>+VLOOKUP(B388,'Salary sheet'!$B$6:$AZ$1386,50,0)</f>
        <v>SK1 Box</v>
      </c>
      <c r="I388" s="607" t="str">
        <f t="shared" si="12"/>
        <v>C5204LE MONG HANG050040924237</v>
      </c>
      <c r="J388" s="853" t="str">
        <f>+VLOOKUP(B388,'[5]04 2025'!$B$2:$F$1371,5,0)</f>
        <v>C5204LE MONG HANG050040924237</v>
      </c>
      <c r="K388" s="607">
        <f t="shared" si="22"/>
        <v>1</v>
      </c>
      <c r="P388" s="685"/>
    </row>
    <row r="389" spans="1:16" s="607" customFormat="1" ht="18" customHeight="1">
      <c r="A389" s="826">
        <f>SUBTOTAL(3,B$6:B389)</f>
        <v>384</v>
      </c>
      <c r="B389" s="824" t="s">
        <v>1583</v>
      </c>
      <c r="C389" s="824" t="str">
        <f>+VLOOKUP(B389,'Salary sheet'!$B$6:$AX$1386,48,0)</f>
        <v>VU THI PHUONG</v>
      </c>
      <c r="D389" s="824" t="str">
        <f>+VLOOKUP(B389,'Salary sheet'!$B$6:$BW$1386,49,0)</f>
        <v>050040932450</v>
      </c>
      <c r="E389" s="620">
        <f>+VLOOKUP(B389,'Salary sheet'!$B$6:$AT$1292,45,0)</f>
        <v>10258353</v>
      </c>
      <c r="F389" s="1029" t="s">
        <v>5723</v>
      </c>
      <c r="G389" s="824" t="str">
        <f>+VLOOKUP(B389,'Salary sheet'!$B$6:$E$2281,4,0)</f>
        <v>FACTORY B</v>
      </c>
      <c r="H389" s="607" t="str">
        <f>+VLOOKUP(B389,'Salary sheet'!$B$6:$AZ$1386,50,0)</f>
        <v>SK1 Bag</v>
      </c>
      <c r="I389" s="607" t="str">
        <f t="shared" si="12"/>
        <v>C5531VU THI PHUONG050040932450</v>
      </c>
      <c r="J389" s="853" t="str">
        <f>+VLOOKUP(B389,'[5]04 2025'!$B$2:$F$1371,5,0)</f>
        <v>C5531VU THI PHUONG050040932450</v>
      </c>
      <c r="K389" s="607">
        <f t="shared" si="22"/>
        <v>1</v>
      </c>
      <c r="P389" s="685"/>
    </row>
    <row r="390" spans="1:16" s="607" customFormat="1" ht="18" customHeight="1">
      <c r="A390" s="826">
        <f>SUBTOTAL(3,B$6:B390)</f>
        <v>385</v>
      </c>
      <c r="B390" s="824" t="s">
        <v>1585</v>
      </c>
      <c r="C390" s="824" t="str">
        <f>+VLOOKUP(B390,'Salary sheet'!$B$6:$AX$1386,48,0)</f>
        <v>LE THI HUYNH NHU</v>
      </c>
      <c r="D390" s="824" t="str">
        <f>+VLOOKUP(B390,'Salary sheet'!$B$6:$BW$1386,49,0)</f>
        <v>050127733071</v>
      </c>
      <c r="E390" s="620">
        <f>+VLOOKUP(B390,'Salary sheet'!$B$6:$AT$1292,45,0)</f>
        <v>9798404</v>
      </c>
      <c r="F390" s="1029" t="s">
        <v>5723</v>
      </c>
      <c r="G390" s="824" t="str">
        <f>+VLOOKUP(B390,'Salary sheet'!$B$6:$E$2281,4,0)</f>
        <v>FACTORY B</v>
      </c>
      <c r="H390" s="607" t="str">
        <f>+VLOOKUP(B390,'Salary sheet'!$B$6:$AZ$1386,50,0)</f>
        <v>SK1 Bag</v>
      </c>
      <c r="I390" s="607" t="str">
        <f t="shared" si="12"/>
        <v>C13967LE THI HUYNH NHU050127733071</v>
      </c>
      <c r="J390" s="853" t="str">
        <f>+VLOOKUP(B390,'[5]04 2025'!$B$2:$F$1371,5,0)</f>
        <v>C13967LE THI HUYNH NHU050127733071</v>
      </c>
      <c r="K390" s="607">
        <f t="shared" si="22"/>
        <v>1</v>
      </c>
      <c r="P390" s="685"/>
    </row>
    <row r="391" spans="1:16" s="607" customFormat="1" ht="18" customHeight="1">
      <c r="A391" s="826">
        <f>SUBTOTAL(3,B$6:B391)</f>
        <v>386</v>
      </c>
      <c r="B391" s="824" t="s">
        <v>1587</v>
      </c>
      <c r="C391" s="824" t="str">
        <f>+VLOOKUP(B391,'Salary sheet'!$B$6:$AX$1386,48,0)</f>
        <v>NGUYEN THI NGOC LAN</v>
      </c>
      <c r="D391" s="824" t="str">
        <f>+VLOOKUP(B391,'Salary sheet'!$B$6:$BW$1386,49,0)</f>
        <v>050040931748</v>
      </c>
      <c r="E391" s="620">
        <f>+VLOOKUP(B391,'Salary sheet'!$B$6:$AT$1292,45,0)</f>
        <v>9918202</v>
      </c>
      <c r="F391" s="1029" t="s">
        <v>5723</v>
      </c>
      <c r="G391" s="824" t="str">
        <f>+VLOOKUP(B391,'Salary sheet'!$B$6:$E$2281,4,0)</f>
        <v>FACTORY B</v>
      </c>
      <c r="H391" s="607" t="str">
        <f>+VLOOKUP(B391,'Salary sheet'!$B$6:$AZ$1386,50,0)</f>
        <v>SK1 Bag</v>
      </c>
      <c r="I391" s="607" t="str">
        <f t="shared" si="12"/>
        <v>C1478NGUYEN THI NGOC LAN050040931748</v>
      </c>
      <c r="J391" s="853" t="str">
        <f>+VLOOKUP(B391,'[5]04 2025'!$B$2:$F$1371,5,0)</f>
        <v>C1478NGUYEN THI NGOC LAN050040931748</v>
      </c>
      <c r="K391" s="607">
        <f t="shared" si="22"/>
        <v>1</v>
      </c>
      <c r="P391" s="685"/>
    </row>
    <row r="392" spans="1:16" s="607" customFormat="1" ht="18" customHeight="1">
      <c r="A392" s="826">
        <f>SUBTOTAL(3,B$6:B392)</f>
        <v>387</v>
      </c>
      <c r="B392" s="824" t="s">
        <v>1590</v>
      </c>
      <c r="C392" s="824" t="str">
        <f>+VLOOKUP(B392,'Salary sheet'!$B$6:$AX$1386,48,0)</f>
        <v>NGUYEN THI THU</v>
      </c>
      <c r="D392" s="824" t="str">
        <f>+VLOOKUP(B392,'Salary sheet'!$B$6:$BW$1386,49,0)</f>
        <v>050092772011</v>
      </c>
      <c r="E392" s="620">
        <f>+VLOOKUP(B392,'Salary sheet'!$B$6:$AT$1292,45,0)</f>
        <v>9420250</v>
      </c>
      <c r="F392" s="1029" t="s">
        <v>5723</v>
      </c>
      <c r="G392" s="824" t="str">
        <f>+VLOOKUP(B392,'Salary sheet'!$B$6:$E$2281,4,0)</f>
        <v>FACTORY B</v>
      </c>
      <c r="H392" s="607" t="str">
        <f>+VLOOKUP(B392,'Salary sheet'!$B$6:$AZ$1386,50,0)</f>
        <v>SK1 Bag</v>
      </c>
      <c r="I392" s="607" t="str">
        <f t="shared" ref="I392:I500" si="23">+CONCATENATE(B392,C392,D392)</f>
        <v>C15232NGUYEN THI THU050092772011</v>
      </c>
      <c r="J392" s="853" t="str">
        <f>+VLOOKUP(B392,'[5]04 2025'!$B$2:$F$1371,5,0)</f>
        <v>C15232NGUYEN THI THU050092772011</v>
      </c>
      <c r="K392" s="607">
        <f t="shared" si="22"/>
        <v>1</v>
      </c>
      <c r="P392" s="685"/>
    </row>
    <row r="393" spans="1:16" s="607" customFormat="1" ht="18" customHeight="1">
      <c r="A393" s="826">
        <f>SUBTOTAL(3,B$6:B393)</f>
        <v>388</v>
      </c>
      <c r="B393" s="824" t="s">
        <v>1592</v>
      </c>
      <c r="C393" s="824" t="str">
        <f>+VLOOKUP(B393,'Salary sheet'!$B$6:$AX$1386,48,0)</f>
        <v>PHAN NGOC HUONG</v>
      </c>
      <c r="D393" s="824" t="str">
        <f>+VLOOKUP(B393,'Salary sheet'!$B$6:$BW$1386,49,0)</f>
        <v>050046861172</v>
      </c>
      <c r="E393" s="620">
        <f>+VLOOKUP(B393,'Salary sheet'!$B$6:$AT$1292,45,0)</f>
        <v>9072025</v>
      </c>
      <c r="F393" s="1029" t="s">
        <v>5723</v>
      </c>
      <c r="G393" s="824" t="str">
        <f>+VLOOKUP(B393,'Salary sheet'!$B$6:$E$2281,4,0)</f>
        <v>FACTORY B</v>
      </c>
      <c r="H393" s="607" t="str">
        <f>+VLOOKUP(B393,'Salary sheet'!$B$6:$AZ$1386,50,0)</f>
        <v>SK1 Bag</v>
      </c>
      <c r="I393" s="607" t="str">
        <f t="shared" si="23"/>
        <v>C15625PHAN NGOC HUONG050046861172</v>
      </c>
      <c r="J393" s="853" t="str">
        <f>+VLOOKUP(B393,'[5]04 2025'!$B$2:$F$1371,5,0)</f>
        <v>C15625PHAN NGOC HUONG050046861172</v>
      </c>
      <c r="K393" s="607">
        <f t="shared" si="22"/>
        <v>1</v>
      </c>
      <c r="P393" s="685"/>
    </row>
    <row r="394" spans="1:16" s="607" customFormat="1" ht="18" customHeight="1">
      <c r="A394" s="826">
        <f>SUBTOTAL(3,B$6:B394)</f>
        <v>389</v>
      </c>
      <c r="B394" s="824" t="s">
        <v>1594</v>
      </c>
      <c r="C394" s="824" t="str">
        <f>+VLOOKUP(B394,'Salary sheet'!$B$6:$AX$1386,48,0)</f>
        <v>THI KIM CHI</v>
      </c>
      <c r="D394" s="824" t="str">
        <f>+VLOOKUP(B394,'Salary sheet'!$B$6:$BW$1386,49,0)</f>
        <v>050075395121</v>
      </c>
      <c r="E394" s="620">
        <f>+VLOOKUP(B394,'Salary sheet'!$B$6:$AT$1292,45,0)</f>
        <v>8271296</v>
      </c>
      <c r="F394" s="1029" t="s">
        <v>5723</v>
      </c>
      <c r="G394" s="824" t="str">
        <f>+VLOOKUP(B394,'Salary sheet'!$B$6:$E$2281,4,0)</f>
        <v>FACTORY B</v>
      </c>
      <c r="H394" s="607" t="str">
        <f>+VLOOKUP(B394,'Salary sheet'!$B$6:$AZ$1386,50,0)</f>
        <v>SK1 Bag</v>
      </c>
      <c r="I394" s="607" t="str">
        <f t="shared" si="23"/>
        <v>C15715THI KIM CHI050075395121</v>
      </c>
      <c r="J394" s="853" t="str">
        <f>+VLOOKUP(B394,'[5]04 2025'!$B$2:$F$1371,5,0)</f>
        <v>C15715THI KIM CHI050075395121</v>
      </c>
      <c r="K394" s="607">
        <f t="shared" si="22"/>
        <v>1</v>
      </c>
      <c r="P394" s="685"/>
    </row>
    <row r="395" spans="1:16" s="607" customFormat="1" ht="18" customHeight="1">
      <c r="A395" s="826">
        <f>SUBTOTAL(3,B$6:B395)</f>
        <v>390</v>
      </c>
      <c r="B395" s="824" t="s">
        <v>1596</v>
      </c>
      <c r="C395" s="824" t="str">
        <f>+VLOOKUP(B395,'Salary sheet'!$B$6:$AX$1386,48,0)</f>
        <v>TRAN THI MY XUYEN</v>
      </c>
      <c r="D395" s="824" t="str">
        <f>+VLOOKUP(B395,'Salary sheet'!$B$6:$BW$1386,49,0)</f>
        <v>050152427945</v>
      </c>
      <c r="E395" s="620">
        <f>+VLOOKUP(B395,'Salary sheet'!$B$6:$AT$1292,45,0)</f>
        <v>6669186</v>
      </c>
      <c r="F395" s="1029" t="s">
        <v>5723</v>
      </c>
      <c r="G395" s="824" t="str">
        <f>+VLOOKUP(B395,'Salary sheet'!$B$6:$E$2281,4,0)</f>
        <v>FACTORY B</v>
      </c>
      <c r="H395" s="607" t="str">
        <f>+VLOOKUP(B395,'Salary sheet'!$B$6:$AZ$1386,50,0)</f>
        <v>SK1 Bag</v>
      </c>
      <c r="I395" s="607" t="str">
        <f t="shared" si="23"/>
        <v>C15842TRAN THI MY XUYEN050152427945</v>
      </c>
      <c r="J395" s="853" t="str">
        <f>+VLOOKUP(B395,'[5]04 2025'!$B$2:$F$1371,5,0)</f>
        <v>C15842TRAN THI MY XUYEN050152427945</v>
      </c>
      <c r="K395" s="607">
        <f t="shared" si="22"/>
        <v>1</v>
      </c>
      <c r="P395" s="685"/>
    </row>
    <row r="396" spans="1:16" s="607" customFormat="1" ht="18" customHeight="1">
      <c r="A396" s="826">
        <f>SUBTOTAL(3,B$6:B396)</f>
        <v>391</v>
      </c>
      <c r="B396" s="824" t="s">
        <v>1598</v>
      </c>
      <c r="C396" s="824" t="str">
        <f>+VLOOKUP(B396,'Salary sheet'!$B$6:$AX$1386,48,0)</f>
        <v>HUYNH THI CAM TIEN</v>
      </c>
      <c r="D396" s="824" t="str">
        <f>+VLOOKUP(B396,'Salary sheet'!$B$6:$BW$1386,49,0)</f>
        <v>050152439722</v>
      </c>
      <c r="E396" s="620">
        <f>+VLOOKUP(B396,'Salary sheet'!$B$6:$AT$1292,45,0)</f>
        <v>8465119</v>
      </c>
      <c r="F396" s="1029" t="s">
        <v>5723</v>
      </c>
      <c r="G396" s="824" t="str">
        <f>+VLOOKUP(B396,'Salary sheet'!$B$6:$E$2281,4,0)</f>
        <v>FACTORY B</v>
      </c>
      <c r="H396" s="607" t="str">
        <f>+VLOOKUP(B396,'Salary sheet'!$B$6:$AZ$1386,50,0)</f>
        <v>SK1 Bag</v>
      </c>
      <c r="I396" s="607" t="str">
        <f t="shared" si="23"/>
        <v>C15843HUYNH THI CAM TIEN050152439722</v>
      </c>
      <c r="J396" s="853" t="str">
        <f>+VLOOKUP(B396,'[5]04 2025'!$B$2:$F$1371,5,0)</f>
        <v>C15843HUYNH THI CAM TIEN050152439722</v>
      </c>
      <c r="K396" s="607">
        <f t="shared" si="22"/>
        <v>1</v>
      </c>
      <c r="P396" s="685"/>
    </row>
    <row r="397" spans="1:16" s="607" customFormat="1" ht="18" customHeight="1">
      <c r="A397" s="826">
        <f>SUBTOTAL(3,B$6:B397)</f>
        <v>392</v>
      </c>
      <c r="B397" s="824" t="s">
        <v>1600</v>
      </c>
      <c r="C397" s="824" t="str">
        <f>+VLOOKUP(B397,'Salary sheet'!$B$6:$AX$1386,48,0)</f>
        <v>PHAM VAN GIAO</v>
      </c>
      <c r="D397" s="824" t="str">
        <f>+VLOOKUP(B397,'Salary sheet'!$B$6:$BW$1386,49,0)</f>
        <v>050152324471</v>
      </c>
      <c r="E397" s="620">
        <f>+VLOOKUP(B397,'Salary sheet'!$B$6:$AT$1292,45,0)</f>
        <v>8439212</v>
      </c>
      <c r="F397" s="1029" t="s">
        <v>5723</v>
      </c>
      <c r="G397" s="824" t="str">
        <f>+VLOOKUP(B397,'Salary sheet'!$B$6:$E$2281,4,0)</f>
        <v>FACTORY B</v>
      </c>
      <c r="H397" s="607" t="str">
        <f>+VLOOKUP(B397,'Salary sheet'!$B$6:$AZ$1386,50,0)</f>
        <v>SK1 Bag</v>
      </c>
      <c r="I397" s="607" t="str">
        <f t="shared" si="23"/>
        <v>C15845PHAM VAN GIAO050152324471</v>
      </c>
      <c r="J397" s="853" t="str">
        <f>+VLOOKUP(B397,'[5]04 2025'!$B$2:$F$1371,5,0)</f>
        <v>C15845PHAM VAN GIAO050152324471</v>
      </c>
      <c r="K397" s="607">
        <f t="shared" si="22"/>
        <v>1</v>
      </c>
      <c r="P397" s="685"/>
    </row>
    <row r="398" spans="1:16" s="607" customFormat="1" ht="18" customHeight="1">
      <c r="A398" s="826">
        <f>SUBTOTAL(3,B$6:B398)</f>
        <v>393</v>
      </c>
      <c r="B398" s="824" t="s">
        <v>1602</v>
      </c>
      <c r="C398" s="824" t="str">
        <f>+VLOOKUP(B398,'Salary sheet'!$B$6:$AX$1386,48,0)</f>
        <v>NGUYEN THI PHUONG</v>
      </c>
      <c r="D398" s="824" t="str">
        <f>+VLOOKUP(B398,'Salary sheet'!$B$6:$BW$1386,49,0)</f>
        <v>050153202742</v>
      </c>
      <c r="E398" s="620">
        <f>+VLOOKUP(B398,'Salary sheet'!$B$6:$AT$1292,45,0)</f>
        <v>6039063</v>
      </c>
      <c r="F398" s="1029" t="s">
        <v>5723</v>
      </c>
      <c r="G398" s="824" t="str">
        <f>+VLOOKUP(B398,'Salary sheet'!$B$6:$E$2281,4,0)</f>
        <v>FACTORY B</v>
      </c>
      <c r="H398" s="607" t="str">
        <f>+VLOOKUP(B398,'Salary sheet'!$B$6:$AZ$1386,50,0)</f>
        <v>SK1 Bag</v>
      </c>
      <c r="I398" s="607" t="str">
        <f t="shared" si="23"/>
        <v>C15955NGUYEN THI PHUONG050153202742</v>
      </c>
      <c r="J398" s="853" t="str">
        <f>+VLOOKUP(B398,'[5]04 2025'!$B$2:$F$1371,5,0)</f>
        <v>C15955NGUYEN THI PHUONG050153202742</v>
      </c>
      <c r="K398" s="607">
        <f t="shared" si="22"/>
        <v>1</v>
      </c>
      <c r="P398" s="685"/>
    </row>
    <row r="399" spans="1:16" s="607" customFormat="1" ht="18" customHeight="1">
      <c r="A399" s="826">
        <f>SUBTOTAL(3,B$6:B399)</f>
        <v>394</v>
      </c>
      <c r="B399" s="824" t="s">
        <v>1603</v>
      </c>
      <c r="C399" s="824" t="str">
        <f>+VLOOKUP(B399,'Salary sheet'!$B$6:$AX$1386,48,0)</f>
        <v>DIEU PHUOC</v>
      </c>
      <c r="D399" s="824" t="str">
        <f>+VLOOKUP(B399,'Salary sheet'!$B$6:$BW$1386,49,0)</f>
        <v>0969384261</v>
      </c>
      <c r="E399" s="620">
        <f>+VLOOKUP(B399,'Salary sheet'!$B$6:$AT$1292,45,0)</f>
        <v>5050655</v>
      </c>
      <c r="F399" s="1029" t="s">
        <v>5723</v>
      </c>
      <c r="G399" s="824" t="str">
        <f>+VLOOKUP(B399,'Salary sheet'!$B$6:$E$2281,4,0)</f>
        <v>FACTORY B</v>
      </c>
      <c r="H399" s="607" t="str">
        <f>+VLOOKUP(B399,'Salary sheet'!$B$6:$AZ$1386,50,0)</f>
        <v>SK1 Bag</v>
      </c>
      <c r="I399" s="607" t="str">
        <f t="shared" si="23"/>
        <v>C16075DIEU PHUOC0969384261</v>
      </c>
      <c r="J399" s="853" t="str">
        <f>+VLOOKUP(B399,'[5]04 2025'!$B$2:$F$1371,5,0)</f>
        <v>C16075DIEU PHUOC0969384261</v>
      </c>
      <c r="K399" s="607">
        <f t="shared" si="22"/>
        <v>1</v>
      </c>
      <c r="P399" s="685"/>
    </row>
    <row r="400" spans="1:16" s="607" customFormat="1" ht="18" customHeight="1">
      <c r="A400" s="826">
        <f>SUBTOTAL(3,B$6:B400)</f>
        <v>395</v>
      </c>
      <c r="B400" s="824" t="s">
        <v>1605</v>
      </c>
      <c r="C400" s="824" t="str">
        <f>+VLOOKUP(B400,'Salary sheet'!$B$6:$AX$1386,48,0)</f>
        <v>NGUYEN THI HONG</v>
      </c>
      <c r="D400" s="824" t="str">
        <f>+VLOOKUP(B400,'Salary sheet'!$B$6:$BW$1386,49,0)</f>
        <v>050040932612</v>
      </c>
      <c r="E400" s="620">
        <f>+VLOOKUP(B400,'Salary sheet'!$B$6:$AT$1292,45,0)</f>
        <v>9088435</v>
      </c>
      <c r="F400" s="1029" t="s">
        <v>5723</v>
      </c>
      <c r="G400" s="824" t="str">
        <f>+VLOOKUP(B400,'Salary sheet'!$B$6:$E$2281,4,0)</f>
        <v>FACTORY B</v>
      </c>
      <c r="H400" s="607" t="str">
        <f>+VLOOKUP(B400,'Salary sheet'!$B$6:$AZ$1386,50,0)</f>
        <v>SK1 Bag</v>
      </c>
      <c r="I400" s="607" t="str">
        <f t="shared" si="23"/>
        <v>C16202NGUYEN THI HONG050040932612</v>
      </c>
      <c r="J400" s="853" t="str">
        <f>+VLOOKUP(B400,'[5]04 2025'!$B$2:$F$1371,5,0)</f>
        <v>C16202NGUYEN THI HONG050040932612</v>
      </c>
      <c r="K400" s="607">
        <f t="shared" si="22"/>
        <v>1</v>
      </c>
      <c r="P400" s="685"/>
    </row>
    <row r="401" spans="1:16" s="607" customFormat="1" ht="18" customHeight="1">
      <c r="A401" s="826">
        <f>SUBTOTAL(3,B$6:B401)</f>
        <v>396</v>
      </c>
      <c r="B401" s="824" t="s">
        <v>1606</v>
      </c>
      <c r="C401" s="824" t="str">
        <f>+VLOOKUP(B401,'Salary sheet'!$B$6:$AX$1386,48,0)</f>
        <v>LE THI KIEU OANH</v>
      </c>
      <c r="D401" s="824" t="str">
        <f>+VLOOKUP(B401,'Salary sheet'!$B$6:$BW$1386,49,0)</f>
        <v>050126635394</v>
      </c>
      <c r="E401" s="620">
        <f>+VLOOKUP(B401,'Salary sheet'!$B$6:$AT$1292,45,0)</f>
        <v>6398404</v>
      </c>
      <c r="F401" s="1029" t="s">
        <v>5723</v>
      </c>
      <c r="G401" s="824" t="str">
        <f>+VLOOKUP(B401,'Salary sheet'!$B$6:$E$2281,4,0)</f>
        <v>FACTORY B</v>
      </c>
      <c r="H401" s="607" t="str">
        <f>+VLOOKUP(B401,'Salary sheet'!$B$6:$AZ$1386,50,0)</f>
        <v>SK1 Bag</v>
      </c>
      <c r="I401" s="607" t="str">
        <f t="shared" si="23"/>
        <v>C16457LE THI KIEU OANH050126635394</v>
      </c>
      <c r="J401" s="853" t="str">
        <f>+VLOOKUP(B401,'[5]04 2025'!$B$2:$F$1371,5,0)</f>
        <v>C16457LE THI KIEU OANH050126635394</v>
      </c>
      <c r="K401" s="607">
        <f t="shared" si="22"/>
        <v>1</v>
      </c>
      <c r="P401" s="685"/>
    </row>
    <row r="402" spans="1:16" s="607" customFormat="1" ht="18" customHeight="1">
      <c r="A402" s="826">
        <f>SUBTOTAL(3,B$6:B402)</f>
        <v>397</v>
      </c>
      <c r="B402" s="824" t="s">
        <v>1608</v>
      </c>
      <c r="C402" s="824" t="str">
        <f>+VLOOKUP(B402,'Salary sheet'!$B$6:$AX$1386,48,0)</f>
        <v>PHAM THI MINH HIEN</v>
      </c>
      <c r="D402" s="824" t="str">
        <f>+VLOOKUP(B402,'Salary sheet'!$B$6:$BW$1386,49,0)</f>
        <v>050041002007</v>
      </c>
      <c r="E402" s="620">
        <f>+VLOOKUP(B402,'Salary sheet'!$B$6:$AT$1292,45,0)</f>
        <v>9926907</v>
      </c>
      <c r="F402" s="1029" t="s">
        <v>5723</v>
      </c>
      <c r="G402" s="824" t="str">
        <f>+VLOOKUP(B402,'Salary sheet'!$B$6:$E$2281,4,0)</f>
        <v>FACTORY B</v>
      </c>
      <c r="H402" s="607" t="str">
        <f>+VLOOKUP(B402,'Salary sheet'!$B$6:$AZ$1386,50,0)</f>
        <v>SK1 Bag</v>
      </c>
      <c r="I402" s="607" t="str">
        <f t="shared" si="23"/>
        <v>C5432PHAM THI MINH HIEN050041002007</v>
      </c>
      <c r="J402" s="853" t="str">
        <f>+VLOOKUP(B402,'[5]04 2025'!$B$2:$F$1371,5,0)</f>
        <v>C5432PHAM THI MINH HIEN050041002007</v>
      </c>
      <c r="K402" s="607">
        <f t="shared" si="22"/>
        <v>1</v>
      </c>
      <c r="P402" s="685"/>
    </row>
    <row r="403" spans="1:16" s="607" customFormat="1" ht="18" customHeight="1">
      <c r="A403" s="826">
        <f>SUBTOTAL(3,B$6:B403)</f>
        <v>398</v>
      </c>
      <c r="B403" s="824" t="s">
        <v>1610</v>
      </c>
      <c r="C403" s="824" t="str">
        <f>+VLOOKUP(B403,'Salary sheet'!$B$6:$AX$1386,48,0)</f>
        <v>TRAN THI TRINH TUY</v>
      </c>
      <c r="D403" s="824" t="str">
        <f>+VLOOKUP(B403,'Salary sheet'!$B$6:$BW$1386,49,0)</f>
        <v>050040932574</v>
      </c>
      <c r="E403" s="620">
        <f>+VLOOKUP(B403,'Salary sheet'!$B$6:$AT$1292,45,0)</f>
        <v>10808888</v>
      </c>
      <c r="F403" s="1029" t="s">
        <v>5723</v>
      </c>
      <c r="G403" s="824" t="str">
        <f>+VLOOKUP(B403,'Salary sheet'!$B$6:$E$2281,4,0)</f>
        <v>FACTORY B</v>
      </c>
      <c r="H403" s="607" t="str">
        <f>+VLOOKUP(B403,'Salary sheet'!$B$6:$AZ$1386,50,0)</f>
        <v>SK1 Bag</v>
      </c>
      <c r="I403" s="607" t="str">
        <f t="shared" si="23"/>
        <v>C5433TRAN THI TRINH TUY050040932574</v>
      </c>
      <c r="J403" s="853" t="str">
        <f>+VLOOKUP(B403,'[5]04 2025'!$B$2:$F$1371,5,0)</f>
        <v>C5433TRAN THI TRINH TUY050040932574</v>
      </c>
      <c r="K403" s="607">
        <f t="shared" si="22"/>
        <v>1</v>
      </c>
      <c r="P403" s="685"/>
    </row>
    <row r="404" spans="1:16" s="607" customFormat="1" ht="18" customHeight="1">
      <c r="A404" s="826">
        <f>SUBTOTAL(3,B$6:B404)</f>
        <v>399</v>
      </c>
      <c r="B404" s="824" t="s">
        <v>1612</v>
      </c>
      <c r="C404" s="824" t="str">
        <f>+VLOOKUP(B404,'Salary sheet'!$B$6:$AX$1386,48,0)</f>
        <v>PHAM THI PHUONG THAO</v>
      </c>
      <c r="D404" s="824" t="str">
        <f>+VLOOKUP(B404,'Salary sheet'!$B$6:$BW$1386,49,0)</f>
        <v>050060848227</v>
      </c>
      <c r="E404" s="620">
        <f>+VLOOKUP(B404,'Salary sheet'!$B$6:$AT$1292,45,0)</f>
        <v>6592537</v>
      </c>
      <c r="F404" s="1029" t="s">
        <v>5723</v>
      </c>
      <c r="G404" s="824" t="str">
        <f>+VLOOKUP(B404,'Salary sheet'!$B$6:$E$2281,4,0)</f>
        <v>FACTORY B</v>
      </c>
      <c r="H404" s="607" t="str">
        <f>+VLOOKUP(B404,'Salary sheet'!$B$6:$AZ$1386,50,0)</f>
        <v>SK1 Bag</v>
      </c>
      <c r="I404" s="607" t="str">
        <f t="shared" si="23"/>
        <v>C7968PHAM THI PHUONG THAO050060848227</v>
      </c>
      <c r="J404" s="853" t="str">
        <f>+VLOOKUP(B404,'[5]04 2025'!$B$2:$F$1371,5,0)</f>
        <v>C7968PHAM THI PHUONG THAO050060848227</v>
      </c>
      <c r="K404" s="607">
        <f t="shared" si="22"/>
        <v>1</v>
      </c>
      <c r="P404" s="685"/>
    </row>
    <row r="405" spans="1:16" s="607" customFormat="1" ht="18" customHeight="1">
      <c r="A405" s="826">
        <f>SUBTOTAL(3,B$6:B405)</f>
        <v>400</v>
      </c>
      <c r="B405" s="824" t="s">
        <v>1614</v>
      </c>
      <c r="C405" s="824" t="str">
        <f>+VLOOKUP(B405,'Salary sheet'!$B$6:$AX$1386,48,0)</f>
        <v>LE THI THEM</v>
      </c>
      <c r="D405" s="824" t="str">
        <f>+VLOOKUP(B405,'Salary sheet'!$B$6:$BW$1386,49,0)</f>
        <v>050073841523</v>
      </c>
      <c r="E405" s="620">
        <f>+VLOOKUP(B405,'Salary sheet'!$B$6:$AT$1292,45,0)</f>
        <v>9464170</v>
      </c>
      <c r="F405" s="1029" t="s">
        <v>5723</v>
      </c>
      <c r="G405" s="824" t="str">
        <f>+VLOOKUP(B405,'Salary sheet'!$B$6:$E$2281,4,0)</f>
        <v>FACTORY B</v>
      </c>
      <c r="H405" s="607" t="str">
        <f>+VLOOKUP(B405,'Salary sheet'!$B$6:$AZ$1386,50,0)</f>
        <v>SK1 Bag</v>
      </c>
      <c r="I405" s="607" t="str">
        <f t="shared" si="23"/>
        <v>C9333LE THI THEM050073841523</v>
      </c>
      <c r="J405" s="853" t="str">
        <f>+VLOOKUP(B405,'[5]04 2025'!$B$2:$F$1371,5,0)</f>
        <v>C9333LE THI THEM050073841523</v>
      </c>
      <c r="K405" s="607">
        <f t="shared" si="22"/>
        <v>1</v>
      </c>
      <c r="P405" s="685"/>
    </row>
    <row r="406" spans="1:16" s="607" customFormat="1" ht="18" customHeight="1">
      <c r="A406" s="826">
        <f>SUBTOTAL(3,B$6:B406)</f>
        <v>401</v>
      </c>
      <c r="B406" s="824" t="s">
        <v>1616</v>
      </c>
      <c r="C406" s="824" t="str">
        <f>+VLOOKUP(B406,'Salary sheet'!$B$6:$AX$1386,48,0)</f>
        <v>LE THI THANH GIAU</v>
      </c>
      <c r="D406" s="824" t="str">
        <f>+VLOOKUP(B406,'Salary sheet'!$B$6:$BW$1386,49,0)</f>
        <v>050117707560</v>
      </c>
      <c r="E406" s="620">
        <f>+VLOOKUP(B406,'Salary sheet'!$B$6:$AT$1292,45,0)</f>
        <v>8977121</v>
      </c>
      <c r="F406" s="1029" t="s">
        <v>5723</v>
      </c>
      <c r="G406" s="824" t="str">
        <f>+VLOOKUP(B406,'Salary sheet'!$B$6:$E$2281,4,0)</f>
        <v>FACTORY B</v>
      </c>
      <c r="H406" s="607" t="str">
        <f>+VLOOKUP(B406,'Salary sheet'!$B$6:$AZ$1386,50,0)</f>
        <v>SK1 Box</v>
      </c>
      <c r="I406" s="607" t="str">
        <f t="shared" si="23"/>
        <v>C11871LE THI THANH GIAU050117707560</v>
      </c>
      <c r="J406" s="853" t="str">
        <f>+VLOOKUP(B406,'[5]04 2025'!$B$2:$F$1371,5,0)</f>
        <v>C11871LE THI THANH GIAU050117707560</v>
      </c>
      <c r="K406" s="607">
        <f t="shared" si="22"/>
        <v>1</v>
      </c>
      <c r="P406" s="685"/>
    </row>
    <row r="407" spans="1:16" s="607" customFormat="1" ht="18" customHeight="1">
      <c r="A407" s="826">
        <f>SUBTOTAL(3,B$6:B407)</f>
        <v>402</v>
      </c>
      <c r="B407" s="824" t="s">
        <v>1618</v>
      </c>
      <c r="C407" s="824" t="str">
        <f>+VLOOKUP(B407,'Salary sheet'!$B$6:$AX$1386,48,0)</f>
        <v>NGUYEN THI THU TRANG</v>
      </c>
      <c r="D407" s="824" t="str">
        <f>+VLOOKUP(B407,'Salary sheet'!$B$6:$BW$1386,49,0)</f>
        <v>050106514078</v>
      </c>
      <c r="E407" s="620">
        <f>+VLOOKUP(B407,'Salary sheet'!$B$6:$AT$1292,45,0)</f>
        <v>8965372</v>
      </c>
      <c r="F407" s="1029" t="s">
        <v>5723</v>
      </c>
      <c r="G407" s="824" t="str">
        <f>+VLOOKUP(B407,'Salary sheet'!$B$6:$E$2281,4,0)</f>
        <v>FACTORY B</v>
      </c>
      <c r="H407" s="607" t="str">
        <f>+VLOOKUP(B407,'Salary sheet'!$B$6:$AZ$1386,50,0)</f>
        <v>SK1 Box</v>
      </c>
      <c r="I407" s="607" t="str">
        <f t="shared" si="23"/>
        <v>C13251NGUYEN THI THU TRANG050106514078</v>
      </c>
      <c r="J407" s="853" t="str">
        <f>+VLOOKUP(B407,'[5]04 2025'!$B$2:$F$1371,5,0)</f>
        <v>C13251NGUYEN THI THU TRANG050106514078</v>
      </c>
      <c r="K407" s="607">
        <f t="shared" si="22"/>
        <v>1</v>
      </c>
      <c r="P407" s="685"/>
    </row>
    <row r="408" spans="1:16" s="607" customFormat="1" ht="18" customHeight="1">
      <c r="A408" s="826">
        <f>SUBTOTAL(3,B$6:B408)</f>
        <v>403</v>
      </c>
      <c r="B408" s="824" t="s">
        <v>1620</v>
      </c>
      <c r="C408" s="824" t="str">
        <f>+VLOOKUP(B408,'Salary sheet'!$B$6:$AX$1386,48,0)</f>
        <v>LE THI TRANG</v>
      </c>
      <c r="D408" s="824" t="str">
        <f>+VLOOKUP(B408,'Salary sheet'!$B$6:$BW$1386,49,0)</f>
        <v>050126082654</v>
      </c>
      <c r="E408" s="620">
        <f>+VLOOKUP(B408,'Salary sheet'!$B$6:$AT$1292,45,0)</f>
        <v>9856669</v>
      </c>
      <c r="F408" s="1029" t="s">
        <v>5723</v>
      </c>
      <c r="G408" s="824" t="str">
        <f>+VLOOKUP(B408,'Salary sheet'!$B$6:$E$2281,4,0)</f>
        <v>FACTORY B</v>
      </c>
      <c r="H408" s="607" t="str">
        <f>+VLOOKUP(B408,'Salary sheet'!$B$6:$AZ$1386,50,0)</f>
        <v>SK1 Box</v>
      </c>
      <c r="I408" s="607" t="str">
        <f t="shared" si="23"/>
        <v>C13274LE THI TRANG050126082654</v>
      </c>
      <c r="J408" s="853" t="str">
        <f>+VLOOKUP(B408,'[5]04 2025'!$B$2:$F$1371,5,0)</f>
        <v>C13274LE THI TRANG050126082654</v>
      </c>
      <c r="K408" s="607">
        <f t="shared" si="22"/>
        <v>1</v>
      </c>
      <c r="P408" s="685"/>
    </row>
    <row r="409" spans="1:16" s="607" customFormat="1" ht="18" customHeight="1">
      <c r="A409" s="826">
        <f>SUBTOTAL(3,B$6:B409)</f>
        <v>404</v>
      </c>
      <c r="B409" s="824" t="s">
        <v>1622</v>
      </c>
      <c r="C409" s="824" t="str">
        <f>+VLOOKUP(B409,'Salary sheet'!$B$6:$AX$1386,48,0)</f>
        <v>TRAN THI THUY QUYEN</v>
      </c>
      <c r="D409" s="824" t="str">
        <f>+VLOOKUP(B409,'Salary sheet'!$B$6:$BW$1386,49,0)</f>
        <v>050126544380</v>
      </c>
      <c r="E409" s="620">
        <f>+VLOOKUP(B409,'Salary sheet'!$B$6:$AT$1292,45,0)</f>
        <v>9340527</v>
      </c>
      <c r="F409" s="1029" t="s">
        <v>5723</v>
      </c>
      <c r="G409" s="824" t="str">
        <f>+VLOOKUP(B409,'Salary sheet'!$B$6:$E$2281,4,0)</f>
        <v>FACTORY B</v>
      </c>
      <c r="H409" s="607" t="str">
        <f>+VLOOKUP(B409,'Salary sheet'!$B$6:$AZ$1386,50,0)</f>
        <v>SK1 Box</v>
      </c>
      <c r="I409" s="607" t="str">
        <f t="shared" si="23"/>
        <v>C13357TRAN THI THUY QUYEN050126544380</v>
      </c>
      <c r="J409" s="853" t="str">
        <f>+VLOOKUP(B409,'[5]04 2025'!$B$2:$F$1371,5,0)</f>
        <v>C13357TRAN THI THUY QUYEN050126544380</v>
      </c>
      <c r="K409" s="607">
        <f t="shared" si="22"/>
        <v>1</v>
      </c>
      <c r="P409" s="685"/>
    </row>
    <row r="410" spans="1:16" s="607" customFormat="1" ht="18" customHeight="1">
      <c r="A410" s="826">
        <f>SUBTOTAL(3,B$6:B410)</f>
        <v>405</v>
      </c>
      <c r="B410" s="824" t="s">
        <v>1624</v>
      </c>
      <c r="C410" s="824" t="str">
        <f>+VLOOKUP(B410,'Salary sheet'!$B$6:$AX$1386,48,0)</f>
        <v>DU THI NHUNG</v>
      </c>
      <c r="D410" s="824" t="str">
        <f>+VLOOKUP(B410,'Salary sheet'!$B$6:$BW$1386,49,0)</f>
        <v>050128517410</v>
      </c>
      <c r="E410" s="620">
        <f>+VLOOKUP(B410,'Salary sheet'!$B$6:$AT$1292,45,0)</f>
        <v>9547824</v>
      </c>
      <c r="F410" s="1029" t="s">
        <v>5723</v>
      </c>
      <c r="G410" s="824" t="str">
        <f>+VLOOKUP(B410,'Salary sheet'!$B$6:$E$2281,4,0)</f>
        <v>FACTORY B</v>
      </c>
      <c r="H410" s="607" t="str">
        <f>+VLOOKUP(B410,'Salary sheet'!$B$6:$AZ$1386,50,0)</f>
        <v>SK1 Box</v>
      </c>
      <c r="I410" s="607" t="str">
        <f t="shared" si="23"/>
        <v>C13909DU THI NHUNG050128517410</v>
      </c>
      <c r="J410" s="853" t="str">
        <f>+VLOOKUP(B410,'[5]04 2025'!$B$2:$F$1371,5,0)</f>
        <v>C13909DU THI NHUNG050128517410</v>
      </c>
      <c r="K410" s="607">
        <f t="shared" si="22"/>
        <v>1</v>
      </c>
      <c r="P410" s="685"/>
    </row>
    <row r="411" spans="1:16" s="607" customFormat="1" ht="18" customHeight="1">
      <c r="A411" s="826">
        <f>SUBTOTAL(3,B$6:B411)</f>
        <v>406</v>
      </c>
      <c r="B411" s="824" t="s">
        <v>1626</v>
      </c>
      <c r="C411" s="824" t="str">
        <f>+VLOOKUP(B411,'Salary sheet'!$B$6:$AX$1386,48,0)</f>
        <v>LE THI NGOC THAO</v>
      </c>
      <c r="D411" s="824" t="str">
        <f>+VLOOKUP(B411,'Salary sheet'!$B$6:$BW$1386,49,0)</f>
        <v>050128086053</v>
      </c>
      <c r="E411" s="620">
        <f>+VLOOKUP(B411,'Salary sheet'!$B$6:$AT$1292,45,0)</f>
        <v>8112238</v>
      </c>
      <c r="F411" s="1029" t="s">
        <v>5723</v>
      </c>
      <c r="G411" s="824" t="str">
        <f>+VLOOKUP(B411,'Salary sheet'!$B$6:$E$2281,4,0)</f>
        <v>FACTORY B</v>
      </c>
      <c r="H411" s="607" t="str">
        <f>+VLOOKUP(B411,'Salary sheet'!$B$6:$AZ$1386,50,0)</f>
        <v>SK1 Box</v>
      </c>
      <c r="I411" s="607" t="str">
        <f t="shared" si="23"/>
        <v>C15826LE THI NGOC THAO050128086053</v>
      </c>
      <c r="J411" s="853" t="str">
        <f>+VLOOKUP(B411,'[5]04 2025'!$B$2:$F$1371,5,0)</f>
        <v>C15826LE THI NGOC THAO050128086053</v>
      </c>
      <c r="K411" s="607">
        <f t="shared" si="22"/>
        <v>1</v>
      </c>
      <c r="P411" s="685"/>
    </row>
    <row r="412" spans="1:16" s="607" customFormat="1" ht="18" customHeight="1">
      <c r="A412" s="826">
        <f>SUBTOTAL(3,B$6:B412)</f>
        <v>407</v>
      </c>
      <c r="B412" s="824" t="s">
        <v>1628</v>
      </c>
      <c r="C412" s="824" t="str">
        <f>+VLOOKUP(B412,'Salary sheet'!$B$6:$AX$1386,48,0)</f>
        <v>DANG THI ALYNA</v>
      </c>
      <c r="D412" s="824" t="str">
        <f>+VLOOKUP(B412,'Salary sheet'!$B$6:$BW$1386,49,0)</f>
        <v>050143585112</v>
      </c>
      <c r="E412" s="620">
        <f>+VLOOKUP(B412,'Salary sheet'!$B$6:$AT$1292,45,0)</f>
        <v>8350653</v>
      </c>
      <c r="F412" s="1029" t="s">
        <v>5723</v>
      </c>
      <c r="G412" s="824" t="str">
        <f>+VLOOKUP(B412,'Salary sheet'!$B$6:$E$2281,4,0)</f>
        <v>FACTORY B</v>
      </c>
      <c r="H412" s="607" t="str">
        <f>+VLOOKUP(B412,'Salary sheet'!$B$6:$AZ$1386,50,0)</f>
        <v>SK1 Box</v>
      </c>
      <c r="I412" s="607" t="str">
        <f t="shared" si="23"/>
        <v>C15829DANG THI ALYNA050143585112</v>
      </c>
      <c r="J412" s="853" t="str">
        <f>+VLOOKUP(B412,'[5]04 2025'!$B$2:$F$1371,5,0)</f>
        <v>C15829DANG THI ALYNA050143585112</v>
      </c>
      <c r="K412" s="607">
        <f t="shared" si="22"/>
        <v>1</v>
      </c>
      <c r="P412" s="685"/>
    </row>
    <row r="413" spans="1:16" s="607" customFormat="1" ht="18" customHeight="1">
      <c r="A413" s="826">
        <f>SUBTOTAL(3,B$6:B413)</f>
        <v>408</v>
      </c>
      <c r="B413" s="824" t="s">
        <v>1630</v>
      </c>
      <c r="C413" s="824" t="str">
        <f>+VLOOKUP(B413,'Salary sheet'!$B$6:$AX$1386,48,0)</f>
        <v>NGUYEN THI THANH HIEN</v>
      </c>
      <c r="D413" s="824" t="str">
        <f>+VLOOKUP(B413,'Salary sheet'!$B$6:$BW$1386,49,0)</f>
        <v>050044163672</v>
      </c>
      <c r="E413" s="620">
        <f>+VLOOKUP(B413,'Salary sheet'!$B$6:$AT$1292,45,0)</f>
        <v>8014513</v>
      </c>
      <c r="F413" s="1029" t="s">
        <v>5723</v>
      </c>
      <c r="G413" s="824" t="str">
        <f>+VLOOKUP(B413,'Salary sheet'!$B$6:$E$2281,4,0)</f>
        <v>FACTORY B</v>
      </c>
      <c r="H413" s="607" t="str">
        <f>+VLOOKUP(B413,'Salary sheet'!$B$6:$AZ$1386,50,0)</f>
        <v>SK1 Box</v>
      </c>
      <c r="I413" s="607" t="str">
        <f t="shared" si="23"/>
        <v>C15994NGUYEN THI THANH HIEN050044163672</v>
      </c>
      <c r="J413" s="853" t="str">
        <f>+VLOOKUP(B413,'[5]04 2025'!$B$2:$F$1371,5,0)</f>
        <v>C15994NGUYEN THI THANH HIEN050044163672</v>
      </c>
      <c r="K413" s="607">
        <f t="shared" si="22"/>
        <v>1</v>
      </c>
      <c r="P413" s="685"/>
    </row>
    <row r="414" spans="1:16" s="607" customFormat="1" ht="18" customHeight="1">
      <c r="A414" s="826">
        <f>SUBTOTAL(3,B$6:B414)</f>
        <v>409</v>
      </c>
      <c r="B414" s="824" t="s">
        <v>1632</v>
      </c>
      <c r="C414" s="824" t="str">
        <f>+VLOOKUP(B414,'Salary sheet'!$B$6:$AX$1386,48,0)</f>
        <v>TRAN THI TUYEN TRINH</v>
      </c>
      <c r="D414" s="824" t="str">
        <f>+VLOOKUP(B414,'Salary sheet'!$B$6:$BW$1386,49,0)</f>
        <v>050111835850</v>
      </c>
      <c r="E414" s="620">
        <f>+VLOOKUP(B414,'Salary sheet'!$B$6:$AT$1292,45,0)</f>
        <v>8237211</v>
      </c>
      <c r="F414" s="1029" t="s">
        <v>5723</v>
      </c>
      <c r="G414" s="824" t="str">
        <f>+VLOOKUP(B414,'Salary sheet'!$B$6:$E$2281,4,0)</f>
        <v>FACTORY B</v>
      </c>
      <c r="H414" s="607" t="str">
        <f>+VLOOKUP(B414,'Salary sheet'!$B$6:$AZ$1386,50,0)</f>
        <v>SK1 Box</v>
      </c>
      <c r="I414" s="607" t="str">
        <f t="shared" si="23"/>
        <v>C16022TRAN THI TUYEN TRINH050111835850</v>
      </c>
      <c r="J414" s="853" t="str">
        <f>+VLOOKUP(B414,'[5]04 2025'!$B$2:$F$1371,5,0)</f>
        <v>C16022TRAN THI TUYEN TRINH050111835850</v>
      </c>
      <c r="K414" s="607">
        <f t="shared" si="22"/>
        <v>1</v>
      </c>
      <c r="P414" s="685"/>
    </row>
    <row r="415" spans="1:16" s="607" customFormat="1" ht="18" customHeight="1">
      <c r="A415" s="826">
        <f>SUBTOTAL(3,B$6:B415)</f>
        <v>410</v>
      </c>
      <c r="B415" s="824" t="s">
        <v>1634</v>
      </c>
      <c r="C415" s="824" t="str">
        <f>+VLOOKUP(B415,'Salary sheet'!$B$6:$AX$1386,48,0)</f>
        <v>LUONG THI KIM HUE</v>
      </c>
      <c r="D415" s="824" t="str">
        <f>+VLOOKUP(B415,'Salary sheet'!$B$6:$BW$1386,49,0)</f>
        <v>050056222275</v>
      </c>
      <c r="E415" s="620">
        <f>+VLOOKUP(B415,'Salary sheet'!$B$6:$AT$1292,45,0)</f>
        <v>8551678</v>
      </c>
      <c r="F415" s="1029" t="s">
        <v>5723</v>
      </c>
      <c r="G415" s="824" t="str">
        <f>+VLOOKUP(B415,'Salary sheet'!$B$6:$E$2281,4,0)</f>
        <v>FACTORY B</v>
      </c>
      <c r="H415" s="607" t="str">
        <f>+VLOOKUP(B415,'Salary sheet'!$B$6:$AZ$1386,50,0)</f>
        <v>SK1 Box</v>
      </c>
      <c r="I415" s="607" t="str">
        <f t="shared" si="23"/>
        <v>C16089LUONG THI KIM HUE050056222275</v>
      </c>
      <c r="J415" s="853" t="str">
        <f>+VLOOKUP(B415,'[5]04 2025'!$B$2:$F$1371,5,0)</f>
        <v>C16089LUONG THI KIM HUE050056222275</v>
      </c>
      <c r="K415" s="607">
        <f t="shared" si="22"/>
        <v>1</v>
      </c>
      <c r="P415" s="685"/>
    </row>
    <row r="416" spans="1:16" s="607" customFormat="1" ht="18" customHeight="1">
      <c r="A416" s="826">
        <f>SUBTOTAL(3,B$6:B416)</f>
        <v>411</v>
      </c>
      <c r="B416" s="824" t="s">
        <v>1636</v>
      </c>
      <c r="C416" s="824" t="str">
        <f>+VLOOKUP(B416,'Salary sheet'!$B$6:$AX$1386,48,0)</f>
        <v>TRAN THI THOA</v>
      </c>
      <c r="D416" s="824" t="str">
        <f>+VLOOKUP(B416,'Salary sheet'!$B$6:$BW$1386,49,0)</f>
        <v>050063533006</v>
      </c>
      <c r="E416" s="620">
        <f>+VLOOKUP(B416,'Salary sheet'!$B$6:$AT$1292,45,0)</f>
        <v>5789131</v>
      </c>
      <c r="F416" s="1029" t="s">
        <v>5723</v>
      </c>
      <c r="G416" s="824" t="str">
        <f>+VLOOKUP(B416,'Salary sheet'!$B$6:$E$2281,4,0)</f>
        <v>FACTORY B</v>
      </c>
      <c r="H416" s="607" t="str">
        <f>+VLOOKUP(B416,'Salary sheet'!$B$6:$AZ$1386,50,0)</f>
        <v>SK1 Box</v>
      </c>
      <c r="I416" s="607" t="str">
        <f t="shared" si="23"/>
        <v>C16256TRAN THI THOA050063533006</v>
      </c>
      <c r="J416" s="853" t="str">
        <f>+VLOOKUP(B416,'[5]04 2025'!$B$2:$F$1371,5,0)</f>
        <v>C16256TRAN THI THOA050063533006</v>
      </c>
      <c r="K416" s="607">
        <f t="shared" si="22"/>
        <v>1</v>
      </c>
      <c r="P416" s="685"/>
    </row>
    <row r="417" spans="1:16" s="607" customFormat="1" ht="18" customHeight="1">
      <c r="A417" s="826">
        <f>SUBTOTAL(3,B$6:B417)</f>
        <v>412</v>
      </c>
      <c r="B417" s="824" t="s">
        <v>1638</v>
      </c>
      <c r="C417" s="824" t="str">
        <f>+VLOOKUP(B417,'Salary sheet'!$B$6:$AX$1386,48,0)</f>
        <v>TRAN THI VAN CHI</v>
      </c>
      <c r="D417" s="824" t="str">
        <f>+VLOOKUP(B417,'Salary sheet'!$B$6:$BW$1386,49,0)</f>
        <v>050040931373</v>
      </c>
      <c r="E417" s="620">
        <f>+VLOOKUP(B417,'Salary sheet'!$B$6:$AT$1292,45,0)</f>
        <v>6523160</v>
      </c>
      <c r="F417" s="1029" t="s">
        <v>5723</v>
      </c>
      <c r="G417" s="824" t="str">
        <f>+VLOOKUP(B417,'Salary sheet'!$B$6:$E$2281,4,0)</f>
        <v>FACTORY B</v>
      </c>
      <c r="H417" s="607" t="str">
        <f>+VLOOKUP(B417,'Salary sheet'!$B$6:$AZ$1386,50,0)</f>
        <v>SK1 Box</v>
      </c>
      <c r="I417" s="607" t="str">
        <f t="shared" si="23"/>
        <v>C2832TRAN THI VAN CHI050040931373</v>
      </c>
      <c r="J417" s="853" t="str">
        <f>+VLOOKUP(B417,'[5]04 2025'!$B$2:$F$1371,5,0)</f>
        <v>C2832TRAN THI VAN CHI050040931373</v>
      </c>
      <c r="K417" s="607">
        <f t="shared" si="22"/>
        <v>1</v>
      </c>
      <c r="P417" s="685"/>
    </row>
    <row r="418" spans="1:16" s="607" customFormat="1" ht="18" customHeight="1">
      <c r="A418" s="826">
        <f>SUBTOTAL(3,B$6:B418)</f>
        <v>413</v>
      </c>
      <c r="B418" s="824" t="s">
        <v>1640</v>
      </c>
      <c r="C418" s="824" t="str">
        <f>+VLOOKUP(B418,'Salary sheet'!$B$6:$AX$1386,48,0)</f>
        <v>NGUYEN THI THANH</v>
      </c>
      <c r="D418" s="824" t="str">
        <f>+VLOOKUP(B418,'Salary sheet'!$B$6:$BW$1386,49,0)</f>
        <v>050040931454</v>
      </c>
      <c r="E418" s="620">
        <f>+VLOOKUP(B418,'Salary sheet'!$B$6:$AT$1292,45,0)</f>
        <v>9881231</v>
      </c>
      <c r="F418" s="1029" t="s">
        <v>5723</v>
      </c>
      <c r="G418" s="824" t="str">
        <f>+VLOOKUP(B418,'Salary sheet'!$B$6:$E$2281,4,0)</f>
        <v>FACTORY B</v>
      </c>
      <c r="H418" s="607" t="str">
        <f>+VLOOKUP(B418,'Salary sheet'!$B$6:$AZ$1386,50,0)</f>
        <v>SK1 Box</v>
      </c>
      <c r="I418" s="607" t="str">
        <f t="shared" si="23"/>
        <v>C3894NGUYEN THI THANH050040931454</v>
      </c>
      <c r="J418" s="853" t="str">
        <f>+VLOOKUP(B418,'[5]04 2025'!$B$2:$F$1371,5,0)</f>
        <v>C3894NGUYEN THI THANH050040931454</v>
      </c>
      <c r="K418" s="607">
        <f t="shared" si="22"/>
        <v>1</v>
      </c>
      <c r="P418" s="685"/>
    </row>
    <row r="419" spans="1:16" s="607" customFormat="1" ht="18" customHeight="1">
      <c r="A419" s="826">
        <f>SUBTOTAL(3,B$6:B419)</f>
        <v>414</v>
      </c>
      <c r="B419" s="824" t="s">
        <v>1642</v>
      </c>
      <c r="C419" s="824" t="str">
        <f>+VLOOKUP(B419,'Salary sheet'!$B$6:$AX$1386,48,0)</f>
        <v>TRAN THI VAN PHUONG</v>
      </c>
      <c r="D419" s="824" t="str">
        <f>+VLOOKUP(B419,'Salary sheet'!$B$6:$BW$1386,49,0)</f>
        <v>050040931284</v>
      </c>
      <c r="E419" s="620">
        <f>+VLOOKUP(B419,'Salary sheet'!$B$6:$AT$1292,45,0)</f>
        <v>9467795</v>
      </c>
      <c r="F419" s="1029" t="s">
        <v>5723</v>
      </c>
      <c r="G419" s="824" t="str">
        <f>+VLOOKUP(B419,'Salary sheet'!$B$6:$E$2281,4,0)</f>
        <v>FACTORY B</v>
      </c>
      <c r="H419" s="607" t="str">
        <f>+VLOOKUP(B419,'Salary sheet'!$B$6:$AZ$1386,50,0)</f>
        <v>SK1 Box</v>
      </c>
      <c r="I419" s="607" t="str">
        <f t="shared" si="23"/>
        <v>C5156TRAN THI VAN PHUONG050040931284</v>
      </c>
      <c r="J419" s="853" t="str">
        <f>+VLOOKUP(B419,'[5]04 2025'!$B$2:$F$1371,5,0)</f>
        <v>C5156TRAN THI VAN PHUONG050040931284</v>
      </c>
      <c r="K419" s="607">
        <f t="shared" si="22"/>
        <v>1</v>
      </c>
      <c r="P419" s="685"/>
    </row>
    <row r="420" spans="1:16" s="607" customFormat="1" ht="18" customHeight="1">
      <c r="A420" s="826">
        <f>SUBTOTAL(3,B$6:B420)</f>
        <v>415</v>
      </c>
      <c r="B420" s="824" t="s">
        <v>1644</v>
      </c>
      <c r="C420" s="824" t="str">
        <f>+VLOOKUP(B420,'Salary sheet'!$B$6:$AX$1386,48,0)</f>
        <v>HOANG THI CUC</v>
      </c>
      <c r="D420" s="824" t="str">
        <f>+VLOOKUP(B420,'Salary sheet'!$B$6:$BW$1386,49,0)</f>
        <v>050042476363</v>
      </c>
      <c r="E420" s="620">
        <f>+VLOOKUP(B420,'Salary sheet'!$B$6:$AT$1292,45,0)</f>
        <v>7447284</v>
      </c>
      <c r="F420" s="1029" t="s">
        <v>5723</v>
      </c>
      <c r="G420" s="824" t="str">
        <f>+VLOOKUP(B420,'Salary sheet'!$B$6:$E$2281,4,0)</f>
        <v>FACTORY B</v>
      </c>
      <c r="H420" s="607" t="str">
        <f>+VLOOKUP(B420,'Salary sheet'!$B$6:$AZ$1386,50,0)</f>
        <v>SK1 Box</v>
      </c>
      <c r="I420" s="607" t="str">
        <f t="shared" si="23"/>
        <v>C6482HOANG THI CUC050042476363</v>
      </c>
      <c r="J420" s="853" t="str">
        <f>+VLOOKUP(B420,'[5]04 2025'!$B$2:$F$1371,5,0)</f>
        <v>C6482HOANG THI CUC050042476363</v>
      </c>
      <c r="K420" s="607">
        <f t="shared" si="22"/>
        <v>1</v>
      </c>
      <c r="P420" s="685"/>
    </row>
    <row r="421" spans="1:16" s="607" customFormat="1" ht="18" customHeight="1">
      <c r="A421" s="826">
        <f>SUBTOTAL(3,B$6:B421)</f>
        <v>416</v>
      </c>
      <c r="B421" s="824" t="s">
        <v>1646</v>
      </c>
      <c r="C421" s="824" t="str">
        <f>+VLOOKUP(B421,'Salary sheet'!$B$6:$AX$1386,48,0)</f>
        <v>THI THAM</v>
      </c>
      <c r="D421" s="824" t="str">
        <f>+VLOOKUP(B421,'Salary sheet'!$B$6:$BW$1386,49,0)</f>
        <v>050076195304</v>
      </c>
      <c r="E421" s="620">
        <f>+VLOOKUP(B421,'Salary sheet'!$B$6:$AT$1292,45,0)</f>
        <v>8842891</v>
      </c>
      <c r="F421" s="1029" t="s">
        <v>5723</v>
      </c>
      <c r="G421" s="824" t="str">
        <f>+VLOOKUP(B421,'Salary sheet'!$B$6:$E$2281,4,0)</f>
        <v>FACTORY B</v>
      </c>
      <c r="H421" s="607" t="str">
        <f>+VLOOKUP(B421,'Salary sheet'!$B$6:$AZ$1386,50,0)</f>
        <v>SK1 Box</v>
      </c>
      <c r="I421" s="607" t="str">
        <f t="shared" si="23"/>
        <v>C9048THI THAM050076195304</v>
      </c>
      <c r="J421" s="853" t="str">
        <f>+VLOOKUP(B421,'[5]04 2025'!$B$2:$F$1371,5,0)</f>
        <v>C9048THI THAM050076195304</v>
      </c>
      <c r="K421" s="607">
        <f t="shared" si="22"/>
        <v>1</v>
      </c>
      <c r="P421" s="685"/>
    </row>
    <row r="422" spans="1:16" s="607" customFormat="1" ht="18" customHeight="1">
      <c r="A422" s="826">
        <f>SUBTOTAL(3,B$6:B422)</f>
        <v>417</v>
      </c>
      <c r="B422" s="824" t="s">
        <v>1648</v>
      </c>
      <c r="C422" s="824" t="str">
        <f>+VLOOKUP(B422,'Salary sheet'!$B$6:$AX$1386,48,0)</f>
        <v>TRAN THI NHUNG</v>
      </c>
      <c r="D422" s="824" t="str">
        <f>+VLOOKUP(B422,'Salary sheet'!$B$6:$BW$1386,49,0)</f>
        <v>050076206217</v>
      </c>
      <c r="E422" s="620">
        <f>+VLOOKUP(B422,'Salary sheet'!$B$6:$AT$1292,45,0)</f>
        <v>9356949</v>
      </c>
      <c r="F422" s="1029" t="s">
        <v>5723</v>
      </c>
      <c r="G422" s="824" t="str">
        <f>+VLOOKUP(B422,'Salary sheet'!$B$6:$E$2281,4,0)</f>
        <v>FACTORY B</v>
      </c>
      <c r="H422" s="607" t="str">
        <f>+VLOOKUP(B422,'Salary sheet'!$B$6:$AZ$1386,50,0)</f>
        <v>SK1 Box</v>
      </c>
      <c r="I422" s="607" t="str">
        <f t="shared" si="23"/>
        <v>C10515TRAN THI NHUNG050076206217</v>
      </c>
      <c r="J422" s="853" t="str">
        <f>+VLOOKUP(B422,'[5]04 2025'!$B$2:$F$1371,5,0)</f>
        <v>C10515TRAN THI NHUNG050076206217</v>
      </c>
      <c r="K422" s="607">
        <f t="shared" si="22"/>
        <v>1</v>
      </c>
      <c r="P422" s="685"/>
    </row>
    <row r="423" spans="1:16" s="607" customFormat="1" ht="18" customHeight="1">
      <c r="A423" s="826">
        <f>SUBTOTAL(3,B$6:B423)</f>
        <v>418</v>
      </c>
      <c r="B423" s="824" t="s">
        <v>1650</v>
      </c>
      <c r="C423" s="824" t="str">
        <f>+VLOOKUP(B423,'Salary sheet'!$B$6:$AX$1386,48,0)</f>
        <v>NGUYEN THUY TIEN</v>
      </c>
      <c r="D423" s="824" t="str">
        <f>+VLOOKUP(B423,'Salary sheet'!$B$6:$BW$1386,49,0)</f>
        <v>050135679302</v>
      </c>
      <c r="E423" s="620">
        <f>+VLOOKUP(B423,'Salary sheet'!$B$6:$AT$1292,45,0)</f>
        <v>8888868</v>
      </c>
      <c r="F423" s="1029" t="s">
        <v>5723</v>
      </c>
      <c r="G423" s="824" t="str">
        <f>+VLOOKUP(B423,'Salary sheet'!$B$6:$E$2281,4,0)</f>
        <v>FACTORY B</v>
      </c>
      <c r="H423" s="607" t="str">
        <f>+VLOOKUP(B423,'Salary sheet'!$B$6:$AZ$1386,50,0)</f>
        <v>SK1 Box</v>
      </c>
      <c r="I423" s="607" t="str">
        <f t="shared" si="23"/>
        <v>C14430NGUYEN THUY TIEN050135679302</v>
      </c>
      <c r="J423" s="853" t="str">
        <f>+VLOOKUP(B423,'[5]04 2025'!$B$2:$F$1371,5,0)</f>
        <v>C14430NGUYEN THUY TIEN050135679302</v>
      </c>
      <c r="K423" s="607">
        <f t="shared" si="22"/>
        <v>1</v>
      </c>
      <c r="P423" s="685"/>
    </row>
    <row r="424" spans="1:16" s="607" customFormat="1" ht="18" customHeight="1">
      <c r="A424" s="826">
        <f>SUBTOTAL(3,B$6:B424)</f>
        <v>419</v>
      </c>
      <c r="B424" s="824" t="s">
        <v>1652</v>
      </c>
      <c r="C424" s="824" t="str">
        <f>+VLOOKUP(B424,'Salary sheet'!$B$6:$AX$1386,48,0)</f>
        <v>VO THI MY DUNG</v>
      </c>
      <c r="D424" s="824" t="str">
        <f>+VLOOKUP(B424,'Salary sheet'!$B$6:$BW$1386,49,0)</f>
        <v>050143874416</v>
      </c>
      <c r="E424" s="620">
        <f>+VLOOKUP(B424,'Salary sheet'!$B$6:$AT$1292,45,0)</f>
        <v>9118529</v>
      </c>
      <c r="F424" s="1029" t="s">
        <v>5723</v>
      </c>
      <c r="G424" s="824" t="str">
        <f>+VLOOKUP(B424,'Salary sheet'!$B$6:$E$2281,4,0)</f>
        <v>FACTORY B</v>
      </c>
      <c r="H424" s="607" t="str">
        <f>+VLOOKUP(B424,'Salary sheet'!$B$6:$AZ$1386,50,0)</f>
        <v>SK1 Box</v>
      </c>
      <c r="I424" s="607" t="str">
        <f t="shared" si="23"/>
        <v>C15417VO THI MY DUNG050143874416</v>
      </c>
      <c r="J424" s="853" t="str">
        <f>+VLOOKUP(B424,'[5]04 2025'!$B$2:$F$1371,5,0)</f>
        <v>C15417VO THI MY DUNG050143874416</v>
      </c>
      <c r="K424" s="607">
        <f t="shared" ref="K424:K485" si="24">+IF(J424=I424,1,0)</f>
        <v>1</v>
      </c>
      <c r="P424" s="685"/>
    </row>
    <row r="425" spans="1:16" s="607" customFormat="1" ht="18" customHeight="1">
      <c r="A425" s="826">
        <f>SUBTOTAL(3,B$6:B425)</f>
        <v>420</v>
      </c>
      <c r="B425" s="824" t="s">
        <v>1654</v>
      </c>
      <c r="C425" s="824" t="str">
        <f>+VLOOKUP(B425,'Salary sheet'!$B$6:$AX$1386,48,0)</f>
        <v>TRAN MINH PHAT</v>
      </c>
      <c r="D425" s="824" t="str">
        <f>+VLOOKUP(B425,'Salary sheet'!$B$6:$BW$1386,49,0)</f>
        <v>050143874386</v>
      </c>
      <c r="E425" s="620">
        <f>+VLOOKUP(B425,'Salary sheet'!$B$6:$AT$1292,45,0)</f>
        <v>9395813</v>
      </c>
      <c r="F425" s="1029" t="s">
        <v>5723</v>
      </c>
      <c r="G425" s="824" t="str">
        <f>+VLOOKUP(B425,'Salary sheet'!$B$6:$E$2281,4,0)</f>
        <v>FACTORY B</v>
      </c>
      <c r="H425" s="607" t="str">
        <f>+VLOOKUP(B425,'Salary sheet'!$B$6:$AZ$1386,50,0)</f>
        <v>SK1 Box</v>
      </c>
      <c r="I425" s="607" t="str">
        <f t="shared" si="23"/>
        <v>C15418TRAN MINH PHAT050143874386</v>
      </c>
      <c r="J425" s="853" t="str">
        <f>+VLOOKUP(B425,'[5]04 2025'!$B$2:$F$1371,5,0)</f>
        <v>C15418TRAN MINH PHAT050143874386</v>
      </c>
      <c r="K425" s="607">
        <f t="shared" si="24"/>
        <v>1</v>
      </c>
      <c r="P425" s="685"/>
    </row>
    <row r="426" spans="1:16" s="607" customFormat="1" ht="18" customHeight="1">
      <c r="A426" s="826">
        <f>SUBTOTAL(3,B$6:B426)</f>
        <v>421</v>
      </c>
      <c r="B426" s="824" t="s">
        <v>1656</v>
      </c>
      <c r="C426" s="824" t="str">
        <f>+VLOOKUP(B426,'Salary sheet'!$B$6:$AX$1386,48,0)</f>
        <v>LE THI YEN</v>
      </c>
      <c r="D426" s="824" t="str">
        <f>+VLOOKUP(B426,'Salary sheet'!$B$6:$BW$1386,49,0)</f>
        <v>050150910878</v>
      </c>
      <c r="E426" s="620">
        <f>+VLOOKUP(B426,'Salary sheet'!$B$6:$AT$1292,45,0)</f>
        <v>7941883</v>
      </c>
      <c r="F426" s="1029" t="s">
        <v>5723</v>
      </c>
      <c r="G426" s="824" t="str">
        <f>+VLOOKUP(B426,'Salary sheet'!$B$6:$E$2281,4,0)</f>
        <v>FACTORY B</v>
      </c>
      <c r="H426" s="607" t="str">
        <f>+VLOOKUP(B426,'Salary sheet'!$B$6:$AZ$1386,50,0)</f>
        <v>SK1 Box</v>
      </c>
      <c r="I426" s="607" t="str">
        <f t="shared" si="23"/>
        <v>C15919LE THI YEN050150910878</v>
      </c>
      <c r="J426" s="853" t="str">
        <f>+VLOOKUP(B426,'[5]04 2025'!$B$2:$F$1371,5,0)</f>
        <v>C15919LE THI YEN050150910878</v>
      </c>
      <c r="K426" s="607">
        <f t="shared" si="24"/>
        <v>1</v>
      </c>
      <c r="P426" s="685"/>
    </row>
    <row r="427" spans="1:16" s="607" customFormat="1" ht="18" customHeight="1">
      <c r="A427" s="826">
        <f>SUBTOTAL(3,B$6:B427)</f>
        <v>422</v>
      </c>
      <c r="B427" s="824" t="s">
        <v>1658</v>
      </c>
      <c r="C427" s="824" t="str">
        <f>+VLOOKUP(B427,'Salary sheet'!$B$6:$AX$1386,48,0)</f>
        <v>NGUYEN THI NGOC XUAN</v>
      </c>
      <c r="D427" s="824" t="str">
        <f>+VLOOKUP(B427,'Salary sheet'!$B$6:$BW$1386,49,0)</f>
        <v>050153752157</v>
      </c>
      <c r="E427" s="620">
        <f>+VLOOKUP(B427,'Salary sheet'!$B$6:$AT$1292,45,0)</f>
        <v>8293343</v>
      </c>
      <c r="F427" s="1029" t="s">
        <v>5723</v>
      </c>
      <c r="G427" s="824" t="str">
        <f>+VLOOKUP(B427,'Salary sheet'!$B$6:$E$2281,4,0)</f>
        <v>FACTORY B</v>
      </c>
      <c r="H427" s="607" t="str">
        <f>+VLOOKUP(B427,'Salary sheet'!$B$6:$AZ$1386,50,0)</f>
        <v>SK1 Box</v>
      </c>
      <c r="I427" s="607" t="str">
        <f t="shared" si="23"/>
        <v>C16004NGUYEN THI NGOC XUAN050153752157</v>
      </c>
      <c r="J427" s="853" t="str">
        <f>+VLOOKUP(B427,'[5]04 2025'!$B$2:$F$1371,5,0)</f>
        <v>C16004NGUYEN THI NGOC XUAN050153752157</v>
      </c>
      <c r="K427" s="607">
        <f t="shared" si="24"/>
        <v>1</v>
      </c>
      <c r="P427" s="685"/>
    </row>
    <row r="428" spans="1:16" s="607" customFormat="1" ht="18" customHeight="1">
      <c r="A428" s="826">
        <f>SUBTOTAL(3,B$6:B428)</f>
        <v>423</v>
      </c>
      <c r="B428" s="824" t="s">
        <v>1660</v>
      </c>
      <c r="C428" s="824" t="str">
        <f>+VLOOKUP(B428,'Salary sheet'!$B$6:$AX$1386,48,0)</f>
        <v>DANG THI KIM HOA</v>
      </c>
      <c r="D428" s="824" t="str">
        <f>+VLOOKUP(B428,'Salary sheet'!$B$6:$BW$1386,49,0)</f>
        <v>050085003809</v>
      </c>
      <c r="E428" s="620">
        <f>+VLOOKUP(B428,'Salary sheet'!$B$6:$AT$1292,45,0)</f>
        <v>7800928</v>
      </c>
      <c r="F428" s="1029" t="s">
        <v>5723</v>
      </c>
      <c r="G428" s="824" t="str">
        <f>+VLOOKUP(B428,'Salary sheet'!$B$6:$E$2281,4,0)</f>
        <v>FACTORY B</v>
      </c>
      <c r="H428" s="607" t="str">
        <f>+VLOOKUP(B428,'Salary sheet'!$B$6:$AZ$1386,50,0)</f>
        <v>SK1 Box</v>
      </c>
      <c r="I428" s="607" t="str">
        <f t="shared" si="23"/>
        <v>C16419DANG THI KIM HOA050085003809</v>
      </c>
      <c r="J428" s="853" t="str">
        <f>+VLOOKUP(B428,'[5]04 2025'!$B$2:$F$1371,5,0)</f>
        <v>C16419DANG THI KIM HOA050085003809</v>
      </c>
      <c r="K428" s="607">
        <f t="shared" si="24"/>
        <v>1</v>
      </c>
      <c r="P428" s="685"/>
    </row>
    <row r="429" spans="1:16" s="607" customFormat="1" ht="18" customHeight="1">
      <c r="A429" s="826">
        <f>SUBTOTAL(3,B$6:B429)</f>
        <v>424</v>
      </c>
      <c r="B429" s="824" t="s">
        <v>1662</v>
      </c>
      <c r="C429" s="824" t="str">
        <f>+VLOOKUP(B429,'Salary sheet'!$B$6:$AX$1386,48,0)</f>
        <v>DANG THI THU TRUYEN</v>
      </c>
      <c r="D429" s="824" t="str">
        <f>+VLOOKUP(B429,'Salary sheet'!$B$6:$BW$1386,49,0)</f>
        <v>050115839095</v>
      </c>
      <c r="E429" s="620">
        <f>+VLOOKUP(B429,'Salary sheet'!$B$6:$AT$1292,45,0)</f>
        <v>7800928</v>
      </c>
      <c r="F429" s="1029" t="s">
        <v>5723</v>
      </c>
      <c r="G429" s="824" t="str">
        <f>+VLOOKUP(B429,'Salary sheet'!$B$6:$E$2281,4,0)</f>
        <v>FACTORY B</v>
      </c>
      <c r="H429" s="607" t="str">
        <f>+VLOOKUP(B429,'Salary sheet'!$B$6:$AZ$1386,50,0)</f>
        <v>SK1 Box</v>
      </c>
      <c r="I429" s="607" t="str">
        <f t="shared" si="23"/>
        <v>C16429DANG THI THU TRUYEN050115839095</v>
      </c>
      <c r="J429" s="853" t="str">
        <f>+VLOOKUP(B429,'[5]04 2025'!$B$2:$F$1371,5,0)</f>
        <v>C16429DANG THI THU TRUYEN050115839095</v>
      </c>
      <c r="K429" s="607">
        <f t="shared" si="24"/>
        <v>1</v>
      </c>
      <c r="P429" s="685"/>
    </row>
    <row r="430" spans="1:16" s="607" customFormat="1" ht="18" customHeight="1">
      <c r="A430" s="826">
        <f>SUBTOTAL(3,B$6:B430)</f>
        <v>425</v>
      </c>
      <c r="B430" s="824" t="s">
        <v>1664</v>
      </c>
      <c r="C430" s="824" t="str">
        <f>+VLOOKUP(B430,'Salary sheet'!$B$6:$AX$1386,48,0)</f>
        <v>NGO THI BAO CHAU</v>
      </c>
      <c r="D430" s="824" t="str">
        <f>+VLOOKUP(B430,'Salary sheet'!$B$6:$BW$1386,49,0)</f>
        <v>050113031015</v>
      </c>
      <c r="E430" s="620">
        <f>+VLOOKUP(B430,'Salary sheet'!$B$6:$AT$1292,45,0)</f>
        <v>7415913</v>
      </c>
      <c r="F430" s="1029" t="s">
        <v>5723</v>
      </c>
      <c r="G430" s="824" t="str">
        <f>+VLOOKUP(B430,'Salary sheet'!$B$6:$E$2281,4,0)</f>
        <v>FACTORY B</v>
      </c>
      <c r="H430" s="607" t="str">
        <f>+VLOOKUP(B430,'Salary sheet'!$B$6:$AZ$1386,50,0)</f>
        <v>SK1 Bag</v>
      </c>
      <c r="I430" s="607" t="str">
        <f t="shared" si="23"/>
        <v>C13884NGO THI BAO CHAU050113031015</v>
      </c>
      <c r="J430" s="853" t="str">
        <f>+VLOOKUP(B430,'[5]04 2025'!$B$2:$F$1371,5,0)</f>
        <v>C13884NGO THI BAO CHAU050113031015</v>
      </c>
      <c r="K430" s="607">
        <f t="shared" si="24"/>
        <v>1</v>
      </c>
      <c r="P430" s="685"/>
    </row>
    <row r="431" spans="1:16" s="607" customFormat="1" ht="18" customHeight="1">
      <c r="A431" s="826">
        <f>SUBTOTAL(3,B$6:B431)</f>
        <v>426</v>
      </c>
      <c r="B431" s="824" t="s">
        <v>1666</v>
      </c>
      <c r="C431" s="824" t="str">
        <f>+VLOOKUP(B431,'Salary sheet'!$B$6:$AX$1386,48,0)</f>
        <v>VO ANH QUAN</v>
      </c>
      <c r="D431" s="824" t="str">
        <f>+VLOOKUP(B431,'Salary sheet'!$B$6:$BW$1386,49,0)</f>
        <v>050127502975</v>
      </c>
      <c r="E431" s="620">
        <f>+VLOOKUP(B431,'Salary sheet'!$B$6:$AT$1292,45,0)</f>
        <v>9586837</v>
      </c>
      <c r="F431" s="1029" t="s">
        <v>5723</v>
      </c>
      <c r="G431" s="824" t="str">
        <f>+VLOOKUP(B431,'Salary sheet'!$B$6:$E$2281,4,0)</f>
        <v>FACTORY B</v>
      </c>
      <c r="H431" s="607" t="str">
        <f>+VLOOKUP(B431,'Salary sheet'!$B$6:$AZ$1386,50,0)</f>
        <v>SK1 Bag</v>
      </c>
      <c r="I431" s="607" t="str">
        <f t="shared" si="23"/>
        <v>C14086VO ANH QUAN050127502975</v>
      </c>
      <c r="J431" s="853" t="str">
        <f>+VLOOKUP(B431,'[5]04 2025'!$B$2:$F$1371,5,0)</f>
        <v>C14086VO ANH QUAN050127502975</v>
      </c>
      <c r="K431" s="607">
        <f t="shared" si="24"/>
        <v>1</v>
      </c>
      <c r="P431" s="685"/>
    </row>
    <row r="432" spans="1:16" s="607" customFormat="1" ht="18" customHeight="1">
      <c r="A432" s="826">
        <f>SUBTOTAL(3,B$6:B432)</f>
        <v>427</v>
      </c>
      <c r="B432" s="824" t="s">
        <v>1668</v>
      </c>
      <c r="C432" s="824" t="str">
        <f>+VLOOKUP(B432,'Salary sheet'!$B$6:$AX$1386,48,0)</f>
        <v>NGUYEN VAN TOAN</v>
      </c>
      <c r="D432" s="824" t="str">
        <f>+VLOOKUP(B432,'Salary sheet'!$B$6:$BW$1386,49,0)</f>
        <v>050063552851</v>
      </c>
      <c r="E432" s="620">
        <f>+VLOOKUP(B432,'Salary sheet'!$B$6:$AT$1292,45,0)</f>
        <v>8451421</v>
      </c>
      <c r="F432" s="1029" t="s">
        <v>5723</v>
      </c>
      <c r="G432" s="824" t="str">
        <f>+VLOOKUP(B432,'Salary sheet'!$B$6:$E$2281,4,0)</f>
        <v>FACTORY B</v>
      </c>
      <c r="H432" s="607" t="str">
        <f>+VLOOKUP(B432,'Salary sheet'!$B$6:$AZ$1386,50,0)</f>
        <v>SK1 Bag</v>
      </c>
      <c r="I432" s="607" t="str">
        <f t="shared" si="23"/>
        <v>C15368NGUYEN VAN TOAN050063552851</v>
      </c>
      <c r="J432" s="853" t="str">
        <f>+VLOOKUP(B432,'[5]04 2025'!$B$2:$F$1371,5,0)</f>
        <v>C15368NGUYEN VAN TOAN050063552851</v>
      </c>
      <c r="K432" s="607">
        <f t="shared" si="24"/>
        <v>1</v>
      </c>
      <c r="P432" s="685"/>
    </row>
    <row r="433" spans="1:16" s="607" customFormat="1" ht="18" customHeight="1">
      <c r="A433" s="826">
        <f>SUBTOTAL(3,B$6:B433)</f>
        <v>428</v>
      </c>
      <c r="B433" s="824" t="s">
        <v>1670</v>
      </c>
      <c r="C433" s="824" t="str">
        <f>+VLOOKUP(B433,'Salary sheet'!$B$6:$AX$1386,48,0)</f>
        <v>LAM VAN RON</v>
      </c>
      <c r="D433" s="824" t="str">
        <f>+VLOOKUP(B433,'Salary sheet'!$B$6:$BW$1386,49,0)</f>
        <v>050109870177</v>
      </c>
      <c r="E433" s="620">
        <f>+VLOOKUP(B433,'Salary sheet'!$B$6:$AT$1292,45,0)</f>
        <v>6089089</v>
      </c>
      <c r="F433" s="1029" t="s">
        <v>5723</v>
      </c>
      <c r="G433" s="824" t="str">
        <f>+VLOOKUP(B433,'Salary sheet'!$B$6:$E$2281,4,0)</f>
        <v>FACTORY B</v>
      </c>
      <c r="H433" s="607" t="str">
        <f>+VLOOKUP(B433,'Salary sheet'!$B$6:$AZ$1386,50,0)</f>
        <v>SK1 Bag</v>
      </c>
      <c r="I433" s="607" t="str">
        <f t="shared" si="23"/>
        <v>C15918LAM VAN RON050109870177</v>
      </c>
      <c r="J433" s="853" t="str">
        <f>+VLOOKUP(B433,'[5]04 2025'!$B$2:$F$1371,5,0)</f>
        <v>C15918LAM VAN RON050109870177</v>
      </c>
      <c r="K433" s="607">
        <f t="shared" si="24"/>
        <v>1</v>
      </c>
      <c r="P433" s="685"/>
    </row>
    <row r="434" spans="1:16" s="607" customFormat="1" ht="18" customHeight="1">
      <c r="A434" s="826">
        <f>SUBTOTAL(3,B$6:B434)</f>
        <v>429</v>
      </c>
      <c r="B434" s="824" t="s">
        <v>1672</v>
      </c>
      <c r="C434" s="824" t="str">
        <f>+VLOOKUP(B434,'Salary sheet'!$B$6:$AX$1386,48,0)</f>
        <v>DO THANH HAI</v>
      </c>
      <c r="D434" s="824" t="str">
        <f>+VLOOKUP(B434,'Salary sheet'!$B$6:$BW$1386,49,0)</f>
        <v>050152960260</v>
      </c>
      <c r="E434" s="620">
        <f>+VLOOKUP(B434,'Salary sheet'!$B$6:$AT$1292,45,0)</f>
        <v>6271539</v>
      </c>
      <c r="F434" s="1029" t="s">
        <v>5723</v>
      </c>
      <c r="G434" s="824" t="str">
        <f>+VLOOKUP(B434,'Salary sheet'!$B$6:$E$2281,4,0)</f>
        <v>FACTORY B</v>
      </c>
      <c r="H434" s="607" t="str">
        <f>+VLOOKUP(B434,'Salary sheet'!$B$6:$AZ$1386,50,0)</f>
        <v>SK1 Bag</v>
      </c>
      <c r="I434" s="607" t="str">
        <f t="shared" si="23"/>
        <v>C15938DO THANH HAI050152960260</v>
      </c>
      <c r="J434" s="853" t="str">
        <f>+VLOOKUP(B434,'[5]04 2025'!$B$2:$F$1371,5,0)</f>
        <v>C15938DO THANH HAI050152960260</v>
      </c>
      <c r="K434" s="607">
        <f t="shared" si="24"/>
        <v>1</v>
      </c>
      <c r="P434" s="685"/>
    </row>
    <row r="435" spans="1:16" s="607" customFormat="1" ht="18" customHeight="1">
      <c r="A435" s="826">
        <f>SUBTOTAL(3,B$6:B435)</f>
        <v>430</v>
      </c>
      <c r="B435" s="824" t="s">
        <v>1674</v>
      </c>
      <c r="C435" s="824" t="str">
        <f>+VLOOKUP(B435,'Salary sheet'!$B$6:$AX$1386,48,0)</f>
        <v>TRAN THI HOANG YEN</v>
      </c>
      <c r="D435" s="824" t="str">
        <f>+VLOOKUP(B435,'Salary sheet'!$B$6:$BW$1386,49,0)</f>
        <v>050126086595</v>
      </c>
      <c r="E435" s="620">
        <f>+VLOOKUP(B435,'Salary sheet'!$B$6:$AT$1292,45,0)</f>
        <v>4552262</v>
      </c>
      <c r="F435" s="1029" t="s">
        <v>5723</v>
      </c>
      <c r="G435" s="824" t="str">
        <f>+VLOOKUP(B435,'Salary sheet'!$B$6:$E$2281,4,0)</f>
        <v>FACTORY B</v>
      </c>
      <c r="H435" s="607" t="str">
        <f>+VLOOKUP(B435,'Salary sheet'!$B$6:$AZ$1386,50,0)</f>
        <v>SK1 Bag</v>
      </c>
      <c r="I435" s="607" t="str">
        <f t="shared" si="23"/>
        <v>C15986TRAN THI HOANG YEN050126086595</v>
      </c>
      <c r="J435" s="853" t="str">
        <f>+VLOOKUP(B435,'[5]04 2025'!$B$2:$F$1371,5,0)</f>
        <v>C15986TRAN THI HOANG YEN050126086595</v>
      </c>
      <c r="K435" s="607">
        <f t="shared" si="24"/>
        <v>1</v>
      </c>
      <c r="P435" s="685"/>
    </row>
    <row r="436" spans="1:16" s="607" customFormat="1" ht="18" customHeight="1">
      <c r="A436" s="826">
        <f>SUBTOTAL(3,B$6:B436)</f>
        <v>431</v>
      </c>
      <c r="B436" s="824" t="s">
        <v>1676</v>
      </c>
      <c r="C436" s="824" t="str">
        <f>+VLOOKUP(B436,'Salary sheet'!$B$6:$AX$1386,48,0)</f>
        <v>NGUYEN VAN NGHIEP</v>
      </c>
      <c r="D436" s="824" t="str">
        <f>+VLOOKUP(B436,'Salary sheet'!$B$6:$BW$1386,49,0)</f>
        <v>050098252190</v>
      </c>
      <c r="E436" s="620">
        <f>+VLOOKUP(B436,'Salary sheet'!$B$6:$AT$1292,45,0)</f>
        <v>4528754</v>
      </c>
      <c r="F436" s="1029" t="s">
        <v>5723</v>
      </c>
      <c r="G436" s="824" t="str">
        <f>+VLOOKUP(B436,'Salary sheet'!$B$6:$E$2281,4,0)</f>
        <v>FACTORY B</v>
      </c>
      <c r="H436" s="607" t="str">
        <f>+VLOOKUP(B436,'Salary sheet'!$B$6:$AZ$1386,50,0)</f>
        <v>SK1 Bag</v>
      </c>
      <c r="I436" s="607" t="str">
        <f t="shared" si="23"/>
        <v>C16021NGUYEN VAN NGHIEP050098252190</v>
      </c>
      <c r="J436" s="853" t="str">
        <f>+VLOOKUP(B436,'[5]04 2025'!$B$2:$F$1371,5,0)</f>
        <v>C16021NGUYEN VAN NGHIEP050098252190</v>
      </c>
      <c r="K436" s="607">
        <f t="shared" si="24"/>
        <v>1</v>
      </c>
      <c r="P436" s="685"/>
    </row>
    <row r="437" spans="1:16" s="607" customFormat="1" ht="18" customHeight="1">
      <c r="A437" s="826">
        <f>SUBTOTAL(3,B$6:B437)</f>
        <v>432</v>
      </c>
      <c r="B437" s="824" t="s">
        <v>1678</v>
      </c>
      <c r="C437" s="824" t="str">
        <f>+VLOOKUP(B437,'Salary sheet'!$B$6:$AX$1386,48,0)</f>
        <v>NGUYEN THI THANH</v>
      </c>
      <c r="D437" s="824" t="str">
        <f>+VLOOKUP(B437,'Salary sheet'!$B$6:$BW$1386,49,0)</f>
        <v>050155538357</v>
      </c>
      <c r="E437" s="620">
        <f>+VLOOKUP(B437,'Salary sheet'!$B$6:$AT$1292,45,0)</f>
        <v>7669002</v>
      </c>
      <c r="F437" s="1029" t="s">
        <v>5723</v>
      </c>
      <c r="G437" s="824" t="str">
        <f>+VLOOKUP(B437,'Salary sheet'!$B$6:$E$2281,4,0)</f>
        <v>FACTORY B</v>
      </c>
      <c r="H437" s="607" t="str">
        <f>+VLOOKUP(B437,'Salary sheet'!$B$6:$AZ$1386,50,0)</f>
        <v>SK1 Bag</v>
      </c>
      <c r="I437" s="607" t="str">
        <f t="shared" si="23"/>
        <v>C16204NGUYEN THI THANH050155538357</v>
      </c>
      <c r="J437" s="853" t="str">
        <f>+VLOOKUP(B437,'[5]04 2025'!$B$2:$F$1371,5,0)</f>
        <v>C16204NGUYEN THI THANH050155538357</v>
      </c>
      <c r="K437" s="607">
        <f t="shared" si="24"/>
        <v>1</v>
      </c>
      <c r="P437" s="685"/>
    </row>
    <row r="438" spans="1:16" s="607" customFormat="1" ht="18" customHeight="1">
      <c r="A438" s="826">
        <f>SUBTOTAL(3,B$6:B438)</f>
        <v>433</v>
      </c>
      <c r="B438" s="824" t="s">
        <v>1679</v>
      </c>
      <c r="C438" s="824" t="str">
        <f>+VLOOKUP(B438,'Salary sheet'!$B$6:$AX$1386,48,0)</f>
        <v>VU THANH CHUNG</v>
      </c>
      <c r="D438" s="824" t="str">
        <f>+VLOOKUP(B438,'Salary sheet'!$B$6:$BW$1386,49,0)</f>
        <v>050129505246</v>
      </c>
      <c r="E438" s="620">
        <f>+VLOOKUP(B438,'Salary sheet'!$B$6:$AT$1292,45,0)</f>
        <v>7132178</v>
      </c>
      <c r="F438" s="1029" t="s">
        <v>5723</v>
      </c>
      <c r="G438" s="824" t="str">
        <f>+VLOOKUP(B438,'Salary sheet'!$B$6:$E$2281,4,0)</f>
        <v>FACTORY B</v>
      </c>
      <c r="H438" s="607" t="str">
        <f>+VLOOKUP(B438,'Salary sheet'!$B$6:$AZ$1386,50,0)</f>
        <v>SK1 Bag</v>
      </c>
      <c r="I438" s="607" t="str">
        <f t="shared" si="23"/>
        <v>C16432VU THANH CHUNG050129505246</v>
      </c>
      <c r="J438" s="853" t="str">
        <f>+VLOOKUP(B438,'[5]04 2025'!$B$2:$F$1371,5,0)</f>
        <v>C16432VU THANH CHUNG050129505246</v>
      </c>
      <c r="K438" s="607">
        <f t="shared" si="24"/>
        <v>1</v>
      </c>
      <c r="P438" s="685"/>
    </row>
    <row r="439" spans="1:16" s="607" customFormat="1" ht="18" customHeight="1">
      <c r="A439" s="826">
        <f>SUBTOTAL(3,B$6:B439)</f>
        <v>434</v>
      </c>
      <c r="B439" s="824" t="s">
        <v>1681</v>
      </c>
      <c r="C439" s="824" t="str">
        <f>+VLOOKUP(B439,'Salary sheet'!$B$6:$AX$1386,48,0)</f>
        <v>NGUYEN THANH TAM</v>
      </c>
      <c r="D439" s="824" t="str">
        <f>+VLOOKUP(B439,'Salary sheet'!$B$6:$BW$1386,49,0)</f>
        <v>050157974881</v>
      </c>
      <c r="E439" s="620">
        <f>+VLOOKUP(B439,'Salary sheet'!$B$6:$AT$1292,45,0)</f>
        <v>7319127</v>
      </c>
      <c r="F439" s="1029" t="s">
        <v>5723</v>
      </c>
      <c r="G439" s="824" t="str">
        <f>+VLOOKUP(B439,'Salary sheet'!$B$6:$E$2281,4,0)</f>
        <v>FACTORY B</v>
      </c>
      <c r="H439" s="607" t="str">
        <f>+VLOOKUP(B439,'Salary sheet'!$B$6:$AZ$1386,50,0)</f>
        <v>SK1 Bag</v>
      </c>
      <c r="I439" s="607" t="str">
        <f t="shared" si="23"/>
        <v>C16433NGUYEN THANH TAM050157974881</v>
      </c>
      <c r="J439" s="853" t="str">
        <f>+VLOOKUP(B439,'[5]04 2025'!$B$2:$F$1371,5,0)</f>
        <v>C16433NGUYEN THANH TAM050157974881</v>
      </c>
      <c r="K439" s="607">
        <f t="shared" si="24"/>
        <v>1</v>
      </c>
      <c r="P439" s="685"/>
    </row>
    <row r="440" spans="1:16" s="607" customFormat="1" ht="18" customHeight="1">
      <c r="A440" s="826">
        <f>SUBTOTAL(3,B$6:B440)</f>
        <v>435</v>
      </c>
      <c r="B440" s="824" t="s">
        <v>1682</v>
      </c>
      <c r="C440" s="824" t="str">
        <f>+VLOOKUP(B440,'Salary sheet'!$B$6:$AX$1386,48,0)</f>
        <v>NGUYEN VAN KIEN</v>
      </c>
      <c r="D440" s="824" t="str">
        <f>+VLOOKUP(B440,'Salary sheet'!$B$6:$BW$1386,49,0)</f>
        <v>050065220757</v>
      </c>
      <c r="E440" s="620">
        <f>+VLOOKUP(B440,'Salary sheet'!$B$6:$AT$1292,45,0)</f>
        <v>5870022</v>
      </c>
      <c r="F440" s="1029" t="s">
        <v>5723</v>
      </c>
      <c r="G440" s="824" t="str">
        <f>+VLOOKUP(B440,'Salary sheet'!$B$6:$E$2281,4,0)</f>
        <v>FACTORY B</v>
      </c>
      <c r="H440" s="607" t="str">
        <f>+VLOOKUP(B440,'Salary sheet'!$B$6:$AZ$1386,50,0)</f>
        <v>SK1 Bag</v>
      </c>
      <c r="I440" s="607" t="str">
        <f t="shared" si="23"/>
        <v>C8051NGUYEN VAN KIEN050065220757</v>
      </c>
      <c r="J440" s="853" t="str">
        <f>+VLOOKUP(B440,'[5]04 2025'!$B$2:$F$1371,5,0)</f>
        <v>C8051NGUYEN VAN KIEN050065220757</v>
      </c>
      <c r="K440" s="607">
        <f t="shared" si="24"/>
        <v>1</v>
      </c>
      <c r="P440" s="685"/>
    </row>
    <row r="441" spans="1:16" s="607" customFormat="1" ht="18" customHeight="1">
      <c r="A441" s="826">
        <f>SUBTOTAL(3,B$6:B441)</f>
        <v>436</v>
      </c>
      <c r="B441" s="824" t="s">
        <v>1684</v>
      </c>
      <c r="C441" s="824" t="str">
        <f>+VLOOKUP(B441,'Salary sheet'!$B$6:$AX$1386,48,0)</f>
        <v>LE THI ANH THU</v>
      </c>
      <c r="D441" s="824" t="str">
        <f>+VLOOKUP(B441,'Salary sheet'!$B$6:$BW$1386,49,0)</f>
        <v>050103659792</v>
      </c>
      <c r="E441" s="620">
        <f>+VLOOKUP(B441,'Salary sheet'!$B$6:$AT$1292,45,0)</f>
        <v>10255057</v>
      </c>
      <c r="F441" s="1029" t="s">
        <v>5723</v>
      </c>
      <c r="G441" s="824" t="str">
        <f>+VLOOKUP(B441,'Salary sheet'!$B$6:$E$2281,4,0)</f>
        <v>FACTORY B</v>
      </c>
      <c r="H441" s="607" t="str">
        <f>+VLOOKUP(B441,'Salary sheet'!$B$6:$AZ$1386,50,0)</f>
        <v>SK1 Bag</v>
      </c>
      <c r="I441" s="607" t="str">
        <f t="shared" si="23"/>
        <v>C8055LE THI ANH THU050103659792</v>
      </c>
      <c r="J441" s="853" t="str">
        <f>+VLOOKUP(B441,'[5]04 2025'!$B$2:$F$1371,5,0)</f>
        <v>C8055LE THI ANH THU050103659792</v>
      </c>
      <c r="K441" s="607">
        <f t="shared" si="24"/>
        <v>1</v>
      </c>
      <c r="P441" s="685"/>
    </row>
    <row r="442" spans="1:16" s="607" customFormat="1" ht="18" customHeight="1">
      <c r="A442" s="826">
        <f>SUBTOTAL(3,B$6:B442)</f>
        <v>437</v>
      </c>
      <c r="B442" s="824" t="s">
        <v>1687</v>
      </c>
      <c r="C442" s="824" t="str">
        <f>+VLOOKUP(B442,'Salary sheet'!$B$6:$AX$1386,48,0)</f>
        <v>NGUYEN QUANG DUC</v>
      </c>
      <c r="D442" s="824" t="str">
        <f>+VLOOKUP(B442,'Salary sheet'!$B$6:$BW$1386,49,0)</f>
        <v>050116651243</v>
      </c>
      <c r="E442" s="620">
        <f>+VLOOKUP(B442,'Salary sheet'!$B$6:$AT$1292,45,0)</f>
        <v>5936629</v>
      </c>
      <c r="F442" s="1029" t="s">
        <v>5723</v>
      </c>
      <c r="G442" s="824" t="str">
        <f>+VLOOKUP(B442,'Salary sheet'!$B$6:$E$2281,4,0)</f>
        <v>FACTORY B</v>
      </c>
      <c r="H442" s="607" t="str">
        <f>+VLOOKUP(B442,'Salary sheet'!$B$6:$AZ$1386,50,0)</f>
        <v>SK1 Box</v>
      </c>
      <c r="I442" s="607" t="str">
        <f t="shared" si="23"/>
        <v>C13709NGUYEN QUANG DUC050116651243</v>
      </c>
      <c r="J442" s="853" t="str">
        <f>+VLOOKUP(B442,'[5]04 2025'!$B$2:$F$1371,5,0)</f>
        <v>C13709NGUYEN QUANG DUC050116651243</v>
      </c>
      <c r="K442" s="607">
        <f t="shared" si="24"/>
        <v>1</v>
      </c>
      <c r="P442" s="685"/>
    </row>
    <row r="443" spans="1:16" s="607" customFormat="1" ht="18" customHeight="1">
      <c r="A443" s="826">
        <f>SUBTOTAL(3,B$6:B443)</f>
        <v>438</v>
      </c>
      <c r="B443" s="824" t="s">
        <v>1689</v>
      </c>
      <c r="C443" s="824" t="str">
        <f>+VLOOKUP(B443,'Salary sheet'!$B$6:$AX$1386,48,0)</f>
        <v>NGUYEN TUAN KIET</v>
      </c>
      <c r="D443" s="824" t="str">
        <f>+VLOOKUP(B443,'Salary sheet'!$B$6:$BW$1386,49,0)</f>
        <v>050123002005</v>
      </c>
      <c r="E443" s="620">
        <f>+VLOOKUP(B443,'Salary sheet'!$B$6:$AT$1292,45,0)</f>
        <v>4812310</v>
      </c>
      <c r="F443" s="1029" t="s">
        <v>5723</v>
      </c>
      <c r="G443" s="824" t="str">
        <f>+VLOOKUP(B443,'Salary sheet'!$B$6:$E$2281,4,0)</f>
        <v>FACTORY B</v>
      </c>
      <c r="H443" s="607" t="str">
        <f>+VLOOKUP(B443,'Salary sheet'!$B$6:$AZ$1386,50,0)</f>
        <v>SK1 Box</v>
      </c>
      <c r="I443" s="607" t="str">
        <f t="shared" si="23"/>
        <v>C15522NGUYEN TUAN KIET050123002005</v>
      </c>
      <c r="J443" s="853" t="str">
        <f>+VLOOKUP(B443,'[5]04 2025'!$B$2:$F$1371,5,0)</f>
        <v>C15522NGUYEN TUAN KIET050123002005</v>
      </c>
      <c r="K443" s="607">
        <f t="shared" si="24"/>
        <v>1</v>
      </c>
      <c r="P443" s="685"/>
    </row>
    <row r="444" spans="1:16" s="607" customFormat="1" ht="18" customHeight="1">
      <c r="A444" s="826">
        <f>SUBTOTAL(3,B$6:B444)</f>
        <v>439</v>
      </c>
      <c r="B444" s="824" t="s">
        <v>1691</v>
      </c>
      <c r="C444" s="824" t="str">
        <f>+VLOOKUP(B444,'Salary sheet'!$B$6:$AX$1386,48,0)</f>
        <v>QUACH NGOC KIM THU</v>
      </c>
      <c r="D444" s="824" t="str">
        <f>+VLOOKUP(B444,'Salary sheet'!$B$6:$BW$1386,49,0)</f>
        <v>050151290903</v>
      </c>
      <c r="E444" s="620">
        <f>+VLOOKUP(B444,'Salary sheet'!$B$6:$AT$1292,45,0)</f>
        <v>8316658</v>
      </c>
      <c r="F444" s="1029" t="s">
        <v>5723</v>
      </c>
      <c r="G444" s="824" t="str">
        <f>+VLOOKUP(B444,'Salary sheet'!$B$6:$E$2281,4,0)</f>
        <v>FACTORY B</v>
      </c>
      <c r="H444" s="607" t="str">
        <f>+VLOOKUP(B444,'Salary sheet'!$B$6:$AZ$1386,50,0)</f>
        <v>SK1 Box</v>
      </c>
      <c r="I444" s="607" t="str">
        <f t="shared" si="23"/>
        <v>C15570QUACH NGOC KIM THU050151290903</v>
      </c>
      <c r="J444" s="853" t="str">
        <f>+VLOOKUP(B444,'[5]04 2025'!$B$2:$F$1371,5,0)</f>
        <v>C15570QUACH NGOC KIM THU050151290903</v>
      </c>
      <c r="K444" s="607">
        <f t="shared" si="24"/>
        <v>1</v>
      </c>
      <c r="P444" s="685"/>
    </row>
    <row r="445" spans="1:16" s="607" customFormat="1" ht="18" customHeight="1">
      <c r="A445" s="826">
        <f>SUBTOTAL(3,B$6:B445)</f>
        <v>440</v>
      </c>
      <c r="B445" s="824" t="s">
        <v>1693</v>
      </c>
      <c r="C445" s="824" t="str">
        <f>+VLOOKUP(B445,'Salary sheet'!$B$6:$AX$1386,48,0)</f>
        <v>NGUYEN TRONG NGHIA</v>
      </c>
      <c r="D445" s="824" t="str">
        <f>+VLOOKUP(B445,'Salary sheet'!$B$6:$BW$1386,49,0)</f>
        <v>050102386083</v>
      </c>
      <c r="E445" s="620">
        <f>+VLOOKUP(B445,'Salary sheet'!$B$6:$AT$1292,45,0)</f>
        <v>4169169</v>
      </c>
      <c r="F445" s="1029" t="s">
        <v>5723</v>
      </c>
      <c r="G445" s="824" t="str">
        <f>+VLOOKUP(B445,'Salary sheet'!$B$6:$E$2281,4,0)</f>
        <v>FACTORY B</v>
      </c>
      <c r="H445" s="607" t="str">
        <f>+VLOOKUP(B445,'Salary sheet'!$B$6:$AZ$1386,50,0)</f>
        <v>SK1 Box</v>
      </c>
      <c r="I445" s="607" t="str">
        <f t="shared" si="23"/>
        <v>C15626NGUYEN TRONG NGHIA050102386083</v>
      </c>
      <c r="J445" s="853" t="str">
        <f>+VLOOKUP(B445,'[5]04 2025'!$B$2:$F$1371,5,0)</f>
        <v>C15626NGUYEN TRONG NGHIA050102386083</v>
      </c>
      <c r="K445" s="607">
        <f t="shared" si="24"/>
        <v>1</v>
      </c>
      <c r="P445" s="685"/>
    </row>
    <row r="446" spans="1:16" s="607" customFormat="1" ht="18" customHeight="1">
      <c r="A446" s="826">
        <f>SUBTOTAL(3,B$6:B446)</f>
        <v>441</v>
      </c>
      <c r="B446" s="824" t="s">
        <v>1695</v>
      </c>
      <c r="C446" s="824" t="str">
        <f>+VLOOKUP(B446,'Salary sheet'!$B$6:$AX$1386,48,0)</f>
        <v>VO THI THANH NGAN</v>
      </c>
      <c r="D446" s="824" t="str">
        <f>+VLOOKUP(B446,'Salary sheet'!$B$6:$BW$1386,49,0)</f>
        <v>050116653531</v>
      </c>
      <c r="E446" s="620">
        <f>+VLOOKUP(B446,'Salary sheet'!$B$6:$AT$1292,45,0)</f>
        <v>8032435</v>
      </c>
      <c r="F446" s="1029" t="s">
        <v>5723</v>
      </c>
      <c r="G446" s="824" t="str">
        <f>+VLOOKUP(B446,'Salary sheet'!$B$6:$E$2281,4,0)</f>
        <v>FACTORY B</v>
      </c>
      <c r="H446" s="607" t="str">
        <f>+VLOOKUP(B446,'Salary sheet'!$B$6:$AZ$1386,50,0)</f>
        <v>SK1 Box</v>
      </c>
      <c r="I446" s="607" t="str">
        <f t="shared" si="23"/>
        <v>C15704VO THI THANH NGAN050116653531</v>
      </c>
      <c r="J446" s="853" t="str">
        <f>+VLOOKUP(B446,'[5]04 2025'!$B$2:$F$1371,5,0)</f>
        <v>C15704VO THI THANH NGAN050116653531</v>
      </c>
      <c r="K446" s="607">
        <f t="shared" si="24"/>
        <v>1</v>
      </c>
      <c r="P446" s="685"/>
    </row>
    <row r="447" spans="1:16" s="607" customFormat="1" ht="18" customHeight="1">
      <c r="A447" s="826">
        <f>SUBTOTAL(3,B$6:B447)</f>
        <v>442</v>
      </c>
      <c r="B447" s="824" t="s">
        <v>1697</v>
      </c>
      <c r="C447" s="824" t="str">
        <f>+VLOOKUP(B447,'Salary sheet'!$B$6:$AX$1386,48,0)</f>
        <v>LE THANH SANG</v>
      </c>
      <c r="D447" s="824" t="str">
        <f>+VLOOKUP(B447,'Salary sheet'!$B$6:$BW$1386,49,0)</f>
        <v>050151740178</v>
      </c>
      <c r="E447" s="620">
        <f>+VLOOKUP(B447,'Salary sheet'!$B$6:$AT$1292,45,0)</f>
        <v>8129010</v>
      </c>
      <c r="F447" s="1029" t="s">
        <v>5723</v>
      </c>
      <c r="G447" s="824" t="str">
        <f>+VLOOKUP(B447,'Salary sheet'!$B$6:$E$2281,4,0)</f>
        <v>FACTORY B</v>
      </c>
      <c r="H447" s="607" t="str">
        <f>+VLOOKUP(B447,'Salary sheet'!$B$6:$AZ$1386,50,0)</f>
        <v>SK1 Box</v>
      </c>
      <c r="I447" s="607" t="str">
        <f t="shared" si="23"/>
        <v>C15770LE THANH SANG050151740178</v>
      </c>
      <c r="J447" s="853" t="str">
        <f>+VLOOKUP(B447,'[5]04 2025'!$B$2:$F$1371,5,0)</f>
        <v>C15770LE THANH SANG050151740178</v>
      </c>
      <c r="K447" s="607">
        <f t="shared" si="24"/>
        <v>1</v>
      </c>
      <c r="P447" s="685"/>
    </row>
    <row r="448" spans="1:16" s="607" customFormat="1" ht="18" customHeight="1">
      <c r="A448" s="826">
        <f>SUBTOTAL(3,B$6:B448)</f>
        <v>443</v>
      </c>
      <c r="B448" s="824" t="s">
        <v>1699</v>
      </c>
      <c r="C448" s="824" t="str">
        <f>+VLOOKUP(B448,'Salary sheet'!$B$6:$AX$1386,48,0)</f>
        <v>HOANG THI CA</v>
      </c>
      <c r="D448" s="824" t="str">
        <f>+VLOOKUP(B448,'Salary sheet'!$B$6:$BW$1386,49,0)</f>
        <v>050116653051</v>
      </c>
      <c r="E448" s="620">
        <f>+VLOOKUP(B448,'Salary sheet'!$B$6:$AT$1292,45,0)</f>
        <v>7398909</v>
      </c>
      <c r="F448" s="1029" t="s">
        <v>5723</v>
      </c>
      <c r="G448" s="824" t="str">
        <f>+VLOOKUP(B448,'Salary sheet'!$B$6:$E$2281,4,0)</f>
        <v>FACTORY B</v>
      </c>
      <c r="H448" s="607" t="str">
        <f>+VLOOKUP(B448,'Salary sheet'!$B$6:$AZ$1386,50,0)</f>
        <v>SK1 Box</v>
      </c>
      <c r="I448" s="607" t="str">
        <f t="shared" si="23"/>
        <v>C16153HOANG THI CA050116653051</v>
      </c>
      <c r="J448" s="853" t="str">
        <f>+VLOOKUP(B448,'[5]04 2025'!$B$2:$F$1371,5,0)</f>
        <v>C16153HOANG THI CA050116653051</v>
      </c>
      <c r="K448" s="607">
        <f t="shared" si="24"/>
        <v>1</v>
      </c>
      <c r="P448" s="685"/>
    </row>
    <row r="449" spans="1:16" s="607" customFormat="1" ht="18" customHeight="1">
      <c r="A449" s="826">
        <f>SUBTOTAL(3,B$6:B449)</f>
        <v>444</v>
      </c>
      <c r="B449" s="824" t="s">
        <v>1701</v>
      </c>
      <c r="C449" s="824" t="str">
        <f>+VLOOKUP(B449,'Salary sheet'!$B$6:$AX$1386,48,0)</f>
        <v>HOANG THI SANG</v>
      </c>
      <c r="D449" s="824" t="str">
        <f>+VLOOKUP(B449,'Salary sheet'!$B$6:$BW$1386,49,0)</f>
        <v>050155983989</v>
      </c>
      <c r="E449" s="620">
        <f>+VLOOKUP(B449,'Salary sheet'!$B$6:$AT$1292,45,0)</f>
        <v>7618885</v>
      </c>
      <c r="F449" s="1029" t="s">
        <v>5723</v>
      </c>
      <c r="G449" s="824" t="str">
        <f>+VLOOKUP(B449,'Salary sheet'!$B$6:$E$2281,4,0)</f>
        <v>FACTORY B</v>
      </c>
      <c r="H449" s="607" t="str">
        <f>+VLOOKUP(B449,'Salary sheet'!$B$6:$AZ$1386,50,0)</f>
        <v>SK1 Box</v>
      </c>
      <c r="I449" s="607" t="str">
        <f t="shared" si="23"/>
        <v>C16238HOANG THI SANG050155983989</v>
      </c>
      <c r="J449" s="853" t="str">
        <f>+VLOOKUP(B449,'[5]04 2025'!$B$2:$F$1371,5,0)</f>
        <v>C16238HOANG THI SANG050155983989</v>
      </c>
      <c r="K449" s="607">
        <f t="shared" si="24"/>
        <v>1</v>
      </c>
      <c r="P449" s="685"/>
    </row>
    <row r="450" spans="1:16" s="607" customFormat="1" ht="18" customHeight="1">
      <c r="A450" s="826">
        <f>SUBTOTAL(3,B$6:B450)</f>
        <v>445</v>
      </c>
      <c r="B450" s="824" t="s">
        <v>1703</v>
      </c>
      <c r="C450" s="824" t="str">
        <f>+VLOOKUP(B450,'Salary sheet'!$B$6:$AX$1386,48,0)</f>
        <v>THI PHUONG</v>
      </c>
      <c r="D450" s="824" t="str">
        <f>+VLOOKUP(B450,'Salary sheet'!$B$6:$BW$1386,49,0)</f>
        <v>050042567466</v>
      </c>
      <c r="E450" s="620">
        <f>+VLOOKUP(B450,'Salary sheet'!$B$6:$AT$1292,45,0)</f>
        <v>7396910</v>
      </c>
      <c r="F450" s="1029" t="s">
        <v>5723</v>
      </c>
      <c r="G450" s="824" t="str">
        <f>+VLOOKUP(B450,'Salary sheet'!$B$6:$E$2281,4,0)</f>
        <v>FACTORY B</v>
      </c>
      <c r="H450" s="607" t="str">
        <f>+VLOOKUP(B450,'Salary sheet'!$B$6:$AZ$1386,50,0)</f>
        <v>SK1 Box</v>
      </c>
      <c r="I450" s="607" t="str">
        <f t="shared" si="23"/>
        <v>C16449THI PHUONG050042567466</v>
      </c>
      <c r="J450" s="853" t="str">
        <f>+VLOOKUP(B450,'[5]04 2025'!$B$2:$F$1371,5,0)</f>
        <v>C16449THI PHUONG050042567466</v>
      </c>
      <c r="K450" s="607">
        <f t="shared" si="24"/>
        <v>1</v>
      </c>
      <c r="P450" s="685"/>
    </row>
    <row r="451" spans="1:16" s="607" customFormat="1" ht="18" customHeight="1">
      <c r="A451" s="826">
        <f>SUBTOTAL(3,B$6:B451)</f>
        <v>446</v>
      </c>
      <c r="B451" s="824" t="s">
        <v>1705</v>
      </c>
      <c r="C451" s="824" t="str">
        <f>+VLOOKUP(B451,'Salary sheet'!$B$6:$AX$1386,48,0)</f>
        <v>CHAU THI HONG YEN</v>
      </c>
      <c r="D451" s="824" t="str">
        <f>+VLOOKUP(B451,'Salary sheet'!$B$6:$BW$1386,49,0)</f>
        <v>050156266725</v>
      </c>
      <c r="E451" s="620">
        <f>+VLOOKUP(B451,'Salary sheet'!$B$6:$AT$1292,45,0)</f>
        <v>4578237</v>
      </c>
      <c r="F451" s="1029" t="s">
        <v>5723</v>
      </c>
      <c r="G451" s="824" t="str">
        <f>+VLOOKUP(B451,'Salary sheet'!$B$6:$E$2281,4,0)</f>
        <v>FACTORY B</v>
      </c>
      <c r="H451" s="607" t="str">
        <f>+VLOOKUP(B451,'Salary sheet'!$B$6:$AZ$1386,50,0)</f>
        <v>SK1 Box</v>
      </c>
      <c r="I451" s="607" t="str">
        <f t="shared" si="23"/>
        <v>C16450CHAU THI HONG YEN050156266725</v>
      </c>
      <c r="J451" s="853" t="str">
        <f>+VLOOKUP(B451,'[5]04 2025'!$B$2:$F$1371,5,0)</f>
        <v>C16450CHAU THI HONG YEN050156266725</v>
      </c>
      <c r="K451" s="607">
        <f t="shared" si="24"/>
        <v>1</v>
      </c>
      <c r="P451" s="685"/>
    </row>
    <row r="452" spans="1:16" s="607" customFormat="1" ht="18" customHeight="1">
      <c r="A452" s="826">
        <f>SUBTOTAL(3,B$6:B452)</f>
        <v>447</v>
      </c>
      <c r="B452" s="824" t="s">
        <v>1707</v>
      </c>
      <c r="C452" s="824" t="str">
        <f>+VLOOKUP(B452,'Salary sheet'!$B$6:$AX$1386,48,0)</f>
        <v>LE SY HOA</v>
      </c>
      <c r="D452" s="824" t="str">
        <f>+VLOOKUP(B452,'Salary sheet'!$B$6:$BW$1386,49,0)</f>
        <v>050131296050</v>
      </c>
      <c r="E452" s="620">
        <f>+VLOOKUP(B452,'Salary sheet'!$B$6:$AT$1292,45,0)</f>
        <v>9312048</v>
      </c>
      <c r="F452" s="1029" t="s">
        <v>5723</v>
      </c>
      <c r="G452" s="824" t="str">
        <f>+VLOOKUP(B452,'Salary sheet'!$B$6:$E$2281,4,0)</f>
        <v>FACTORY B</v>
      </c>
      <c r="H452" s="607" t="str">
        <f>+VLOOKUP(B452,'Salary sheet'!$B$6:$AZ$1386,50,0)</f>
        <v>SK1 Box</v>
      </c>
      <c r="I452" s="607" t="str">
        <f t="shared" si="23"/>
        <v>C4042LE SY HOA050131296050</v>
      </c>
      <c r="J452" s="853" t="str">
        <f>+VLOOKUP(B452,'[5]04 2025'!$B$2:$F$1371,5,0)</f>
        <v>C4042LE SY HOA050131296050</v>
      </c>
      <c r="K452" s="607">
        <f t="shared" si="24"/>
        <v>1</v>
      </c>
      <c r="P452" s="685"/>
    </row>
    <row r="453" spans="1:16" s="607" customFormat="1" ht="18" customHeight="1">
      <c r="A453" s="826">
        <f>SUBTOTAL(3,B$6:B453)</f>
        <v>448</v>
      </c>
      <c r="B453" s="824" t="s">
        <v>1709</v>
      </c>
      <c r="C453" s="824" t="str">
        <f>+VLOOKUP(B453,'Salary sheet'!$B$6:$AX$1386,48,0)</f>
        <v>PHAM THI CAM CHAU</v>
      </c>
      <c r="D453" s="824" t="str">
        <f>+VLOOKUP(B453,'Salary sheet'!$B$6:$BW$1386,49,0)</f>
        <v>050113873490</v>
      </c>
      <c r="E453" s="620">
        <f>+VLOOKUP(B453,'Salary sheet'!$B$6:$AT$1292,45,0)</f>
        <v>9026819</v>
      </c>
      <c r="F453" s="1029" t="s">
        <v>5723</v>
      </c>
      <c r="G453" s="824" t="str">
        <f>+VLOOKUP(B453,'Salary sheet'!$B$6:$E$2281,4,0)</f>
        <v>FACTORY B</v>
      </c>
      <c r="H453" s="607" t="str">
        <f>+VLOOKUP(B453,'Salary sheet'!$B$6:$AZ$1386,50,0)</f>
        <v>SK1 Bag</v>
      </c>
      <c r="I453" s="607" t="str">
        <f t="shared" si="23"/>
        <v>C11673PHAM THI CAM CHAU050113873490</v>
      </c>
      <c r="J453" s="853" t="str">
        <f>+VLOOKUP(B453,'[5]04 2025'!$B$2:$F$1371,5,0)</f>
        <v>C11673PHAM THI CAM CHAU050113873490</v>
      </c>
      <c r="K453" s="607">
        <f t="shared" si="24"/>
        <v>1</v>
      </c>
      <c r="P453" s="685"/>
    </row>
    <row r="454" spans="1:16" s="607" customFormat="1" ht="18" customHeight="1">
      <c r="A454" s="826">
        <f>SUBTOTAL(3,B$6:B454)</f>
        <v>449</v>
      </c>
      <c r="B454" s="824" t="s">
        <v>1711</v>
      </c>
      <c r="C454" s="824" t="str">
        <f>+VLOOKUP(B454,'Salary sheet'!$B$6:$AX$1386,48,0)</f>
        <v>TRAN THI THUY</v>
      </c>
      <c r="D454" s="824" t="str">
        <f>+VLOOKUP(B454,'Salary sheet'!$B$6:$BW$1386,49,0)</f>
        <v>050040932426</v>
      </c>
      <c r="E454" s="620">
        <f>+VLOOKUP(B454,'Salary sheet'!$B$6:$AT$1292,45,0)</f>
        <v>9311751</v>
      </c>
      <c r="F454" s="1029" t="s">
        <v>5723</v>
      </c>
      <c r="G454" s="824" t="str">
        <f>+VLOOKUP(B454,'Salary sheet'!$B$6:$E$2281,4,0)</f>
        <v>FACTORY B</v>
      </c>
      <c r="H454" s="607" t="str">
        <f>+VLOOKUP(B454,'Salary sheet'!$B$6:$AZ$1386,50,0)</f>
        <v>SK1 Bag</v>
      </c>
      <c r="I454" s="607" t="str">
        <f t="shared" si="23"/>
        <v>C1730TRAN THI THUY050040932426</v>
      </c>
      <c r="J454" s="853" t="str">
        <f>+VLOOKUP(B454,'[5]04 2025'!$B$2:$F$1371,5,0)</f>
        <v>C1730TRAN THI THUY050040932426</v>
      </c>
      <c r="K454" s="607">
        <f t="shared" si="24"/>
        <v>1</v>
      </c>
      <c r="P454" s="685"/>
    </row>
    <row r="455" spans="1:16" s="607" customFormat="1" ht="18" customHeight="1">
      <c r="A455" s="826">
        <f>SUBTOTAL(3,B$6:B455)</f>
        <v>450</v>
      </c>
      <c r="B455" s="824" t="s">
        <v>1713</v>
      </c>
      <c r="C455" s="824" t="str">
        <f>+VLOOKUP(B455,'Salary sheet'!$B$6:$AX$1386,48,0)</f>
        <v>PHAM THUY HONG</v>
      </c>
      <c r="D455" s="824" t="str">
        <f>+VLOOKUP(B455,'Salary sheet'!$B$6:$BW$1386,49,0)</f>
        <v>050040936030</v>
      </c>
      <c r="E455" s="620">
        <f>+VLOOKUP(B455,'Salary sheet'!$B$6:$AT$1292,45,0)</f>
        <v>9211751</v>
      </c>
      <c r="F455" s="1029" t="s">
        <v>5723</v>
      </c>
      <c r="G455" s="824" t="str">
        <f>+VLOOKUP(B455,'Salary sheet'!$B$6:$E$2281,4,0)</f>
        <v>FACTORY B</v>
      </c>
      <c r="H455" s="607" t="str">
        <f>+VLOOKUP(B455,'Salary sheet'!$B$6:$AZ$1386,50,0)</f>
        <v>SK1 Bag</v>
      </c>
      <c r="I455" s="607" t="str">
        <f t="shared" si="23"/>
        <v>C2963PHAM THUY HONG050040936030</v>
      </c>
      <c r="J455" s="853" t="str">
        <f>+VLOOKUP(B455,'[5]04 2025'!$B$2:$F$1371,5,0)</f>
        <v>C2963PHAM THUY HONG050040936030</v>
      </c>
      <c r="K455" s="607">
        <f t="shared" si="24"/>
        <v>1</v>
      </c>
      <c r="P455" s="685"/>
    </row>
    <row r="456" spans="1:16" s="607" customFormat="1" ht="18" customHeight="1">
      <c r="A456" s="826">
        <f>SUBTOTAL(3,B$6:B456)</f>
        <v>451</v>
      </c>
      <c r="B456" s="824" t="s">
        <v>1715</v>
      </c>
      <c r="C456" s="824" t="str">
        <f>+VLOOKUP(B456,'Salary sheet'!$B$6:$AX$1386,48,0)</f>
        <v>HO THI VAN</v>
      </c>
      <c r="D456" s="824" t="str">
        <f>+VLOOKUP(B456,'Salary sheet'!$B$6:$BW$1386,49,0)</f>
        <v>050040936049</v>
      </c>
      <c r="E456" s="620">
        <f>+VLOOKUP(B456,'Salary sheet'!$B$6:$AT$1292,45,0)</f>
        <v>10476586</v>
      </c>
      <c r="F456" s="1029" t="s">
        <v>5723</v>
      </c>
      <c r="G456" s="824" t="str">
        <f>+VLOOKUP(B456,'Salary sheet'!$B$6:$E$2281,4,0)</f>
        <v>FACTORY B</v>
      </c>
      <c r="H456" s="607" t="str">
        <f>+VLOOKUP(B456,'Salary sheet'!$B$6:$AZ$1386,50,0)</f>
        <v>SK1 Bag</v>
      </c>
      <c r="I456" s="607" t="str">
        <f t="shared" si="23"/>
        <v>C3518HO THI VAN050040936049</v>
      </c>
      <c r="J456" s="853" t="str">
        <f>+VLOOKUP(B456,'[5]04 2025'!$B$2:$F$1371,5,0)</f>
        <v>C3518HO THI VAN050040936049</v>
      </c>
      <c r="K456" s="607">
        <f t="shared" si="24"/>
        <v>1</v>
      </c>
      <c r="P456" s="685"/>
    </row>
    <row r="457" spans="1:16" s="607" customFormat="1" ht="18" customHeight="1">
      <c r="A457" s="826">
        <f>SUBTOTAL(3,B$6:B457)</f>
        <v>452</v>
      </c>
      <c r="B457" s="824" t="s">
        <v>1718</v>
      </c>
      <c r="C457" s="824" t="str">
        <f>+VLOOKUP(B457,'Salary sheet'!$B$6:$AX$1386,48,0)</f>
        <v>LE THI THUY HANG</v>
      </c>
      <c r="D457" s="824" t="str">
        <f>+VLOOKUP(B457,'Salary sheet'!$B$6:$BW$1386,49,0)</f>
        <v>050040856657</v>
      </c>
      <c r="E457" s="620">
        <f>+VLOOKUP(B457,'Salary sheet'!$B$6:$AT$1292,45,0)</f>
        <v>6051318</v>
      </c>
      <c r="F457" s="1029" t="s">
        <v>5723</v>
      </c>
      <c r="G457" s="824" t="str">
        <f>+VLOOKUP(B457,'Salary sheet'!$B$6:$E$2281,4,0)</f>
        <v>FACTORY B</v>
      </c>
      <c r="H457" s="607" t="str">
        <f>+VLOOKUP(B457,'Salary sheet'!$B$6:$AZ$1386,50,0)</f>
        <v>SK1 Bag</v>
      </c>
      <c r="I457" s="607" t="str">
        <f t="shared" si="23"/>
        <v>C4275LE THI THUY HANG050040856657</v>
      </c>
      <c r="J457" s="853" t="str">
        <f>+VLOOKUP(B457,'[5]04 2025'!$B$2:$F$1371,5,0)</f>
        <v>C4275LE THI THUY HANG050040856657</v>
      </c>
      <c r="K457" s="607">
        <f t="shared" si="24"/>
        <v>1</v>
      </c>
      <c r="P457" s="685"/>
    </row>
    <row r="458" spans="1:16" s="607" customFormat="1" ht="18" customHeight="1">
      <c r="A458" s="826">
        <f>SUBTOTAL(3,B$6:B458)</f>
        <v>453</v>
      </c>
      <c r="B458" s="824" t="s">
        <v>1720</v>
      </c>
      <c r="C458" s="824" t="str">
        <f>+VLOOKUP(B458,'Salary sheet'!$B$6:$AX$1386,48,0)</f>
        <v>TRAN THI THU</v>
      </c>
      <c r="D458" s="824" t="str">
        <f>+VLOOKUP(B458,'Salary sheet'!$B$6:$BW$1386,49,0)</f>
        <v>050040854336</v>
      </c>
      <c r="E458" s="620">
        <f>+VLOOKUP(B458,'Salary sheet'!$B$6:$AT$1292,45,0)</f>
        <v>9461424</v>
      </c>
      <c r="F458" s="1029" t="s">
        <v>5723</v>
      </c>
      <c r="G458" s="824" t="str">
        <f>+VLOOKUP(B458,'Salary sheet'!$B$6:$E$2281,4,0)</f>
        <v>FACTORY B</v>
      </c>
      <c r="H458" s="607" t="str">
        <f>+VLOOKUP(B458,'Salary sheet'!$B$6:$AZ$1386,50,0)</f>
        <v>SK1 Bag</v>
      </c>
      <c r="I458" s="607" t="str">
        <f t="shared" si="23"/>
        <v>C4641TRAN THI THU050040854336</v>
      </c>
      <c r="J458" s="853" t="str">
        <f>+VLOOKUP(B458,'[5]04 2025'!$B$2:$F$1371,5,0)</f>
        <v>C4641TRAN THI THU050040854336</v>
      </c>
      <c r="K458" s="607">
        <f t="shared" si="24"/>
        <v>1</v>
      </c>
      <c r="P458" s="685"/>
    </row>
    <row r="459" spans="1:16" s="607" customFormat="1" ht="18" customHeight="1">
      <c r="A459" s="826">
        <f>SUBTOTAL(3,B$6:B459)</f>
        <v>454</v>
      </c>
      <c r="B459" s="824" t="s">
        <v>1722</v>
      </c>
      <c r="C459" s="824" t="str">
        <f>+VLOOKUP(B459,'Salary sheet'!$B$6:$AX$1386,48,0)</f>
        <v>HOANG THI NGOC BINH</v>
      </c>
      <c r="D459" s="824" t="str">
        <f>+VLOOKUP(B459,'Salary sheet'!$B$6:$BW$1386,49,0)</f>
        <v>050040936121</v>
      </c>
      <c r="E459" s="620">
        <f>+VLOOKUP(B459,'Salary sheet'!$B$6:$AT$1292,45,0)</f>
        <v>9451383</v>
      </c>
      <c r="F459" s="1029" t="s">
        <v>5723</v>
      </c>
      <c r="G459" s="824" t="str">
        <f>+VLOOKUP(B459,'Salary sheet'!$B$6:$E$2281,4,0)</f>
        <v>FACTORY B</v>
      </c>
      <c r="H459" s="607" t="str">
        <f>+VLOOKUP(B459,'Salary sheet'!$B$6:$AZ$1386,50,0)</f>
        <v>SK1 Bag</v>
      </c>
      <c r="I459" s="607" t="str">
        <f t="shared" si="23"/>
        <v>C6149HOANG THI NGOC BINH050040936121</v>
      </c>
      <c r="J459" s="853" t="str">
        <f>+VLOOKUP(B459,'[5]04 2025'!$B$2:$F$1371,5,0)</f>
        <v>C6149HOANG THI NGOC BINH050040936121</v>
      </c>
      <c r="K459" s="607">
        <f t="shared" si="24"/>
        <v>1</v>
      </c>
      <c r="P459" s="685"/>
    </row>
    <row r="460" spans="1:16" s="607" customFormat="1" ht="18" customHeight="1">
      <c r="A460" s="826">
        <f>SUBTOTAL(3,B$6:B460)</f>
        <v>455</v>
      </c>
      <c r="B460" s="824" t="s">
        <v>1724</v>
      </c>
      <c r="C460" s="824" t="str">
        <f>+VLOOKUP(B460,'Salary sheet'!$B$6:$AX$1386,48,0)</f>
        <v>THI TUYET</v>
      </c>
      <c r="D460" s="824" t="str">
        <f>+VLOOKUP(B460,'Salary sheet'!$B$6:$BW$1386,49,0)</f>
        <v>050070010523</v>
      </c>
      <c r="E460" s="620">
        <f>+VLOOKUP(B460,'Salary sheet'!$B$6:$AT$1292,45,0)</f>
        <v>9158456</v>
      </c>
      <c r="F460" s="1029" t="s">
        <v>5723</v>
      </c>
      <c r="G460" s="824" t="str">
        <f>+VLOOKUP(B460,'Salary sheet'!$B$6:$E$2281,4,0)</f>
        <v>FACTORY B</v>
      </c>
      <c r="H460" s="607" t="str">
        <f>+VLOOKUP(B460,'Salary sheet'!$B$6:$AZ$1386,50,0)</f>
        <v>SK1 Bag</v>
      </c>
      <c r="I460" s="607" t="str">
        <f t="shared" si="23"/>
        <v>C6757THI TUYET050070010523</v>
      </c>
      <c r="J460" s="853" t="str">
        <f>+VLOOKUP(B460,'[5]04 2025'!$B$2:$F$1371,5,0)</f>
        <v>C6757THI TUYET050070010523</v>
      </c>
      <c r="K460" s="607">
        <f t="shared" si="24"/>
        <v>1</v>
      </c>
      <c r="P460" s="685"/>
    </row>
    <row r="461" spans="1:16" s="607" customFormat="1" ht="18" customHeight="1">
      <c r="A461" s="826">
        <f>SUBTOTAL(3,B$6:B461)</f>
        <v>456</v>
      </c>
      <c r="B461" s="824" t="s">
        <v>1726</v>
      </c>
      <c r="C461" s="824" t="str">
        <f>+VLOOKUP(B461,'Salary sheet'!$B$6:$AX$1386,48,0)</f>
        <v>CHAU THI BACH TUYET</v>
      </c>
      <c r="D461" s="824" t="str">
        <f>+VLOOKUP(B461,'Salary sheet'!$B$6:$BW$1386,49,0)</f>
        <v>050042466996</v>
      </c>
      <c r="E461" s="620">
        <f>+VLOOKUP(B461,'Salary sheet'!$B$6:$AT$1292,45,0)</f>
        <v>8968481</v>
      </c>
      <c r="F461" s="1029" t="s">
        <v>5723</v>
      </c>
      <c r="G461" s="824" t="str">
        <f>+VLOOKUP(B461,'Salary sheet'!$B$6:$E$2281,4,0)</f>
        <v>FACTORY B</v>
      </c>
      <c r="H461" s="607" t="str">
        <f>+VLOOKUP(B461,'Salary sheet'!$B$6:$AZ$1386,50,0)</f>
        <v>SK1 Bag</v>
      </c>
      <c r="I461" s="607" t="str">
        <f t="shared" si="23"/>
        <v>C6923CHAU THI BACH TUYET050042466996</v>
      </c>
      <c r="J461" s="853" t="str">
        <f>+VLOOKUP(B461,'[5]04 2025'!$B$2:$F$1371,5,0)</f>
        <v>C6923CHAU THI BACH TUYET050042466996</v>
      </c>
      <c r="K461" s="607">
        <f t="shared" si="24"/>
        <v>1</v>
      </c>
      <c r="P461" s="685"/>
    </row>
    <row r="462" spans="1:16" s="607" customFormat="1" ht="18" customHeight="1">
      <c r="A462" s="826">
        <f>SUBTOTAL(3,B$6:B462)</f>
        <v>457</v>
      </c>
      <c r="B462" s="824" t="s">
        <v>1728</v>
      </c>
      <c r="C462" s="824" t="str">
        <f>+VLOOKUP(B462,'Salary sheet'!$B$6:$AX$1386,48,0)</f>
        <v>VO THI DUNG MY</v>
      </c>
      <c r="D462" s="824" t="str">
        <f>+VLOOKUP(B462,'Salary sheet'!$B$6:$BW$1386,49,0)</f>
        <v>050139639143</v>
      </c>
      <c r="E462" s="620">
        <f>+VLOOKUP(B462,'Salary sheet'!$B$6:$AT$1292,45,0)</f>
        <v>7058393</v>
      </c>
      <c r="F462" s="1029" t="s">
        <v>5723</v>
      </c>
      <c r="G462" s="824" t="str">
        <f>+VLOOKUP(B462,'Salary sheet'!$B$6:$E$2281,4,0)</f>
        <v>FACTORY B</v>
      </c>
      <c r="H462" s="607" t="str">
        <f>+VLOOKUP(B462,'Salary sheet'!$B$6:$AZ$1386,50,0)</f>
        <v>SK1 Bag</v>
      </c>
      <c r="I462" s="607" t="str">
        <f t="shared" si="23"/>
        <v>C15285VO THI DUNG MY050139639143</v>
      </c>
      <c r="J462" s="853" t="str">
        <f>+VLOOKUP(B462,'[5]04 2025'!$B$2:$F$1371,5,0)</f>
        <v>C15285VO THI DUNG MY050139639143</v>
      </c>
      <c r="K462" s="607">
        <f t="shared" si="24"/>
        <v>1</v>
      </c>
      <c r="P462" s="685"/>
    </row>
    <row r="463" spans="1:16" s="607" customFormat="1" ht="18" customHeight="1">
      <c r="A463" s="826">
        <f>SUBTOTAL(3,B$6:B463)</f>
        <v>458</v>
      </c>
      <c r="B463" s="824" t="s">
        <v>1730</v>
      </c>
      <c r="C463" s="824" t="str">
        <f>+VLOOKUP(B463,'Salary sheet'!$B$6:$AX$1386,48,0)</f>
        <v>NGUYEN MINH LUAN</v>
      </c>
      <c r="D463" s="824" t="str">
        <f>+VLOOKUP(B463,'Salary sheet'!$B$6:$BW$1386,49,0)</f>
        <v>050134828711</v>
      </c>
      <c r="E463" s="620">
        <f>+VLOOKUP(B463,'Salary sheet'!$B$6:$AT$1292,45,0)</f>
        <v>8295412</v>
      </c>
      <c r="F463" s="1029" t="s">
        <v>5723</v>
      </c>
      <c r="G463" s="824" t="str">
        <f>+VLOOKUP(B463,'Salary sheet'!$B$6:$E$2281,4,0)</f>
        <v>FACTORY B</v>
      </c>
      <c r="H463" s="607" t="str">
        <f>+VLOOKUP(B463,'Salary sheet'!$B$6:$AZ$1386,50,0)</f>
        <v>SK1 Bag</v>
      </c>
      <c r="I463" s="607" t="str">
        <f t="shared" si="23"/>
        <v>C15908NGUYEN MINH LUAN050134828711</v>
      </c>
      <c r="J463" s="853" t="str">
        <f>+VLOOKUP(B463,'[5]04 2025'!$B$2:$F$1371,5,0)</f>
        <v>C15908NGUYEN MINH LUAN050134828711</v>
      </c>
      <c r="K463" s="607">
        <f t="shared" si="24"/>
        <v>1</v>
      </c>
      <c r="P463" s="685"/>
    </row>
    <row r="464" spans="1:16" s="607" customFormat="1" ht="18" customHeight="1">
      <c r="A464" s="826">
        <f>SUBTOTAL(3,B$6:B464)</f>
        <v>459</v>
      </c>
      <c r="B464" s="824" t="s">
        <v>1732</v>
      </c>
      <c r="C464" s="824" t="str">
        <f>+VLOOKUP(B464,'Salary sheet'!$B$6:$AX$1386,48,0)</f>
        <v>NGUYEN THI CHUNG</v>
      </c>
      <c r="D464" s="824" t="str">
        <f>+VLOOKUP(B464,'Salary sheet'!$B$6:$BW$1386,49,0)</f>
        <v>050040863521</v>
      </c>
      <c r="E464" s="620">
        <f>+VLOOKUP(B464,'Salary sheet'!$B$6:$AT$1292,45,0)</f>
        <v>9199444</v>
      </c>
      <c r="F464" s="1029" t="s">
        <v>5723</v>
      </c>
      <c r="G464" s="824" t="str">
        <f>+VLOOKUP(B464,'Salary sheet'!$B$6:$E$2281,4,0)</f>
        <v>FACTORY B</v>
      </c>
      <c r="H464" s="607" t="str">
        <f>+VLOOKUP(B464,'Salary sheet'!$B$6:$AZ$1386,50,0)</f>
        <v>SK1 Bag</v>
      </c>
      <c r="I464" s="607" t="str">
        <f t="shared" si="23"/>
        <v>C4669NGUYEN THI CHUNG050040863521</v>
      </c>
      <c r="J464" s="853" t="str">
        <f>+VLOOKUP(B464,'[5]04 2025'!$B$2:$F$1371,5,0)</f>
        <v>C4669NGUYEN THI CHUNG050040863521</v>
      </c>
      <c r="K464" s="607">
        <f t="shared" si="24"/>
        <v>1</v>
      </c>
      <c r="P464" s="685"/>
    </row>
    <row r="465" spans="1:16" s="607" customFormat="1" ht="18" customHeight="1">
      <c r="A465" s="826">
        <f>SUBTOTAL(3,B$6:B465)</f>
        <v>460</v>
      </c>
      <c r="B465" s="824" t="s">
        <v>1734</v>
      </c>
      <c r="C465" s="824" t="str">
        <f>+VLOOKUP(B465,'Salary sheet'!$B$6:$AX$1386,48,0)</f>
        <v>LAM SA NEN</v>
      </c>
      <c r="D465" s="824" t="str">
        <f>+VLOOKUP(B465,'Salary sheet'!$B$6:$BW$1386,49,0)</f>
        <v>050113388622</v>
      </c>
      <c r="E465" s="620">
        <f>+VLOOKUP(B465,'Salary sheet'!$B$6:$AT$1292,45,0)</f>
        <v>4138252</v>
      </c>
      <c r="F465" s="1029" t="s">
        <v>5723</v>
      </c>
      <c r="G465" s="824" t="str">
        <f>+VLOOKUP(B465,'Salary sheet'!$B$6:$E$2281,4,0)</f>
        <v>FACTORY B</v>
      </c>
      <c r="H465" s="607" t="str">
        <f>+VLOOKUP(B465,'Salary sheet'!$B$6:$AZ$1386,50,0)</f>
        <v>SK1 Box</v>
      </c>
      <c r="I465" s="607" t="str">
        <f t="shared" si="23"/>
        <v>C11379LAM SA NEN050113388622</v>
      </c>
      <c r="J465" s="853" t="str">
        <f>+VLOOKUP(B465,'[5]04 2025'!$B$2:$F$1371,5,0)</f>
        <v>C11379LAM SA NEN050113388622</v>
      </c>
      <c r="K465" s="607">
        <f t="shared" si="24"/>
        <v>1</v>
      </c>
      <c r="P465" s="685"/>
    </row>
    <row r="466" spans="1:16" s="607" customFormat="1" ht="18" customHeight="1">
      <c r="A466" s="826">
        <f>SUBTOTAL(3,B$6:B466)</f>
        <v>461</v>
      </c>
      <c r="B466" s="824" t="s">
        <v>1737</v>
      </c>
      <c r="C466" s="824" t="str">
        <f>+VLOOKUP(B466,'Salary sheet'!$B$6:$AX$1386,48,0)</f>
        <v>NGUYEN NGOC LAM</v>
      </c>
      <c r="D466" s="824" t="str">
        <f>+VLOOKUP(B466,'Salary sheet'!$B$6:$BW$1386,49,0)</f>
        <v>058201012004</v>
      </c>
      <c r="E466" s="620">
        <f>+VLOOKUP(B466,'Salary sheet'!$B$6:$AT$1292,45,0)</f>
        <v>7016771</v>
      </c>
      <c r="F466" s="1029" t="s">
        <v>5723</v>
      </c>
      <c r="G466" s="824" t="str">
        <f>+VLOOKUP(B466,'Salary sheet'!$B$6:$E$2281,4,0)</f>
        <v>FACTORY B</v>
      </c>
      <c r="H466" s="607" t="str">
        <f>+VLOOKUP(B466,'Salary sheet'!$B$6:$AZ$1386,50,0)</f>
        <v>SK1 Box</v>
      </c>
      <c r="I466" s="607" t="str">
        <f t="shared" si="23"/>
        <v>C15917NGUYEN NGOC LAM058201012004</v>
      </c>
      <c r="J466" s="853" t="str">
        <f>+VLOOKUP(B466,'[5]04 2025'!$B$2:$F$1371,5,0)</f>
        <v>C15917NGUYEN NGOC LAM058201012004</v>
      </c>
      <c r="K466" s="607">
        <f t="shared" si="24"/>
        <v>1</v>
      </c>
      <c r="P466" s="685"/>
    </row>
    <row r="467" spans="1:16" s="607" customFormat="1" ht="18" customHeight="1">
      <c r="A467" s="826">
        <f>SUBTOTAL(3,B$6:B467)</f>
        <v>462</v>
      </c>
      <c r="B467" s="824" t="s">
        <v>1739</v>
      </c>
      <c r="C467" s="824" t="str">
        <f>+VLOOKUP(B467,'Salary sheet'!$B$6:$AX$1386,48,0)</f>
        <v>NGUYEN THI THU HOA</v>
      </c>
      <c r="D467" s="824" t="str">
        <f>+VLOOKUP(B467,'Salary sheet'!$B$6:$BW$1386,49,0)</f>
        <v>050154087831</v>
      </c>
      <c r="E467" s="620">
        <f>+VLOOKUP(B467,'Salary sheet'!$B$6:$AT$1292,45,0)</f>
        <v>6273225</v>
      </c>
      <c r="F467" s="1029" t="s">
        <v>5723</v>
      </c>
      <c r="G467" s="824" t="str">
        <f>+VLOOKUP(B467,'Salary sheet'!$B$6:$E$2281,4,0)</f>
        <v>FACTORY B</v>
      </c>
      <c r="H467" s="607" t="str">
        <f>+VLOOKUP(B467,'Salary sheet'!$B$6:$AZ$1386,50,0)</f>
        <v>SK1 Box</v>
      </c>
      <c r="I467" s="607" t="str">
        <f t="shared" si="23"/>
        <v>C15950NGUYEN THI THU HOA050154087831</v>
      </c>
      <c r="J467" s="853" t="str">
        <f>+VLOOKUP(B467,'[5]04 2025'!$B$2:$F$1371,5,0)</f>
        <v>C15950NGUYEN THI THU HOA050154087831</v>
      </c>
      <c r="K467" s="607">
        <f t="shared" si="24"/>
        <v>1</v>
      </c>
      <c r="P467" s="685"/>
    </row>
    <row r="468" spans="1:16" s="607" customFormat="1" ht="18" customHeight="1">
      <c r="A468" s="826">
        <f>SUBTOTAL(3,B$6:B468)</f>
        <v>463</v>
      </c>
      <c r="B468" s="824" t="s">
        <v>1741</v>
      </c>
      <c r="C468" s="824" t="str">
        <f>+VLOOKUP(B468,'Salary sheet'!$B$6:$AX$1386,48,0)</f>
        <v>NGUYEN LE THUY VY</v>
      </c>
      <c r="D468" s="824" t="str">
        <f>+VLOOKUP(B468,'Salary sheet'!$B$6:$BW$1386,49,0)</f>
        <v>050155758721</v>
      </c>
      <c r="E468" s="620">
        <f>+VLOOKUP(B468,'Salary sheet'!$B$6:$AT$1292,45,0)</f>
        <v>7531666</v>
      </c>
      <c r="F468" s="1029" t="s">
        <v>5723</v>
      </c>
      <c r="G468" s="824" t="str">
        <f>+VLOOKUP(B468,'Salary sheet'!$B$6:$E$2281,4,0)</f>
        <v>FACTORY B</v>
      </c>
      <c r="H468" s="607" t="str">
        <f>+VLOOKUP(B468,'Salary sheet'!$B$6:$AZ$1386,50,0)</f>
        <v>SK1 Box</v>
      </c>
      <c r="I468" s="607" t="str">
        <f t="shared" si="23"/>
        <v>C16203NGUYEN LE THUY VY050155758721</v>
      </c>
      <c r="J468" s="853" t="str">
        <f>+VLOOKUP(B468,'[5]04 2025'!$B$2:$F$1371,5,0)</f>
        <v>C16203NGUYEN LE THUY VY050155758721</v>
      </c>
      <c r="K468" s="607">
        <f t="shared" si="24"/>
        <v>1</v>
      </c>
      <c r="P468" s="685"/>
    </row>
    <row r="469" spans="1:16" s="607" customFormat="1" ht="18" customHeight="1">
      <c r="A469" s="826">
        <f>SUBTOTAL(3,B$6:B469)</f>
        <v>464</v>
      </c>
      <c r="B469" s="824" t="s">
        <v>1743</v>
      </c>
      <c r="C469" s="824" t="str">
        <f>+VLOOKUP(B469,'Salary sheet'!$B$6:$AX$1386,48,0)</f>
        <v>VO THI SANG</v>
      </c>
      <c r="D469" s="824" t="str">
        <f>+VLOOKUP(B469,'Salary sheet'!$B$6:$BW$1386,49,0)</f>
        <v>050067514898</v>
      </c>
      <c r="E469" s="620">
        <f>+VLOOKUP(B469,'Salary sheet'!$B$6:$AT$1292,45,0)</f>
        <v>8056361</v>
      </c>
      <c r="F469" s="1029" t="s">
        <v>5723</v>
      </c>
      <c r="G469" s="824" t="str">
        <f>+VLOOKUP(B469,'Salary sheet'!$B$6:$E$2281,4,0)</f>
        <v>FACTORY D</v>
      </c>
      <c r="H469" s="607" t="str">
        <f>+VLOOKUP(B469,'Salary sheet'!$B$6:$AZ$1386,50,0)</f>
        <v>SK1 Bag</v>
      </c>
      <c r="I469" s="607" t="str">
        <f t="shared" si="23"/>
        <v>C4100VO THI SANG050067514898</v>
      </c>
      <c r="J469" s="853" t="str">
        <f>+VLOOKUP(B469,'[5]04 2025'!$B$2:$F$1371,5,0)</f>
        <v>C4100VO THI SANG050067514898</v>
      </c>
      <c r="K469" s="607">
        <f t="shared" si="24"/>
        <v>1</v>
      </c>
      <c r="P469" s="685"/>
    </row>
    <row r="470" spans="1:16" s="607" customFormat="1" ht="18" customHeight="1">
      <c r="A470" s="826">
        <f>SUBTOTAL(3,B$6:B470)</f>
        <v>465</v>
      </c>
      <c r="B470" s="824" t="s">
        <v>1745</v>
      </c>
      <c r="C470" s="824" t="str">
        <f>+VLOOKUP(B470,'Salary sheet'!$B$6:$AX$1386,48,0)</f>
        <v>LE THI THIEN</v>
      </c>
      <c r="D470" s="824" t="str">
        <f>+VLOOKUP(B470,'Salary sheet'!$B$6:$BW$1386,49,0)</f>
        <v>050040870846</v>
      </c>
      <c r="E470" s="620">
        <f>+VLOOKUP(B470,'Salary sheet'!$B$6:$AT$1292,45,0)</f>
        <v>10886761</v>
      </c>
      <c r="F470" s="1029" t="s">
        <v>5723</v>
      </c>
      <c r="G470" s="824" t="str">
        <f>+VLOOKUP(B470,'Salary sheet'!$B$6:$E$2281,4,0)</f>
        <v>FACTORY D</v>
      </c>
      <c r="H470" s="607" t="str">
        <f>+VLOOKUP(B470,'Salary sheet'!$B$6:$AZ$1386,50,0)</f>
        <v>SK1 Bag</v>
      </c>
      <c r="I470" s="607" t="str">
        <f t="shared" si="23"/>
        <v>C0585LE THI THIEN050040870846</v>
      </c>
      <c r="J470" s="853" t="str">
        <f>+VLOOKUP(B470,'[5]04 2025'!$B$2:$F$1371,5,0)</f>
        <v>C0585LE THI THIEN050040870846</v>
      </c>
      <c r="K470" s="607">
        <f t="shared" si="24"/>
        <v>1</v>
      </c>
      <c r="P470" s="685"/>
    </row>
    <row r="471" spans="1:16" s="607" customFormat="1" ht="18" customHeight="1">
      <c r="A471" s="826">
        <f>SUBTOTAL(3,B$6:B471)</f>
        <v>466</v>
      </c>
      <c r="B471" s="824" t="s">
        <v>1748</v>
      </c>
      <c r="C471" s="824" t="str">
        <f>+VLOOKUP(B471,'Salary sheet'!$B$6:$AX$1386,48,0)</f>
        <v>NGUYEN THI THUY</v>
      </c>
      <c r="D471" s="824" t="str">
        <f>+VLOOKUP(B471,'Salary sheet'!$B$6:$BW$1386,49,0)</f>
        <v>050040870633</v>
      </c>
      <c r="E471" s="620">
        <f>+VLOOKUP(B471,'Salary sheet'!$B$6:$AT$1292,45,0)</f>
        <v>7858033</v>
      </c>
      <c r="F471" s="1029" t="s">
        <v>5723</v>
      </c>
      <c r="G471" s="824" t="str">
        <f>+VLOOKUP(B471,'Salary sheet'!$B$6:$E$2281,4,0)</f>
        <v>FACTORY D</v>
      </c>
      <c r="H471" s="607" t="str">
        <f>+VLOOKUP(B471,'Salary sheet'!$B$6:$AZ$1386,50,0)</f>
        <v>SK1 Bag</v>
      </c>
      <c r="I471" s="607" t="str">
        <f t="shared" si="23"/>
        <v>C0816NGUYEN THI THUY050040870633</v>
      </c>
      <c r="J471" s="853" t="str">
        <f>+VLOOKUP(B471,'[5]04 2025'!$B$2:$F$1371,5,0)</f>
        <v>C0816NGUYEN THI THUY050040870633</v>
      </c>
      <c r="K471" s="607">
        <f t="shared" si="24"/>
        <v>1</v>
      </c>
      <c r="P471" s="685"/>
    </row>
    <row r="472" spans="1:16" s="607" customFormat="1" ht="18" customHeight="1">
      <c r="A472" s="826">
        <f>SUBTOTAL(3,B$6:B472)</f>
        <v>467</v>
      </c>
      <c r="B472" s="824" t="s">
        <v>1750</v>
      </c>
      <c r="C472" s="824" t="str">
        <f>+VLOOKUP(B472,'Salary sheet'!$B$6:$AX$1386,48,0)</f>
        <v>VU THI LIEN</v>
      </c>
      <c r="D472" s="824" t="str">
        <f>+VLOOKUP(B472,'Salary sheet'!$B$6:$BW$1386,49,0)</f>
        <v>050040927309</v>
      </c>
      <c r="E472" s="620">
        <f>+VLOOKUP(B472,'Salary sheet'!$B$6:$AT$1292,45,0)</f>
        <v>7869892</v>
      </c>
      <c r="F472" s="1029" t="s">
        <v>5723</v>
      </c>
      <c r="G472" s="824" t="str">
        <f>+VLOOKUP(B472,'Salary sheet'!$B$6:$E$2281,4,0)</f>
        <v>FACTORY D</v>
      </c>
      <c r="H472" s="607" t="str">
        <f>+VLOOKUP(B472,'Salary sheet'!$B$6:$AZ$1386,50,0)</f>
        <v>SK1 Bag</v>
      </c>
      <c r="I472" s="607" t="str">
        <f t="shared" si="23"/>
        <v>C1030VU THI LIEN050040927309</v>
      </c>
      <c r="J472" s="853" t="str">
        <f>+VLOOKUP(B472,'[5]04 2025'!$B$2:$F$1371,5,0)</f>
        <v>C1030VU THI LIEN050040927309</v>
      </c>
      <c r="K472" s="607">
        <f t="shared" si="24"/>
        <v>1</v>
      </c>
      <c r="P472" s="685"/>
    </row>
    <row r="473" spans="1:16" s="607" customFormat="1" ht="18" customHeight="1">
      <c r="A473" s="826">
        <f>SUBTOTAL(3,B$6:B473)</f>
        <v>468</v>
      </c>
      <c r="B473" s="824" t="s">
        <v>1752</v>
      </c>
      <c r="C473" s="824" t="str">
        <f>+VLOOKUP(B473,'Salary sheet'!$B$6:$AX$1386,48,0)</f>
        <v>TRAN VAN LUONG</v>
      </c>
      <c r="D473" s="824" t="str">
        <f>+VLOOKUP(B473,'Salary sheet'!$B$6:$BW$1386,49,0)</f>
        <v>050126082662</v>
      </c>
      <c r="E473" s="620">
        <f>+VLOOKUP(B473,'Salary sheet'!$B$6:$AT$1292,45,0)</f>
        <v>7827120</v>
      </c>
      <c r="F473" s="1029" t="s">
        <v>5723</v>
      </c>
      <c r="G473" s="824" t="str">
        <f>+VLOOKUP(B473,'Salary sheet'!$B$6:$E$2281,4,0)</f>
        <v>FACTORY D</v>
      </c>
      <c r="H473" s="607" t="str">
        <f>+VLOOKUP(B473,'Salary sheet'!$B$6:$AZ$1386,50,0)</f>
        <v>SK1 Bag</v>
      </c>
      <c r="I473" s="607" t="str">
        <f t="shared" si="23"/>
        <v>C13192TRAN VAN LUONG050126082662</v>
      </c>
      <c r="J473" s="853" t="str">
        <f>+VLOOKUP(B473,'[5]04 2025'!$B$2:$F$1371,5,0)</f>
        <v>C13192TRAN VAN LUONG050126082662</v>
      </c>
      <c r="K473" s="607">
        <f t="shared" si="24"/>
        <v>1</v>
      </c>
      <c r="P473" s="685"/>
    </row>
    <row r="474" spans="1:16" s="607" customFormat="1" ht="18" customHeight="1">
      <c r="A474" s="826">
        <f>SUBTOTAL(3,B$6:B474)</f>
        <v>469</v>
      </c>
      <c r="B474" s="824" t="s">
        <v>1754</v>
      </c>
      <c r="C474" s="824" t="str">
        <f>+VLOOKUP(B474,'Salary sheet'!$B$6:$AX$1386,48,0)</f>
        <v>VO THI NGUYEN</v>
      </c>
      <c r="D474" s="824" t="str">
        <f>+VLOOKUP(B474,'Salary sheet'!$B$6:$BW$1386,49,0)</f>
        <v>050117912547</v>
      </c>
      <c r="E474" s="620">
        <f>+VLOOKUP(B474,'Salary sheet'!$B$6:$AT$1292,45,0)</f>
        <v>7848491</v>
      </c>
      <c r="F474" s="1029" t="s">
        <v>5723</v>
      </c>
      <c r="G474" s="824" t="str">
        <f>+VLOOKUP(B474,'Salary sheet'!$B$6:$E$2281,4,0)</f>
        <v>FACTORY D</v>
      </c>
      <c r="H474" s="607" t="str">
        <f>+VLOOKUP(B474,'Salary sheet'!$B$6:$AZ$1386,50,0)</f>
        <v>SK1 Bag</v>
      </c>
      <c r="I474" s="607" t="str">
        <f t="shared" si="23"/>
        <v>C13605VO THI NGUYEN050117912547</v>
      </c>
      <c r="J474" s="853" t="str">
        <f>+VLOOKUP(B474,'[5]04 2025'!$B$2:$F$1371,5,0)</f>
        <v>C13605VO THI NGUYEN050117912547</v>
      </c>
      <c r="K474" s="607">
        <f t="shared" si="24"/>
        <v>1</v>
      </c>
      <c r="P474" s="685"/>
    </row>
    <row r="475" spans="1:16" s="607" customFormat="1" ht="18" customHeight="1">
      <c r="A475" s="826">
        <f>SUBTOTAL(3,B$6:B475)</f>
        <v>470</v>
      </c>
      <c r="B475" s="824" t="s">
        <v>1756</v>
      </c>
      <c r="C475" s="824" t="str">
        <f>+VLOOKUP(B475,'Salary sheet'!$B$6:$AX$1386,48,0)</f>
        <v>LE THI TRANG</v>
      </c>
      <c r="D475" s="824" t="str">
        <f>+VLOOKUP(B475,'Salary sheet'!$B$6:$BW$1386,49,0)</f>
        <v>050135503522</v>
      </c>
      <c r="E475" s="620">
        <f>+VLOOKUP(B475,'Salary sheet'!$B$6:$AT$1292,45,0)</f>
        <v>7657546</v>
      </c>
      <c r="F475" s="1029" t="s">
        <v>5723</v>
      </c>
      <c r="G475" s="824" t="str">
        <f>+VLOOKUP(B475,'Salary sheet'!$B$6:$E$2281,4,0)</f>
        <v>FACTORY D</v>
      </c>
      <c r="H475" s="607" t="str">
        <f>+VLOOKUP(B475,'Salary sheet'!$B$6:$AZ$1386,50,0)</f>
        <v>SK1 Bag</v>
      </c>
      <c r="I475" s="607" t="str">
        <f t="shared" si="23"/>
        <v>C15178LE THI TRANG050135503522</v>
      </c>
      <c r="J475" s="853" t="str">
        <f>+VLOOKUP(B475,'[5]04 2025'!$B$2:$F$1371,5,0)</f>
        <v>C15178LE THI TRANG050135503522</v>
      </c>
      <c r="K475" s="607">
        <f t="shared" si="24"/>
        <v>1</v>
      </c>
      <c r="P475" s="685"/>
    </row>
    <row r="476" spans="1:16" s="607" customFormat="1" ht="18" customHeight="1">
      <c r="A476" s="826">
        <f>SUBTOTAL(3,B$6:B476)</f>
        <v>471</v>
      </c>
      <c r="B476" s="824" t="s">
        <v>1757</v>
      </c>
      <c r="C476" s="824" t="str">
        <f>+VLOOKUP(B476,'Salary sheet'!$B$6:$AX$1386,48,0)</f>
        <v>THI SVIN</v>
      </c>
      <c r="D476" s="824" t="str">
        <f>+VLOOKUP(B476,'Salary sheet'!$B$6:$BW$1386,49,0)</f>
        <v>050109387581</v>
      </c>
      <c r="E476" s="620">
        <f>+VLOOKUP(B476,'Salary sheet'!$B$6:$AT$1292,45,0)</f>
        <v>6980361</v>
      </c>
      <c r="F476" s="1029" t="s">
        <v>5723</v>
      </c>
      <c r="G476" s="824" t="str">
        <f>+VLOOKUP(B476,'Salary sheet'!$B$6:$E$2281,4,0)</f>
        <v>FACTORY D</v>
      </c>
      <c r="H476" s="607" t="str">
        <f>+VLOOKUP(B476,'Salary sheet'!$B$6:$AZ$1386,50,0)</f>
        <v>SK1 Bag</v>
      </c>
      <c r="I476" s="607" t="str">
        <f t="shared" si="23"/>
        <v>C15220THI SVIN050109387581</v>
      </c>
      <c r="J476" s="853" t="str">
        <f>+VLOOKUP(B476,'[5]04 2025'!$B$2:$F$1371,5,0)</f>
        <v>C15220THI SVIN050109387581</v>
      </c>
      <c r="K476" s="607">
        <f t="shared" si="24"/>
        <v>1</v>
      </c>
      <c r="P476" s="685"/>
    </row>
    <row r="477" spans="1:16" s="607" customFormat="1" ht="18" customHeight="1">
      <c r="A477" s="826">
        <f>SUBTOTAL(3,B$6:B477)</f>
        <v>472</v>
      </c>
      <c r="B477" s="824" t="s">
        <v>1759</v>
      </c>
      <c r="C477" s="824" t="str">
        <f>+VLOOKUP(B477,'Salary sheet'!$B$6:$AX$1386,48,0)</f>
        <v>TRUONG THI HAU</v>
      </c>
      <c r="D477" s="824" t="str">
        <f>+VLOOKUP(B477,'Salary sheet'!$B$6:$BW$1386,49,0)</f>
        <v>050157151913</v>
      </c>
      <c r="E477" s="620">
        <f>+VLOOKUP(B477,'Salary sheet'!$B$6:$AT$1292,45,0)</f>
        <v>7129387</v>
      </c>
      <c r="F477" s="1029" t="s">
        <v>5723</v>
      </c>
      <c r="G477" s="824" t="str">
        <f>+VLOOKUP(B477,'Salary sheet'!$B$6:$E$2281,4,0)</f>
        <v>FACTORY D</v>
      </c>
      <c r="H477" s="607" t="str">
        <f>+VLOOKUP(B477,'Salary sheet'!$B$6:$AZ$1386,50,0)</f>
        <v>SK1 Bag</v>
      </c>
      <c r="I477" s="607" t="str">
        <f t="shared" si="23"/>
        <v>C15957TRUONG THI HAU050157151913</v>
      </c>
      <c r="J477" s="853" t="str">
        <f>+VLOOKUP(B477,'[5]04 2025'!$B$2:$F$1371,5,0)</f>
        <v>C15957TRUONG THI HAU050157151913</v>
      </c>
      <c r="K477" s="607">
        <f t="shared" si="24"/>
        <v>1</v>
      </c>
      <c r="P477" s="685"/>
    </row>
    <row r="478" spans="1:16" s="607" customFormat="1" ht="18" customHeight="1">
      <c r="A478" s="826">
        <f>SUBTOTAL(3,B$6:B478)</f>
        <v>473</v>
      </c>
      <c r="B478" s="824" t="s">
        <v>1761</v>
      </c>
      <c r="C478" s="824" t="str">
        <f>+VLOOKUP(B478,'Salary sheet'!$B$6:$AX$1386,48,0)</f>
        <v>VU THI THU HA</v>
      </c>
      <c r="D478" s="824" t="str">
        <f>+VLOOKUP(B478,'Salary sheet'!$B$6:$BW$1386,49,0)</f>
        <v>050040927465</v>
      </c>
      <c r="E478" s="620">
        <f>+VLOOKUP(B478,'Salary sheet'!$B$6:$AT$1292,45,0)</f>
        <v>7864502</v>
      </c>
      <c r="F478" s="1029" t="s">
        <v>5723</v>
      </c>
      <c r="G478" s="824" t="str">
        <f>+VLOOKUP(B478,'Salary sheet'!$B$6:$E$2281,4,0)</f>
        <v>FACTORY D</v>
      </c>
      <c r="H478" s="607" t="str">
        <f>+VLOOKUP(B478,'Salary sheet'!$B$6:$AZ$1386,50,0)</f>
        <v>SK1 Bag</v>
      </c>
      <c r="I478" s="607" t="str">
        <f t="shared" si="23"/>
        <v>C1640VU THI THU HA050040927465</v>
      </c>
      <c r="J478" s="853" t="str">
        <f>+VLOOKUP(B478,'[5]04 2025'!$B$2:$F$1371,5,0)</f>
        <v>C1640VU THI THU HA050040927465</v>
      </c>
      <c r="K478" s="607">
        <f t="shared" si="24"/>
        <v>1</v>
      </c>
      <c r="P478" s="685"/>
    </row>
    <row r="479" spans="1:16" s="607" customFormat="1" ht="18" customHeight="1">
      <c r="A479" s="826">
        <f>SUBTOTAL(3,B$6:B479)</f>
        <v>474</v>
      </c>
      <c r="B479" s="824" t="s">
        <v>5748</v>
      </c>
      <c r="C479" s="824" t="str">
        <f>+VLOOKUP(B479,'Salary sheet'!$B$6:$AX$1386,48,0)</f>
        <v>DIEU KIET</v>
      </c>
      <c r="D479" s="824" t="str">
        <f>+VLOOKUP(B479,'Salary sheet'!$B$6:$BW$1386,49,0)</f>
        <v>050140061023</v>
      </c>
      <c r="E479" s="620">
        <f>+VLOOKUP(B479,'Salary sheet'!$B$6:$AT$1292,45,0)</f>
        <v>5168300</v>
      </c>
      <c r="F479" s="1029" t="s">
        <v>5723</v>
      </c>
      <c r="G479" s="824" t="str">
        <f>+VLOOKUP(B479,'Salary sheet'!$B$6:$E$2281,4,0)</f>
        <v>FACTORY D</v>
      </c>
      <c r="H479" s="607" t="str">
        <f>+VLOOKUP(B479,'Salary sheet'!$B$6:$AZ$1386,50,0)</f>
        <v>SK1 Bag</v>
      </c>
      <c r="I479" s="607" t="str">
        <f t="shared" si="23"/>
        <v>C16583DIEU KIET050140061023</v>
      </c>
      <c r="J479" s="853" t="str">
        <f>+VLOOKUP(B479,'[5]04 2025'!$B$2:$F$1371,5,0)</f>
        <v>C16583DIEU KIET050140061023</v>
      </c>
      <c r="K479" s="607">
        <f t="shared" si="24"/>
        <v>1</v>
      </c>
      <c r="P479" s="685"/>
    </row>
    <row r="480" spans="1:16" s="607" customFormat="1" ht="18" customHeight="1">
      <c r="A480" s="826">
        <f>SUBTOTAL(3,B$6:B480)</f>
        <v>475</v>
      </c>
      <c r="B480" s="824" t="s">
        <v>5750</v>
      </c>
      <c r="C480" s="824" t="str">
        <f>+VLOOKUP(B480,'Salary sheet'!$B$6:$AX$1386,48,0)</f>
        <v>THI NGUYET</v>
      </c>
      <c r="D480" s="824" t="str">
        <f>+VLOOKUP(B480,'Salary sheet'!$B$6:$BW$1386,49,0)</f>
        <v>050149334103</v>
      </c>
      <c r="E480" s="620">
        <f>+VLOOKUP(B480,'Salary sheet'!$B$6:$AT$1292,45,0)</f>
        <v>5010666</v>
      </c>
      <c r="F480" s="1029" t="s">
        <v>5723</v>
      </c>
      <c r="G480" s="824" t="str">
        <f>+VLOOKUP(B480,'Salary sheet'!$B$6:$E$2281,4,0)</f>
        <v>FACTORY D</v>
      </c>
      <c r="H480" s="607" t="str">
        <f>+VLOOKUP(B480,'Salary sheet'!$B$6:$AZ$1386,50,0)</f>
        <v>SK1 Bag</v>
      </c>
      <c r="I480" s="607" t="str">
        <f t="shared" si="23"/>
        <v>C16584THI NGUYET050149334103</v>
      </c>
      <c r="J480" s="853" t="str">
        <f>+VLOOKUP(B480,'[5]04 2025'!$B$2:$F$1371,5,0)</f>
        <v>C16584THI NGUYET050149334103</v>
      </c>
      <c r="K480" s="607">
        <f t="shared" si="24"/>
        <v>1</v>
      </c>
      <c r="P480" s="685"/>
    </row>
    <row r="481" spans="1:16" s="607" customFormat="1" ht="18" customHeight="1">
      <c r="A481" s="826">
        <f>SUBTOTAL(3,B$6:B481)</f>
        <v>476</v>
      </c>
      <c r="B481" s="824" t="s">
        <v>1763</v>
      </c>
      <c r="C481" s="824" t="str">
        <f>+VLOOKUP(B481,'Salary sheet'!$B$6:$AX$1386,48,0)</f>
        <v>VO THI HONG GAM</v>
      </c>
      <c r="D481" s="824" t="str">
        <f>+VLOOKUP(B481,'Salary sheet'!$B$6:$BW$1386,49,0)</f>
        <v>050040852147</v>
      </c>
      <c r="E481" s="620">
        <f>+VLOOKUP(B481,'Salary sheet'!$B$6:$AT$1292,45,0)</f>
        <v>8054791</v>
      </c>
      <c r="F481" s="1029" t="s">
        <v>5723</v>
      </c>
      <c r="G481" s="824" t="str">
        <f>+VLOOKUP(B481,'Salary sheet'!$B$6:$E$2281,4,0)</f>
        <v>FACTORY D</v>
      </c>
      <c r="H481" s="607" t="str">
        <f>+VLOOKUP(B481,'Salary sheet'!$B$6:$AZ$1386,50,0)</f>
        <v>SK1 Bag</v>
      </c>
      <c r="I481" s="607" t="str">
        <f t="shared" si="23"/>
        <v>C2783VO THI HONG GAM050040852147</v>
      </c>
      <c r="J481" s="853" t="str">
        <f>+VLOOKUP(B481,'[5]04 2025'!$B$2:$F$1371,5,0)</f>
        <v>C2783VO THI HONG GAM050040852147</v>
      </c>
      <c r="K481" s="607">
        <f t="shared" si="24"/>
        <v>1</v>
      </c>
      <c r="P481" s="685"/>
    </row>
    <row r="482" spans="1:16" s="607" customFormat="1" ht="18" customHeight="1">
      <c r="A482" s="826">
        <f>SUBTOTAL(3,B$6:B482)</f>
        <v>477</v>
      </c>
      <c r="B482" s="824" t="s">
        <v>1765</v>
      </c>
      <c r="C482" s="824" t="str">
        <f>+VLOOKUP(B482,'Salary sheet'!$B$6:$AX$1386,48,0)</f>
        <v>HO THI LIEN</v>
      </c>
      <c r="D482" s="824" t="str">
        <f>+VLOOKUP(B482,'Salary sheet'!$B$6:$BW$1386,49,0)</f>
        <v>050040931357</v>
      </c>
      <c r="E482" s="620">
        <f>+VLOOKUP(B482,'Salary sheet'!$B$6:$AT$1292,45,0)</f>
        <v>7579836</v>
      </c>
      <c r="F482" s="1029" t="s">
        <v>5723</v>
      </c>
      <c r="G482" s="824" t="str">
        <f>+VLOOKUP(B482,'Salary sheet'!$B$6:$E$2281,4,0)</f>
        <v>FACTORY D</v>
      </c>
      <c r="H482" s="607" t="str">
        <f>+VLOOKUP(B482,'Salary sheet'!$B$6:$AZ$1386,50,0)</f>
        <v>SK1 Bag</v>
      </c>
      <c r="I482" s="607" t="str">
        <f t="shared" si="23"/>
        <v>C4389HO THI LIEN050040931357</v>
      </c>
      <c r="J482" s="853" t="str">
        <f>+VLOOKUP(B482,'[5]04 2025'!$B$2:$F$1371,5,0)</f>
        <v>C4389HO THI LIEN050040931357</v>
      </c>
      <c r="K482" s="607">
        <f t="shared" si="24"/>
        <v>1</v>
      </c>
      <c r="P482" s="685"/>
    </row>
    <row r="483" spans="1:16" s="607" customFormat="1" ht="18" customHeight="1">
      <c r="A483" s="826">
        <f>SUBTOTAL(3,B$6:B483)</f>
        <v>478</v>
      </c>
      <c r="B483" s="824" t="s">
        <v>1767</v>
      </c>
      <c r="C483" s="824" t="str">
        <f>+VLOOKUP(B483,'Salary sheet'!$B$6:$AX$1386,48,0)</f>
        <v>LE THI THU HANG</v>
      </c>
      <c r="D483" s="824" t="str">
        <f>+VLOOKUP(B483,'Salary sheet'!$B$6:$BW$1386,49,0)</f>
        <v>050040845515</v>
      </c>
      <c r="E483" s="620">
        <f>+VLOOKUP(B483,'Salary sheet'!$B$6:$AT$1292,45,0)</f>
        <v>7908263</v>
      </c>
      <c r="F483" s="1029" t="s">
        <v>5723</v>
      </c>
      <c r="G483" s="824" t="str">
        <f>+VLOOKUP(B483,'Salary sheet'!$B$6:$E$2281,4,0)</f>
        <v>FACTORY D</v>
      </c>
      <c r="H483" s="607" t="str">
        <f>+VLOOKUP(B483,'Salary sheet'!$B$6:$AZ$1386,50,0)</f>
        <v>SK1 Bag</v>
      </c>
      <c r="I483" s="607" t="str">
        <f t="shared" si="23"/>
        <v>C4392LE THI THU HANG050040845515</v>
      </c>
      <c r="J483" s="853" t="str">
        <f>+VLOOKUP(B483,'[5]04 2025'!$B$2:$F$1371,5,0)</f>
        <v>C4392LE THI THU HANG050040845515</v>
      </c>
      <c r="K483" s="607">
        <f t="shared" si="24"/>
        <v>1</v>
      </c>
      <c r="P483" s="685"/>
    </row>
    <row r="484" spans="1:16" s="607" customFormat="1" ht="18" customHeight="1">
      <c r="A484" s="826">
        <f>SUBTOTAL(3,B$6:B484)</f>
        <v>479</v>
      </c>
      <c r="B484" s="824" t="s">
        <v>1769</v>
      </c>
      <c r="C484" s="824" t="str">
        <f>+VLOOKUP(B484,'Salary sheet'!$B$6:$AX$1386,48,0)</f>
        <v>VU THI THAO</v>
      </c>
      <c r="D484" s="824" t="str">
        <f>+VLOOKUP(B484,'Salary sheet'!$B$6:$BW$1386,49,0)</f>
        <v>050040931462</v>
      </c>
      <c r="E484" s="620">
        <f>+VLOOKUP(B484,'Salary sheet'!$B$6:$AT$1292,45,0)</f>
        <v>1951910</v>
      </c>
      <c r="F484" s="1029" t="s">
        <v>5723</v>
      </c>
      <c r="G484" s="824" t="str">
        <f>+VLOOKUP(B484,'Salary sheet'!$B$6:$E$2281,4,0)</f>
        <v>FACTORY D</v>
      </c>
      <c r="H484" s="607" t="str">
        <f>+VLOOKUP(B484,'Salary sheet'!$B$6:$AZ$1386,50,0)</f>
        <v>SK1 Bag</v>
      </c>
      <c r="I484" s="607" t="str">
        <f t="shared" si="23"/>
        <v>C4506VU THI THAO050040931462</v>
      </c>
      <c r="J484" s="853" t="str">
        <f>+VLOOKUP(B484,'[5]04 2025'!$B$2:$F$1371,5,0)</f>
        <v>C4506VU THI THAO050040931462</v>
      </c>
      <c r="K484" s="607">
        <f t="shared" si="24"/>
        <v>1</v>
      </c>
      <c r="P484" s="685"/>
    </row>
    <row r="485" spans="1:16" s="607" customFormat="1" ht="18" customHeight="1">
      <c r="A485" s="826">
        <f>SUBTOTAL(3,B$6:B485)</f>
        <v>480</v>
      </c>
      <c r="B485" s="824" t="s">
        <v>1771</v>
      </c>
      <c r="C485" s="824" t="str">
        <f>+VLOOKUP(B485,'Salary sheet'!$B$6:$AX$1386,48,0)</f>
        <v>HO THI NGUYET</v>
      </c>
      <c r="D485" s="824" t="str">
        <f>+VLOOKUP(B485,'Salary sheet'!$B$6:$BW$1386,49,0)</f>
        <v>050040934161</v>
      </c>
      <c r="E485" s="620">
        <f>+VLOOKUP(B485,'Salary sheet'!$B$6:$AT$1292,45,0)</f>
        <v>7861136</v>
      </c>
      <c r="F485" s="1029" t="s">
        <v>5723</v>
      </c>
      <c r="G485" s="824" t="str">
        <f>+VLOOKUP(B485,'Salary sheet'!$B$6:$E$2281,4,0)</f>
        <v>FACTORY D</v>
      </c>
      <c r="H485" s="607" t="str">
        <f>+VLOOKUP(B485,'Salary sheet'!$B$6:$AZ$1386,50,0)</f>
        <v>SK1 Bag</v>
      </c>
      <c r="I485" s="607" t="str">
        <f t="shared" si="23"/>
        <v>C5061HO THI NGUYET050040934161</v>
      </c>
      <c r="J485" s="853" t="str">
        <f>+VLOOKUP(B485,'[5]04 2025'!$B$2:$F$1371,5,0)</f>
        <v>C5061HO THI NGUYET050040934161</v>
      </c>
      <c r="K485" s="607">
        <f t="shared" si="24"/>
        <v>1</v>
      </c>
      <c r="P485" s="685"/>
    </row>
    <row r="486" spans="1:16" s="607" customFormat="1" ht="18" customHeight="1">
      <c r="A486" s="826">
        <f>SUBTOTAL(3,B$6:B486)</f>
        <v>481</v>
      </c>
      <c r="B486" s="824" t="s">
        <v>1773</v>
      </c>
      <c r="C486" s="824" t="str">
        <f>+VLOOKUP(B486,'Salary sheet'!$B$6:$AX$1386,48,0)</f>
        <v>VU THI HAU</v>
      </c>
      <c r="D486" s="824" t="str">
        <f>+VLOOKUP(B486,'Salary sheet'!$B$6:$BW$1386,49,0)</f>
        <v>050067513395</v>
      </c>
      <c r="E486" s="620">
        <f>+VLOOKUP(B486,'Salary sheet'!$B$6:$AT$1292,45,0)</f>
        <v>8034589</v>
      </c>
      <c r="F486" s="1029" t="s">
        <v>5723</v>
      </c>
      <c r="G486" s="824" t="str">
        <f>+VLOOKUP(B486,'Salary sheet'!$B$6:$E$2281,4,0)</f>
        <v>FACTORY D</v>
      </c>
      <c r="H486" s="607" t="str">
        <f>+VLOOKUP(B486,'Salary sheet'!$B$6:$AZ$1386,50,0)</f>
        <v>SK1 Bag</v>
      </c>
      <c r="I486" s="607" t="str">
        <f t="shared" si="23"/>
        <v>C6656VU THI HAU050067513395</v>
      </c>
      <c r="J486" s="853" t="str">
        <f>+VLOOKUP(B486,'[5]04 2025'!$B$2:$F$1371,5,0)</f>
        <v>C6656VU THI HAU050067513395</v>
      </c>
      <c r="K486" s="607">
        <f t="shared" ref="K486:K549" si="25">+IF(J486=I486,1,0)</f>
        <v>1</v>
      </c>
      <c r="P486" s="685"/>
    </row>
    <row r="487" spans="1:16" s="607" customFormat="1" ht="18" customHeight="1">
      <c r="A487" s="826">
        <f>SUBTOTAL(3,B$6:B487)</f>
        <v>482</v>
      </c>
      <c r="B487" s="824" t="s">
        <v>1775</v>
      </c>
      <c r="C487" s="824" t="str">
        <f>+VLOOKUP(B487,'Salary sheet'!$B$6:$AX$1386,48,0)</f>
        <v>PHAN THI BICH THUY</v>
      </c>
      <c r="D487" s="824" t="str">
        <f>+VLOOKUP(B487,'Salary sheet'!$B$6:$BW$1386,49,0)</f>
        <v>050082787957</v>
      </c>
      <c r="E487" s="620">
        <f>+VLOOKUP(B487,'Salary sheet'!$B$6:$AT$1292,45,0)</f>
        <v>7797272</v>
      </c>
      <c r="F487" s="1029" t="s">
        <v>5723</v>
      </c>
      <c r="G487" s="824" t="str">
        <f>+VLOOKUP(B487,'Salary sheet'!$B$6:$E$2281,4,0)</f>
        <v>FACTORY D</v>
      </c>
      <c r="H487" s="607" t="str">
        <f>+VLOOKUP(B487,'Salary sheet'!$B$6:$AZ$1386,50,0)</f>
        <v>SK1 Bag</v>
      </c>
      <c r="I487" s="607" t="str">
        <f t="shared" si="23"/>
        <v>C6978PHAN THI BICH THUY050082787957</v>
      </c>
      <c r="J487" s="853" t="str">
        <f>+VLOOKUP(B487,'[5]04 2025'!$B$2:$F$1371,5,0)</f>
        <v>C6978PHAN THI BICH THUY050082787957</v>
      </c>
      <c r="K487" s="607">
        <f t="shared" si="25"/>
        <v>1</v>
      </c>
      <c r="P487" s="685"/>
    </row>
    <row r="488" spans="1:16" s="607" customFormat="1" ht="18" customHeight="1">
      <c r="A488" s="826">
        <f>SUBTOTAL(3,B$6:B488)</f>
        <v>483</v>
      </c>
      <c r="B488" s="824" t="s">
        <v>1777</v>
      </c>
      <c r="C488" s="824" t="str">
        <f>+VLOOKUP(B488,'Salary sheet'!$B$6:$AX$1386,48,0)</f>
        <v>NGUYEN HOAI BAO</v>
      </c>
      <c r="D488" s="824" t="str">
        <f>+VLOOKUP(B488,'Salary sheet'!$B$6:$BW$1386,49,0)</f>
        <v>050087243084</v>
      </c>
      <c r="E488" s="620">
        <f>+VLOOKUP(B488,'Salary sheet'!$B$6:$AT$1292,45,0)</f>
        <v>4159718</v>
      </c>
      <c r="F488" s="1029" t="s">
        <v>5723</v>
      </c>
      <c r="G488" s="824" t="str">
        <f>+VLOOKUP(B488,'Salary sheet'!$B$6:$E$2281,4,0)</f>
        <v>FACTORY D</v>
      </c>
      <c r="H488" s="607" t="str">
        <f>+VLOOKUP(B488,'Salary sheet'!$B$6:$AZ$1386,50,0)</f>
        <v>SK1 Bag</v>
      </c>
      <c r="I488" s="607" t="str">
        <f t="shared" si="23"/>
        <v>C7165NGUYEN HOAI BAO050087243084</v>
      </c>
      <c r="J488" s="853" t="str">
        <f>+VLOOKUP(B488,'[5]04 2025'!$B$2:$F$1371,5,0)</f>
        <v>C7165NGUYEN HOAI BAO050087243084</v>
      </c>
      <c r="K488" s="607">
        <f t="shared" si="25"/>
        <v>1</v>
      </c>
      <c r="P488" s="685"/>
    </row>
    <row r="489" spans="1:16" s="607" customFormat="1" ht="18" customHeight="1">
      <c r="A489" s="826">
        <f>SUBTOTAL(3,B$6:B489)</f>
        <v>484</v>
      </c>
      <c r="B489" s="824" t="s">
        <v>1779</v>
      </c>
      <c r="C489" s="824" t="str">
        <f>+VLOOKUP(B489,'Salary sheet'!$B$6:$AX$1386,48,0)</f>
        <v>THI UT HOA</v>
      </c>
      <c r="D489" s="824" t="str">
        <f>+VLOOKUP(B489,'Salary sheet'!$B$6:$BW$1386,49,0)</f>
        <v>050088947311</v>
      </c>
      <c r="E489" s="620">
        <f>+VLOOKUP(B489,'Salary sheet'!$B$6:$AT$1292,45,0)</f>
        <v>8102669</v>
      </c>
      <c r="F489" s="1029" t="s">
        <v>5723</v>
      </c>
      <c r="G489" s="824" t="str">
        <f>+VLOOKUP(B489,'Salary sheet'!$B$6:$E$2281,4,0)</f>
        <v>FACTORY D</v>
      </c>
      <c r="H489" s="607" t="str">
        <f>+VLOOKUP(B489,'Salary sheet'!$B$6:$AZ$1386,50,0)</f>
        <v>SK1 Bag</v>
      </c>
      <c r="I489" s="607" t="str">
        <f t="shared" si="23"/>
        <v>C7272THI UT HOA050088947311</v>
      </c>
      <c r="J489" s="853" t="str">
        <f>+VLOOKUP(B489,'[5]04 2025'!$B$2:$F$1371,5,0)</f>
        <v>C7272THI UT HOA050088947311</v>
      </c>
      <c r="K489" s="607">
        <f t="shared" si="25"/>
        <v>1</v>
      </c>
      <c r="P489" s="685"/>
    </row>
    <row r="490" spans="1:16" s="607" customFormat="1" ht="18" customHeight="1">
      <c r="A490" s="826">
        <f>SUBTOTAL(3,B$6:B490)</f>
        <v>485</v>
      </c>
      <c r="B490" s="824" t="s">
        <v>1781</v>
      </c>
      <c r="C490" s="824" t="str">
        <f>+VLOOKUP(B490,'Salary sheet'!$B$6:$AX$1386,48,0)</f>
        <v>THI THAO</v>
      </c>
      <c r="D490" s="824" t="str">
        <f>+VLOOKUP(B490,'Salary sheet'!$B$6:$BW$1386,49,0)</f>
        <v>050088948308</v>
      </c>
      <c r="E490" s="620">
        <f>+VLOOKUP(B490,'Salary sheet'!$B$6:$AT$1292,45,0)</f>
        <v>7648951</v>
      </c>
      <c r="F490" s="1029" t="s">
        <v>5723</v>
      </c>
      <c r="G490" s="824" t="str">
        <f>+VLOOKUP(B490,'Salary sheet'!$B$6:$E$2281,4,0)</f>
        <v>FACTORY D</v>
      </c>
      <c r="H490" s="607" t="str">
        <f>+VLOOKUP(B490,'Salary sheet'!$B$6:$AZ$1386,50,0)</f>
        <v>SK1 Bag</v>
      </c>
      <c r="I490" s="607" t="str">
        <f t="shared" si="23"/>
        <v>C7273THI THAO050088948308</v>
      </c>
      <c r="J490" s="853" t="str">
        <f>+VLOOKUP(B490,'[5]04 2025'!$B$2:$F$1371,5,0)</f>
        <v>C7273THI THAO050088948308</v>
      </c>
      <c r="K490" s="607">
        <f t="shared" si="25"/>
        <v>1</v>
      </c>
      <c r="P490" s="685"/>
    </row>
    <row r="491" spans="1:16" s="607" customFormat="1" ht="18" customHeight="1">
      <c r="A491" s="826">
        <f>SUBTOTAL(3,B$6:B491)</f>
        <v>486</v>
      </c>
      <c r="B491" s="824" t="s">
        <v>1783</v>
      </c>
      <c r="C491" s="824" t="str">
        <f>+VLOOKUP(B491,'Salary sheet'!$B$6:$AX$1386,48,0)</f>
        <v>PHAM MINH HIEU</v>
      </c>
      <c r="D491" s="824" t="str">
        <f>+VLOOKUP(B491,'Salary sheet'!$B$6:$BW$1386,49,0)</f>
        <v>050095313156</v>
      </c>
      <c r="E491" s="620">
        <f>+VLOOKUP(B491,'Salary sheet'!$B$6:$AT$1292,45,0)</f>
        <v>6581551</v>
      </c>
      <c r="F491" s="1029" t="s">
        <v>5723</v>
      </c>
      <c r="G491" s="824" t="str">
        <f>+VLOOKUP(B491,'Salary sheet'!$B$6:$E$2281,4,0)</f>
        <v>FACTORY D</v>
      </c>
      <c r="H491" s="607" t="str">
        <f>+VLOOKUP(B491,'Salary sheet'!$B$6:$AZ$1386,50,0)</f>
        <v>SK1 Bag</v>
      </c>
      <c r="I491" s="607" t="str">
        <f t="shared" si="23"/>
        <v>C7396PHAM MINH HIEU050095313156</v>
      </c>
      <c r="J491" s="853" t="str">
        <f>+VLOOKUP(B491,'[5]04 2025'!$B$2:$F$1371,5,0)</f>
        <v>C7396PHAM MINH HIEU050095313156</v>
      </c>
      <c r="K491" s="607">
        <f t="shared" si="25"/>
        <v>1</v>
      </c>
      <c r="P491" s="685"/>
    </row>
    <row r="492" spans="1:16" s="607" customFormat="1" ht="18" customHeight="1">
      <c r="A492" s="826">
        <f>SUBTOTAL(3,B$6:B492)</f>
        <v>487</v>
      </c>
      <c r="B492" s="824" t="s">
        <v>1785</v>
      </c>
      <c r="C492" s="824" t="str">
        <f>+VLOOKUP(B492,'Salary sheet'!$B$6:$AX$1386,48,0)</f>
        <v>LE TRUNG HOA</v>
      </c>
      <c r="D492" s="824" t="str">
        <f>+VLOOKUP(B492,'Salary sheet'!$B$6:$BW$1386,49,0)</f>
        <v>050095670651</v>
      </c>
      <c r="E492" s="620">
        <f>+VLOOKUP(B492,'Salary sheet'!$B$6:$AT$1292,45,0)</f>
        <v>8099034</v>
      </c>
      <c r="F492" s="1029" t="s">
        <v>5723</v>
      </c>
      <c r="G492" s="824" t="str">
        <f>+VLOOKUP(B492,'Salary sheet'!$B$6:$E$2281,4,0)</f>
        <v>FACTORY D</v>
      </c>
      <c r="H492" s="607" t="str">
        <f>+VLOOKUP(B492,'Salary sheet'!$B$6:$AZ$1386,50,0)</f>
        <v>SK1 Bag</v>
      </c>
      <c r="I492" s="607" t="str">
        <f t="shared" si="23"/>
        <v>C7441LE TRUNG HOA050095670651</v>
      </c>
      <c r="J492" s="853" t="str">
        <f>+VLOOKUP(B492,'[5]04 2025'!$B$2:$F$1371,5,0)</f>
        <v>C7441LE TRUNG HOA050095670651</v>
      </c>
      <c r="K492" s="607">
        <f t="shared" si="25"/>
        <v>1</v>
      </c>
      <c r="P492" s="685"/>
    </row>
    <row r="493" spans="1:16" s="607" customFormat="1" ht="18" customHeight="1">
      <c r="A493" s="826">
        <f>SUBTOTAL(3,B$6:B493)</f>
        <v>488</v>
      </c>
      <c r="B493" s="824" t="s">
        <v>1787</v>
      </c>
      <c r="C493" s="824" t="str">
        <f>+VLOOKUP(B493,'Salary sheet'!$B$6:$AX$1386,48,0)</f>
        <v>NGUYEN MANH TIEN</v>
      </c>
      <c r="D493" s="824" t="str">
        <f>+VLOOKUP(B493,'Salary sheet'!$B$6:$BW$1386,49,0)</f>
        <v>050103659334</v>
      </c>
      <c r="E493" s="620">
        <f>+VLOOKUP(B493,'Salary sheet'!$B$6:$AT$1292,45,0)</f>
        <v>6477957</v>
      </c>
      <c r="F493" s="1029" t="s">
        <v>5723</v>
      </c>
      <c r="G493" s="824" t="str">
        <f>+VLOOKUP(B493,'Salary sheet'!$B$6:$E$2281,4,0)</f>
        <v>FACTORY D</v>
      </c>
      <c r="H493" s="607" t="str">
        <f>+VLOOKUP(B493,'Salary sheet'!$B$6:$AZ$1386,50,0)</f>
        <v>SK1 Bag</v>
      </c>
      <c r="I493" s="607" t="str">
        <f t="shared" si="23"/>
        <v>C8307NGUYEN MANH TIEN050103659334</v>
      </c>
      <c r="J493" s="853" t="str">
        <f>+VLOOKUP(B493,'[5]04 2025'!$B$2:$F$1371,5,0)</f>
        <v>C8307NGUYEN MANH TIEN050103659334</v>
      </c>
      <c r="K493" s="607">
        <f t="shared" si="25"/>
        <v>1</v>
      </c>
      <c r="P493" s="685"/>
    </row>
    <row r="494" spans="1:16" s="607" customFormat="1" ht="18" customHeight="1">
      <c r="A494" s="826">
        <f>SUBTOTAL(3,B$6:B494)</f>
        <v>489</v>
      </c>
      <c r="B494" s="824" t="s">
        <v>1789</v>
      </c>
      <c r="C494" s="824" t="str">
        <f>+VLOOKUP(B494,'Salary sheet'!$B$6:$AX$1386,48,0)</f>
        <v>VU THI TRA MY</v>
      </c>
      <c r="D494" s="824" t="str">
        <f>+VLOOKUP(B494,'Salary sheet'!$B$6:$BW$1386,49,0)</f>
        <v>050108107518</v>
      </c>
      <c r="E494" s="620">
        <f>+VLOOKUP(B494,'Salary sheet'!$B$6:$AT$1292,45,0)</f>
        <v>7582039</v>
      </c>
      <c r="F494" s="1029" t="s">
        <v>5723</v>
      </c>
      <c r="G494" s="824" t="str">
        <f>+VLOOKUP(B494,'Salary sheet'!$B$6:$E$2281,4,0)</f>
        <v>FACTORY D</v>
      </c>
      <c r="H494" s="607" t="str">
        <f>+VLOOKUP(B494,'Salary sheet'!$B$6:$AZ$1386,50,0)</f>
        <v>SK1 Bag</v>
      </c>
      <c r="I494" s="607" t="str">
        <f t="shared" si="23"/>
        <v>C10829VU THI TRA MY050108107518</v>
      </c>
      <c r="J494" s="853" t="str">
        <f>+VLOOKUP(B494,'[5]04 2025'!$B$2:$F$1371,5,0)</f>
        <v>C10829VU THI TRA MY050108107518</v>
      </c>
      <c r="K494" s="607">
        <f t="shared" si="25"/>
        <v>1</v>
      </c>
      <c r="P494" s="685"/>
    </row>
    <row r="495" spans="1:16" s="607" customFormat="1" ht="18" customHeight="1">
      <c r="A495" s="826">
        <f>SUBTOTAL(3,B$6:B495)</f>
        <v>490</v>
      </c>
      <c r="B495" s="824" t="s">
        <v>1791</v>
      </c>
      <c r="C495" s="824" t="str">
        <f>+VLOOKUP(B495,'Salary sheet'!$B$6:$AX$1386,48,0)</f>
        <v>LE NGUYEN THUY DUNG</v>
      </c>
      <c r="D495" s="824" t="str">
        <f>+VLOOKUP(B495,'Salary sheet'!$B$6:$BW$1386,49,0)</f>
        <v>050117707048</v>
      </c>
      <c r="E495" s="620">
        <f>+VLOOKUP(B495,'Salary sheet'!$B$6:$AT$1292,45,0)</f>
        <v>7770460</v>
      </c>
      <c r="F495" s="1029" t="s">
        <v>5723</v>
      </c>
      <c r="G495" s="824" t="str">
        <f>+VLOOKUP(B495,'Salary sheet'!$B$6:$E$2281,4,0)</f>
        <v>FACTORY D</v>
      </c>
      <c r="H495" s="607" t="str">
        <f>+VLOOKUP(B495,'Salary sheet'!$B$6:$AZ$1386,50,0)</f>
        <v>SK1 Bag</v>
      </c>
      <c r="I495" s="607" t="str">
        <f t="shared" si="23"/>
        <v>C13662LE NGUYEN THUY DUNG050117707048</v>
      </c>
      <c r="J495" s="853" t="str">
        <f>+VLOOKUP(B495,'[5]04 2025'!$B$2:$F$1371,5,0)</f>
        <v>C13662LE NGUYEN THUY DUNG050117707048</v>
      </c>
      <c r="K495" s="607">
        <f t="shared" si="25"/>
        <v>1</v>
      </c>
      <c r="P495" s="685"/>
    </row>
    <row r="496" spans="1:16" s="607" customFormat="1" ht="18" customHeight="1">
      <c r="A496" s="826">
        <f>SUBTOTAL(3,B$6:B496)</f>
        <v>491</v>
      </c>
      <c r="B496" s="824" t="s">
        <v>1793</v>
      </c>
      <c r="C496" s="824" t="str">
        <f>+VLOOKUP(B496,'Salary sheet'!$B$6:$AX$1386,48,0)</f>
        <v>NGUYEN THI TAM</v>
      </c>
      <c r="D496" s="824" t="str">
        <f>+VLOOKUP(B496,'Salary sheet'!$B$6:$BW$1386,49,0)</f>
        <v>050127345888</v>
      </c>
      <c r="E496" s="620">
        <f>+VLOOKUP(B496,'Salary sheet'!$B$6:$AT$1292,45,0)</f>
        <v>7568290</v>
      </c>
      <c r="F496" s="1029" t="s">
        <v>5723</v>
      </c>
      <c r="G496" s="824" t="str">
        <f>+VLOOKUP(B496,'Salary sheet'!$B$6:$E$2281,4,0)</f>
        <v>FACTORY D</v>
      </c>
      <c r="H496" s="607" t="str">
        <f>+VLOOKUP(B496,'Salary sheet'!$B$6:$AZ$1386,50,0)</f>
        <v>SK1 Bag</v>
      </c>
      <c r="I496" s="607" t="str">
        <f t="shared" si="23"/>
        <v>C13819NGUYEN THI TAM050127345888</v>
      </c>
      <c r="J496" s="853" t="str">
        <f>+VLOOKUP(B496,'[5]04 2025'!$B$2:$F$1371,5,0)</f>
        <v>C13819NGUYEN THI TAM050127345888</v>
      </c>
      <c r="K496" s="607">
        <f t="shared" si="25"/>
        <v>1</v>
      </c>
      <c r="P496" s="685"/>
    </row>
    <row r="497" spans="1:16" s="607" customFormat="1" ht="18" customHeight="1">
      <c r="A497" s="826">
        <f>SUBTOTAL(3,B$6:B497)</f>
        <v>492</v>
      </c>
      <c r="B497" s="824" t="s">
        <v>5751</v>
      </c>
      <c r="C497" s="824" t="str">
        <f>+VLOOKUP(B497,'Salary sheet'!$B$6:$AX$1386,48,0)</f>
        <v>PHAM DUONG NHU Y</v>
      </c>
      <c r="D497" s="824" t="str">
        <f>+VLOOKUP(B497,'Salary sheet'!$B$6:$BW$1386,49,0)</f>
        <v>050082294314</v>
      </c>
      <c r="E497" s="620">
        <f>+VLOOKUP(B497,'Salary sheet'!$B$6:$AT$1292,45,0)</f>
        <v>6775779</v>
      </c>
      <c r="F497" s="1029" t="s">
        <v>5723</v>
      </c>
      <c r="G497" s="824" t="str">
        <f>+VLOOKUP(B497,'Salary sheet'!$B$6:$E$2281,4,0)</f>
        <v>FACTORY D</v>
      </c>
      <c r="H497" s="607" t="str">
        <f>+VLOOKUP(B497,'Salary sheet'!$B$6:$AZ$1386,50,0)</f>
        <v>SK1 Bag</v>
      </c>
      <c r="I497" s="607" t="str">
        <f t="shared" si="23"/>
        <v>C14494PHAM DUONG NHU Y050082294314</v>
      </c>
      <c r="J497" s="853" t="str">
        <f>+VLOOKUP(B497,'[5]04 2025'!$B$2:$F$1371,5,0)</f>
        <v>C14494PHAM DUONG NHU Y050082294314</v>
      </c>
      <c r="K497" s="607">
        <f t="shared" si="25"/>
        <v>1</v>
      </c>
      <c r="P497" s="685"/>
    </row>
    <row r="498" spans="1:16" s="607" customFormat="1" ht="18" customHeight="1">
      <c r="A498" s="826">
        <f>SUBTOTAL(3,B$6:B498)</f>
        <v>493</v>
      </c>
      <c r="B498" s="824" t="s">
        <v>1795</v>
      </c>
      <c r="C498" s="824" t="str">
        <f>+VLOOKUP(B498,'Salary sheet'!$B$6:$AX$1386,48,0)</f>
        <v>NGUYEN MINH TAM</v>
      </c>
      <c r="D498" s="824" t="str">
        <f>+VLOOKUP(B498,'Salary sheet'!$B$6:$BW$1386,49,0)</f>
        <v>050155725564</v>
      </c>
      <c r="E498" s="620">
        <f>+VLOOKUP(B498,'Salary sheet'!$B$6:$AT$1292,45,0)</f>
        <v>6861943</v>
      </c>
      <c r="F498" s="1029" t="s">
        <v>5723</v>
      </c>
      <c r="G498" s="824" t="str">
        <f>+VLOOKUP(B498,'Salary sheet'!$B$6:$E$2281,4,0)</f>
        <v>FACTORY D</v>
      </c>
      <c r="H498" s="607" t="str">
        <f>+VLOOKUP(B498,'Salary sheet'!$B$6:$AZ$1386,50,0)</f>
        <v>SK1 Bag</v>
      </c>
      <c r="I498" s="607" t="str">
        <f t="shared" si="23"/>
        <v>C16219NGUYEN MINH TAM050155725564</v>
      </c>
      <c r="J498" s="853" t="str">
        <f>+VLOOKUP(B498,'[5]04 2025'!$B$2:$F$1371,5,0)</f>
        <v>C16219NGUYEN MINH TAM050155725564</v>
      </c>
      <c r="K498" s="607">
        <f t="shared" si="25"/>
        <v>1</v>
      </c>
      <c r="P498" s="685"/>
    </row>
    <row r="499" spans="1:16" s="607" customFormat="1" ht="18" customHeight="1">
      <c r="A499" s="826">
        <f>SUBTOTAL(3,B$6:B499)</f>
        <v>494</v>
      </c>
      <c r="B499" s="824" t="s">
        <v>1797</v>
      </c>
      <c r="C499" s="824" t="str">
        <f>+VLOOKUP(B499,'Salary sheet'!$B$6:$AX$1386,48,0)</f>
        <v>NGUYEN LAN VY</v>
      </c>
      <c r="D499" s="824" t="str">
        <f>+VLOOKUP(B499,'Salary sheet'!$B$6:$BW$1386,49,0)</f>
        <v>050155393405</v>
      </c>
      <c r="E499" s="620">
        <f>+VLOOKUP(B499,'Salary sheet'!$B$6:$AT$1292,45,0)</f>
        <v>6745255</v>
      </c>
      <c r="F499" s="1029" t="s">
        <v>5723</v>
      </c>
      <c r="G499" s="824" t="str">
        <f>+VLOOKUP(B499,'Salary sheet'!$B$6:$E$2281,4,0)</f>
        <v>FACTORY D</v>
      </c>
      <c r="H499" s="607" t="str">
        <f>+VLOOKUP(B499,'Salary sheet'!$B$6:$AZ$1386,50,0)</f>
        <v>SK1 Bag</v>
      </c>
      <c r="I499" s="607" t="str">
        <f t="shared" si="23"/>
        <v>C16341NGUYEN LAN VY050155393405</v>
      </c>
      <c r="J499" s="853" t="str">
        <f>+VLOOKUP(B499,'[5]04 2025'!$B$2:$F$1371,5,0)</f>
        <v>C16341NGUYEN LAN VY050155393405</v>
      </c>
      <c r="K499" s="607">
        <f t="shared" si="25"/>
        <v>1</v>
      </c>
      <c r="P499" s="685"/>
    </row>
    <row r="500" spans="1:16" s="607" customFormat="1" ht="18" customHeight="1">
      <c r="A500" s="826">
        <f>SUBTOTAL(3,B$6:B500)</f>
        <v>495</v>
      </c>
      <c r="B500" s="824" t="s">
        <v>1799</v>
      </c>
      <c r="C500" s="824" t="str">
        <f>+VLOOKUP(B500,'Salary sheet'!$B$6:$AX$1386,48,0)</f>
        <v>CAO THI TU</v>
      </c>
      <c r="D500" s="824" t="str">
        <f>+VLOOKUP(B500,'Salary sheet'!$B$6:$BW$1386,49,0)</f>
        <v>050040851991</v>
      </c>
      <c r="E500" s="620">
        <f>+VLOOKUP(B500,'Salary sheet'!$B$6:$AT$1292,45,0)</f>
        <v>6870427</v>
      </c>
      <c r="F500" s="1029" t="s">
        <v>5723</v>
      </c>
      <c r="G500" s="824" t="str">
        <f>+VLOOKUP(B500,'Salary sheet'!$B$6:$E$2281,4,0)</f>
        <v>FACTORY D</v>
      </c>
      <c r="H500" s="607" t="str">
        <f>+VLOOKUP(B500,'Salary sheet'!$B$6:$AZ$1386,50,0)</f>
        <v>SK1 Bag</v>
      </c>
      <c r="I500" s="607" t="str">
        <f t="shared" si="23"/>
        <v>C16342CAO THI TU050040851991</v>
      </c>
      <c r="J500" s="853" t="str">
        <f>+VLOOKUP(B500,'[5]04 2025'!$B$2:$F$1371,5,0)</f>
        <v>C16342CAO THI TU050040851991</v>
      </c>
      <c r="K500" s="607">
        <f t="shared" si="25"/>
        <v>1</v>
      </c>
      <c r="P500" s="685"/>
    </row>
    <row r="501" spans="1:16" s="607" customFormat="1" ht="18" customHeight="1">
      <c r="A501" s="826">
        <f>SUBTOTAL(3,B$6:B501)</f>
        <v>496</v>
      </c>
      <c r="B501" s="824" t="s">
        <v>1801</v>
      </c>
      <c r="C501" s="824" t="str">
        <f>+VLOOKUP(B501,'Salary sheet'!$B$6:$AX$1386,48,0)</f>
        <v>TRUONG MINH KHAI</v>
      </c>
      <c r="D501" s="824" t="str">
        <f>+VLOOKUP(B501,'Salary sheet'!$B$6:$BW$1386,49,0)</f>
        <v>050111254394</v>
      </c>
      <c r="E501" s="620">
        <f>+VLOOKUP(B501,'Salary sheet'!$B$6:$AT$1292,45,0)</f>
        <v>6643219</v>
      </c>
      <c r="F501" s="1029" t="s">
        <v>5723</v>
      </c>
      <c r="G501" s="824" t="str">
        <f>+VLOOKUP(B501,'Salary sheet'!$B$6:$E$2281,4,0)</f>
        <v>FACTORY D</v>
      </c>
      <c r="H501" s="607" t="str">
        <f>+VLOOKUP(B501,'Salary sheet'!$B$6:$AZ$1386,50,0)</f>
        <v>SK1 Bag</v>
      </c>
      <c r="I501" s="607" t="str">
        <f t="shared" si="12"/>
        <v>C16464TRUONG MINH KHAI050111254394</v>
      </c>
      <c r="J501" s="853" t="str">
        <f>+VLOOKUP(B501,'[5]04 2025'!$B$2:$F$1371,5,0)</f>
        <v>C16464TRUONG MINH KHAI050111254394</v>
      </c>
      <c r="K501" s="607">
        <f t="shared" si="25"/>
        <v>1</v>
      </c>
      <c r="P501" s="685"/>
    </row>
    <row r="502" spans="1:16" s="607" customFormat="1" ht="18" customHeight="1">
      <c r="A502" s="826">
        <f>SUBTOTAL(3,B$6:B502)</f>
        <v>497</v>
      </c>
      <c r="B502" s="824" t="s">
        <v>1803</v>
      </c>
      <c r="C502" s="824" t="str">
        <f>+VLOOKUP(B502,'Salary sheet'!$B$6:$AX$1386,48,0)</f>
        <v>TRIEU VAN TAM</v>
      </c>
      <c r="D502" s="824" t="str">
        <f>+VLOOKUP(B502,'Salary sheet'!$B$6:$BW$1386,49,0)</f>
        <v>050845186039</v>
      </c>
      <c r="E502" s="620">
        <f>+VLOOKUP(B502,'Salary sheet'!$B$6:$AT$1292,45,0)</f>
        <v>6670019</v>
      </c>
      <c r="F502" s="1029" t="s">
        <v>5723</v>
      </c>
      <c r="G502" s="824" t="str">
        <f>+VLOOKUP(B502,'Salary sheet'!$B$6:$E$2281,4,0)</f>
        <v>FACTORY D</v>
      </c>
      <c r="H502" s="607" t="str">
        <f>+VLOOKUP(B502,'Salary sheet'!$B$6:$AZ$1386,50,0)</f>
        <v>SK1 Bag</v>
      </c>
      <c r="I502" s="607" t="str">
        <f t="shared" si="12"/>
        <v>C16465TRIEU VAN TAM050845186039</v>
      </c>
      <c r="J502" s="853" t="str">
        <f>+VLOOKUP(B502,'[5]04 2025'!$B$2:$F$1371,5,0)</f>
        <v>C16465TRIEU VAN TAM050845186039</v>
      </c>
      <c r="K502" s="607">
        <f t="shared" si="25"/>
        <v>1</v>
      </c>
      <c r="P502" s="685"/>
    </row>
    <row r="503" spans="1:16" s="607" customFormat="1" ht="18" customHeight="1">
      <c r="A503" s="826">
        <f>SUBTOTAL(3,B$6:B503)</f>
        <v>498</v>
      </c>
      <c r="B503" s="824" t="s">
        <v>1805</v>
      </c>
      <c r="C503" s="824" t="str">
        <f>+VLOOKUP(B503,'Salary sheet'!$B$6:$AX$1386,48,0)</f>
        <v>VU THI THU THAO</v>
      </c>
      <c r="D503" s="824" t="str">
        <f>+VLOOKUP(B503,'Salary sheet'!$B$6:$BW$1386,49,0)</f>
        <v>050124144288</v>
      </c>
      <c r="E503" s="620">
        <f>+VLOOKUP(B503,'Salary sheet'!$B$6:$AT$1292,45,0)</f>
        <v>6787799</v>
      </c>
      <c r="F503" s="1029" t="s">
        <v>5723</v>
      </c>
      <c r="G503" s="824" t="str">
        <f>+VLOOKUP(B503,'Salary sheet'!$B$6:$E$2281,4,0)</f>
        <v>FACTORY D</v>
      </c>
      <c r="H503" s="607" t="str">
        <f>+VLOOKUP(B503,'Salary sheet'!$B$6:$AZ$1386,50,0)</f>
        <v>SK1 Bag</v>
      </c>
      <c r="I503" s="607" t="str">
        <f t="shared" si="12"/>
        <v>C16540VU THI THU THAO050124144288</v>
      </c>
      <c r="J503" s="853" t="str">
        <f>+VLOOKUP(B503,'[5]04 2025'!$B$2:$F$1371,5,0)</f>
        <v>C16540VU THI THU THAO050124144288</v>
      </c>
      <c r="K503" s="607">
        <f t="shared" si="25"/>
        <v>1</v>
      </c>
      <c r="P503" s="685"/>
    </row>
    <row r="504" spans="1:16" s="607" customFormat="1" ht="18" customHeight="1">
      <c r="A504" s="826">
        <f>SUBTOTAL(3,B$6:B504)</f>
        <v>499</v>
      </c>
      <c r="B504" s="824" t="s">
        <v>1807</v>
      </c>
      <c r="C504" s="824" t="str">
        <f>+VLOOKUP(B504,'Salary sheet'!$B$6:$AX$1386,48,0)</f>
        <v>DIEU GIANG</v>
      </c>
      <c r="D504" s="824" t="str">
        <f>+VLOOKUP(B504,'Salary sheet'!$B$6:$BW$1386,49,0)</f>
        <v>050087243149</v>
      </c>
      <c r="E504" s="620">
        <f>+VLOOKUP(B504,'Salary sheet'!$B$6:$AT$1292,45,0)</f>
        <v>6054504</v>
      </c>
      <c r="F504" s="1029" t="s">
        <v>5723</v>
      </c>
      <c r="G504" s="824" t="str">
        <f>+VLOOKUP(B504,'Salary sheet'!$B$6:$E$2281,4,0)</f>
        <v>FACTORY D</v>
      </c>
      <c r="H504" s="607" t="str">
        <f>+VLOOKUP(B504,'Salary sheet'!$B$6:$AZ$1386,50,0)</f>
        <v>SK1 Bag</v>
      </c>
      <c r="I504" s="607" t="str">
        <f t="shared" si="12"/>
        <v>C16563DIEU GIANG050087243149</v>
      </c>
      <c r="J504" s="853" t="str">
        <f>+VLOOKUP(B504,'[5]04 2025'!$B$2:$F$1371,5,0)</f>
        <v>C16563DIEU GIANG050087243149</v>
      </c>
      <c r="K504" s="607">
        <f t="shared" si="25"/>
        <v>1</v>
      </c>
      <c r="P504" s="685"/>
    </row>
    <row r="505" spans="1:16" s="607" customFormat="1" ht="18" customHeight="1">
      <c r="A505" s="826">
        <f>SUBTOTAL(3,B$6:B505)</f>
        <v>500</v>
      </c>
      <c r="B505" s="824" t="s">
        <v>5753</v>
      </c>
      <c r="C505" s="824" t="str">
        <f>+VLOOKUP(B505,'Salary sheet'!$B$6:$AX$1386,48,0)</f>
        <v>LE DINH CONG</v>
      </c>
      <c r="D505" s="824" t="str">
        <f>+VLOOKUP(B505,'Salary sheet'!$B$6:$BW$1386,49,0)</f>
        <v>050147459091</v>
      </c>
      <c r="E505" s="620">
        <f>+VLOOKUP(B505,'Salary sheet'!$B$6:$AT$1292,45,0)</f>
        <v>3178212</v>
      </c>
      <c r="F505" s="1029" t="s">
        <v>5723</v>
      </c>
      <c r="G505" s="824" t="str">
        <f>+VLOOKUP(B505,'Salary sheet'!$B$6:$E$2281,4,0)</f>
        <v>FACTORY D</v>
      </c>
      <c r="H505" s="607" t="str">
        <f>+VLOOKUP(B505,'Salary sheet'!$B$6:$AZ$1386,50,0)</f>
        <v>SK1 Bag</v>
      </c>
      <c r="I505" s="607" t="str">
        <f t="shared" si="12"/>
        <v>C16608LE DINH CONG050147459091</v>
      </c>
      <c r="J505" s="853" t="str">
        <f>+VLOOKUP(B505,'[5]04 2025'!$B$2:$F$1371,5,0)</f>
        <v>C16608LE DINH CONG050147459091</v>
      </c>
      <c r="K505" s="607">
        <f t="shared" si="25"/>
        <v>1</v>
      </c>
      <c r="P505" s="685"/>
    </row>
    <row r="506" spans="1:16" s="607" customFormat="1" ht="18" customHeight="1">
      <c r="A506" s="826">
        <f>SUBTOTAL(3,B$6:B506)</f>
        <v>501</v>
      </c>
      <c r="B506" s="824" t="s">
        <v>1809</v>
      </c>
      <c r="C506" s="824" t="str">
        <f>+VLOOKUP(B506,'Salary sheet'!$B$6:$AX$1386,48,0)</f>
        <v>DUONG THI THANH NHI</v>
      </c>
      <c r="D506" s="824" t="str">
        <f>+VLOOKUP(B506,'Salary sheet'!$B$6:$BW$1386,49,0)</f>
        <v>050040852211</v>
      </c>
      <c r="E506" s="620">
        <f>+VLOOKUP(B506,'Salary sheet'!$B$6:$AT$1292,45,0)</f>
        <v>10827699</v>
      </c>
      <c r="F506" s="1029" t="s">
        <v>5723</v>
      </c>
      <c r="G506" s="824" t="str">
        <f>+VLOOKUP(B506,'Salary sheet'!$B$6:$E$2281,4,0)</f>
        <v>FACTORY D</v>
      </c>
      <c r="H506" s="607" t="str">
        <f>+VLOOKUP(B506,'Salary sheet'!$B$6:$AZ$1386,50,0)</f>
        <v>SK1 Bag</v>
      </c>
      <c r="I506" s="607" t="str">
        <f t="shared" si="12"/>
        <v>C1708DUONG THI THANH NHI050040852211</v>
      </c>
      <c r="J506" s="853" t="str">
        <f>+VLOOKUP(B506,'[5]04 2025'!$B$2:$F$1371,5,0)</f>
        <v>C1708DUONG THI THANH NHI050040852211</v>
      </c>
      <c r="K506" s="607">
        <f t="shared" si="25"/>
        <v>1</v>
      </c>
      <c r="P506" s="685"/>
    </row>
    <row r="507" spans="1:16" s="607" customFormat="1" ht="18" customHeight="1">
      <c r="A507" s="826">
        <f>SUBTOTAL(3,B$6:B507)</f>
        <v>502</v>
      </c>
      <c r="B507" s="824" t="s">
        <v>1811</v>
      </c>
      <c r="C507" s="824" t="str">
        <f>+VLOOKUP(B507,'Salary sheet'!$B$6:$AX$1386,48,0)</f>
        <v>TRAN THI HONG HANH</v>
      </c>
      <c r="D507" s="824" t="str">
        <f>+VLOOKUP(B507,'Salary sheet'!$B$6:$BW$1386,49,0)</f>
        <v>050040852198</v>
      </c>
      <c r="E507" s="620">
        <f>+VLOOKUP(B507,'Salary sheet'!$B$6:$AT$1292,45,0)</f>
        <v>7757306</v>
      </c>
      <c r="F507" s="1029" t="s">
        <v>5723</v>
      </c>
      <c r="G507" s="824" t="str">
        <f>+VLOOKUP(B507,'Salary sheet'!$B$6:$E$2281,4,0)</f>
        <v>FACTORY D</v>
      </c>
      <c r="H507" s="607" t="str">
        <f>+VLOOKUP(B507,'Salary sheet'!$B$6:$AZ$1386,50,0)</f>
        <v>SK1 Bag</v>
      </c>
      <c r="I507" s="607" t="str">
        <f t="shared" si="12"/>
        <v>C2564TRAN THI HONG HANH050040852198</v>
      </c>
      <c r="J507" s="853" t="str">
        <f>+VLOOKUP(B507,'[5]04 2025'!$B$2:$F$1371,5,0)</f>
        <v>C2564TRAN THI HONG HANH050040852198</v>
      </c>
      <c r="K507" s="607">
        <f t="shared" si="25"/>
        <v>1</v>
      </c>
      <c r="P507" s="685"/>
    </row>
    <row r="508" spans="1:16" s="607" customFormat="1" ht="18" customHeight="1">
      <c r="A508" s="826">
        <f>SUBTOTAL(3,B$6:B508)</f>
        <v>503</v>
      </c>
      <c r="B508" s="824" t="s">
        <v>1813</v>
      </c>
      <c r="C508" s="824" t="str">
        <f>+VLOOKUP(B508,'Salary sheet'!$B$6:$AX$1386,48,0)</f>
        <v>NGUYEN THI THAO</v>
      </c>
      <c r="D508" s="824" t="str">
        <f>+VLOOKUP(B508,'Salary sheet'!$B$6:$BW$1386,49,0)</f>
        <v>050040795771</v>
      </c>
      <c r="E508" s="620">
        <f>+VLOOKUP(B508,'Salary sheet'!$B$6:$AT$1292,45,0)</f>
        <v>7873896</v>
      </c>
      <c r="F508" s="1029" t="s">
        <v>5723</v>
      </c>
      <c r="G508" s="824" t="str">
        <f>+VLOOKUP(B508,'Salary sheet'!$B$6:$E$2281,4,0)</f>
        <v>FACTORY D</v>
      </c>
      <c r="H508" s="607" t="str">
        <f>+VLOOKUP(B508,'Salary sheet'!$B$6:$AZ$1386,50,0)</f>
        <v>SK1 Bag</v>
      </c>
      <c r="I508" s="607" t="str">
        <f t="shared" si="12"/>
        <v>C5322NGUYEN THI THAO050040795771</v>
      </c>
      <c r="J508" s="853" t="str">
        <f>+VLOOKUP(B508,'[5]04 2025'!$B$2:$F$1371,5,0)</f>
        <v>C5322NGUYEN THI THAO050040795771</v>
      </c>
      <c r="K508" s="607">
        <f t="shared" si="25"/>
        <v>1</v>
      </c>
      <c r="P508" s="685"/>
    </row>
    <row r="509" spans="1:16" s="607" customFormat="1" ht="18" customHeight="1">
      <c r="A509" s="826">
        <f>SUBTOTAL(3,B$6:B509)</f>
        <v>504</v>
      </c>
      <c r="B509" s="824" t="s">
        <v>1814</v>
      </c>
      <c r="C509" s="824" t="str">
        <f>+VLOOKUP(B509,'Salary sheet'!$B$6:$AX$1386,48,0)</f>
        <v>LUU THI THANH MY</v>
      </c>
      <c r="D509" s="824" t="str">
        <f>+VLOOKUP(B509,'Salary sheet'!$B$6:$BW$1386,49,0)</f>
        <v>050040871648</v>
      </c>
      <c r="E509" s="620">
        <f>+VLOOKUP(B509,'Salary sheet'!$B$6:$AT$1292,45,0)</f>
        <v>7982416</v>
      </c>
      <c r="F509" s="1029" t="s">
        <v>5723</v>
      </c>
      <c r="G509" s="824" t="str">
        <f>+VLOOKUP(B509,'Salary sheet'!$B$6:$E$2281,4,0)</f>
        <v>FACTORY D</v>
      </c>
      <c r="H509" s="607" t="str">
        <f>+VLOOKUP(B509,'Salary sheet'!$B$6:$AZ$1386,50,0)</f>
        <v>SK1 Bag</v>
      </c>
      <c r="I509" s="607" t="str">
        <f t="shared" si="12"/>
        <v>C5955LUU THI THANH MY050040871648</v>
      </c>
      <c r="J509" s="853" t="str">
        <f>+VLOOKUP(B509,'[5]04 2025'!$B$2:$F$1371,5,0)</f>
        <v>C5955LUU THI THANH MY050040871648</v>
      </c>
      <c r="K509" s="607">
        <f t="shared" si="25"/>
        <v>1</v>
      </c>
      <c r="P509" s="685"/>
    </row>
    <row r="510" spans="1:16" s="607" customFormat="1" ht="18" customHeight="1">
      <c r="A510" s="826">
        <f>SUBTOTAL(3,B$6:B510)</f>
        <v>505</v>
      </c>
      <c r="B510" s="824" t="s">
        <v>1816</v>
      </c>
      <c r="C510" s="824" t="str">
        <f>+VLOOKUP(B510,'Salary sheet'!$B$6:$AX$1386,48,0)</f>
        <v>NHIN DO NGOC TIEN</v>
      </c>
      <c r="D510" s="824" t="str">
        <f>+VLOOKUP(B510,'Salary sheet'!$B$6:$BW$1386,49,0)</f>
        <v>050040851973</v>
      </c>
      <c r="E510" s="620">
        <f>+VLOOKUP(B510,'Salary sheet'!$B$6:$AT$1292,45,0)</f>
        <v>7799694</v>
      </c>
      <c r="F510" s="1029" t="s">
        <v>5723</v>
      </c>
      <c r="G510" s="824" t="str">
        <f>+VLOOKUP(B510,'Salary sheet'!$B$6:$E$2281,4,0)</f>
        <v>FACTORY D</v>
      </c>
      <c r="H510" s="607" t="str">
        <f>+VLOOKUP(B510,'Salary sheet'!$B$6:$AZ$1386,50,0)</f>
        <v>SK1 Bag</v>
      </c>
      <c r="I510" s="607" t="str">
        <f t="shared" si="12"/>
        <v>C6086NHIN DO NGOC TIEN050040851973</v>
      </c>
      <c r="J510" s="853" t="str">
        <f>+VLOOKUP(B510,'[5]04 2025'!$B$2:$F$1371,5,0)</f>
        <v>C6086NHIN DO NGOC TIEN050040851973</v>
      </c>
      <c r="K510" s="607">
        <f t="shared" si="25"/>
        <v>1</v>
      </c>
      <c r="P510" s="685"/>
    </row>
    <row r="511" spans="1:16" s="607" customFormat="1" ht="18" customHeight="1">
      <c r="A511" s="826">
        <f>SUBTOTAL(3,B$6:B511)</f>
        <v>506</v>
      </c>
      <c r="B511" s="824" t="s">
        <v>1818</v>
      </c>
      <c r="C511" s="824" t="str">
        <f>+VLOOKUP(B511,'Salary sheet'!$B$6:$AX$1386,48,0)</f>
        <v>HO THI HIEN</v>
      </c>
      <c r="D511" s="824" t="str">
        <f>+VLOOKUP(B511,'Salary sheet'!$B$6:$BW$1386,49,0)</f>
        <v>050054823921</v>
      </c>
      <c r="E511" s="620">
        <f>+VLOOKUP(B511,'Salary sheet'!$B$6:$AT$1292,45,0)</f>
        <v>7675254</v>
      </c>
      <c r="F511" s="1029" t="s">
        <v>5723</v>
      </c>
      <c r="G511" s="824" t="str">
        <f>+VLOOKUP(B511,'Salary sheet'!$B$6:$E$2281,4,0)</f>
        <v>FACTORY D</v>
      </c>
      <c r="H511" s="607" t="str">
        <f>+VLOOKUP(B511,'Salary sheet'!$B$6:$AZ$1386,50,0)</f>
        <v>SK1 Bag</v>
      </c>
      <c r="I511" s="607" t="str">
        <f t="shared" si="12"/>
        <v>C6368HO THI HIEN050054823921</v>
      </c>
      <c r="J511" s="853" t="str">
        <f>+VLOOKUP(B511,'[5]04 2025'!$B$2:$F$1371,5,0)</f>
        <v>C6368HO THI HIEN050054823921</v>
      </c>
      <c r="K511" s="607">
        <f t="shared" si="25"/>
        <v>1</v>
      </c>
      <c r="P511" s="685"/>
    </row>
    <row r="512" spans="1:16" s="607" customFormat="1" ht="18" customHeight="1">
      <c r="A512" s="826">
        <f>SUBTOTAL(3,B$6:B512)</f>
        <v>507</v>
      </c>
      <c r="B512" s="824" t="s">
        <v>1819</v>
      </c>
      <c r="C512" s="824" t="str">
        <f>+VLOOKUP(B512,'Salary sheet'!$B$6:$AX$1386,48,0)</f>
        <v>THI HANG</v>
      </c>
      <c r="D512" s="824" t="str">
        <f>+VLOOKUP(B512,'Salary sheet'!$B$6:$BW$1386,49,0)</f>
        <v>050049176314</v>
      </c>
      <c r="E512" s="620">
        <f>+VLOOKUP(B512,'Salary sheet'!$B$6:$AT$1292,45,0)</f>
        <v>7782872</v>
      </c>
      <c r="F512" s="1029" t="s">
        <v>5723</v>
      </c>
      <c r="G512" s="824" t="str">
        <f>+VLOOKUP(B512,'Salary sheet'!$B$6:$E$2281,4,0)</f>
        <v>FACTORY D</v>
      </c>
      <c r="H512" s="607" t="str">
        <f>+VLOOKUP(B512,'Salary sheet'!$B$6:$AZ$1386,50,0)</f>
        <v>SK1 Bag</v>
      </c>
      <c r="I512" s="607" t="str">
        <f t="shared" si="12"/>
        <v>C7138THI HANG050049176314</v>
      </c>
      <c r="J512" s="853" t="str">
        <f>+VLOOKUP(B512,'[5]04 2025'!$B$2:$F$1371,5,0)</f>
        <v>C7138THI HANG050049176314</v>
      </c>
      <c r="K512" s="607">
        <f t="shared" si="25"/>
        <v>1</v>
      </c>
      <c r="P512" s="685"/>
    </row>
    <row r="513" spans="1:16" s="607" customFormat="1" ht="18" customHeight="1">
      <c r="A513" s="826">
        <f>SUBTOTAL(3,B$6:B513)</f>
        <v>508</v>
      </c>
      <c r="B513" s="824" t="s">
        <v>1821</v>
      </c>
      <c r="C513" s="824" t="str">
        <f>+VLOOKUP(B513,'Salary sheet'!$B$6:$AX$1386,48,0)</f>
        <v>PHAN TRUC LINH</v>
      </c>
      <c r="D513" s="824" t="str">
        <f>+VLOOKUP(B513,'Salary sheet'!$B$6:$BW$1386,49,0)</f>
        <v>050103660121</v>
      </c>
      <c r="E513" s="620">
        <f>+VLOOKUP(B513,'Salary sheet'!$B$6:$AT$1292,45,0)</f>
        <v>7744544</v>
      </c>
      <c r="F513" s="1029" t="s">
        <v>5723</v>
      </c>
      <c r="G513" s="824" t="str">
        <f>+VLOOKUP(B513,'Salary sheet'!$B$6:$E$2281,4,0)</f>
        <v>FACTORY D</v>
      </c>
      <c r="H513" s="607" t="str">
        <f>+VLOOKUP(B513,'Salary sheet'!$B$6:$AZ$1386,50,0)</f>
        <v>SK1 Bag</v>
      </c>
      <c r="I513" s="607" t="str">
        <f t="shared" si="12"/>
        <v>C7785PHAN TRUC LINH050103660121</v>
      </c>
      <c r="J513" s="853" t="str">
        <f>+VLOOKUP(B513,'[5]04 2025'!$B$2:$F$1371,5,0)</f>
        <v>C7785PHAN TRUC LINH050103660121</v>
      </c>
      <c r="K513" s="607">
        <f t="shared" si="25"/>
        <v>1</v>
      </c>
      <c r="P513" s="685"/>
    </row>
    <row r="514" spans="1:16" s="607" customFormat="1" ht="18" customHeight="1">
      <c r="A514" s="826">
        <f>SUBTOTAL(3,B$6:B514)</f>
        <v>509</v>
      </c>
      <c r="B514" s="824" t="s">
        <v>1823</v>
      </c>
      <c r="C514" s="824" t="str">
        <f>+VLOOKUP(B514,'Salary sheet'!$B$6:$AX$1386,48,0)</f>
        <v>THI NGAN</v>
      </c>
      <c r="D514" s="824" t="str">
        <f>+VLOOKUP(B514,'Salary sheet'!$B$6:$BW$1386,49,0)</f>
        <v>050103659131</v>
      </c>
      <c r="E514" s="620">
        <f>+VLOOKUP(B514,'Salary sheet'!$B$6:$AT$1292,45,0)</f>
        <v>7450008</v>
      </c>
      <c r="F514" s="1029" t="s">
        <v>5723</v>
      </c>
      <c r="G514" s="824" t="str">
        <f>+VLOOKUP(B514,'Salary sheet'!$B$6:$E$2281,4,0)</f>
        <v>FACTORY D</v>
      </c>
      <c r="H514" s="607" t="str">
        <f>+VLOOKUP(B514,'Salary sheet'!$B$6:$AZ$1386,50,0)</f>
        <v>SK1 Bag</v>
      </c>
      <c r="I514" s="607" t="str">
        <f t="shared" si="12"/>
        <v>C7897THI NGAN050103659131</v>
      </c>
      <c r="J514" s="853" t="str">
        <f>+VLOOKUP(B514,'[5]04 2025'!$B$2:$F$1371,5,0)</f>
        <v>C7897THI NGAN050103659131</v>
      </c>
      <c r="K514" s="607">
        <f t="shared" si="25"/>
        <v>1</v>
      </c>
      <c r="P514" s="685"/>
    </row>
    <row r="515" spans="1:16" s="607" customFormat="1" ht="18" customHeight="1">
      <c r="A515" s="826">
        <f>SUBTOTAL(3,B$6:B515)</f>
        <v>510</v>
      </c>
      <c r="B515" s="824" t="s">
        <v>1825</v>
      </c>
      <c r="C515" s="824" t="str">
        <f>+VLOOKUP(B515,'Salary sheet'!$B$6:$AX$1386,48,0)</f>
        <v>HOANG PHUOC THANG</v>
      </c>
      <c r="D515" s="824" t="str">
        <f>+VLOOKUP(B515,'Salary sheet'!$B$6:$BW$1386,49,0)</f>
        <v>050106614838</v>
      </c>
      <c r="E515" s="620">
        <f>+VLOOKUP(B515,'Salary sheet'!$B$6:$AT$1292,45,0)</f>
        <v>7687616</v>
      </c>
      <c r="F515" s="1029" t="s">
        <v>5723</v>
      </c>
      <c r="G515" s="824" t="str">
        <f>+VLOOKUP(B515,'Salary sheet'!$B$6:$E$2281,4,0)</f>
        <v>FACTORY D</v>
      </c>
      <c r="H515" s="607" t="str">
        <f>+VLOOKUP(B515,'Salary sheet'!$B$6:$AZ$1386,50,0)</f>
        <v>SK1 Bag</v>
      </c>
      <c r="I515" s="607" t="str">
        <f t="shared" si="12"/>
        <v>C8290HOANG PHUOC THANG050106614838</v>
      </c>
      <c r="J515" s="853" t="str">
        <f>+VLOOKUP(B515,'[5]04 2025'!$B$2:$F$1371,5,0)</f>
        <v>C8290HOANG PHUOC THANG050106614838</v>
      </c>
      <c r="K515" s="607">
        <f t="shared" si="25"/>
        <v>1</v>
      </c>
      <c r="P515" s="685"/>
    </row>
    <row r="516" spans="1:16" s="607" customFormat="1" ht="18" customHeight="1">
      <c r="A516" s="826">
        <f>SUBTOTAL(3,B$6:B516)</f>
        <v>511</v>
      </c>
      <c r="B516" s="824" t="s">
        <v>1827</v>
      </c>
      <c r="C516" s="824" t="str">
        <f>+VLOOKUP(B516,'Salary sheet'!$B$6:$AX$1386,48,0)</f>
        <v>QUACH THI HOA</v>
      </c>
      <c r="D516" s="824" t="str">
        <f>+VLOOKUP(B516,'Salary sheet'!$B$6:$BW$1386,49,0)</f>
        <v>050103659490</v>
      </c>
      <c r="E516" s="620">
        <f>+VLOOKUP(B516,'Salary sheet'!$B$6:$AT$1292,45,0)</f>
        <v>7943939</v>
      </c>
      <c r="F516" s="1029" t="s">
        <v>5723</v>
      </c>
      <c r="G516" s="824" t="str">
        <f>+VLOOKUP(B516,'Salary sheet'!$B$6:$E$2281,4,0)</f>
        <v>FACTORY D</v>
      </c>
      <c r="H516" s="607" t="str">
        <f>+VLOOKUP(B516,'Salary sheet'!$B$6:$AZ$1386,50,0)</f>
        <v>SK1 Bag</v>
      </c>
      <c r="I516" s="607" t="str">
        <f t="shared" ref="I516:I518" si="26">+CONCATENATE(B516,C516,D516)</f>
        <v>C8294QUACH THI HOA050103659490</v>
      </c>
      <c r="J516" s="853" t="str">
        <f>+VLOOKUP(B516,'[5]04 2025'!$B$2:$F$1371,5,0)</f>
        <v>C8294QUACH THI HOA050103659490</v>
      </c>
      <c r="K516" s="607">
        <f t="shared" si="25"/>
        <v>1</v>
      </c>
      <c r="P516" s="685"/>
    </row>
    <row r="517" spans="1:16" s="607" customFormat="1" ht="18" customHeight="1">
      <c r="A517" s="826">
        <f>SUBTOTAL(3,B$6:B517)</f>
        <v>512</v>
      </c>
      <c r="B517" s="824" t="s">
        <v>1829</v>
      </c>
      <c r="C517" s="824" t="str">
        <f>+VLOOKUP(B517,'Salary sheet'!$B$6:$AX$1386,48,0)</f>
        <v>THI THANH NGA</v>
      </c>
      <c r="D517" s="824" t="str">
        <f>+VLOOKUP(B517,'Salary sheet'!$B$6:$BW$1386,49,0)</f>
        <v>050068040482</v>
      </c>
      <c r="E517" s="620">
        <f>+VLOOKUP(B517,'Salary sheet'!$B$6:$AT$1292,45,0)</f>
        <v>6600403</v>
      </c>
      <c r="F517" s="1029" t="s">
        <v>5723</v>
      </c>
      <c r="G517" s="824" t="str">
        <f>+VLOOKUP(B517,'Salary sheet'!$B$6:$E$2281,4,0)</f>
        <v>FACTORY D</v>
      </c>
      <c r="H517" s="607" t="str">
        <f>+VLOOKUP(B517,'Salary sheet'!$B$6:$AZ$1386,50,0)</f>
        <v>SK1 Bag</v>
      </c>
      <c r="I517" s="607" t="str">
        <f t="shared" si="26"/>
        <v>C8815THI THANH NGA050068040482</v>
      </c>
      <c r="J517" s="853" t="str">
        <f>+VLOOKUP(B517,'[5]04 2025'!$B$2:$F$1371,5,0)</f>
        <v>C8815THI THANH NGA050068040482</v>
      </c>
      <c r="K517" s="607">
        <f t="shared" si="25"/>
        <v>1</v>
      </c>
      <c r="P517" s="685"/>
    </row>
    <row r="518" spans="1:16" s="607" customFormat="1" ht="18" customHeight="1">
      <c r="A518" s="826">
        <f>SUBTOTAL(3,B$6:B518)</f>
        <v>513</v>
      </c>
      <c r="B518" s="824" t="s">
        <v>1831</v>
      </c>
      <c r="C518" s="824" t="str">
        <f>+VLOOKUP(B518,'Salary sheet'!$B$6:$AX$1386,48,0)</f>
        <v>DO THI THAI</v>
      </c>
      <c r="D518" s="824" t="str">
        <f>+VLOOKUP(B518,'Salary sheet'!$B$6:$BW$1386,49,0)</f>
        <v>050106514086</v>
      </c>
      <c r="E518" s="620">
        <f>+VLOOKUP(B518,'Salary sheet'!$B$6:$AT$1292,45,0)</f>
        <v>7765777</v>
      </c>
      <c r="F518" s="1029" t="s">
        <v>5723</v>
      </c>
      <c r="G518" s="824" t="str">
        <f>+VLOOKUP(B518,'Salary sheet'!$B$6:$E$2281,4,0)</f>
        <v>FACTORY D</v>
      </c>
      <c r="H518" s="607" t="str">
        <f>+VLOOKUP(B518,'Salary sheet'!$B$6:$AZ$1386,50,0)</f>
        <v>SK1 Bag</v>
      </c>
      <c r="I518" s="607" t="str">
        <f t="shared" si="26"/>
        <v>C10461DO THI THAI050106514086</v>
      </c>
      <c r="J518" s="853" t="str">
        <f>+VLOOKUP(B518,'[5]04 2025'!$B$2:$F$1371,5,0)</f>
        <v>C10461DO THI THAI050106514086</v>
      </c>
      <c r="K518" s="607">
        <f t="shared" si="25"/>
        <v>1</v>
      </c>
      <c r="P518" s="685"/>
    </row>
    <row r="519" spans="1:16" s="607" customFormat="1" ht="18" customHeight="1">
      <c r="A519" s="826">
        <f>SUBTOTAL(3,B$6:B519)</f>
        <v>514</v>
      </c>
      <c r="B519" s="824" t="s">
        <v>1833</v>
      </c>
      <c r="C519" s="824" t="str">
        <f>+VLOOKUP(B519,'Salary sheet'!$B$6:$AX$1386,48,0)</f>
        <v>VO HOAI THU</v>
      </c>
      <c r="D519" s="824" t="str">
        <f>+VLOOKUP(B519,'Salary sheet'!$B$6:$BW$1386,49,0)</f>
        <v>060219118883</v>
      </c>
      <c r="E519" s="620">
        <f>+VLOOKUP(B519,'Salary sheet'!$B$6:$AT$1292,45,0)</f>
        <v>7719705</v>
      </c>
      <c r="F519" s="1029" t="s">
        <v>5723</v>
      </c>
      <c r="G519" s="824" t="str">
        <f>+VLOOKUP(B519,'Salary sheet'!$B$6:$E$2281,4,0)</f>
        <v>FACTORY D</v>
      </c>
      <c r="H519" s="607" t="str">
        <f>+VLOOKUP(B519,'Salary sheet'!$B$6:$AZ$1386,50,0)</f>
        <v>SK1 Bag</v>
      </c>
      <c r="I519" s="607" t="str">
        <f t="shared" si="12"/>
        <v>C13115VO HOAI THU060219118883</v>
      </c>
      <c r="J519" s="853" t="str">
        <f>+VLOOKUP(B519,'[5]04 2025'!$B$2:$F$1371,5,0)</f>
        <v>C13115VO HOAI THU060219118883</v>
      </c>
      <c r="K519" s="607">
        <f t="shared" si="25"/>
        <v>1</v>
      </c>
      <c r="P519" s="685"/>
    </row>
    <row r="520" spans="1:16" s="607" customFormat="1" ht="18" customHeight="1">
      <c r="A520" s="826">
        <f>SUBTOTAL(3,B$6:B520)</f>
        <v>515</v>
      </c>
      <c r="B520" s="824" t="s">
        <v>1835</v>
      </c>
      <c r="C520" s="824" t="str">
        <f>+VLOOKUP(B520,'Salary sheet'!$B$6:$AX$1386,48,0)</f>
        <v>VO THI NGOC CUC</v>
      </c>
      <c r="D520" s="824" t="str">
        <f>+VLOOKUP(B520,'Salary sheet'!$B$6:$BW$1386,49,0)</f>
        <v>050018990137</v>
      </c>
      <c r="E520" s="620">
        <f>+VLOOKUP(B520,'Salary sheet'!$B$6:$AT$1292,45,0)</f>
        <v>7752675</v>
      </c>
      <c r="F520" s="1029" t="s">
        <v>5723</v>
      </c>
      <c r="G520" s="824" t="str">
        <f>+VLOOKUP(B520,'Salary sheet'!$B$6:$E$2281,4,0)</f>
        <v>FACTORY D</v>
      </c>
      <c r="H520" s="607" t="str">
        <f>+VLOOKUP(B520,'Salary sheet'!$B$6:$AZ$1386,50,0)</f>
        <v>SK1 Bag</v>
      </c>
      <c r="I520" s="607" t="str">
        <f t="shared" si="12"/>
        <v>C13331VO THI NGOC CUC050018990137</v>
      </c>
      <c r="J520" s="853" t="str">
        <f>+VLOOKUP(B520,'[5]04 2025'!$B$2:$F$1371,5,0)</f>
        <v>C13331VO THI NGOC CUC050018990137</v>
      </c>
      <c r="K520" s="607">
        <f t="shared" si="25"/>
        <v>1</v>
      </c>
      <c r="P520" s="685"/>
    </row>
    <row r="521" spans="1:16" s="607" customFormat="1" ht="18" customHeight="1">
      <c r="A521" s="826">
        <f>SUBTOTAL(3,B$6:B521)</f>
        <v>516</v>
      </c>
      <c r="B521" s="824" t="s">
        <v>1837</v>
      </c>
      <c r="C521" s="824" t="str">
        <f>+VLOOKUP(B521,'Salary sheet'!$B$6:$AX$1386,48,0)</f>
        <v>LE HUU PHU</v>
      </c>
      <c r="D521" s="824" t="str">
        <f>+VLOOKUP(B521,'Salary sheet'!$B$6:$BW$1386,49,0)</f>
        <v>050050274532</v>
      </c>
      <c r="E521" s="620">
        <f>+VLOOKUP(B521,'Salary sheet'!$B$6:$AT$1292,45,0)</f>
        <v>7820292</v>
      </c>
      <c r="F521" s="1029" t="s">
        <v>5723</v>
      </c>
      <c r="G521" s="824" t="str">
        <f>+VLOOKUP(B521,'Salary sheet'!$B$6:$E$2281,4,0)</f>
        <v>FACTORY D</v>
      </c>
      <c r="H521" s="607" t="str">
        <f>+VLOOKUP(B521,'Salary sheet'!$B$6:$AZ$1386,50,0)</f>
        <v>SK1 Bag</v>
      </c>
      <c r="I521" s="607" t="str">
        <f t="shared" si="12"/>
        <v>C14118LE HUU PHU050050274532</v>
      </c>
      <c r="J521" s="853" t="str">
        <f>+VLOOKUP(B521,'[5]04 2025'!$B$2:$F$1371,5,0)</f>
        <v>C14118LE HUU PHU050050274532</v>
      </c>
      <c r="K521" s="607">
        <f t="shared" si="25"/>
        <v>1</v>
      </c>
      <c r="P521" s="685"/>
    </row>
    <row r="522" spans="1:16" s="607" customFormat="1" ht="18" customHeight="1">
      <c r="A522" s="826">
        <f>SUBTOTAL(3,B$6:B522)</f>
        <v>517</v>
      </c>
      <c r="B522" s="824" t="s">
        <v>1839</v>
      </c>
      <c r="C522" s="824" t="str">
        <f>+VLOOKUP(B522,'Salary sheet'!$B$6:$AX$1386,48,0)</f>
        <v>HOANG VAN THUY</v>
      </c>
      <c r="D522" s="824" t="str">
        <f>+VLOOKUP(B522,'Salary sheet'!$B$6:$BW$1386,49,0)</f>
        <v>050128255394</v>
      </c>
      <c r="E522" s="620">
        <f>+VLOOKUP(B522,'Salary sheet'!$B$6:$AT$1292,45,0)</f>
        <v>6145419</v>
      </c>
      <c r="F522" s="1029" t="s">
        <v>5723</v>
      </c>
      <c r="G522" s="824" t="str">
        <f>+VLOOKUP(B522,'Salary sheet'!$B$6:$E$2281,4,0)</f>
        <v>FACTORY D</v>
      </c>
      <c r="H522" s="607" t="str">
        <f>+VLOOKUP(B522,'Salary sheet'!$B$6:$AZ$1386,50,0)</f>
        <v>SK1 Bag</v>
      </c>
      <c r="I522" s="607" t="str">
        <f t="shared" si="12"/>
        <v>C14206HOANG VAN THUY050128255394</v>
      </c>
      <c r="J522" s="853" t="str">
        <f>+VLOOKUP(B522,'[5]04 2025'!$B$2:$F$1371,5,0)</f>
        <v>C14206HOANG VAN THUY050128255394</v>
      </c>
      <c r="K522" s="607">
        <f t="shared" si="25"/>
        <v>1</v>
      </c>
      <c r="P522" s="685"/>
    </row>
    <row r="523" spans="1:16" s="607" customFormat="1" ht="18" customHeight="1">
      <c r="A523" s="826">
        <f>SUBTOTAL(3,B$6:B523)</f>
        <v>518</v>
      </c>
      <c r="B523" s="824" t="s">
        <v>1841</v>
      </c>
      <c r="C523" s="824" t="str">
        <f>+VLOOKUP(B523,'Salary sheet'!$B$6:$AX$1386,48,0)</f>
        <v>NGUYEN THI NGAN THANH</v>
      </c>
      <c r="D523" s="824" t="str">
        <f>+VLOOKUP(B523,'Salary sheet'!$B$6:$BW$1386,49,0)</f>
        <v>050129683470</v>
      </c>
      <c r="E523" s="620">
        <f>+VLOOKUP(B523,'Salary sheet'!$B$6:$AT$1292,45,0)</f>
        <v>7840253</v>
      </c>
      <c r="F523" s="1029" t="s">
        <v>5723</v>
      </c>
      <c r="G523" s="824" t="str">
        <f>+VLOOKUP(B523,'Salary sheet'!$B$6:$E$2281,4,0)</f>
        <v>FACTORY D</v>
      </c>
      <c r="H523" s="607" t="str">
        <f>+VLOOKUP(B523,'Salary sheet'!$B$6:$AZ$1386,50,0)</f>
        <v>SK1 Bag</v>
      </c>
      <c r="I523" s="607" t="str">
        <f t="shared" si="12"/>
        <v>C14312NGUYEN THI NGAN THANH050129683470</v>
      </c>
      <c r="J523" s="853" t="str">
        <f>+VLOOKUP(B523,'[5]04 2025'!$B$2:$F$1371,5,0)</f>
        <v>C14312NGUYEN THI NGAN THANH050129683470</v>
      </c>
      <c r="K523" s="607">
        <f t="shared" si="25"/>
        <v>1</v>
      </c>
      <c r="P523" s="685"/>
    </row>
    <row r="524" spans="1:16" s="607" customFormat="1" ht="18" customHeight="1">
      <c r="A524" s="826">
        <f>SUBTOTAL(3,B$6:B524)</f>
        <v>519</v>
      </c>
      <c r="B524" s="824" t="s">
        <v>1843</v>
      </c>
      <c r="C524" s="824" t="str">
        <f>+VLOOKUP(B524,'Salary sheet'!$B$6:$AX$1386,48,0)</f>
        <v>DO QUANG TRUC</v>
      </c>
      <c r="D524" s="824" t="str">
        <f>+VLOOKUP(B524,'Salary sheet'!$B$6:$BW$1386,49,0)</f>
        <v>050118111335</v>
      </c>
      <c r="E524" s="620">
        <f>+VLOOKUP(B524,'Salary sheet'!$B$6:$AT$1292,45,0)</f>
        <v>7670991</v>
      </c>
      <c r="F524" s="1029" t="s">
        <v>5723</v>
      </c>
      <c r="G524" s="824" t="str">
        <f>+VLOOKUP(B524,'Salary sheet'!$B$6:$E$2281,4,0)</f>
        <v>FACTORY D</v>
      </c>
      <c r="H524" s="607" t="str">
        <f>+VLOOKUP(B524,'Salary sheet'!$B$6:$AZ$1386,50,0)</f>
        <v>SK1 Bag</v>
      </c>
      <c r="I524" s="607" t="str">
        <f t="shared" si="12"/>
        <v>C15228DO QUANG TRUC050118111335</v>
      </c>
      <c r="J524" s="853" t="str">
        <f>+VLOOKUP(B524,'[5]04 2025'!$B$2:$F$1371,5,0)</f>
        <v>C15228DO QUANG TRUC050118111335</v>
      </c>
      <c r="K524" s="607">
        <f t="shared" si="25"/>
        <v>1</v>
      </c>
      <c r="P524" s="685"/>
    </row>
    <row r="525" spans="1:16" s="607" customFormat="1" ht="18" customHeight="1">
      <c r="A525" s="826">
        <f>SUBTOTAL(3,B$6:B525)</f>
        <v>520</v>
      </c>
      <c r="B525" s="824" t="s">
        <v>1845</v>
      </c>
      <c r="C525" s="824" t="str">
        <f>+VLOOKUP(B525,'Salary sheet'!$B$6:$AX$1386,48,0)</f>
        <v>NGUYEN DINH CUONG</v>
      </c>
      <c r="D525" s="824" t="str">
        <f>+VLOOKUP(B525,'Salary sheet'!$B$6:$BW$1386,49,0)</f>
        <v>050139639216</v>
      </c>
      <c r="E525" s="620">
        <f>+VLOOKUP(B525,'Salary sheet'!$B$6:$AT$1292,45,0)</f>
        <v>7678748</v>
      </c>
      <c r="F525" s="1029" t="s">
        <v>5723</v>
      </c>
      <c r="G525" s="824" t="str">
        <f>+VLOOKUP(B525,'Salary sheet'!$B$6:$E$2281,4,0)</f>
        <v>FACTORY D</v>
      </c>
      <c r="H525" s="607" t="str">
        <f>+VLOOKUP(B525,'Salary sheet'!$B$6:$AZ$1386,50,0)</f>
        <v>SK1 Bag</v>
      </c>
      <c r="I525" s="607" t="str">
        <f t="shared" si="12"/>
        <v>C15331NGUYEN DINH CUONG050139639216</v>
      </c>
      <c r="J525" s="853" t="str">
        <f>+VLOOKUP(B525,'[5]04 2025'!$B$2:$F$1371,5,0)</f>
        <v>C15331NGUYEN DINH CUONG050139639216</v>
      </c>
      <c r="K525" s="607">
        <f t="shared" si="25"/>
        <v>1</v>
      </c>
      <c r="P525" s="685"/>
    </row>
    <row r="526" spans="1:16" s="607" customFormat="1" ht="18" customHeight="1">
      <c r="A526" s="826">
        <f>SUBTOTAL(3,B$6:B526)</f>
        <v>521</v>
      </c>
      <c r="B526" s="824" t="s">
        <v>1847</v>
      </c>
      <c r="C526" s="824" t="str">
        <f>+VLOOKUP(B526,'Salary sheet'!$B$6:$AX$1386,48,0)</f>
        <v>CHAU THI HONG NHIEN</v>
      </c>
      <c r="D526" s="824" t="str">
        <f>+VLOOKUP(B526,'Salary sheet'!$B$6:$BW$1386,49,0)</f>
        <v>050138191203</v>
      </c>
      <c r="E526" s="620">
        <f>+VLOOKUP(B526,'Salary sheet'!$B$6:$AT$1292,45,0)</f>
        <v>4941829</v>
      </c>
      <c r="F526" s="1029" t="s">
        <v>5723</v>
      </c>
      <c r="G526" s="824" t="str">
        <f>+VLOOKUP(B526,'Salary sheet'!$B$6:$E$2281,4,0)</f>
        <v>FACTORY D</v>
      </c>
      <c r="H526" s="607" t="str">
        <f>+VLOOKUP(B526,'Salary sheet'!$B$6:$AZ$1386,50,0)</f>
        <v>SK1 Bag</v>
      </c>
      <c r="I526" s="607" t="str">
        <f t="shared" si="12"/>
        <v>C15543CHAU THI HONG NHIEN050138191203</v>
      </c>
      <c r="J526" s="853" t="str">
        <f>+VLOOKUP(B526,'[5]04 2025'!$B$2:$F$1371,5,0)</f>
        <v>C15543CHAU THI HONG NHIEN050138191203</v>
      </c>
      <c r="K526" s="607">
        <f t="shared" si="25"/>
        <v>1</v>
      </c>
      <c r="P526" s="685"/>
    </row>
    <row r="527" spans="1:16" s="607" customFormat="1" ht="18" customHeight="1">
      <c r="A527" s="826">
        <f>SUBTOTAL(3,B$6:B527)</f>
        <v>522</v>
      </c>
      <c r="B527" s="824" t="s">
        <v>1849</v>
      </c>
      <c r="C527" s="824" t="str">
        <f>+VLOOKUP(B527,'Salary sheet'!$B$6:$AX$1386,48,0)</f>
        <v>DANG THI HOAI THUONG</v>
      </c>
      <c r="D527" s="824" t="str">
        <f>+VLOOKUP(B527,'Salary sheet'!$B$6:$BW$1386,49,0)</f>
        <v>050121340167</v>
      </c>
      <c r="E527" s="620">
        <f>+VLOOKUP(B527,'Salary sheet'!$B$6:$AT$1292,45,0)</f>
        <v>5294231</v>
      </c>
      <c r="F527" s="1029" t="s">
        <v>5723</v>
      </c>
      <c r="G527" s="824" t="str">
        <f>+VLOOKUP(B527,'Salary sheet'!$B$6:$E$2281,4,0)</f>
        <v>FACTORY D</v>
      </c>
      <c r="H527" s="607" t="str">
        <f>+VLOOKUP(B527,'Salary sheet'!$B$6:$AZ$1386,50,0)</f>
        <v>SK1 Bag</v>
      </c>
      <c r="I527" s="607" t="str">
        <f t="shared" si="12"/>
        <v>C15604DANG THI HOAI THUONG050121340167</v>
      </c>
      <c r="J527" s="853" t="str">
        <f>+VLOOKUP(B527,'[5]04 2025'!$B$2:$F$1371,5,0)</f>
        <v>C15604DANG THI HOAI THUONG050121340167</v>
      </c>
      <c r="K527" s="607">
        <f t="shared" si="25"/>
        <v>1</v>
      </c>
      <c r="P527" s="685"/>
    </row>
    <row r="528" spans="1:16" s="607" customFormat="1" ht="18" customHeight="1">
      <c r="A528" s="826">
        <f>SUBTOTAL(3,B$6:B528)</f>
        <v>523</v>
      </c>
      <c r="B528" s="824" t="s">
        <v>1851</v>
      </c>
      <c r="C528" s="824" t="str">
        <f>+VLOOKUP(B528,'Salary sheet'!$B$6:$AX$1386,48,0)</f>
        <v>HUYNH THI THANH HANG</v>
      </c>
      <c r="D528" s="824" t="str">
        <f>+VLOOKUP(B528,'Salary sheet'!$B$6:$BW$1386,49,0)</f>
        <v>050091850671</v>
      </c>
      <c r="E528" s="620">
        <f>+VLOOKUP(B528,'Salary sheet'!$B$6:$AT$1292,45,0)</f>
        <v>7524725</v>
      </c>
      <c r="F528" s="1029" t="s">
        <v>5723</v>
      </c>
      <c r="G528" s="824" t="str">
        <f>+VLOOKUP(B528,'Salary sheet'!$B$6:$E$2281,4,0)</f>
        <v>FACTORY D</v>
      </c>
      <c r="H528" s="607" t="str">
        <f>+VLOOKUP(B528,'Salary sheet'!$B$6:$AZ$1386,50,0)</f>
        <v>SK1 Bag</v>
      </c>
      <c r="I528" s="607" t="str">
        <f t="shared" si="12"/>
        <v>C15823HUYNH THI THANH HANG050091850671</v>
      </c>
      <c r="J528" s="853" t="str">
        <f>+VLOOKUP(B528,'[5]04 2025'!$B$2:$F$1371,5,0)</f>
        <v>C15823HUYNH THI THANH HANG050091850671</v>
      </c>
      <c r="K528" s="607">
        <f t="shared" si="25"/>
        <v>1</v>
      </c>
      <c r="P528" s="685"/>
    </row>
    <row r="529" spans="1:16" s="607" customFormat="1" ht="18" customHeight="1">
      <c r="A529" s="826">
        <f>SUBTOTAL(3,B$6:B529)</f>
        <v>524</v>
      </c>
      <c r="B529" s="824" t="s">
        <v>1853</v>
      </c>
      <c r="C529" s="824" t="str">
        <f>+VLOOKUP(B529,'Salary sheet'!$B$6:$AX$1386,48,0)</f>
        <v>HUYNH THI NGOC THU</v>
      </c>
      <c r="D529" s="824" t="str">
        <f>+VLOOKUP(B529,'Salary sheet'!$B$6:$BW$1386,49,0)</f>
        <v>050155964518</v>
      </c>
      <c r="E529" s="620">
        <f>+VLOOKUP(B529,'Salary sheet'!$B$6:$AT$1292,45,0)</f>
        <v>5041606</v>
      </c>
      <c r="F529" s="1029" t="s">
        <v>5723</v>
      </c>
      <c r="G529" s="824" t="str">
        <f>+VLOOKUP(B529,'Salary sheet'!$B$6:$E$2281,4,0)</f>
        <v>FACTORY D</v>
      </c>
      <c r="H529" s="607" t="str">
        <f>+VLOOKUP(B529,'Salary sheet'!$B$6:$AZ$1386,50,0)</f>
        <v>SK1 Bag</v>
      </c>
      <c r="I529" s="607" t="str">
        <f t="shared" si="12"/>
        <v>C16220HUYNH THI NGOC THU050155964518</v>
      </c>
      <c r="J529" s="853" t="str">
        <f>+VLOOKUP(B529,'[5]04 2025'!$B$2:$F$1371,5,0)</f>
        <v>C16220HUYNH THI NGOC THU050155964518</v>
      </c>
      <c r="K529" s="607">
        <f t="shared" si="25"/>
        <v>1</v>
      </c>
      <c r="P529" s="685"/>
    </row>
    <row r="530" spans="1:16" s="607" customFormat="1" ht="18" customHeight="1">
      <c r="A530" s="826">
        <f>SUBTOTAL(3,B$6:B530)</f>
        <v>525</v>
      </c>
      <c r="B530" s="824" t="s">
        <v>1855</v>
      </c>
      <c r="C530" s="824" t="str">
        <f>+VLOOKUP(B530,'Salary sheet'!$B$6:$AX$1386,48,0)</f>
        <v>HUYNH THI HUONG</v>
      </c>
      <c r="D530" s="824" t="str">
        <f>+VLOOKUP(B530,'Salary sheet'!$B$6:$BW$1386,49,0)</f>
        <v>0392227807</v>
      </c>
      <c r="E530" s="620">
        <f>+VLOOKUP(B530,'Salary sheet'!$B$6:$AT$1292,45,0)</f>
        <v>4301633</v>
      </c>
      <c r="F530" s="1029" t="s">
        <v>5723</v>
      </c>
      <c r="G530" s="824" t="str">
        <f>+VLOOKUP(B530,'Salary sheet'!$B$6:$E$2281,4,0)</f>
        <v>FACTORY D</v>
      </c>
      <c r="H530" s="607" t="str">
        <f>+VLOOKUP(B530,'Salary sheet'!$B$6:$AZ$1386,50,0)</f>
        <v>SK1 Bag</v>
      </c>
      <c r="I530" s="607" t="str">
        <f t="shared" si="12"/>
        <v>C16221HUYNH THI HUONG0392227807</v>
      </c>
      <c r="J530" s="853" t="str">
        <f>+VLOOKUP(B530,'[5]04 2025'!$B$2:$F$1371,5,0)</f>
        <v>C16221HUYNH THI HUONG0392227807</v>
      </c>
      <c r="K530" s="607">
        <f t="shared" si="25"/>
        <v>1</v>
      </c>
      <c r="P530" s="685"/>
    </row>
    <row r="531" spans="1:16" s="607" customFormat="1" ht="18" customHeight="1">
      <c r="A531" s="826">
        <f>SUBTOTAL(3,B$6:B531)</f>
        <v>526</v>
      </c>
      <c r="B531" s="824" t="s">
        <v>1857</v>
      </c>
      <c r="C531" s="824" t="str">
        <f>+VLOOKUP(B531,'Salary sheet'!$B$6:$AX$1386,48,0)</f>
        <v>NGUYEN VAN NHO</v>
      </c>
      <c r="D531" s="824" t="str">
        <f>+VLOOKUP(B531,'Salary sheet'!$B$6:$BW$1386,49,0)</f>
        <v>050105122001</v>
      </c>
      <c r="E531" s="620">
        <f>+VLOOKUP(B531,'Salary sheet'!$B$6:$AT$1292,45,0)</f>
        <v>6262123</v>
      </c>
      <c r="F531" s="1029" t="s">
        <v>5723</v>
      </c>
      <c r="G531" s="824" t="str">
        <f>+VLOOKUP(B531,'Salary sheet'!$B$6:$E$2281,4,0)</f>
        <v>FACTORY D</v>
      </c>
      <c r="H531" s="607" t="str">
        <f>+VLOOKUP(B531,'Salary sheet'!$B$6:$AZ$1386,50,0)</f>
        <v>SK1 Bag</v>
      </c>
      <c r="I531" s="607" t="str">
        <f t="shared" si="12"/>
        <v>C16566NGUYEN VAN NHO050105122001</v>
      </c>
      <c r="J531" s="853" t="str">
        <f>+VLOOKUP(B531,'[5]04 2025'!$B$2:$F$1371,5,0)</f>
        <v>C16566NGUYEN VAN NHO050105122001</v>
      </c>
      <c r="K531" s="607">
        <f t="shared" si="25"/>
        <v>1</v>
      </c>
      <c r="P531" s="685"/>
    </row>
    <row r="532" spans="1:16" s="607" customFormat="1" ht="18" customHeight="1">
      <c r="A532" s="826">
        <f>SUBTOTAL(3,B$6:B532)</f>
        <v>527</v>
      </c>
      <c r="B532" s="824" t="s">
        <v>5755</v>
      </c>
      <c r="C532" s="824" t="str">
        <f>+VLOOKUP(B532,'Salary sheet'!$B$6:$AX$1386,48,0)</f>
        <v>NGUYEN QUACH DUONG</v>
      </c>
      <c r="D532" s="824" t="str">
        <f>+VLOOKUP(B532,'Salary sheet'!$B$6:$BW$1386,49,0)</f>
        <v>050159273234</v>
      </c>
      <c r="E532" s="620">
        <f>+VLOOKUP(B532,'Salary sheet'!$B$6:$AT$1292,45,0)</f>
        <v>4798303</v>
      </c>
      <c r="F532" s="1029" t="s">
        <v>5723</v>
      </c>
      <c r="G532" s="824" t="str">
        <f>+VLOOKUP(B532,'Salary sheet'!$B$6:$E$2281,4,0)</f>
        <v>FACTORY D</v>
      </c>
      <c r="H532" s="607" t="str">
        <f>+VLOOKUP(B532,'Salary sheet'!$B$6:$AZ$1386,50,0)</f>
        <v>SK1 Bag</v>
      </c>
      <c r="I532" s="607" t="str">
        <f t="shared" si="12"/>
        <v>C16586NGUYEN QUACH DUONG050159273234</v>
      </c>
      <c r="J532" s="853" t="str">
        <f>+VLOOKUP(B532,'[5]04 2025'!$B$2:$F$1371,5,0)</f>
        <v>C16586NGUYEN QUACH DUONG050159273234</v>
      </c>
      <c r="K532" s="607">
        <f t="shared" si="25"/>
        <v>1</v>
      </c>
      <c r="P532" s="685"/>
    </row>
    <row r="533" spans="1:16" s="607" customFormat="1" ht="18" customHeight="1">
      <c r="A533" s="826">
        <f>SUBTOTAL(3,B$6:B533)</f>
        <v>528</v>
      </c>
      <c r="B533" s="824" t="s">
        <v>1859</v>
      </c>
      <c r="C533" s="824" t="str">
        <f>+VLOOKUP(B533,'Salary sheet'!$B$6:$AX$1386,48,0)</f>
        <v>DANG THI DUNG</v>
      </c>
      <c r="D533" s="824" t="str">
        <f>+VLOOKUP(B533,'Salary sheet'!$B$6:$BW$1386,49,0)</f>
        <v>050040927503</v>
      </c>
      <c r="E533" s="620">
        <f>+VLOOKUP(B533,'Salary sheet'!$B$6:$AT$1292,45,0)</f>
        <v>8008662</v>
      </c>
      <c r="F533" s="1029" t="s">
        <v>5723</v>
      </c>
      <c r="G533" s="824" t="str">
        <f>+VLOOKUP(B533,'Salary sheet'!$B$6:$E$2281,4,0)</f>
        <v>FACTORY D</v>
      </c>
      <c r="H533" s="607" t="str">
        <f>+VLOOKUP(B533,'Salary sheet'!$B$6:$AZ$1386,50,0)</f>
        <v>SK1 Bag</v>
      </c>
      <c r="I533" s="607" t="str">
        <f t="shared" si="12"/>
        <v>C1782DANG THI DUNG050040927503</v>
      </c>
      <c r="J533" s="853" t="str">
        <f>+VLOOKUP(B533,'[5]04 2025'!$B$2:$F$1371,5,0)</f>
        <v>C1782DANG THI DUNG050040927503</v>
      </c>
      <c r="K533" s="607">
        <f t="shared" si="25"/>
        <v>1</v>
      </c>
      <c r="P533" s="685"/>
    </row>
    <row r="534" spans="1:16" s="607" customFormat="1" ht="18" customHeight="1">
      <c r="A534" s="826">
        <f>SUBTOTAL(3,B$6:B534)</f>
        <v>529</v>
      </c>
      <c r="B534" s="824" t="s">
        <v>1861</v>
      </c>
      <c r="C534" s="824" t="str">
        <f>+VLOOKUP(B534,'Salary sheet'!$B$6:$AX$1386,48,0)</f>
        <v>HUYNH THI NHUNG</v>
      </c>
      <c r="D534" s="824" t="str">
        <f>+VLOOKUP(B534,'Salary sheet'!$B$6:$BW$1386,49,0)</f>
        <v>050040852112</v>
      </c>
      <c r="E534" s="620">
        <f>+VLOOKUP(B534,'Salary sheet'!$B$6:$AT$1292,45,0)</f>
        <v>7811330</v>
      </c>
      <c r="F534" s="1029" t="s">
        <v>5723</v>
      </c>
      <c r="G534" s="824" t="str">
        <f>+VLOOKUP(B534,'Salary sheet'!$B$6:$E$2281,4,0)</f>
        <v>FACTORY D</v>
      </c>
      <c r="H534" s="607" t="str">
        <f>+VLOOKUP(B534,'Salary sheet'!$B$6:$AZ$1386,50,0)</f>
        <v>SK1 Bag</v>
      </c>
      <c r="I534" s="607" t="str">
        <f t="shared" si="12"/>
        <v>C3812HUYNH THI NHUNG050040852112</v>
      </c>
      <c r="J534" s="853" t="str">
        <f>+VLOOKUP(B534,'[5]04 2025'!$B$2:$F$1371,5,0)</f>
        <v>C3812HUYNH THI NHUNG050040852112</v>
      </c>
      <c r="K534" s="607">
        <f t="shared" si="25"/>
        <v>1</v>
      </c>
      <c r="P534" s="685"/>
    </row>
    <row r="535" spans="1:16" s="607" customFormat="1" ht="18" customHeight="1">
      <c r="A535" s="826">
        <f>SUBTOTAL(3,B$6:B535)</f>
        <v>530</v>
      </c>
      <c r="B535" s="824" t="s">
        <v>1863</v>
      </c>
      <c r="C535" s="824" t="str">
        <f>+VLOOKUP(B535,'Salary sheet'!$B$6:$AX$1386,48,0)</f>
        <v>TRUONG THI THAI</v>
      </c>
      <c r="D535" s="824" t="str">
        <f>+VLOOKUP(B535,'Salary sheet'!$B$6:$BW$1386,49,0)</f>
        <v>050040931160</v>
      </c>
      <c r="E535" s="620">
        <f>+VLOOKUP(B535,'Salary sheet'!$B$6:$AT$1292,45,0)</f>
        <v>7721310</v>
      </c>
      <c r="F535" s="1029" t="s">
        <v>5723</v>
      </c>
      <c r="G535" s="824" t="str">
        <f>+VLOOKUP(B535,'Salary sheet'!$B$6:$E$2281,4,0)</f>
        <v>FACTORY D</v>
      </c>
      <c r="H535" s="607" t="str">
        <f>+VLOOKUP(B535,'Salary sheet'!$B$6:$AZ$1386,50,0)</f>
        <v>SK1 Bag</v>
      </c>
      <c r="I535" s="607" t="str">
        <f t="shared" si="12"/>
        <v>C3823TRUONG THI THAI050040931160</v>
      </c>
      <c r="J535" s="853" t="str">
        <f>+VLOOKUP(B535,'[5]04 2025'!$B$2:$F$1371,5,0)</f>
        <v>C3823TRUONG THI THAI050040931160</v>
      </c>
      <c r="K535" s="607">
        <f t="shared" si="25"/>
        <v>1</v>
      </c>
      <c r="P535" s="685"/>
    </row>
    <row r="536" spans="1:16" s="607" customFormat="1" ht="18" customHeight="1">
      <c r="A536" s="826">
        <f>SUBTOTAL(3,B$6:B536)</f>
        <v>531</v>
      </c>
      <c r="B536" s="824" t="s">
        <v>1865</v>
      </c>
      <c r="C536" s="824" t="str">
        <f>+VLOOKUP(B536,'Salary sheet'!$B$6:$AX$1386,48,0)</f>
        <v>BUI THI ANH HONG</v>
      </c>
      <c r="D536" s="824" t="str">
        <f>+VLOOKUP(B536,'Salary sheet'!$B$6:$BW$1386,49,0)</f>
        <v>050040796018</v>
      </c>
      <c r="E536" s="620">
        <f>+VLOOKUP(B536,'Salary sheet'!$B$6:$AT$1292,45,0)</f>
        <v>8042204</v>
      </c>
      <c r="F536" s="1029" t="s">
        <v>5723</v>
      </c>
      <c r="G536" s="824" t="str">
        <f>+VLOOKUP(B536,'Salary sheet'!$B$6:$E$2281,4,0)</f>
        <v>FACTORY D</v>
      </c>
      <c r="H536" s="607" t="str">
        <f>+VLOOKUP(B536,'Salary sheet'!$B$6:$AZ$1386,50,0)</f>
        <v>SK1 Bag</v>
      </c>
      <c r="I536" s="607" t="str">
        <f t="shared" si="12"/>
        <v>C3910BUI THI ANH HONG050040796018</v>
      </c>
      <c r="J536" s="853" t="str">
        <f>+VLOOKUP(B536,'[5]04 2025'!$B$2:$F$1371,5,0)</f>
        <v>C3910BUI THI ANH HONG050040796018</v>
      </c>
      <c r="K536" s="607">
        <f t="shared" si="25"/>
        <v>1</v>
      </c>
      <c r="P536" s="685"/>
    </row>
    <row r="537" spans="1:16" s="607" customFormat="1" ht="18" customHeight="1">
      <c r="A537" s="826">
        <f>SUBTOTAL(3,B$6:B537)</f>
        <v>532</v>
      </c>
      <c r="B537" s="824" t="s">
        <v>1867</v>
      </c>
      <c r="C537" s="824" t="str">
        <f>+VLOOKUP(B537,'Salary sheet'!$B$6:$AX$1386,48,0)</f>
        <v>DO THI THAM</v>
      </c>
      <c r="D537" s="824" t="str">
        <f>+VLOOKUP(B537,'Salary sheet'!$B$6:$BW$1386,49,0)</f>
        <v>050067514928</v>
      </c>
      <c r="E537" s="620">
        <f>+VLOOKUP(B537,'Salary sheet'!$B$6:$AT$1292,45,0)</f>
        <v>7803893</v>
      </c>
      <c r="F537" s="1029" t="s">
        <v>5723</v>
      </c>
      <c r="G537" s="824" t="str">
        <f>+VLOOKUP(B537,'Salary sheet'!$B$6:$E$2281,4,0)</f>
        <v>FACTORY D</v>
      </c>
      <c r="H537" s="607" t="str">
        <f>+VLOOKUP(B537,'Salary sheet'!$B$6:$AZ$1386,50,0)</f>
        <v>SK1 Bag</v>
      </c>
      <c r="I537" s="607" t="str">
        <f t="shared" si="12"/>
        <v>C4951DO THI THAM050067514928</v>
      </c>
      <c r="J537" s="853" t="str">
        <f>+VLOOKUP(B537,'[5]04 2025'!$B$2:$F$1371,5,0)</f>
        <v>C4951DO THI THAM050067514928</v>
      </c>
      <c r="K537" s="607">
        <f t="shared" si="25"/>
        <v>1</v>
      </c>
      <c r="P537" s="685"/>
    </row>
    <row r="538" spans="1:16" s="607" customFormat="1" ht="18" customHeight="1">
      <c r="A538" s="826">
        <f>SUBTOTAL(3,B$6:B538)</f>
        <v>533</v>
      </c>
      <c r="B538" s="824" t="s">
        <v>1869</v>
      </c>
      <c r="C538" s="824" t="str">
        <f>+VLOOKUP(B538,'Salary sheet'!$B$6:$AX$1386,48,0)</f>
        <v>VO THI NHA PHUONG</v>
      </c>
      <c r="D538" s="824" t="str">
        <f>+VLOOKUP(B538,'Salary sheet'!$B$6:$BW$1386,49,0)</f>
        <v>050040795811</v>
      </c>
      <c r="E538" s="620">
        <f>+VLOOKUP(B538,'Salary sheet'!$B$6:$AT$1292,45,0)</f>
        <v>6728518</v>
      </c>
      <c r="F538" s="1029" t="s">
        <v>5723</v>
      </c>
      <c r="G538" s="824" t="str">
        <f>+VLOOKUP(B538,'Salary sheet'!$B$6:$E$2281,4,0)</f>
        <v>FACTORY D</v>
      </c>
      <c r="H538" s="607" t="str">
        <f>+VLOOKUP(B538,'Salary sheet'!$B$6:$AZ$1386,50,0)</f>
        <v>SK1 Bag</v>
      </c>
      <c r="I538" s="607" t="str">
        <f t="shared" si="12"/>
        <v>C5323VO THI NHA PHUONG050040795811</v>
      </c>
      <c r="J538" s="853" t="str">
        <f>+VLOOKUP(B538,'[5]04 2025'!$B$2:$F$1371,5,0)</f>
        <v>C5323VO THI NHA PHUONG050040795811</v>
      </c>
      <c r="K538" s="607">
        <f t="shared" si="25"/>
        <v>1</v>
      </c>
      <c r="P538" s="685"/>
    </row>
    <row r="539" spans="1:16" s="607" customFormat="1" ht="18" customHeight="1">
      <c r="A539" s="826">
        <f>SUBTOTAL(3,B$6:B539)</f>
        <v>534</v>
      </c>
      <c r="B539" s="824" t="s">
        <v>1871</v>
      </c>
      <c r="C539" s="824" t="str">
        <f>+VLOOKUP(B539,'Salary sheet'!$B$6:$AX$1386,48,0)</f>
        <v>BUI THI THAO</v>
      </c>
      <c r="D539" s="824" t="str">
        <f>+VLOOKUP(B539,'Salary sheet'!$B$6:$BW$1386,49,0)</f>
        <v>050032872392</v>
      </c>
      <c r="E539" s="620">
        <f>+VLOOKUP(B539,'Salary sheet'!$B$6:$AT$1292,45,0)</f>
        <v>8811010</v>
      </c>
      <c r="F539" s="1029" t="s">
        <v>5723</v>
      </c>
      <c r="G539" s="824" t="str">
        <f>+VLOOKUP(B539,'Salary sheet'!$B$6:$E$2281,4,0)</f>
        <v>FACTORY D</v>
      </c>
      <c r="H539" s="607" t="str">
        <f>+VLOOKUP(B539,'Salary sheet'!$B$6:$AZ$1386,50,0)</f>
        <v>SK1 Bag</v>
      </c>
      <c r="I539" s="607" t="str">
        <f t="shared" si="12"/>
        <v>C5719BUI THI THAO050032872392</v>
      </c>
      <c r="J539" s="853" t="str">
        <f>+VLOOKUP(B539,'[5]04 2025'!$B$2:$F$1371,5,0)</f>
        <v>C5719BUI THI THAO050032872392</v>
      </c>
      <c r="K539" s="607">
        <f t="shared" si="25"/>
        <v>1</v>
      </c>
      <c r="P539" s="685"/>
    </row>
    <row r="540" spans="1:16" s="607" customFormat="1" ht="18" customHeight="1">
      <c r="A540" s="826">
        <f>SUBTOTAL(3,B$6:B540)</f>
        <v>535</v>
      </c>
      <c r="B540" s="824" t="s">
        <v>1873</v>
      </c>
      <c r="C540" s="824" t="str">
        <f>+VLOOKUP(B540,'Salary sheet'!$B$6:$AX$1386,48,0)</f>
        <v>DANG PHAN HONG VAN</v>
      </c>
      <c r="D540" s="824" t="str">
        <f>+VLOOKUP(B540,'Salary sheet'!$B$6:$BW$1386,49,0)</f>
        <v>050082309559</v>
      </c>
      <c r="E540" s="620">
        <f>+VLOOKUP(B540,'Salary sheet'!$B$6:$AT$1292,45,0)</f>
        <v>7863064</v>
      </c>
      <c r="F540" s="1029" t="s">
        <v>5723</v>
      </c>
      <c r="G540" s="824" t="str">
        <f>+VLOOKUP(B540,'Salary sheet'!$B$6:$E$2281,4,0)</f>
        <v>FACTORY D</v>
      </c>
      <c r="H540" s="607" t="str">
        <f>+VLOOKUP(B540,'Salary sheet'!$B$6:$AZ$1386,50,0)</f>
        <v>SK1 Bag</v>
      </c>
      <c r="I540" s="607" t="str">
        <f t="shared" si="12"/>
        <v>C7300DANG PHAN HONG VAN050082309559</v>
      </c>
      <c r="J540" s="853" t="str">
        <f>+VLOOKUP(B540,'[5]04 2025'!$B$2:$F$1371,5,0)</f>
        <v>C7300DANG PHAN HONG VAN050082309559</v>
      </c>
      <c r="K540" s="607">
        <f t="shared" si="25"/>
        <v>1</v>
      </c>
      <c r="P540" s="685"/>
    </row>
    <row r="541" spans="1:16" s="607" customFormat="1" ht="18" customHeight="1">
      <c r="A541" s="826">
        <f>SUBTOTAL(3,B$6:B541)</f>
        <v>536</v>
      </c>
      <c r="B541" s="824" t="s">
        <v>1875</v>
      </c>
      <c r="C541" s="824" t="str">
        <f>+VLOOKUP(B541,'Salary sheet'!$B$6:$AX$1386,48,0)</f>
        <v>NGUYEN THI TY</v>
      </c>
      <c r="D541" s="824" t="str">
        <f>+VLOOKUP(B541,'Salary sheet'!$B$6:$BW$1386,49,0)</f>
        <v>050040902217</v>
      </c>
      <c r="E541" s="620">
        <f>+VLOOKUP(B541,'Salary sheet'!$B$6:$AT$1292,45,0)</f>
        <v>8530749</v>
      </c>
      <c r="F541" s="1029" t="s">
        <v>5723</v>
      </c>
      <c r="G541" s="824" t="str">
        <f>+VLOOKUP(B541,'Salary sheet'!$B$6:$E$2281,4,0)</f>
        <v>FACTORY D</v>
      </c>
      <c r="H541" s="607" t="str">
        <f>+VLOOKUP(B541,'Salary sheet'!$B$6:$AZ$1386,50,0)</f>
        <v>SK1 Bag</v>
      </c>
      <c r="I541" s="607" t="str">
        <f t="shared" si="12"/>
        <v>C0730NGUYEN THI TY050040902217</v>
      </c>
      <c r="J541" s="853" t="str">
        <f>+VLOOKUP(B541,'[5]04 2025'!$B$2:$F$1371,5,0)</f>
        <v>C0730NGUYEN THI TY050040902217</v>
      </c>
      <c r="K541" s="607">
        <f t="shared" si="25"/>
        <v>1</v>
      </c>
      <c r="P541" s="685"/>
    </row>
    <row r="542" spans="1:16" s="607" customFormat="1" ht="18" customHeight="1">
      <c r="A542" s="826">
        <f>SUBTOTAL(3,B$6:B542)</f>
        <v>537</v>
      </c>
      <c r="B542" s="824" t="s">
        <v>1877</v>
      </c>
      <c r="C542" s="824" t="str">
        <f>+VLOOKUP(B542,'Salary sheet'!$B$6:$AX$1386,48,0)</f>
        <v>TRAN THI SA</v>
      </c>
      <c r="D542" s="824" t="str">
        <f>+VLOOKUP(B542,'Salary sheet'!$B$6:$BW$1386,49,0)</f>
        <v>050115373657</v>
      </c>
      <c r="E542" s="620">
        <f>+VLOOKUP(B542,'Salary sheet'!$B$6:$AT$1292,45,0)</f>
        <v>8536017</v>
      </c>
      <c r="F542" s="1029" t="s">
        <v>5723</v>
      </c>
      <c r="G542" s="824" t="str">
        <f>+VLOOKUP(B542,'Salary sheet'!$B$6:$E$2281,4,0)</f>
        <v>FACTORY D</v>
      </c>
      <c r="H542" s="607" t="str">
        <f>+VLOOKUP(B542,'Salary sheet'!$B$6:$AZ$1386,50,0)</f>
        <v>SK1 Bag</v>
      </c>
      <c r="I542" s="607" t="str">
        <f t="shared" si="12"/>
        <v>C11713TRAN THI SA050115373657</v>
      </c>
      <c r="J542" s="853" t="str">
        <f>+VLOOKUP(B542,'[5]04 2025'!$B$2:$F$1371,5,0)</f>
        <v>C11713TRAN THI SA050115373657</v>
      </c>
      <c r="K542" s="607">
        <f t="shared" si="25"/>
        <v>1</v>
      </c>
      <c r="P542" s="685"/>
    </row>
    <row r="543" spans="1:16" s="607" customFormat="1" ht="18" customHeight="1">
      <c r="A543" s="826">
        <f>SUBTOTAL(3,B$6:B543)</f>
        <v>538</v>
      </c>
      <c r="B543" s="824" t="s">
        <v>1879</v>
      </c>
      <c r="C543" s="824" t="str">
        <f>+VLOOKUP(B543,'Salary sheet'!$B$6:$AX$1386,48,0)</f>
        <v>NGUYEN THI THANH NHAN</v>
      </c>
      <c r="D543" s="824" t="str">
        <f>+VLOOKUP(B543,'Salary sheet'!$B$6:$BW$1386,49,0)</f>
        <v>050124667639</v>
      </c>
      <c r="E543" s="620">
        <f>+VLOOKUP(B543,'Salary sheet'!$B$6:$AT$1292,45,0)</f>
        <v>6456757</v>
      </c>
      <c r="F543" s="1029" t="s">
        <v>5723</v>
      </c>
      <c r="G543" s="824" t="str">
        <f>+VLOOKUP(B543,'Salary sheet'!$B$6:$E$2281,4,0)</f>
        <v>FACTORY D</v>
      </c>
      <c r="H543" s="607" t="str">
        <f>+VLOOKUP(B543,'Salary sheet'!$B$6:$AZ$1386,50,0)</f>
        <v>SK1 Bag</v>
      </c>
      <c r="I543" s="607" t="str">
        <f t="shared" si="12"/>
        <v>C12559NGUYEN THI THANH NHAN050124667639</v>
      </c>
      <c r="J543" s="853" t="str">
        <f>+VLOOKUP(B543,'[5]04 2025'!$B$2:$F$1371,5,0)</f>
        <v>C12559NGUYEN THI THANH NHAN050124667639</v>
      </c>
      <c r="K543" s="607">
        <f t="shared" si="25"/>
        <v>1</v>
      </c>
      <c r="P543" s="685"/>
    </row>
    <row r="544" spans="1:16" s="607" customFormat="1" ht="18" customHeight="1">
      <c r="A544" s="826">
        <f>SUBTOTAL(3,B$6:B544)</f>
        <v>539</v>
      </c>
      <c r="B544" s="824" t="s">
        <v>1881</v>
      </c>
      <c r="C544" s="824" t="str">
        <f>+VLOOKUP(B544,'Salary sheet'!$B$6:$AX$1386,48,0)</f>
        <v>LE NGOC LUA</v>
      </c>
      <c r="D544" s="824" t="str">
        <f>+VLOOKUP(B544,'Salary sheet'!$B$6:$BW$1386,49,0)</f>
        <v>050117070041</v>
      </c>
      <c r="E544" s="620">
        <f>+VLOOKUP(B544,'Salary sheet'!$B$6:$AT$1292,45,0)</f>
        <v>8524608</v>
      </c>
      <c r="F544" s="1029" t="s">
        <v>5723</v>
      </c>
      <c r="G544" s="824" t="str">
        <f>+VLOOKUP(B544,'Salary sheet'!$B$6:$E$2281,4,0)</f>
        <v>FACTORY D</v>
      </c>
      <c r="H544" s="607" t="str">
        <f>+VLOOKUP(B544,'Salary sheet'!$B$6:$AZ$1386,50,0)</f>
        <v>SK1 Bag</v>
      </c>
      <c r="I544" s="607" t="str">
        <f t="shared" si="12"/>
        <v>C14354LE NGOC LUA050117070041</v>
      </c>
      <c r="J544" s="853" t="str">
        <f>+VLOOKUP(B544,'[5]04 2025'!$B$2:$F$1371,5,0)</f>
        <v>C14354LE NGOC LUA050117070041</v>
      </c>
      <c r="K544" s="607">
        <f t="shared" si="25"/>
        <v>1</v>
      </c>
      <c r="P544" s="685"/>
    </row>
    <row r="545" spans="1:16" s="607" customFormat="1" ht="18" customHeight="1">
      <c r="A545" s="826">
        <f>SUBTOTAL(3,B$6:B545)</f>
        <v>540</v>
      </c>
      <c r="B545" s="824" t="s">
        <v>1883</v>
      </c>
      <c r="C545" s="824" t="str">
        <f>+VLOOKUP(B545,'Salary sheet'!$B$6:$AX$1386,48,0)</f>
        <v>VIEN THI NGOC</v>
      </c>
      <c r="D545" s="824" t="str">
        <f>+VLOOKUP(B545,'Salary sheet'!$B$6:$BW$1386,49,0)</f>
        <v>050040832316</v>
      </c>
      <c r="E545" s="620">
        <f>+VLOOKUP(B545,'Salary sheet'!$B$6:$AT$1292,45,0)</f>
        <v>11888529</v>
      </c>
      <c r="F545" s="1029" t="s">
        <v>5723</v>
      </c>
      <c r="G545" s="824" t="str">
        <f>+VLOOKUP(B545,'Salary sheet'!$B$6:$E$2281,4,0)</f>
        <v>FACTORY D</v>
      </c>
      <c r="H545" s="607" t="str">
        <f>+VLOOKUP(B545,'Salary sheet'!$B$6:$AZ$1386,50,0)</f>
        <v>SK1 Bag</v>
      </c>
      <c r="I545" s="607" t="str">
        <f t="shared" si="12"/>
        <v>C1451VIEN THI NGOC050040832316</v>
      </c>
      <c r="J545" s="853" t="str">
        <f>+VLOOKUP(B545,'[5]04 2025'!$B$2:$F$1371,5,0)</f>
        <v>C1451VIEN THI NGOC050040832316</v>
      </c>
      <c r="K545" s="607">
        <f t="shared" si="25"/>
        <v>1</v>
      </c>
      <c r="P545" s="685"/>
    </row>
    <row r="546" spans="1:16" s="607" customFormat="1" ht="18" customHeight="1">
      <c r="A546" s="826">
        <f>SUBTOTAL(3,B$6:B546)</f>
        <v>541</v>
      </c>
      <c r="B546" s="824" t="s">
        <v>1885</v>
      </c>
      <c r="C546" s="824" t="str">
        <f>+VLOOKUP(B546,'Salary sheet'!$B$6:$AX$1386,48,0)</f>
        <v>KSOR BUIH</v>
      </c>
      <c r="D546" s="824" t="str">
        <f>+VLOOKUP(B546,'Salary sheet'!$B$6:$BW$1386,49,0)</f>
        <v>050137313496</v>
      </c>
      <c r="E546" s="620">
        <f>+VLOOKUP(B546,'Salary sheet'!$B$6:$AT$1292,45,0)</f>
        <v>8131032</v>
      </c>
      <c r="F546" s="1029" t="s">
        <v>5723</v>
      </c>
      <c r="G546" s="824" t="str">
        <f>+VLOOKUP(B546,'Salary sheet'!$B$6:$E$2281,4,0)</f>
        <v>FACTORY D</v>
      </c>
      <c r="H546" s="607" t="str">
        <f>+VLOOKUP(B546,'Salary sheet'!$B$6:$AZ$1386,50,0)</f>
        <v>SK1 Bag</v>
      </c>
      <c r="I546" s="607" t="str">
        <f t="shared" si="12"/>
        <v>C15035KSOR BUIH050137313496</v>
      </c>
      <c r="J546" s="853" t="str">
        <f>+VLOOKUP(B546,'[5]04 2025'!$B$2:$F$1371,5,0)</f>
        <v>C15035KSOR BUIH050137313496</v>
      </c>
      <c r="K546" s="607">
        <f t="shared" si="25"/>
        <v>1</v>
      </c>
      <c r="P546" s="685"/>
    </row>
    <row r="547" spans="1:16" s="607" customFormat="1" ht="18" customHeight="1">
      <c r="A547" s="826">
        <f>SUBTOTAL(3,B$6:B547)</f>
        <v>542</v>
      </c>
      <c r="B547" s="824" t="s">
        <v>1887</v>
      </c>
      <c r="C547" s="824" t="str">
        <f>+VLOOKUP(B547,'Salary sheet'!$B$6:$AX$1386,48,0)</f>
        <v>MAI THANH TAI</v>
      </c>
      <c r="D547" s="824" t="str">
        <f>+VLOOKUP(B547,'Salary sheet'!$B$6:$BW$1386,49,0)</f>
        <v>050121173856</v>
      </c>
      <c r="E547" s="620">
        <f>+VLOOKUP(B547,'Salary sheet'!$B$6:$AT$1292,45,0)</f>
        <v>7732445</v>
      </c>
      <c r="F547" s="1029" t="s">
        <v>5723</v>
      </c>
      <c r="G547" s="824" t="str">
        <f>+VLOOKUP(B547,'Salary sheet'!$B$6:$E$2281,4,0)</f>
        <v>FACTORY D</v>
      </c>
      <c r="H547" s="607" t="str">
        <f>+VLOOKUP(B547,'Salary sheet'!$B$6:$AZ$1386,50,0)</f>
        <v>SK1 Bag</v>
      </c>
      <c r="I547" s="607" t="str">
        <f t="shared" si="12"/>
        <v>C15930MAI THANH TAI050121173856</v>
      </c>
      <c r="J547" s="853" t="str">
        <f>+VLOOKUP(B547,'[5]04 2025'!$B$2:$F$1371,5,0)</f>
        <v>C15930MAI THANH TAI050121173856</v>
      </c>
      <c r="K547" s="607">
        <f t="shared" si="25"/>
        <v>1</v>
      </c>
      <c r="P547" s="685"/>
    </row>
    <row r="548" spans="1:16" s="607" customFormat="1" ht="18" customHeight="1">
      <c r="A548" s="826">
        <f>SUBTOTAL(3,B$6:B548)</f>
        <v>543</v>
      </c>
      <c r="B548" s="824" t="s">
        <v>1889</v>
      </c>
      <c r="C548" s="824" t="str">
        <f>+VLOOKUP(B548,'Salary sheet'!$B$6:$AX$1386,48,0)</f>
        <v>TRAN VAN LONG</v>
      </c>
      <c r="D548" s="824" t="str">
        <f>+VLOOKUP(B548,'Salary sheet'!$B$6:$BW$1386,49,0)</f>
        <v>050153175877</v>
      </c>
      <c r="E548" s="620">
        <f>+VLOOKUP(B548,'Salary sheet'!$B$6:$AT$1292,45,0)</f>
        <v>7734663</v>
      </c>
      <c r="F548" s="1029" t="s">
        <v>5723</v>
      </c>
      <c r="G548" s="824" t="str">
        <f>+VLOOKUP(B548,'Salary sheet'!$B$6:$E$2281,4,0)</f>
        <v>FACTORY D</v>
      </c>
      <c r="H548" s="607" t="str">
        <f>+VLOOKUP(B548,'Salary sheet'!$B$6:$AZ$1386,50,0)</f>
        <v>SK1 Bag</v>
      </c>
      <c r="I548" s="607" t="str">
        <f t="shared" si="12"/>
        <v>C15931TRAN VAN LONG050153175877</v>
      </c>
      <c r="J548" s="853" t="str">
        <f>+VLOOKUP(B548,'[5]04 2025'!$B$2:$F$1371,5,0)</f>
        <v>C15931TRAN VAN LONG050153175877</v>
      </c>
      <c r="K548" s="607">
        <f t="shared" si="25"/>
        <v>1</v>
      </c>
      <c r="P548" s="685"/>
    </row>
    <row r="549" spans="1:16" s="607" customFormat="1" ht="18" customHeight="1">
      <c r="A549" s="826">
        <f>SUBTOTAL(3,B$6:B549)</f>
        <v>544</v>
      </c>
      <c r="B549" s="824" t="s">
        <v>1891</v>
      </c>
      <c r="C549" s="824" t="str">
        <f>+VLOOKUP(B549,'Salary sheet'!$B$6:$AX$1386,48,0)</f>
        <v>TO THI CUC MAI</v>
      </c>
      <c r="D549" s="824" t="str">
        <f>+VLOOKUP(B549,'Salary sheet'!$B$6:$BW$1386,49,0)</f>
        <v>050202022005</v>
      </c>
      <c r="E549" s="620">
        <f>+VLOOKUP(B549,'Salary sheet'!$B$6:$AT$1292,45,0)</f>
        <v>6043164</v>
      </c>
      <c r="F549" s="1029" t="s">
        <v>5723</v>
      </c>
      <c r="G549" s="824" t="str">
        <f>+VLOOKUP(B549,'Salary sheet'!$B$6:$E$2281,4,0)</f>
        <v>FACTORY D</v>
      </c>
      <c r="H549" s="607" t="str">
        <f>+VLOOKUP(B549,'Salary sheet'!$B$6:$AZ$1386,50,0)</f>
        <v>SK1 Bag</v>
      </c>
      <c r="I549" s="607" t="str">
        <f t="shared" si="12"/>
        <v>C16542TO THI CUC MAI050202022005</v>
      </c>
      <c r="J549" s="853" t="str">
        <f>+VLOOKUP(B549,'[5]04 2025'!$B$2:$F$1371,5,0)</f>
        <v>C16542TO THI CUC MAI050202022005</v>
      </c>
      <c r="K549" s="607">
        <f t="shared" si="25"/>
        <v>1</v>
      </c>
      <c r="P549" s="685"/>
    </row>
    <row r="550" spans="1:16" s="607" customFormat="1" ht="18" customHeight="1">
      <c r="A550" s="826">
        <f>SUBTOTAL(3,B$6:B550)</f>
        <v>545</v>
      </c>
      <c r="B550" s="824" t="s">
        <v>1893</v>
      </c>
      <c r="C550" s="824" t="str">
        <f>+VLOOKUP(B550,'Salary sheet'!$B$6:$AX$1386,48,0)</f>
        <v>DO HOAI HAN</v>
      </c>
      <c r="D550" s="824" t="str">
        <f>+VLOOKUP(B550,'Salary sheet'!$B$6:$BW$1386,49,0)</f>
        <v>056409022006</v>
      </c>
      <c r="E550" s="620">
        <f>+VLOOKUP(B550,'Salary sheet'!$B$6:$AT$1292,45,0)</f>
        <v>7330737</v>
      </c>
      <c r="F550" s="1029" t="s">
        <v>5723</v>
      </c>
      <c r="G550" s="824" t="str">
        <f>+VLOOKUP(B550,'Salary sheet'!$B$6:$E$2281,4,0)</f>
        <v>FACTORY D</v>
      </c>
      <c r="H550" s="607" t="str">
        <f>+VLOOKUP(B550,'Salary sheet'!$B$6:$AZ$1386,50,0)</f>
        <v>SK1 Bag</v>
      </c>
      <c r="I550" s="607" t="str">
        <f t="shared" si="12"/>
        <v>C16543DO HOAI HAN056409022006</v>
      </c>
      <c r="J550" s="853" t="str">
        <f>+VLOOKUP(B550,'[5]04 2025'!$B$2:$F$1371,5,0)</f>
        <v>C16543DO HOAI HAN056409022006</v>
      </c>
      <c r="K550" s="607">
        <f t="shared" ref="K550:K613" si="27">+IF(J550=I550,1,0)</f>
        <v>1</v>
      </c>
      <c r="P550" s="685"/>
    </row>
    <row r="551" spans="1:16" s="607" customFormat="1" ht="18" customHeight="1">
      <c r="A551" s="826">
        <f>SUBTOTAL(3,B$6:B551)</f>
        <v>546</v>
      </c>
      <c r="B551" s="824" t="s">
        <v>1895</v>
      </c>
      <c r="C551" s="824" t="str">
        <f>+VLOOKUP(B551,'Salary sheet'!$B$6:$AX$1386,48,0)</f>
        <v>THI LIEN</v>
      </c>
      <c r="D551" s="824" t="str">
        <f>+VLOOKUP(B551,'Salary sheet'!$B$6:$BW$1386,49,0)</f>
        <v>050040845418</v>
      </c>
      <c r="E551" s="620">
        <f>+VLOOKUP(B551,'Salary sheet'!$B$6:$AT$1292,45,0)</f>
        <v>8482267</v>
      </c>
      <c r="F551" s="1029" t="s">
        <v>5723</v>
      </c>
      <c r="G551" s="824" t="str">
        <f>+VLOOKUP(B551,'Salary sheet'!$B$6:$E$2281,4,0)</f>
        <v>FACTORY D</v>
      </c>
      <c r="H551" s="607" t="str">
        <f>+VLOOKUP(B551,'Salary sheet'!$B$6:$AZ$1386,50,0)</f>
        <v>SK1 Bag</v>
      </c>
      <c r="I551" s="607" t="str">
        <f t="shared" si="12"/>
        <v>C4213THI LIEN050040845418</v>
      </c>
      <c r="J551" s="853" t="str">
        <f>+VLOOKUP(B551,'[5]04 2025'!$B$2:$F$1371,5,0)</f>
        <v>C4213THI LIEN050040845418</v>
      </c>
      <c r="K551" s="607">
        <f t="shared" si="27"/>
        <v>1</v>
      </c>
      <c r="P551" s="685"/>
    </row>
    <row r="552" spans="1:16" s="607" customFormat="1" ht="18" customHeight="1">
      <c r="A552" s="826">
        <f>SUBTOTAL(3,B$6:B552)</f>
        <v>547</v>
      </c>
      <c r="B552" s="824" t="s">
        <v>1897</v>
      </c>
      <c r="C552" s="824" t="str">
        <f>+VLOOKUP(B552,'Salary sheet'!$B$6:$AX$1386,48,0)</f>
        <v>LE THI DAO</v>
      </c>
      <c r="D552" s="824" t="str">
        <f>+VLOOKUP(B552,'Salary sheet'!$B$6:$BW$1386,49,0)</f>
        <v>050040934593</v>
      </c>
      <c r="E552" s="620">
        <f>+VLOOKUP(B552,'Salary sheet'!$B$6:$AT$1292,45,0)</f>
        <v>8611101</v>
      </c>
      <c r="F552" s="1029" t="s">
        <v>5723</v>
      </c>
      <c r="G552" s="824" t="str">
        <f>+VLOOKUP(B552,'Salary sheet'!$B$6:$E$2281,4,0)</f>
        <v>FACTORY D</v>
      </c>
      <c r="H552" s="607" t="str">
        <f>+VLOOKUP(B552,'Salary sheet'!$B$6:$AZ$1386,50,0)</f>
        <v>SK1 Bag</v>
      </c>
      <c r="I552" s="607" t="str">
        <f t="shared" si="12"/>
        <v>C5326LE THI DAO050040934593</v>
      </c>
      <c r="J552" s="853" t="str">
        <f>+VLOOKUP(B552,'[5]04 2025'!$B$2:$F$1371,5,0)</f>
        <v>C5326LE THI DAO050040934593</v>
      </c>
      <c r="K552" s="607">
        <f t="shared" si="27"/>
        <v>1</v>
      </c>
      <c r="P552" s="685"/>
    </row>
    <row r="553" spans="1:16" s="607" customFormat="1" ht="18" customHeight="1">
      <c r="A553" s="826">
        <f>SUBTOTAL(3,B$6:B553)</f>
        <v>548</v>
      </c>
      <c r="B553" s="824" t="s">
        <v>1899</v>
      </c>
      <c r="C553" s="824" t="str">
        <f>+VLOOKUP(B553,'Salary sheet'!$B$6:$AX$1386,48,0)</f>
        <v>PHAN THI BICH</v>
      </c>
      <c r="D553" s="824" t="str">
        <f>+VLOOKUP(B553,'Salary sheet'!$B$6:$BW$1386,49,0)</f>
        <v>050079012121</v>
      </c>
      <c r="E553" s="620">
        <f>+VLOOKUP(B553,'Salary sheet'!$B$6:$AT$1292,45,0)</f>
        <v>8423342</v>
      </c>
      <c r="F553" s="1029" t="s">
        <v>5723</v>
      </c>
      <c r="G553" s="824" t="str">
        <f>+VLOOKUP(B553,'Salary sheet'!$B$6:$E$2281,4,0)</f>
        <v>FACTORY D</v>
      </c>
      <c r="H553" s="607" t="str">
        <f>+VLOOKUP(B553,'Salary sheet'!$B$6:$AZ$1386,50,0)</f>
        <v>SK1 Bag</v>
      </c>
      <c r="I553" s="607" t="str">
        <f t="shared" si="12"/>
        <v>C6879PHAN THI BICH050079012121</v>
      </c>
      <c r="J553" s="853" t="str">
        <f>+VLOOKUP(B553,'[5]04 2025'!$B$2:$F$1371,5,0)</f>
        <v>C6879PHAN THI BICH050079012121</v>
      </c>
      <c r="K553" s="607">
        <f t="shared" si="27"/>
        <v>1</v>
      </c>
      <c r="P553" s="685"/>
    </row>
    <row r="554" spans="1:16" s="607" customFormat="1" ht="18" customHeight="1">
      <c r="A554" s="826">
        <f>SUBTOTAL(3,B$6:B554)</f>
        <v>549</v>
      </c>
      <c r="B554" s="824" t="s">
        <v>1901</v>
      </c>
      <c r="C554" s="824" t="str">
        <f>+VLOOKUP(B554,'Salary sheet'!$B$6:$AX$1386,48,0)</f>
        <v>THI THU</v>
      </c>
      <c r="D554" s="824" t="str">
        <f>+VLOOKUP(B554,'Salary sheet'!$B$6:$BW$1386,49,0)</f>
        <v>050087243076</v>
      </c>
      <c r="E554" s="620">
        <f>+VLOOKUP(B554,'Salary sheet'!$B$6:$AT$1292,45,0)</f>
        <v>8549667</v>
      </c>
      <c r="F554" s="1029" t="s">
        <v>5723</v>
      </c>
      <c r="G554" s="824" t="str">
        <f>+VLOOKUP(B554,'Salary sheet'!$B$6:$E$2281,4,0)</f>
        <v>FACTORY D</v>
      </c>
      <c r="H554" s="607" t="str">
        <f>+VLOOKUP(B554,'Salary sheet'!$B$6:$AZ$1386,50,0)</f>
        <v>SK1 Bag</v>
      </c>
      <c r="I554" s="607" t="str">
        <f t="shared" si="12"/>
        <v>C7197THI THU050087243076</v>
      </c>
      <c r="J554" s="853" t="str">
        <f>+VLOOKUP(B554,'[5]04 2025'!$B$2:$F$1371,5,0)</f>
        <v>C7197THI THU050087243076</v>
      </c>
      <c r="K554" s="607">
        <f t="shared" si="27"/>
        <v>1</v>
      </c>
      <c r="P554" s="685"/>
    </row>
    <row r="555" spans="1:16" s="607" customFormat="1" ht="18" customHeight="1">
      <c r="A555" s="826">
        <f>SUBTOTAL(3,B$6:B555)</f>
        <v>550</v>
      </c>
      <c r="B555" s="824" t="s">
        <v>1903</v>
      </c>
      <c r="C555" s="824" t="str">
        <f>+VLOOKUP(B555,'Salary sheet'!$B$6:$AX$1386,48,0)</f>
        <v>HO THI BONG</v>
      </c>
      <c r="D555" s="824" t="str">
        <f>+VLOOKUP(B555,'Salary sheet'!$B$6:$BW$1386,49,0)</f>
        <v>050056785989</v>
      </c>
      <c r="E555" s="620">
        <f>+VLOOKUP(B555,'Salary sheet'!$B$6:$AT$1292,45,0)</f>
        <v>7233715</v>
      </c>
      <c r="F555" s="1029" t="s">
        <v>5723</v>
      </c>
      <c r="G555" s="824" t="str">
        <f>+VLOOKUP(B555,'Salary sheet'!$B$6:$E$2281,4,0)</f>
        <v>FACTORY D</v>
      </c>
      <c r="H555" s="607" t="str">
        <f>+VLOOKUP(B555,'Salary sheet'!$B$6:$AZ$1386,50,0)</f>
        <v>SK1 Bag</v>
      </c>
      <c r="I555" s="607" t="str">
        <f t="shared" si="12"/>
        <v>C7288HO THI BONG050056785989</v>
      </c>
      <c r="J555" s="853" t="str">
        <f>+VLOOKUP(B555,'[5]04 2025'!$B$2:$F$1371,5,0)</f>
        <v>C7288HO THI BONG050056785989</v>
      </c>
      <c r="K555" s="607">
        <f t="shared" si="27"/>
        <v>1</v>
      </c>
      <c r="P555" s="685"/>
    </row>
    <row r="556" spans="1:16" s="607" customFormat="1" ht="18" customHeight="1">
      <c r="A556" s="826">
        <f>SUBTOTAL(3,B$6:B556)</f>
        <v>551</v>
      </c>
      <c r="B556" s="824" t="s">
        <v>1905</v>
      </c>
      <c r="C556" s="824" t="str">
        <f>+VLOOKUP(B556,'Salary sheet'!$B$6:$AX$1386,48,0)</f>
        <v>NGUYEN NGOC ANH</v>
      </c>
      <c r="D556" s="824" t="str">
        <f>+VLOOKUP(B556,'Salary sheet'!$B$6:$BW$1386,49,0)</f>
        <v>050103659067</v>
      </c>
      <c r="E556" s="620">
        <f>+VLOOKUP(B556,'Salary sheet'!$B$6:$AT$1292,45,0)</f>
        <v>8610236</v>
      </c>
      <c r="F556" s="1029" t="s">
        <v>5723</v>
      </c>
      <c r="G556" s="824" t="str">
        <f>+VLOOKUP(B556,'Salary sheet'!$B$6:$E$2281,4,0)</f>
        <v>FACTORY D</v>
      </c>
      <c r="H556" s="607" t="str">
        <f>+VLOOKUP(B556,'Salary sheet'!$B$6:$AZ$1386,50,0)</f>
        <v>SK1 Bag</v>
      </c>
      <c r="I556" s="607" t="str">
        <f t="shared" si="12"/>
        <v>C7818NGUYEN NGOC ANH050103659067</v>
      </c>
      <c r="J556" s="853" t="str">
        <f>+VLOOKUP(B556,'[5]04 2025'!$B$2:$F$1371,5,0)</f>
        <v>C7818NGUYEN NGOC ANH050103659067</v>
      </c>
      <c r="K556" s="607">
        <f t="shared" si="27"/>
        <v>1</v>
      </c>
      <c r="P556" s="685"/>
    </row>
    <row r="557" spans="1:16" s="607" customFormat="1" ht="18" customHeight="1">
      <c r="A557" s="826">
        <f>SUBTOTAL(3,B$6:B557)</f>
        <v>552</v>
      </c>
      <c r="B557" s="824" t="s">
        <v>1907</v>
      </c>
      <c r="C557" s="824" t="str">
        <f>+VLOOKUP(B557,'Salary sheet'!$B$6:$AX$1386,48,0)</f>
        <v>TRAN THI LAN</v>
      </c>
      <c r="D557" s="824" t="str">
        <f>+VLOOKUP(B557,'Salary sheet'!$B$6:$BW$1386,49,0)</f>
        <v>050103659075</v>
      </c>
      <c r="E557" s="620">
        <f>+VLOOKUP(B557,'Salary sheet'!$B$6:$AT$1292,45,0)</f>
        <v>8632971</v>
      </c>
      <c r="F557" s="1029" t="s">
        <v>5723</v>
      </c>
      <c r="G557" s="824" t="str">
        <f>+VLOOKUP(B557,'Salary sheet'!$B$6:$E$2281,4,0)</f>
        <v>FACTORY D</v>
      </c>
      <c r="H557" s="607" t="str">
        <f>+VLOOKUP(B557,'Salary sheet'!$B$6:$AZ$1386,50,0)</f>
        <v>SK1 Bag</v>
      </c>
      <c r="I557" s="607" t="str">
        <f t="shared" si="12"/>
        <v>C8002TRAN THI LAN050103659075</v>
      </c>
      <c r="J557" s="853" t="str">
        <f>+VLOOKUP(B557,'[5]04 2025'!$B$2:$F$1371,5,0)</f>
        <v>C8002TRAN THI LAN050103659075</v>
      </c>
      <c r="K557" s="607">
        <f t="shared" si="27"/>
        <v>1</v>
      </c>
      <c r="P557" s="685"/>
    </row>
    <row r="558" spans="1:16" s="607" customFormat="1" ht="18" customHeight="1">
      <c r="A558" s="826">
        <f>SUBTOTAL(3,B$6:B558)</f>
        <v>553</v>
      </c>
      <c r="B558" s="824" t="s">
        <v>1908</v>
      </c>
      <c r="C558" s="824" t="str">
        <f>+VLOOKUP(B558,'Salary sheet'!$B$6:$AX$1386,48,0)</f>
        <v>DIEU SON</v>
      </c>
      <c r="D558" s="824" t="str">
        <f>+VLOOKUP(B558,'Salary sheet'!$B$6:$BW$1386,49,0)</f>
        <v>050106514388</v>
      </c>
      <c r="E558" s="620">
        <f>+VLOOKUP(B558,'Salary sheet'!$B$6:$AT$1292,45,0)</f>
        <v>8644743</v>
      </c>
      <c r="F558" s="1029" t="s">
        <v>5723</v>
      </c>
      <c r="G558" s="824" t="str">
        <f>+VLOOKUP(B558,'Salary sheet'!$B$6:$E$2281,4,0)</f>
        <v>FACTORY D</v>
      </c>
      <c r="H558" s="607" t="str">
        <f>+VLOOKUP(B558,'Salary sheet'!$B$6:$AZ$1386,50,0)</f>
        <v>SK1 Bag</v>
      </c>
      <c r="I558" s="607" t="str">
        <f t="shared" si="12"/>
        <v>C8063DIEU SON050106514388</v>
      </c>
      <c r="J558" s="853" t="str">
        <f>+VLOOKUP(B558,'[5]04 2025'!$B$2:$F$1371,5,0)</f>
        <v>C8063DIEU SON050106514388</v>
      </c>
      <c r="K558" s="607">
        <f t="shared" si="27"/>
        <v>1</v>
      </c>
      <c r="P558" s="685"/>
    </row>
    <row r="559" spans="1:16" s="607" customFormat="1" ht="18" customHeight="1">
      <c r="A559" s="826">
        <f>SUBTOTAL(3,B$6:B559)</f>
        <v>554</v>
      </c>
      <c r="B559" s="824" t="s">
        <v>1910</v>
      </c>
      <c r="C559" s="824" t="str">
        <f>+VLOOKUP(B559,'Salary sheet'!$B$6:$AX$1386,48,0)</f>
        <v>HO THI NHA</v>
      </c>
      <c r="D559" s="824" t="str">
        <f>+VLOOKUP(B559,'Salary sheet'!$B$6:$BW$1386,49,0)</f>
        <v>050103659032</v>
      </c>
      <c r="E559" s="620">
        <f>+VLOOKUP(B559,'Salary sheet'!$B$6:$AT$1292,45,0)</f>
        <v>8703405</v>
      </c>
      <c r="F559" s="1029" t="s">
        <v>5723</v>
      </c>
      <c r="G559" s="824" t="str">
        <f>+VLOOKUP(B559,'Salary sheet'!$B$6:$E$2281,4,0)</f>
        <v>FACTORY D</v>
      </c>
      <c r="H559" s="607" t="str">
        <f>+VLOOKUP(B559,'Salary sheet'!$B$6:$AZ$1386,50,0)</f>
        <v>SK1 Bag</v>
      </c>
      <c r="I559" s="607" t="str">
        <f t="shared" si="12"/>
        <v>C8064HO THI NHA050103659032</v>
      </c>
      <c r="J559" s="853" t="str">
        <f>+VLOOKUP(B559,'[5]04 2025'!$B$2:$F$1371,5,0)</f>
        <v>C8064HO THI NHA050103659032</v>
      </c>
      <c r="K559" s="607">
        <f t="shared" si="27"/>
        <v>1</v>
      </c>
      <c r="P559" s="685"/>
    </row>
    <row r="560" spans="1:16" s="607" customFormat="1" ht="18" customHeight="1">
      <c r="A560" s="826">
        <f>SUBTOTAL(3,B$6:B560)</f>
        <v>555</v>
      </c>
      <c r="B560" s="824" t="s">
        <v>1912</v>
      </c>
      <c r="C560" s="824" t="str">
        <f>+VLOOKUP(B560,'Salary sheet'!$B$6:$AX$1386,48,0)</f>
        <v>PHAN NHAT HOANG</v>
      </c>
      <c r="D560" s="824" t="str">
        <f>+VLOOKUP(B560,'Salary sheet'!$B$6:$BW$1386,49,0)</f>
        <v>050103659482</v>
      </c>
      <c r="E560" s="620">
        <f>+VLOOKUP(B560,'Salary sheet'!$B$6:$AT$1292,45,0)</f>
        <v>8384054</v>
      </c>
      <c r="F560" s="1029" t="s">
        <v>5723</v>
      </c>
      <c r="G560" s="824" t="str">
        <f>+VLOOKUP(B560,'Salary sheet'!$B$6:$E$2281,4,0)</f>
        <v>FACTORY D</v>
      </c>
      <c r="H560" s="607" t="str">
        <f>+VLOOKUP(B560,'Salary sheet'!$B$6:$AZ$1386,50,0)</f>
        <v>SK1 Bag</v>
      </c>
      <c r="I560" s="607" t="str">
        <f t="shared" si="12"/>
        <v>C8293PHAN NHAT HOANG050103659482</v>
      </c>
      <c r="J560" s="853" t="str">
        <f>+VLOOKUP(B560,'[5]04 2025'!$B$2:$F$1371,5,0)</f>
        <v>C8293PHAN NHAT HOANG050103659482</v>
      </c>
      <c r="K560" s="607">
        <f t="shared" si="27"/>
        <v>1</v>
      </c>
      <c r="P560" s="685"/>
    </row>
    <row r="561" spans="1:16" s="607" customFormat="1" ht="18" customHeight="1">
      <c r="A561" s="826">
        <f>SUBTOTAL(3,B$6:B561)</f>
        <v>556</v>
      </c>
      <c r="B561" s="824" t="s">
        <v>1914</v>
      </c>
      <c r="C561" s="824" t="str">
        <f>+VLOOKUP(B561,'Salary sheet'!$B$6:$AX$1386,48,0)</f>
        <v>LE ANH VU</v>
      </c>
      <c r="D561" s="824" t="str">
        <f>+VLOOKUP(B561,'Salary sheet'!$B$6:$BW$1386,49,0)</f>
        <v>050106621176</v>
      </c>
      <c r="E561" s="620">
        <f>+VLOOKUP(B561,'Salary sheet'!$B$6:$AT$1292,45,0)</f>
        <v>7286857</v>
      </c>
      <c r="F561" s="1029" t="s">
        <v>5723</v>
      </c>
      <c r="G561" s="824" t="str">
        <f>+VLOOKUP(B561,'Salary sheet'!$B$6:$E$2281,4,0)</f>
        <v>FACTORY D</v>
      </c>
      <c r="H561" s="607" t="str">
        <f>+VLOOKUP(B561,'Salary sheet'!$B$6:$AZ$1386,50,0)</f>
        <v>SK1 Bag</v>
      </c>
      <c r="I561" s="607" t="str">
        <f t="shared" si="12"/>
        <v>C10604LE ANH VU050106621176</v>
      </c>
      <c r="J561" s="853" t="str">
        <f>+VLOOKUP(B561,'[5]04 2025'!$B$2:$F$1371,5,0)</f>
        <v>C10604LE ANH VU050106621176</v>
      </c>
      <c r="K561" s="607">
        <f t="shared" si="27"/>
        <v>1</v>
      </c>
      <c r="P561" s="685"/>
    </row>
    <row r="562" spans="1:16" s="607" customFormat="1" ht="18" customHeight="1">
      <c r="A562" s="826">
        <f>SUBTOTAL(3,B$6:B562)</f>
        <v>557</v>
      </c>
      <c r="B562" s="824" t="s">
        <v>1916</v>
      </c>
      <c r="C562" s="824" t="str">
        <f>+VLOOKUP(B562,'Salary sheet'!$B$6:$AX$1386,48,0)</f>
        <v>NGUYEN THI HOANG</v>
      </c>
      <c r="D562" s="824" t="str">
        <f>+VLOOKUP(B562,'Salary sheet'!$B$6:$BW$1386,49,0)</f>
        <v>050127672560</v>
      </c>
      <c r="E562" s="620">
        <f>+VLOOKUP(B562,'Salary sheet'!$B$6:$AT$1292,45,0)</f>
        <v>8526043</v>
      </c>
      <c r="F562" s="1029" t="s">
        <v>5723</v>
      </c>
      <c r="G562" s="824" t="str">
        <f>+VLOOKUP(B562,'Salary sheet'!$B$6:$E$2281,4,0)</f>
        <v>FACTORY D</v>
      </c>
      <c r="H562" s="607" t="str">
        <f>+VLOOKUP(B562,'Salary sheet'!$B$6:$AZ$1386,50,0)</f>
        <v>SK1 Bag</v>
      </c>
      <c r="I562" s="607" t="str">
        <f t="shared" si="12"/>
        <v>C13707NGUYEN THI HOANG050127672560</v>
      </c>
      <c r="J562" s="853" t="str">
        <f>+VLOOKUP(B562,'[5]04 2025'!$B$2:$F$1371,5,0)</f>
        <v>C13707NGUYEN THI HOANG050127672560</v>
      </c>
      <c r="K562" s="607">
        <f t="shared" si="27"/>
        <v>1</v>
      </c>
      <c r="P562" s="685"/>
    </row>
    <row r="563" spans="1:16" s="607" customFormat="1" ht="18" customHeight="1">
      <c r="A563" s="826">
        <f>SUBTOTAL(3,B$6:B563)</f>
        <v>558</v>
      </c>
      <c r="B563" s="824" t="s">
        <v>1918</v>
      </c>
      <c r="C563" s="824" t="str">
        <f>+VLOOKUP(B563,'Salary sheet'!$B$6:$AX$1386,48,0)</f>
        <v>HO THI THIET</v>
      </c>
      <c r="D563" s="824" t="str">
        <f>+VLOOKUP(B563,'Salary sheet'!$B$6:$BW$1386,49,0)</f>
        <v>050040936022</v>
      </c>
      <c r="E563" s="620">
        <f>+VLOOKUP(B563,'Salary sheet'!$B$6:$AT$1292,45,0)</f>
        <v>8548854</v>
      </c>
      <c r="F563" s="1029" t="s">
        <v>5723</v>
      </c>
      <c r="G563" s="824" t="str">
        <f>+VLOOKUP(B563,'Salary sheet'!$B$6:$E$2281,4,0)</f>
        <v>FACTORY D</v>
      </c>
      <c r="H563" s="607" t="str">
        <f>+VLOOKUP(B563,'Salary sheet'!$B$6:$AZ$1386,50,0)</f>
        <v>SK1 Bag</v>
      </c>
      <c r="I563" s="607" t="str">
        <f t="shared" si="12"/>
        <v>C1418HO THI THIET050040936022</v>
      </c>
      <c r="J563" s="853" t="str">
        <f>+VLOOKUP(B563,'[5]04 2025'!$B$2:$F$1371,5,0)</f>
        <v>C1418HO THI THIET050040936022</v>
      </c>
      <c r="K563" s="607">
        <f t="shared" si="27"/>
        <v>1</v>
      </c>
      <c r="P563" s="685"/>
    </row>
    <row r="564" spans="1:16" s="607" customFormat="1" ht="18" customHeight="1">
      <c r="A564" s="826">
        <f>SUBTOTAL(3,B$6:B564)</f>
        <v>559</v>
      </c>
      <c r="B564" s="824" t="s">
        <v>1920</v>
      </c>
      <c r="C564" s="824" t="str">
        <f>+VLOOKUP(B564,'Salary sheet'!$B$6:$AX$1386,48,0)</f>
        <v>DUONG TAN PHUOC</v>
      </c>
      <c r="D564" s="824" t="str">
        <f>+VLOOKUP(B564,'Salary sheet'!$B$6:$BW$1386,49,0)</f>
        <v>050121702387</v>
      </c>
      <c r="E564" s="620">
        <f>+VLOOKUP(B564,'Salary sheet'!$B$6:$AT$1292,45,0)</f>
        <v>8573242</v>
      </c>
      <c r="F564" s="1029" t="s">
        <v>5723</v>
      </c>
      <c r="G564" s="824" t="str">
        <f>+VLOOKUP(B564,'Salary sheet'!$B$6:$E$2281,4,0)</f>
        <v>FACTORY D</v>
      </c>
      <c r="H564" s="607" t="str">
        <f>+VLOOKUP(B564,'Salary sheet'!$B$6:$AZ$1386,50,0)</f>
        <v>SK1 Bag</v>
      </c>
      <c r="I564" s="607" t="str">
        <f t="shared" si="12"/>
        <v>C14678DUONG TAN PHUOC050121702387</v>
      </c>
      <c r="J564" s="853" t="str">
        <f>+VLOOKUP(B564,'[5]04 2025'!$B$2:$F$1371,5,0)</f>
        <v>C14678DUONG TAN PHUOC050121702387</v>
      </c>
      <c r="K564" s="607">
        <f t="shared" si="27"/>
        <v>1</v>
      </c>
      <c r="P564" s="685"/>
    </row>
    <row r="565" spans="1:16" s="607" customFormat="1" ht="18" customHeight="1">
      <c r="A565" s="826">
        <f>SUBTOTAL(3,B$6:B565)</f>
        <v>560</v>
      </c>
      <c r="B565" s="824" t="s">
        <v>1922</v>
      </c>
      <c r="C565" s="824" t="str">
        <f>+VLOOKUP(B565,'Salary sheet'!$B$6:$AX$1386,48,0)</f>
        <v>NGUYEN THANH HAI</v>
      </c>
      <c r="D565" s="824" t="str">
        <f>+VLOOKUP(B565,'Salary sheet'!$B$6:$BW$1386,49,0)</f>
        <v>050137738497</v>
      </c>
      <c r="E565" s="620">
        <f>+VLOOKUP(B565,'Salary sheet'!$B$6:$AT$1292,45,0)</f>
        <v>8274458</v>
      </c>
      <c r="F565" s="1029" t="s">
        <v>5723</v>
      </c>
      <c r="G565" s="824" t="str">
        <f>+VLOOKUP(B565,'Salary sheet'!$B$6:$E$2281,4,0)</f>
        <v>FACTORY D</v>
      </c>
      <c r="H565" s="607" t="str">
        <f>+VLOOKUP(B565,'Salary sheet'!$B$6:$AZ$1386,50,0)</f>
        <v>SK1 Bag</v>
      </c>
      <c r="I565" s="607" t="str">
        <f t="shared" si="12"/>
        <v>C15119NGUYEN THANH HAI050137738497</v>
      </c>
      <c r="J565" s="853" t="str">
        <f>+VLOOKUP(B565,'[5]04 2025'!$B$2:$F$1371,5,0)</f>
        <v>C15119NGUYEN THANH HAI050137738497</v>
      </c>
      <c r="K565" s="607">
        <f t="shared" si="27"/>
        <v>1</v>
      </c>
      <c r="P565" s="685"/>
    </row>
    <row r="566" spans="1:16" s="607" customFormat="1" ht="18" customHeight="1">
      <c r="A566" s="826">
        <f>SUBTOTAL(3,B$6:B566)</f>
        <v>561</v>
      </c>
      <c r="B566" s="824" t="s">
        <v>1924</v>
      </c>
      <c r="C566" s="824" t="str">
        <f>+VLOOKUP(B566,'Salary sheet'!$B$6:$AX$1386,48,0)</f>
        <v>NGUYEN THI KIM PHUONG</v>
      </c>
      <c r="D566" s="824" t="str">
        <f>+VLOOKUP(B566,'Salary sheet'!$B$6:$BW$1386,49,0)</f>
        <v>050067841082</v>
      </c>
      <c r="E566" s="620">
        <f>+VLOOKUP(B566,'Salary sheet'!$B$6:$AT$1292,45,0)</f>
        <v>8505177</v>
      </c>
      <c r="F566" s="1029" t="s">
        <v>5723</v>
      </c>
      <c r="G566" s="824" t="str">
        <f>+VLOOKUP(B566,'Salary sheet'!$B$6:$E$2281,4,0)</f>
        <v>FACTORY D</v>
      </c>
      <c r="H566" s="607" t="str">
        <f>+VLOOKUP(B566,'Salary sheet'!$B$6:$AZ$1386,50,0)</f>
        <v>SK1 Bag</v>
      </c>
      <c r="I566" s="607" t="str">
        <f t="shared" si="12"/>
        <v>C15321NGUYEN THI KIM PHUONG050067841082</v>
      </c>
      <c r="J566" s="853" t="str">
        <f>+VLOOKUP(B566,'[5]04 2025'!$B$2:$F$1371,5,0)</f>
        <v>C15321NGUYEN THI KIM PHUONG050067841082</v>
      </c>
      <c r="K566" s="607">
        <f t="shared" si="27"/>
        <v>1</v>
      </c>
      <c r="P566" s="685"/>
    </row>
    <row r="567" spans="1:16" s="607" customFormat="1" ht="18" customHeight="1">
      <c r="A567" s="826">
        <f>SUBTOTAL(3,B$6:B567)</f>
        <v>562</v>
      </c>
      <c r="B567" s="824" t="s">
        <v>1926</v>
      </c>
      <c r="C567" s="824" t="str">
        <f>+VLOOKUP(B567,'Salary sheet'!$B$6:$AX$1386,48,0)</f>
        <v>NGUYEN THI MY THU</v>
      </c>
      <c r="D567" s="824" t="str">
        <f>+VLOOKUP(B567,'Salary sheet'!$B$6:$BW$1386,49,0)</f>
        <v>050139072240</v>
      </c>
      <c r="E567" s="620">
        <f>+VLOOKUP(B567,'Salary sheet'!$B$6:$AT$1292,45,0)</f>
        <v>8586820</v>
      </c>
      <c r="F567" s="1029" t="s">
        <v>5723</v>
      </c>
      <c r="G567" s="824" t="str">
        <f>+VLOOKUP(B567,'Salary sheet'!$B$6:$E$2281,4,0)</f>
        <v>FACTORY D</v>
      </c>
      <c r="H567" s="607" t="str">
        <f>+VLOOKUP(B567,'Salary sheet'!$B$6:$AZ$1386,50,0)</f>
        <v>SK1 Bag</v>
      </c>
      <c r="I567" s="607" t="str">
        <f t="shared" si="12"/>
        <v>C15322NGUYEN THI MY THU050139072240</v>
      </c>
      <c r="J567" s="853" t="str">
        <f>+VLOOKUP(B567,'[5]04 2025'!$B$2:$F$1371,5,0)</f>
        <v>C15322NGUYEN THI MY THU050139072240</v>
      </c>
      <c r="K567" s="607">
        <f t="shared" si="27"/>
        <v>1</v>
      </c>
      <c r="P567" s="685"/>
    </row>
    <row r="568" spans="1:16" s="607" customFormat="1" ht="18" customHeight="1">
      <c r="A568" s="826">
        <f>SUBTOTAL(3,B$6:B568)</f>
        <v>563</v>
      </c>
      <c r="B568" s="824" t="s">
        <v>1928</v>
      </c>
      <c r="C568" s="824" t="str">
        <f>+VLOOKUP(B568,'Salary sheet'!$B$6:$AX$1386,48,0)</f>
        <v>VO TRAN TAN LOC</v>
      </c>
      <c r="D568" s="824" t="str">
        <f>+VLOOKUP(B568,'Salary sheet'!$B$6:$BW$1386,49,0)</f>
        <v>050389907877</v>
      </c>
      <c r="E568" s="620">
        <f>+VLOOKUP(B568,'Salary sheet'!$B$6:$AT$1292,45,0)</f>
        <v>8331874</v>
      </c>
      <c r="F568" s="1029" t="s">
        <v>5723</v>
      </c>
      <c r="G568" s="824" t="str">
        <f>+VLOOKUP(B568,'Salary sheet'!$B$6:$E$2281,4,0)</f>
        <v>FACTORY D</v>
      </c>
      <c r="H568" s="607" t="str">
        <f>+VLOOKUP(B568,'Salary sheet'!$B$6:$AZ$1386,50,0)</f>
        <v>SK1 Bag</v>
      </c>
      <c r="I568" s="607" t="str">
        <f t="shared" ref="I568:I631" si="28">+CONCATENATE(B568,C568,D568)</f>
        <v>C15466VO TRAN TAN LOC050389907877</v>
      </c>
      <c r="J568" s="853" t="str">
        <f>+VLOOKUP(B568,'[5]04 2025'!$B$2:$F$1371,5,0)</f>
        <v>C15466VO TRAN TAN LOC050389907877</v>
      </c>
      <c r="K568" s="607">
        <f t="shared" si="27"/>
        <v>1</v>
      </c>
      <c r="P568" s="685"/>
    </row>
    <row r="569" spans="1:16" s="607" customFormat="1" ht="18" customHeight="1">
      <c r="A569" s="826">
        <f>SUBTOTAL(3,B$6:B569)</f>
        <v>564</v>
      </c>
      <c r="B569" s="824" t="s">
        <v>1930</v>
      </c>
      <c r="C569" s="824" t="str">
        <f>+VLOOKUP(B569,'Salary sheet'!$B$6:$AX$1386,48,0)</f>
        <v>NGUYEN THI MY DUYEN</v>
      </c>
      <c r="D569" s="824" t="str">
        <f>+VLOOKUP(B569,'Salary sheet'!$B$6:$BW$1386,49,0)</f>
        <v>050122461812</v>
      </c>
      <c r="E569" s="620">
        <f>+VLOOKUP(B569,'Salary sheet'!$B$6:$AT$1292,45,0)</f>
        <v>8183352</v>
      </c>
      <c r="F569" s="1029" t="s">
        <v>5723</v>
      </c>
      <c r="G569" s="824" t="str">
        <f>+VLOOKUP(B569,'Salary sheet'!$B$6:$E$2281,4,0)</f>
        <v>FACTORY D</v>
      </c>
      <c r="H569" s="607" t="str">
        <f>+VLOOKUP(B569,'Salary sheet'!$B$6:$AZ$1386,50,0)</f>
        <v>SK1 Bag</v>
      </c>
      <c r="I569" s="607" t="str">
        <f t="shared" si="28"/>
        <v>C15475NGUYEN THI MY DUYEN050122461812</v>
      </c>
      <c r="J569" s="853" t="str">
        <f>+VLOOKUP(B569,'[5]04 2025'!$B$2:$F$1371,5,0)</f>
        <v>C15475NGUYEN THI MY DUYEN050122461812</v>
      </c>
      <c r="K569" s="607">
        <f t="shared" si="27"/>
        <v>1</v>
      </c>
      <c r="P569" s="685"/>
    </row>
    <row r="570" spans="1:16" s="607" customFormat="1" ht="18" customHeight="1">
      <c r="A570" s="826">
        <f>SUBTOTAL(3,B$6:B570)</f>
        <v>565</v>
      </c>
      <c r="B570" s="824" t="s">
        <v>1932</v>
      </c>
      <c r="C570" s="824" t="str">
        <f>+VLOOKUP(B570,'Salary sheet'!$B$6:$AX$1386,48,0)</f>
        <v>NGUYEN CA THI</v>
      </c>
      <c r="D570" s="824" t="str">
        <f>+VLOOKUP(B570,'Salary sheet'!$B$6:$BW$1386,49,0)</f>
        <v>050147898999</v>
      </c>
      <c r="E570" s="620">
        <f>+VLOOKUP(B570,'Salary sheet'!$B$6:$AT$1292,45,0)</f>
        <v>8092256</v>
      </c>
      <c r="F570" s="1029" t="s">
        <v>5723</v>
      </c>
      <c r="G570" s="824" t="str">
        <f>+VLOOKUP(B570,'Salary sheet'!$B$6:$E$2281,4,0)</f>
        <v>FACTORY D</v>
      </c>
      <c r="H570" s="607" t="str">
        <f>+VLOOKUP(B570,'Salary sheet'!$B$6:$AZ$1386,50,0)</f>
        <v>SK1 Bag</v>
      </c>
      <c r="I570" s="607" t="str">
        <f t="shared" si="28"/>
        <v>C15492NGUYEN CA THI050147898999</v>
      </c>
      <c r="J570" s="853" t="str">
        <f>+VLOOKUP(B570,'[5]04 2025'!$B$2:$F$1371,5,0)</f>
        <v>C15492NGUYEN CA THI050147898999</v>
      </c>
      <c r="K570" s="607">
        <f t="shared" si="27"/>
        <v>1</v>
      </c>
      <c r="P570" s="685"/>
    </row>
    <row r="571" spans="1:16" s="607" customFormat="1" ht="18" customHeight="1">
      <c r="A571" s="826">
        <f>SUBTOTAL(3,B$6:B571)</f>
        <v>566</v>
      </c>
      <c r="B571" s="824" t="s">
        <v>1934</v>
      </c>
      <c r="C571" s="824" t="str">
        <f>+VLOOKUP(B571,'Salary sheet'!$B$6:$AX$1386,48,0)</f>
        <v>DIEU LINH EM</v>
      </c>
      <c r="D571" s="824" t="str">
        <f>+VLOOKUP(B571,'Salary sheet'!$B$6:$BW$1386,49,0)</f>
        <v>050143746639</v>
      </c>
      <c r="E571" s="620">
        <f>+VLOOKUP(B571,'Salary sheet'!$B$6:$AT$1292,45,0)</f>
        <v>7850570</v>
      </c>
      <c r="F571" s="1029" t="s">
        <v>5723</v>
      </c>
      <c r="G571" s="824" t="str">
        <f>+VLOOKUP(B571,'Salary sheet'!$B$6:$E$2281,4,0)</f>
        <v>FACTORY D</v>
      </c>
      <c r="H571" s="607" t="str">
        <f>+VLOOKUP(B571,'Salary sheet'!$B$6:$AZ$1386,50,0)</f>
        <v>SK1 Bag</v>
      </c>
      <c r="I571" s="607" t="str">
        <f t="shared" si="28"/>
        <v>C15606DIEU LINH EM050143746639</v>
      </c>
      <c r="J571" s="853" t="str">
        <f>+VLOOKUP(B571,'[5]04 2025'!$B$2:$F$1371,5,0)</f>
        <v>C15606DIEU LINH EM050143746639</v>
      </c>
      <c r="K571" s="607">
        <f t="shared" si="27"/>
        <v>1</v>
      </c>
      <c r="P571" s="685"/>
    </row>
    <row r="572" spans="1:16" s="607" customFormat="1" ht="18" customHeight="1">
      <c r="A572" s="826">
        <f>SUBTOTAL(3,B$6:B572)</f>
        <v>567</v>
      </c>
      <c r="B572" s="824" t="s">
        <v>1936</v>
      </c>
      <c r="C572" s="824" t="str">
        <f>+VLOOKUP(B572,'Salary sheet'!$B$6:$AX$1386,48,0)</f>
        <v>HUYNH THI MONG THU</v>
      </c>
      <c r="D572" s="824" t="str">
        <f>+VLOOKUP(B572,'Salary sheet'!$B$6:$BW$1386,49,0)</f>
        <v>050152268022</v>
      </c>
      <c r="E572" s="620">
        <f>+VLOOKUP(B572,'Salary sheet'!$B$6:$AT$1292,45,0)</f>
        <v>8075236</v>
      </c>
      <c r="F572" s="1029" t="s">
        <v>5723</v>
      </c>
      <c r="G572" s="824" t="str">
        <f>+VLOOKUP(B572,'Salary sheet'!$B$6:$E$2281,4,0)</f>
        <v>FACTORY D</v>
      </c>
      <c r="H572" s="607" t="str">
        <f>+VLOOKUP(B572,'Salary sheet'!$B$6:$AZ$1386,50,0)</f>
        <v>SK1 Bag</v>
      </c>
      <c r="I572" s="607" t="str">
        <f t="shared" si="28"/>
        <v>C15846HUYNH THI MONG THU050152268022</v>
      </c>
      <c r="J572" s="853" t="str">
        <f>+VLOOKUP(B572,'[5]04 2025'!$B$2:$F$1371,5,0)</f>
        <v>C15846HUYNH THI MONG THU050152268022</v>
      </c>
      <c r="K572" s="607">
        <f t="shared" si="27"/>
        <v>1</v>
      </c>
      <c r="P572" s="685"/>
    </row>
    <row r="573" spans="1:16" s="607" customFormat="1" ht="18" customHeight="1">
      <c r="A573" s="826">
        <f>SUBTOTAL(3,B$6:B573)</f>
        <v>568</v>
      </c>
      <c r="B573" s="824" t="s">
        <v>1938</v>
      </c>
      <c r="C573" s="824" t="str">
        <f>+VLOOKUP(B573,'Salary sheet'!$B$6:$AX$1386,48,0)</f>
        <v>LUU THI THUY HA</v>
      </c>
      <c r="D573" s="824" t="str">
        <f>+VLOOKUP(B573,'Salary sheet'!$B$6:$BW$1386,49,0)</f>
        <v>050053941068</v>
      </c>
      <c r="E573" s="620">
        <f>+VLOOKUP(B573,'Salary sheet'!$B$6:$AT$1292,45,0)</f>
        <v>7852694</v>
      </c>
      <c r="F573" s="1029" t="s">
        <v>5723</v>
      </c>
      <c r="G573" s="824" t="str">
        <f>+VLOOKUP(B573,'Salary sheet'!$B$6:$E$2281,4,0)</f>
        <v>FACTORY D</v>
      </c>
      <c r="H573" s="607" t="str">
        <f>+VLOOKUP(B573,'Salary sheet'!$B$6:$AZ$1386,50,0)</f>
        <v>SK1 Bag</v>
      </c>
      <c r="I573" s="607" t="str">
        <f t="shared" si="28"/>
        <v>C15984LUU THI THUY HA050053941068</v>
      </c>
      <c r="J573" s="853" t="str">
        <f>+VLOOKUP(B573,'[5]04 2025'!$B$2:$F$1371,5,0)</f>
        <v>C15984LUU THI THUY HA050053941068</v>
      </c>
      <c r="K573" s="607">
        <f t="shared" si="27"/>
        <v>1</v>
      </c>
      <c r="P573" s="685"/>
    </row>
    <row r="574" spans="1:16" s="607" customFormat="1" ht="18" customHeight="1">
      <c r="A574" s="826">
        <f>SUBTOTAL(3,B$6:B574)</f>
        <v>569</v>
      </c>
      <c r="B574" s="824" t="s">
        <v>1940</v>
      </c>
      <c r="C574" s="824" t="str">
        <f>+VLOOKUP(B574,'Salary sheet'!$B$6:$AX$1386,48,0)</f>
        <v>TRAN VAN XUAN</v>
      </c>
      <c r="D574" s="824" t="str">
        <f>+VLOOKUP(B574,'Salary sheet'!$B$6:$BW$1386,49,0)</f>
        <v>050153477865</v>
      </c>
      <c r="E574" s="620">
        <f>+VLOOKUP(B574,'Salary sheet'!$B$6:$AT$1292,45,0)</f>
        <v>7541205</v>
      </c>
      <c r="F574" s="1029" t="s">
        <v>5723</v>
      </c>
      <c r="G574" s="824" t="str">
        <f>+VLOOKUP(B574,'Salary sheet'!$B$6:$E$2281,4,0)</f>
        <v>FACTORY D</v>
      </c>
      <c r="H574" s="607" t="str">
        <f>+VLOOKUP(B574,'Salary sheet'!$B$6:$AZ$1386,50,0)</f>
        <v>SK1 Bag</v>
      </c>
      <c r="I574" s="607" t="str">
        <f t="shared" si="28"/>
        <v>C16357TRAN VAN XUAN050153477865</v>
      </c>
      <c r="J574" s="853" t="str">
        <f>+VLOOKUP(B574,'[5]04 2025'!$B$2:$F$1371,5,0)</f>
        <v>C16357TRAN VAN XUAN050153477865</v>
      </c>
      <c r="K574" s="607">
        <f t="shared" si="27"/>
        <v>1</v>
      </c>
      <c r="P574" s="685"/>
    </row>
    <row r="575" spans="1:16" s="607" customFormat="1" ht="18" customHeight="1">
      <c r="A575" s="826">
        <f>SUBTOTAL(3,B$6:B575)</f>
        <v>570</v>
      </c>
      <c r="B575" s="824" t="s">
        <v>1942</v>
      </c>
      <c r="C575" s="824" t="str">
        <f>+VLOOKUP(B575,'Salary sheet'!$B$6:$AX$1386,48,0)</f>
        <v>LE THI CAM TU</v>
      </c>
      <c r="D575" s="824" t="str">
        <f>+VLOOKUP(B575,'Salary sheet'!$B$6:$BW$1386,49,0)</f>
        <v>050156858789</v>
      </c>
      <c r="E575" s="620">
        <f>+VLOOKUP(B575,'Salary sheet'!$B$6:$AT$1292,45,0)</f>
        <v>7473355</v>
      </c>
      <c r="F575" s="1029" t="s">
        <v>5723</v>
      </c>
      <c r="G575" s="824" t="str">
        <f>+VLOOKUP(B575,'Salary sheet'!$B$6:$E$2281,4,0)</f>
        <v>FACTORY D</v>
      </c>
      <c r="H575" s="607" t="str">
        <f>+VLOOKUP(B575,'Salary sheet'!$B$6:$AZ$1386,50,0)</f>
        <v>SK1 Bag</v>
      </c>
      <c r="I575" s="607" t="str">
        <f t="shared" si="28"/>
        <v>C16366LE THI CAM TU050156858789</v>
      </c>
      <c r="J575" s="853" t="str">
        <f>+VLOOKUP(B575,'[5]04 2025'!$B$2:$F$1371,5,0)</f>
        <v>C16366LE THI CAM TU050156858789</v>
      </c>
      <c r="K575" s="607">
        <f t="shared" si="27"/>
        <v>1</v>
      </c>
      <c r="P575" s="685"/>
    </row>
    <row r="576" spans="1:16" s="607" customFormat="1" ht="18" customHeight="1">
      <c r="A576" s="826">
        <f>SUBTOTAL(3,B$6:B576)</f>
        <v>571</v>
      </c>
      <c r="B576" s="824" t="s">
        <v>1944</v>
      </c>
      <c r="C576" s="824" t="str">
        <f>+VLOOKUP(B576,'Salary sheet'!$B$6:$AX$1386,48,0)</f>
        <v>TRAN THI PHUONG HUYEN</v>
      </c>
      <c r="D576" s="824" t="str">
        <f>+VLOOKUP(B576,'Salary sheet'!$B$6:$BW$1386,49,0)</f>
        <v>050153069570</v>
      </c>
      <c r="E576" s="620">
        <f>+VLOOKUP(B576,'Salary sheet'!$B$6:$AT$1292,45,0)</f>
        <v>6429970</v>
      </c>
      <c r="F576" s="1029" t="s">
        <v>5723</v>
      </c>
      <c r="G576" s="824" t="str">
        <f>+VLOOKUP(B576,'Salary sheet'!$B$6:$E$2281,4,0)</f>
        <v>FACTORY D</v>
      </c>
      <c r="H576" s="607" t="str">
        <f>+VLOOKUP(B576,'Salary sheet'!$B$6:$AZ$1386,50,0)</f>
        <v>SK1 Bag</v>
      </c>
      <c r="I576" s="607" t="str">
        <f t="shared" si="28"/>
        <v>C16544TRAN THI PHUONG HUYEN050153069570</v>
      </c>
      <c r="J576" s="853" t="str">
        <f>+VLOOKUP(B576,'[5]04 2025'!$B$2:$F$1371,5,0)</f>
        <v>C16544TRAN THI PHUONG HUYEN050153069570</v>
      </c>
      <c r="K576" s="607">
        <f t="shared" si="27"/>
        <v>1</v>
      </c>
      <c r="P576" s="685"/>
    </row>
    <row r="577" spans="1:16" s="607" customFormat="1" ht="18" customHeight="1">
      <c r="A577" s="826">
        <f>SUBTOTAL(3,B$6:B577)</f>
        <v>572</v>
      </c>
      <c r="B577" s="824" t="s">
        <v>1946</v>
      </c>
      <c r="C577" s="824" t="str">
        <f>+VLOOKUP(B577,'Salary sheet'!$B$6:$AX$1386,48,0)</f>
        <v>VU THI MINH</v>
      </c>
      <c r="D577" s="824" t="str">
        <f>+VLOOKUP(B577,'Salary sheet'!$B$6:$BW$1386,49,0)</f>
        <v>050114267594</v>
      </c>
      <c r="E577" s="620">
        <f>+VLOOKUP(B577,'Salary sheet'!$B$6:$AT$1292,45,0)</f>
        <v>6879353</v>
      </c>
      <c r="F577" s="1029" t="s">
        <v>5723</v>
      </c>
      <c r="G577" s="824" t="str">
        <f>+VLOOKUP(B577,'Salary sheet'!$B$6:$E$2281,4,0)</f>
        <v>FACTORY D</v>
      </c>
      <c r="H577" s="607" t="str">
        <f>+VLOOKUP(B577,'Salary sheet'!$B$6:$AZ$1386,50,0)</f>
        <v>SK1 Bag</v>
      </c>
      <c r="I577" s="607" t="str">
        <f t="shared" si="28"/>
        <v>C16561VU THI MINH050114267594</v>
      </c>
      <c r="J577" s="853" t="str">
        <f>+VLOOKUP(B577,'[5]04 2025'!$B$2:$F$1371,5,0)</f>
        <v>C16561VU THI MINH050114267594</v>
      </c>
      <c r="K577" s="607">
        <f t="shared" si="27"/>
        <v>1</v>
      </c>
      <c r="P577" s="685"/>
    </row>
    <row r="578" spans="1:16" s="607" customFormat="1" ht="18" customHeight="1">
      <c r="A578" s="826">
        <f>SUBTOTAL(3,B$6:B578)</f>
        <v>573</v>
      </c>
      <c r="B578" s="824" t="s">
        <v>1948</v>
      </c>
      <c r="C578" s="824" t="str">
        <f>+VLOOKUP(B578,'Salary sheet'!$B$6:$AX$1386,48,0)</f>
        <v>DAO TAN HUNG</v>
      </c>
      <c r="D578" s="824" t="str">
        <f>+VLOOKUP(B578,'Salary sheet'!$B$6:$BW$1386,49,0)</f>
        <v>050327557739</v>
      </c>
      <c r="E578" s="620">
        <f>+VLOOKUP(B578,'Salary sheet'!$B$6:$AT$1292,45,0)</f>
        <v>6408597</v>
      </c>
      <c r="F578" s="1029" t="s">
        <v>5723</v>
      </c>
      <c r="G578" s="824" t="str">
        <f>+VLOOKUP(B578,'Salary sheet'!$B$6:$E$2281,4,0)</f>
        <v>FACTORY D</v>
      </c>
      <c r="H578" s="607" t="str">
        <f>+VLOOKUP(B578,'Salary sheet'!$B$6:$AZ$1386,50,0)</f>
        <v>SK1 Bag</v>
      </c>
      <c r="I578" s="607" t="str">
        <f t="shared" si="28"/>
        <v>C16565DAO TAN HUNG050327557739</v>
      </c>
      <c r="J578" s="853" t="str">
        <f>+VLOOKUP(B578,'[5]04 2025'!$B$2:$F$1371,5,0)</f>
        <v>C16565DAO TAN HUNG050327557739</v>
      </c>
      <c r="K578" s="607">
        <f t="shared" si="27"/>
        <v>1</v>
      </c>
      <c r="P578" s="685"/>
    </row>
    <row r="579" spans="1:16" s="607" customFormat="1" ht="18" customHeight="1">
      <c r="A579" s="826">
        <f>SUBTOTAL(3,B$6:B579)</f>
        <v>574</v>
      </c>
      <c r="B579" s="824" t="s">
        <v>5759</v>
      </c>
      <c r="C579" s="824" t="str">
        <f>+VLOOKUP(B579,'Salary sheet'!$B$6:$AX$1386,48,0)</f>
        <v>NGUYEN QUI LOC</v>
      </c>
      <c r="D579" s="824" t="str">
        <f>+VLOOKUP(B579,'Salary sheet'!$B$6:$BW$1386,49,0)</f>
        <v>054522012003</v>
      </c>
      <c r="E579" s="620">
        <f>+VLOOKUP(B579,'Salary sheet'!$B$6:$AT$1292,45,0)</f>
        <v>2403192</v>
      </c>
      <c r="F579" s="1029" t="s">
        <v>5723</v>
      </c>
      <c r="G579" s="824" t="str">
        <f>+VLOOKUP(B579,'Salary sheet'!$B$6:$E$2281,4,0)</f>
        <v>FACTORY D</v>
      </c>
      <c r="H579" s="607" t="str">
        <f>+VLOOKUP(B579,'Salary sheet'!$B$6:$AZ$1386,50,0)</f>
        <v>SK1 Bag</v>
      </c>
      <c r="I579" s="607" t="str">
        <f t="shared" si="28"/>
        <v>C16621NGUYEN QUI LOC054522012003</v>
      </c>
      <c r="J579" s="853" t="str">
        <f>+VLOOKUP(B579,'[5]04 2025'!$B$2:$F$1371,5,0)</f>
        <v>C16621NGUYEN QUI LOC054522012003</v>
      </c>
      <c r="K579" s="607">
        <f t="shared" si="27"/>
        <v>1</v>
      </c>
      <c r="P579" s="685"/>
    </row>
    <row r="580" spans="1:16" s="607" customFormat="1" ht="18" customHeight="1">
      <c r="A580" s="826">
        <f>SUBTOTAL(3,B$6:B580)</f>
        <v>575</v>
      </c>
      <c r="B580" s="824" t="s">
        <v>5761</v>
      </c>
      <c r="C580" s="824" t="str">
        <f>+VLOOKUP(B580,'Salary sheet'!$B$6:$AX$1386,48,0)</f>
        <v>CHU THI NGUYET</v>
      </c>
      <c r="D580" s="824" t="str">
        <f>+VLOOKUP(B580,'Salary sheet'!$B$6:$BW$1386,49,0)</f>
        <v>050071874823</v>
      </c>
      <c r="E580" s="620">
        <f>+VLOOKUP(B580,'Salary sheet'!$B$6:$AT$1292,45,0)</f>
        <v>2360084</v>
      </c>
      <c r="F580" s="1029" t="s">
        <v>5723</v>
      </c>
      <c r="G580" s="824" t="str">
        <f>+VLOOKUP(B580,'Salary sheet'!$B$6:$E$2281,4,0)</f>
        <v>FACTORY D</v>
      </c>
      <c r="H580" s="607" t="str">
        <f>+VLOOKUP(B580,'Salary sheet'!$B$6:$AZ$1386,50,0)</f>
        <v>SK1 Bag</v>
      </c>
      <c r="I580" s="607" t="str">
        <f t="shared" si="28"/>
        <v>C16622CHU THI NGUYET050071874823</v>
      </c>
      <c r="J580" s="853" t="str">
        <f>+VLOOKUP(B580,'[5]04 2025'!$B$2:$F$1371,5,0)</f>
        <v>C16622CHU THI NGUYET050071874823</v>
      </c>
      <c r="K580" s="607">
        <f t="shared" si="27"/>
        <v>1</v>
      </c>
      <c r="P580" s="685"/>
    </row>
    <row r="581" spans="1:16" s="607" customFormat="1" ht="18" customHeight="1">
      <c r="A581" s="826">
        <f>SUBTOTAL(3,B$6:B581)</f>
        <v>576</v>
      </c>
      <c r="B581" s="824" t="s">
        <v>1950</v>
      </c>
      <c r="C581" s="824" t="str">
        <f>+VLOOKUP(B581,'Salary sheet'!$B$6:$AX$1386,48,0)</f>
        <v>HA THI THUY</v>
      </c>
      <c r="D581" s="824" t="str">
        <f>+VLOOKUP(B581,'Salary sheet'!$B$6:$BW$1386,49,0)</f>
        <v>050040936073</v>
      </c>
      <c r="E581" s="620">
        <f>+VLOOKUP(B581,'Salary sheet'!$B$6:$AT$1292,45,0)</f>
        <v>8732196</v>
      </c>
      <c r="F581" s="1029" t="s">
        <v>5723</v>
      </c>
      <c r="G581" s="824" t="str">
        <f>+VLOOKUP(B581,'Salary sheet'!$B$6:$E$2281,4,0)</f>
        <v>FACTORY D</v>
      </c>
      <c r="H581" s="607" t="str">
        <f>+VLOOKUP(B581,'Salary sheet'!$B$6:$AZ$1386,50,0)</f>
        <v>SK1 Bag</v>
      </c>
      <c r="I581" s="607" t="str">
        <f t="shared" si="28"/>
        <v>C5187HA THI THUY050040936073</v>
      </c>
      <c r="J581" s="853" t="str">
        <f>+VLOOKUP(B581,'[5]04 2025'!$B$2:$F$1371,5,0)</f>
        <v>C5187HA THI THUY050040936073</v>
      </c>
      <c r="K581" s="607">
        <f t="shared" si="27"/>
        <v>1</v>
      </c>
      <c r="P581" s="685"/>
    </row>
    <row r="582" spans="1:16" s="607" customFormat="1" ht="18" customHeight="1">
      <c r="A582" s="826">
        <f>SUBTOTAL(3,B$6:B582)</f>
        <v>577</v>
      </c>
      <c r="B582" s="824" t="s">
        <v>1952</v>
      </c>
      <c r="C582" s="824" t="str">
        <f>+VLOOKUP(B582,'Salary sheet'!$B$6:$AX$1386,48,0)</f>
        <v>TRAN THI THUY DUONG</v>
      </c>
      <c r="D582" s="824" t="str">
        <f>+VLOOKUP(B582,'Salary sheet'!$B$6:$BW$1386,49,0)</f>
        <v>050031004982</v>
      </c>
      <c r="E582" s="620">
        <f>+VLOOKUP(B582,'Salary sheet'!$B$6:$AT$1292,45,0)</f>
        <v>8281091</v>
      </c>
      <c r="F582" s="1029" t="s">
        <v>5723</v>
      </c>
      <c r="G582" s="824" t="str">
        <f>+VLOOKUP(B582,'Salary sheet'!$B$6:$E$2281,4,0)</f>
        <v>FACTORY D</v>
      </c>
      <c r="H582" s="607" t="str">
        <f>+VLOOKUP(B582,'Salary sheet'!$B$6:$AZ$1386,50,0)</f>
        <v>SK1 Bag</v>
      </c>
      <c r="I582" s="607" t="str">
        <f t="shared" si="28"/>
        <v>C5516TRAN THI THUY DUONG050031004982</v>
      </c>
      <c r="J582" s="853" t="str">
        <f>+VLOOKUP(B582,'[5]04 2025'!$B$2:$F$1371,5,0)</f>
        <v>C5516TRAN THI THUY DUONG050031004982</v>
      </c>
      <c r="K582" s="607">
        <f t="shared" si="27"/>
        <v>1</v>
      </c>
      <c r="P582" s="685"/>
    </row>
    <row r="583" spans="1:16" s="607" customFormat="1" ht="18" customHeight="1">
      <c r="A583" s="826">
        <f>SUBTOTAL(3,B$6:B583)</f>
        <v>578</v>
      </c>
      <c r="B583" s="824" t="s">
        <v>1954</v>
      </c>
      <c r="C583" s="824" t="str">
        <f>+VLOOKUP(B583,'Salary sheet'!$B$6:$AX$1386,48,0)</f>
        <v>BUI THI MUI</v>
      </c>
      <c r="D583" s="824" t="str">
        <f>+VLOOKUP(B583,'Salary sheet'!$B$6:$BW$1386,49,0)</f>
        <v>050040936081</v>
      </c>
      <c r="E583" s="620">
        <f>+VLOOKUP(B583,'Salary sheet'!$B$6:$AT$1292,45,0)</f>
        <v>9449171</v>
      </c>
      <c r="F583" s="1029" t="s">
        <v>5723</v>
      </c>
      <c r="G583" s="824" t="str">
        <f>+VLOOKUP(B583,'Salary sheet'!$B$6:$E$2281,4,0)</f>
        <v>FACTORY D</v>
      </c>
      <c r="H583" s="607" t="str">
        <f>+VLOOKUP(B583,'Salary sheet'!$B$6:$AZ$1386,50,0)</f>
        <v>SK1 Bag</v>
      </c>
      <c r="I583" s="607" t="str">
        <f t="shared" si="28"/>
        <v>C5959BUI THI MUI050040936081</v>
      </c>
      <c r="J583" s="853" t="str">
        <f>+VLOOKUP(B583,'[5]04 2025'!$B$2:$F$1371,5,0)</f>
        <v>C5959BUI THI MUI050040936081</v>
      </c>
      <c r="K583" s="607">
        <f t="shared" si="27"/>
        <v>1</v>
      </c>
      <c r="P583" s="685"/>
    </row>
    <row r="584" spans="1:16" s="607" customFormat="1" ht="18" customHeight="1">
      <c r="A584" s="826">
        <f>SUBTOTAL(3,B$6:B584)</f>
        <v>579</v>
      </c>
      <c r="B584" s="824" t="s">
        <v>1956</v>
      </c>
      <c r="C584" s="824" t="str">
        <f>+VLOOKUP(B584,'Salary sheet'!$B$6:$AX$1386,48,0)</f>
        <v>TRUONG VU PHONG</v>
      </c>
      <c r="D584" s="824" t="str">
        <f>+VLOOKUP(B584,'Salary sheet'!$B$6:$BW$1386,49,0)</f>
        <v>050813226345</v>
      </c>
      <c r="E584" s="620">
        <f>+VLOOKUP(B584,'Salary sheet'!$B$6:$AT$1292,45,0)</f>
        <v>8663840</v>
      </c>
      <c r="F584" s="1029" t="s">
        <v>5723</v>
      </c>
      <c r="G584" s="824" t="str">
        <f>+VLOOKUP(B584,'Salary sheet'!$B$6:$E$2281,4,0)</f>
        <v>FACTORY D</v>
      </c>
      <c r="H584" s="607" t="str">
        <f>+VLOOKUP(B584,'Salary sheet'!$B$6:$AZ$1386,50,0)</f>
        <v>SK1 Bag</v>
      </c>
      <c r="I584" s="607" t="str">
        <f t="shared" si="28"/>
        <v>C7901TRUONG VU PHONG050813226345</v>
      </c>
      <c r="J584" s="853" t="str">
        <f>+VLOOKUP(B584,'[5]04 2025'!$B$2:$F$1371,5,0)</f>
        <v>C7901TRUONG VU PHONG050813226345</v>
      </c>
      <c r="K584" s="607">
        <f t="shared" si="27"/>
        <v>1</v>
      </c>
      <c r="P584" s="685"/>
    </row>
    <row r="585" spans="1:16" s="607" customFormat="1" ht="18" customHeight="1">
      <c r="A585" s="826">
        <f>SUBTOTAL(3,B$6:B585)</f>
        <v>580</v>
      </c>
      <c r="B585" s="824" t="s">
        <v>1958</v>
      </c>
      <c r="C585" s="824" t="str">
        <f>+VLOOKUP(B585,'Salary sheet'!$B$6:$AX$1386,48,0)</f>
        <v>LE THI HA</v>
      </c>
      <c r="D585" s="824" t="str">
        <f>+VLOOKUP(B585,'Salary sheet'!$B$6:$BW$1386,49,0)</f>
        <v>050070968433</v>
      </c>
      <c r="E585" s="620">
        <f>+VLOOKUP(B585,'Salary sheet'!$B$6:$AT$1292,45,0)</f>
        <v>8383782</v>
      </c>
      <c r="F585" s="1029" t="s">
        <v>5723</v>
      </c>
      <c r="G585" s="824" t="str">
        <f>+VLOOKUP(B585,'Salary sheet'!$B$6:$E$2281,4,0)</f>
        <v>FACTORY D</v>
      </c>
      <c r="H585" s="607" t="str">
        <f>+VLOOKUP(B585,'Salary sheet'!$B$6:$AZ$1386,50,0)</f>
        <v>SK1 Bag</v>
      </c>
      <c r="I585" s="607" t="str">
        <f t="shared" si="28"/>
        <v>C8814LE THI HA050070968433</v>
      </c>
      <c r="J585" s="853" t="str">
        <f>+VLOOKUP(B585,'[5]04 2025'!$B$2:$F$1371,5,0)</f>
        <v>C8814LE THI HA050070968433</v>
      </c>
      <c r="K585" s="607">
        <f t="shared" si="27"/>
        <v>1</v>
      </c>
      <c r="P585" s="685"/>
    </row>
    <row r="586" spans="1:16" s="607" customFormat="1" ht="18" customHeight="1">
      <c r="A586" s="826">
        <f>SUBTOTAL(3,B$6:B586)</f>
        <v>581</v>
      </c>
      <c r="B586" s="824" t="s">
        <v>1960</v>
      </c>
      <c r="C586" s="824" t="str">
        <f>+VLOOKUP(B586,'Salary sheet'!$B$6:$AX$1386,48,0)</f>
        <v>PHAN VU KHAC</v>
      </c>
      <c r="D586" s="824" t="str">
        <f>+VLOOKUP(B586,'Salary sheet'!$B$6:$BW$1386,49,0)</f>
        <v>050106514159</v>
      </c>
      <c r="E586" s="620">
        <f>+VLOOKUP(B586,'Salary sheet'!$B$6:$AT$1292,45,0)</f>
        <v>8664450</v>
      </c>
      <c r="F586" s="1029" t="s">
        <v>5723</v>
      </c>
      <c r="G586" s="824" t="str">
        <f>+VLOOKUP(B586,'Salary sheet'!$B$6:$E$2281,4,0)</f>
        <v>FACTORY D</v>
      </c>
      <c r="H586" s="607" t="str">
        <f>+VLOOKUP(B586,'Salary sheet'!$B$6:$AZ$1386,50,0)</f>
        <v>SK1 Bag</v>
      </c>
      <c r="I586" s="607" t="str">
        <f t="shared" si="28"/>
        <v>C10618PHAN VU KHAC050106514159</v>
      </c>
      <c r="J586" s="853" t="str">
        <f>+VLOOKUP(B586,'[5]04 2025'!$B$2:$F$1371,5,0)</f>
        <v>C10618PHAN VU KHAC050106514159</v>
      </c>
      <c r="K586" s="607">
        <f t="shared" si="27"/>
        <v>1</v>
      </c>
      <c r="P586" s="685"/>
    </row>
    <row r="587" spans="1:16" s="607" customFormat="1" ht="18" customHeight="1">
      <c r="A587" s="826">
        <f>SUBTOTAL(3,B$6:B587)</f>
        <v>582</v>
      </c>
      <c r="B587" s="824" t="s">
        <v>1962</v>
      </c>
      <c r="C587" s="824" t="str">
        <f>+VLOOKUP(B587,'Salary sheet'!$B$6:$AX$1386,48,0)</f>
        <v>SIU H BON</v>
      </c>
      <c r="D587" s="824" t="str">
        <f>+VLOOKUP(B587,'Salary sheet'!$B$6:$BW$1386,49,0)</f>
        <v>050108107615</v>
      </c>
      <c r="E587" s="620">
        <f>+VLOOKUP(B587,'Salary sheet'!$B$6:$AT$1292,45,0)</f>
        <v>8700063</v>
      </c>
      <c r="F587" s="1029" t="s">
        <v>5723</v>
      </c>
      <c r="G587" s="824" t="str">
        <f>+VLOOKUP(B587,'Salary sheet'!$B$6:$E$2281,4,0)</f>
        <v>FACTORY D</v>
      </c>
      <c r="H587" s="607" t="str">
        <f>+VLOOKUP(B587,'Salary sheet'!$B$6:$AZ$1386,50,0)</f>
        <v>SK1 Bag</v>
      </c>
      <c r="I587" s="607" t="str">
        <f t="shared" si="28"/>
        <v>C10882SIU H BON050108107615</v>
      </c>
      <c r="J587" s="853" t="str">
        <f>+VLOOKUP(B587,'[5]04 2025'!$B$2:$F$1371,5,0)</f>
        <v>C10882SIU H BON050108107615</v>
      </c>
      <c r="K587" s="607">
        <f t="shared" si="27"/>
        <v>1</v>
      </c>
      <c r="P587" s="685"/>
    </row>
    <row r="588" spans="1:16" s="607" customFormat="1" ht="18" customHeight="1">
      <c r="A588" s="826">
        <f>SUBTOTAL(3,B$6:B588)</f>
        <v>583</v>
      </c>
      <c r="B588" s="824" t="s">
        <v>1964</v>
      </c>
      <c r="C588" s="824" t="str">
        <f>+VLOOKUP(B588,'Salary sheet'!$B$6:$AX$1386,48,0)</f>
        <v>NAY QUANG</v>
      </c>
      <c r="D588" s="824" t="str">
        <f>+VLOOKUP(B588,'Salary sheet'!$B$6:$BW$1386,49,0)</f>
        <v>050108107501</v>
      </c>
      <c r="E588" s="620">
        <f>+VLOOKUP(B588,'Salary sheet'!$B$6:$AT$1292,45,0)</f>
        <v>8657291</v>
      </c>
      <c r="F588" s="1029" t="s">
        <v>5723</v>
      </c>
      <c r="G588" s="824" t="str">
        <f>+VLOOKUP(B588,'Salary sheet'!$B$6:$E$2281,4,0)</f>
        <v>FACTORY D</v>
      </c>
      <c r="H588" s="607" t="str">
        <f>+VLOOKUP(B588,'Salary sheet'!$B$6:$AZ$1386,50,0)</f>
        <v>SK1 Bag</v>
      </c>
      <c r="I588" s="607" t="str">
        <f t="shared" si="28"/>
        <v>C10883NAY QUANG050108107501</v>
      </c>
      <c r="J588" s="853" t="str">
        <f>+VLOOKUP(B588,'[5]04 2025'!$B$2:$F$1371,5,0)</f>
        <v>C10883NAY QUANG050108107501</v>
      </c>
      <c r="K588" s="607">
        <f t="shared" si="27"/>
        <v>1</v>
      </c>
      <c r="P588" s="685"/>
    </row>
    <row r="589" spans="1:16" s="607" customFormat="1" ht="18" customHeight="1">
      <c r="A589" s="826">
        <f>SUBTOTAL(3,B$6:B589)</f>
        <v>584</v>
      </c>
      <c r="B589" s="824" t="s">
        <v>1966</v>
      </c>
      <c r="C589" s="824" t="str">
        <f>+VLOOKUP(B589,'Salary sheet'!$B$6:$AX$1386,48,0)</f>
        <v>PHAM THI HOA</v>
      </c>
      <c r="D589" s="824" t="str">
        <f>+VLOOKUP(B589,'Salary sheet'!$B$6:$BW$1386,49,0)</f>
        <v>050040901970</v>
      </c>
      <c r="E589" s="620">
        <f>+VLOOKUP(B589,'Salary sheet'!$B$6:$AT$1292,45,0)</f>
        <v>8657292</v>
      </c>
      <c r="F589" s="1029" t="s">
        <v>5723</v>
      </c>
      <c r="G589" s="824" t="str">
        <f>+VLOOKUP(B589,'Salary sheet'!$B$6:$E$2281,4,0)</f>
        <v>FACTORY D</v>
      </c>
      <c r="H589" s="607" t="str">
        <f>+VLOOKUP(B589,'Salary sheet'!$B$6:$AZ$1386,50,0)</f>
        <v>SK1 Bag</v>
      </c>
      <c r="I589" s="607" t="str">
        <f t="shared" si="28"/>
        <v>C1435PHAM THI HOA050040901970</v>
      </c>
      <c r="J589" s="853" t="str">
        <f>+VLOOKUP(B589,'[5]04 2025'!$B$2:$F$1371,5,0)</f>
        <v>C1435PHAM THI HOA050040901970</v>
      </c>
      <c r="K589" s="607">
        <f t="shared" si="27"/>
        <v>1</v>
      </c>
      <c r="P589" s="685"/>
    </row>
    <row r="590" spans="1:16" s="607" customFormat="1" ht="18" customHeight="1">
      <c r="A590" s="826">
        <f>SUBTOTAL(3,B$6:B590)</f>
        <v>585</v>
      </c>
      <c r="B590" s="824" t="s">
        <v>1968</v>
      </c>
      <c r="C590" s="824" t="str">
        <f>+VLOOKUP(B590,'Salary sheet'!$B$6:$AX$1386,48,0)</f>
        <v>NGUYEN THANH HUNG</v>
      </c>
      <c r="D590" s="824" t="str">
        <f>+VLOOKUP(B590,'Salary sheet'!$B$6:$BW$1386,49,0)</f>
        <v>050040902527</v>
      </c>
      <c r="E590" s="620">
        <f>+VLOOKUP(B590,'Salary sheet'!$B$6:$AT$1292,45,0)</f>
        <v>8993259</v>
      </c>
      <c r="F590" s="1029" t="s">
        <v>5723</v>
      </c>
      <c r="G590" s="824" t="str">
        <f>+VLOOKUP(B590,'Salary sheet'!$B$6:$E$2281,4,0)</f>
        <v>FACTORY D</v>
      </c>
      <c r="H590" s="607" t="str">
        <f>+VLOOKUP(B590,'Salary sheet'!$B$6:$AZ$1386,50,0)</f>
        <v>SK1 Bag</v>
      </c>
      <c r="I590" s="607" t="str">
        <f t="shared" si="28"/>
        <v>C15120NGUYEN THANH HUNG050040902527</v>
      </c>
      <c r="J590" s="853" t="str">
        <f>+VLOOKUP(B590,'[5]04 2025'!$B$2:$F$1371,5,0)</f>
        <v>C15120NGUYEN THANH HUNG050040902527</v>
      </c>
      <c r="K590" s="607">
        <f t="shared" si="27"/>
        <v>1</v>
      </c>
      <c r="P590" s="685"/>
    </row>
    <row r="591" spans="1:16" s="607" customFormat="1" ht="18" customHeight="1">
      <c r="A591" s="826">
        <f>SUBTOTAL(3,B$6:B591)</f>
        <v>586</v>
      </c>
      <c r="B591" s="824" t="s">
        <v>1970</v>
      </c>
      <c r="C591" s="824" t="str">
        <f>+VLOOKUP(B591,'Salary sheet'!$B$6:$AX$1386,48,0)</f>
        <v>TRAN THI NHANH</v>
      </c>
      <c r="D591" s="824" t="str">
        <f>+VLOOKUP(B591,'Salary sheet'!$B$6:$BW$1386,49,0)</f>
        <v>050040901946</v>
      </c>
      <c r="E591" s="620">
        <f>+VLOOKUP(B591,'Salary sheet'!$B$6:$AT$1292,45,0)</f>
        <v>8660127</v>
      </c>
      <c r="F591" s="1029" t="s">
        <v>5723</v>
      </c>
      <c r="G591" s="824" t="str">
        <f>+VLOOKUP(B591,'Salary sheet'!$B$6:$E$2281,4,0)</f>
        <v>FACTORY D</v>
      </c>
      <c r="H591" s="607" t="str">
        <f>+VLOOKUP(B591,'Salary sheet'!$B$6:$AZ$1386,50,0)</f>
        <v>SK1 Bag</v>
      </c>
      <c r="I591" s="607" t="str">
        <f t="shared" si="28"/>
        <v>C15190TRAN THI NHANH050040901946</v>
      </c>
      <c r="J591" s="853" t="str">
        <f>+VLOOKUP(B591,'[5]04 2025'!$B$2:$F$1371,5,0)</f>
        <v>C15190TRAN THI NHANH050040901946</v>
      </c>
      <c r="K591" s="607">
        <f t="shared" si="27"/>
        <v>1</v>
      </c>
      <c r="P591" s="685"/>
    </row>
    <row r="592" spans="1:16" s="607" customFormat="1" ht="18" customHeight="1">
      <c r="A592" s="826">
        <f>SUBTOTAL(3,B$6:B592)</f>
        <v>587</v>
      </c>
      <c r="B592" s="824" t="s">
        <v>1972</v>
      </c>
      <c r="C592" s="824" t="str">
        <f>+VLOOKUP(B592,'Salary sheet'!$B$6:$AX$1386,48,0)</f>
        <v>PHAN THI NHU QUYNH</v>
      </c>
      <c r="D592" s="824" t="str">
        <f>+VLOOKUP(B592,'Salary sheet'!$B$6:$BW$1386,49,0)</f>
        <v>050077160172</v>
      </c>
      <c r="E592" s="620">
        <f>+VLOOKUP(B592,'Salary sheet'!$B$6:$AT$1292,45,0)</f>
        <v>8235333</v>
      </c>
      <c r="F592" s="1029" t="s">
        <v>5723</v>
      </c>
      <c r="G592" s="824" t="str">
        <f>+VLOOKUP(B592,'Salary sheet'!$B$6:$E$2281,4,0)</f>
        <v>FACTORY D</v>
      </c>
      <c r="H592" s="607" t="str">
        <f>+VLOOKUP(B592,'Salary sheet'!$B$6:$AZ$1386,50,0)</f>
        <v>SK1 Bag</v>
      </c>
      <c r="I592" s="607" t="str">
        <f t="shared" si="28"/>
        <v>C15777PHAN THI NHU QUYNH050077160172</v>
      </c>
      <c r="J592" s="853" t="str">
        <f>+VLOOKUP(B592,'[5]04 2025'!$B$2:$F$1371,5,0)</f>
        <v>C15777PHAN THI NHU QUYNH050077160172</v>
      </c>
      <c r="K592" s="607">
        <f t="shared" si="27"/>
        <v>1</v>
      </c>
      <c r="P592" s="685"/>
    </row>
    <row r="593" spans="1:16" s="607" customFormat="1" ht="18" customHeight="1">
      <c r="A593" s="826">
        <f>SUBTOTAL(3,B$6:B593)</f>
        <v>588</v>
      </c>
      <c r="B593" s="824" t="s">
        <v>1974</v>
      </c>
      <c r="C593" s="824" t="str">
        <f>+VLOOKUP(B593,'Salary sheet'!$B$6:$AX$1386,48,0)</f>
        <v>DU THI MONG NGAN</v>
      </c>
      <c r="D593" s="824" t="str">
        <f>+VLOOKUP(B593,'Salary sheet'!$B$6:$BW$1386,49,0)</f>
        <v>050040832431</v>
      </c>
      <c r="E593" s="620">
        <f>+VLOOKUP(B593,'Salary sheet'!$B$6:$AT$1292,45,0)</f>
        <v>8735531</v>
      </c>
      <c r="F593" s="1029" t="s">
        <v>5723</v>
      </c>
      <c r="G593" s="824" t="str">
        <f>+VLOOKUP(B593,'Salary sheet'!$B$6:$E$2281,4,0)</f>
        <v>FACTORY D</v>
      </c>
      <c r="H593" s="607" t="str">
        <f>+VLOOKUP(B593,'Salary sheet'!$B$6:$AZ$1386,50,0)</f>
        <v>SK1 Bag</v>
      </c>
      <c r="I593" s="607" t="str">
        <f t="shared" si="28"/>
        <v>C1602DU THI MONG NGAN050040832431</v>
      </c>
      <c r="J593" s="853" t="str">
        <f>+VLOOKUP(B593,'[5]04 2025'!$B$2:$F$1371,5,0)</f>
        <v>C1602DU THI MONG NGAN050040832431</v>
      </c>
      <c r="K593" s="607">
        <f t="shared" si="27"/>
        <v>1</v>
      </c>
      <c r="P593" s="685"/>
    </row>
    <row r="594" spans="1:16" s="607" customFormat="1" ht="18" customHeight="1">
      <c r="A594" s="826">
        <f>SUBTOTAL(3,B$6:B594)</f>
        <v>589</v>
      </c>
      <c r="B594" s="824" t="s">
        <v>1976</v>
      </c>
      <c r="C594" s="824" t="str">
        <f>+VLOOKUP(B594,'Salary sheet'!$B$6:$AX$1386,48,0)</f>
        <v>BUI THI HOAN</v>
      </c>
      <c r="D594" s="824" t="str">
        <f>+VLOOKUP(B594,'Salary sheet'!$B$6:$BW$1386,49,0)</f>
        <v>050062085662</v>
      </c>
      <c r="E594" s="620">
        <f>+VLOOKUP(B594,'Salary sheet'!$B$6:$AT$1292,45,0)</f>
        <v>8506647</v>
      </c>
      <c r="F594" s="1029" t="s">
        <v>5723</v>
      </c>
      <c r="G594" s="824" t="str">
        <f>+VLOOKUP(B594,'Salary sheet'!$B$6:$E$2281,4,0)</f>
        <v>FACTORY D</v>
      </c>
      <c r="H594" s="607" t="str">
        <f>+VLOOKUP(B594,'Salary sheet'!$B$6:$AZ$1386,50,0)</f>
        <v>SK1 Bag</v>
      </c>
      <c r="I594" s="607" t="str">
        <f t="shared" si="28"/>
        <v>C16178BUI THI HOAN050062085662</v>
      </c>
      <c r="J594" s="853" t="str">
        <f>+VLOOKUP(B594,'[5]04 2025'!$B$2:$F$1371,5,0)</f>
        <v>C16178BUI THI HOAN050062085662</v>
      </c>
      <c r="K594" s="607">
        <f t="shared" si="27"/>
        <v>1</v>
      </c>
      <c r="P594" s="685"/>
    </row>
    <row r="595" spans="1:16" s="607" customFormat="1" ht="18" customHeight="1">
      <c r="A595" s="826">
        <f>SUBTOTAL(3,B$6:B595)</f>
        <v>590</v>
      </c>
      <c r="B595" s="824" t="s">
        <v>1978</v>
      </c>
      <c r="C595" s="824" t="str">
        <f>+VLOOKUP(B595,'Salary sheet'!$B$6:$AX$1386,48,0)</f>
        <v>Y THANH HIEN</v>
      </c>
      <c r="D595" s="824" t="str">
        <f>+VLOOKUP(B595,'Salary sheet'!$B$6:$BW$1386,49,0)</f>
        <v>050155781091</v>
      </c>
      <c r="E595" s="620">
        <f>+VLOOKUP(B595,'Salary sheet'!$B$6:$AT$1292,45,0)</f>
        <v>6874902</v>
      </c>
      <c r="F595" s="1029" t="s">
        <v>5723</v>
      </c>
      <c r="G595" s="824" t="str">
        <f>+VLOOKUP(B595,'Salary sheet'!$B$6:$E$2281,4,0)</f>
        <v>FACTORY D</v>
      </c>
      <c r="H595" s="607" t="str">
        <f>+VLOOKUP(B595,'Salary sheet'!$B$6:$AZ$1386,50,0)</f>
        <v>SK1 Bag</v>
      </c>
      <c r="I595" s="607" t="str">
        <f t="shared" si="28"/>
        <v>C16228Y THANH HIEN050155781091</v>
      </c>
      <c r="J595" s="853" t="str">
        <f>+VLOOKUP(B595,'[5]04 2025'!$B$2:$F$1371,5,0)</f>
        <v>C16228Y THANH HIEN050155781091</v>
      </c>
      <c r="K595" s="607">
        <f t="shared" si="27"/>
        <v>1</v>
      </c>
      <c r="P595" s="685"/>
    </row>
    <row r="596" spans="1:16" s="607" customFormat="1" ht="18" customHeight="1">
      <c r="A596" s="826">
        <f>SUBTOTAL(3,B$6:B596)</f>
        <v>591</v>
      </c>
      <c r="B596" s="824" t="s">
        <v>1980</v>
      </c>
      <c r="C596" s="824" t="str">
        <f>+VLOOKUP(B596,'Salary sheet'!$B$6:$AX$1386,48,0)</f>
        <v>NGUYEN THI LIEN</v>
      </c>
      <c r="D596" s="824" t="str">
        <f>+VLOOKUP(B596,'Salary sheet'!$B$6:$BW$1386,49,0)</f>
        <v>050059804631</v>
      </c>
      <c r="E596" s="620">
        <f>+VLOOKUP(B596,'Salary sheet'!$B$6:$AT$1292,45,0)</f>
        <v>7807174</v>
      </c>
      <c r="F596" s="1029" t="s">
        <v>5723</v>
      </c>
      <c r="G596" s="824" t="str">
        <f>+VLOOKUP(B596,'Salary sheet'!$B$6:$E$2281,4,0)</f>
        <v>FACTORY D</v>
      </c>
      <c r="H596" s="607" t="str">
        <f>+VLOOKUP(B596,'Salary sheet'!$B$6:$AZ$1386,50,0)</f>
        <v>SK1 Bag</v>
      </c>
      <c r="I596" s="607" t="str">
        <f t="shared" si="28"/>
        <v>C16378NGUYEN THI LIEN050059804631</v>
      </c>
      <c r="J596" s="853" t="str">
        <f>+VLOOKUP(B596,'[5]04 2025'!$B$2:$F$1371,5,0)</f>
        <v>C16378NGUYEN THI LIEN050059804631</v>
      </c>
      <c r="K596" s="607">
        <f t="shared" si="27"/>
        <v>1</v>
      </c>
      <c r="P596" s="685"/>
    </row>
    <row r="597" spans="1:16" s="607" customFormat="1" ht="18" customHeight="1">
      <c r="A597" s="826">
        <f>SUBTOTAL(3,B$6:B597)</f>
        <v>592</v>
      </c>
      <c r="B597" s="824" t="s">
        <v>1981</v>
      </c>
      <c r="C597" s="824" t="str">
        <f>+VLOOKUP(B597,'Salary sheet'!$B$6:$AX$1386,48,0)</f>
        <v>NGUYEN THUY LINH</v>
      </c>
      <c r="D597" s="824" t="str">
        <f>+VLOOKUP(B597,'Salary sheet'!$B$6:$BW$1386,49,0)</f>
        <v>050157026280</v>
      </c>
      <c r="E597" s="620">
        <f>+VLOOKUP(B597,'Salary sheet'!$B$6:$AT$1292,45,0)</f>
        <v>7682800</v>
      </c>
      <c r="F597" s="1029" t="s">
        <v>5723</v>
      </c>
      <c r="G597" s="824" t="str">
        <f>+VLOOKUP(B597,'Salary sheet'!$B$6:$E$2281,4,0)</f>
        <v>FACTORY D</v>
      </c>
      <c r="H597" s="607" t="str">
        <f>+VLOOKUP(B597,'Salary sheet'!$B$6:$AZ$1386,50,0)</f>
        <v>SK1 Bag</v>
      </c>
      <c r="I597" s="607" t="str">
        <f t="shared" si="28"/>
        <v>C16381NGUYEN THUY LINH050157026280</v>
      </c>
      <c r="J597" s="853" t="str">
        <f>+VLOOKUP(B597,'[5]04 2025'!$B$2:$F$1371,5,0)</f>
        <v>C16381NGUYEN THUY LINH050157026280</v>
      </c>
      <c r="K597" s="607">
        <f t="shared" si="27"/>
        <v>1</v>
      </c>
      <c r="P597" s="685"/>
    </row>
    <row r="598" spans="1:16" s="607" customFormat="1" ht="18" customHeight="1">
      <c r="A598" s="826">
        <f>SUBTOTAL(3,B$6:B598)</f>
        <v>593</v>
      </c>
      <c r="B598" s="824" t="s">
        <v>1983</v>
      </c>
      <c r="C598" s="824" t="str">
        <f>+VLOOKUP(B598,'Salary sheet'!$B$6:$AX$1386,48,0)</f>
        <v>NGO SI THA</v>
      </c>
      <c r="D598" s="824" t="str">
        <f>+VLOOKUP(B598,'Salary sheet'!$B$6:$BW$1386,49,0)</f>
        <v>050119607865</v>
      </c>
      <c r="E598" s="620">
        <f>+VLOOKUP(B598,'Salary sheet'!$B$6:$AT$1292,45,0)</f>
        <v>7026208</v>
      </c>
      <c r="F598" s="1029" t="s">
        <v>5723</v>
      </c>
      <c r="G598" s="824" t="str">
        <f>+VLOOKUP(B598,'Salary sheet'!$B$6:$E$2281,4,0)</f>
        <v>FACTORY D</v>
      </c>
      <c r="H598" s="607" t="str">
        <f>+VLOOKUP(B598,'Salary sheet'!$B$6:$AZ$1386,50,0)</f>
        <v>SK1 Bag</v>
      </c>
      <c r="I598" s="607" t="str">
        <f t="shared" si="28"/>
        <v>C16562NGO SI THA050119607865</v>
      </c>
      <c r="J598" s="853" t="str">
        <f>+VLOOKUP(B598,'[5]04 2025'!$B$2:$F$1371,5,0)</f>
        <v>C16562NGO SI THA050119607865</v>
      </c>
      <c r="K598" s="607">
        <f t="shared" si="27"/>
        <v>1</v>
      </c>
      <c r="P598" s="685"/>
    </row>
    <row r="599" spans="1:16" s="607" customFormat="1" ht="18" customHeight="1">
      <c r="A599" s="826">
        <f>SUBTOTAL(3,B$6:B599)</f>
        <v>594</v>
      </c>
      <c r="B599" s="824" t="s">
        <v>5763</v>
      </c>
      <c r="C599" s="824" t="str">
        <f>+VLOOKUP(B599,'Salary sheet'!$B$6:$AX$1386,48,0)</f>
        <v>LE DUC MINH</v>
      </c>
      <c r="D599" s="824" t="str">
        <f>+VLOOKUP(B599,'Salary sheet'!$B$6:$BW$1386,49,0)</f>
        <v>050130966494</v>
      </c>
      <c r="E599" s="620">
        <f>+VLOOKUP(B599,'Salary sheet'!$B$6:$AT$1292,45,0)</f>
        <v>3135104</v>
      </c>
      <c r="F599" s="1029" t="s">
        <v>5723</v>
      </c>
      <c r="G599" s="824" t="str">
        <f>+VLOOKUP(B599,'Salary sheet'!$B$6:$E$2281,4,0)</f>
        <v>FACTORY D</v>
      </c>
      <c r="H599" s="607" t="str">
        <f>+VLOOKUP(B599,'Salary sheet'!$B$6:$AZ$1386,50,0)</f>
        <v>SK1 Bag</v>
      </c>
      <c r="I599" s="607" t="str">
        <f t="shared" si="28"/>
        <v>C16609LE DUC MINH050130966494</v>
      </c>
      <c r="J599" s="853" t="str">
        <f>+VLOOKUP(B599,'[5]04 2025'!$B$2:$F$1371,5,0)</f>
        <v>C16609LE DUC MINH050130966494</v>
      </c>
      <c r="K599" s="607">
        <f t="shared" si="27"/>
        <v>1</v>
      </c>
      <c r="P599" s="685"/>
    </row>
    <row r="600" spans="1:16" s="607" customFormat="1" ht="18" customHeight="1">
      <c r="A600" s="826">
        <f>SUBTOTAL(3,B$6:B600)</f>
        <v>595</v>
      </c>
      <c r="B600" s="824" t="s">
        <v>1987</v>
      </c>
      <c r="C600" s="824" t="str">
        <f>+VLOOKUP(B600,'Salary sheet'!$B$6:$AX$1386,48,0)</f>
        <v>TRAN THI DUNG</v>
      </c>
      <c r="D600" s="824" t="str">
        <f>+VLOOKUP(B600,'Salary sheet'!$B$6:$BW$1386,49,0)</f>
        <v>050040902251</v>
      </c>
      <c r="E600" s="620">
        <f>+VLOOKUP(B600,'Salary sheet'!$B$6:$AT$1292,45,0)</f>
        <v>9269967</v>
      </c>
      <c r="F600" s="1029" t="s">
        <v>5723</v>
      </c>
      <c r="G600" s="824" t="str">
        <f>+VLOOKUP(B600,'Salary sheet'!$B$6:$E$2281,4,0)</f>
        <v>FACTORY D</v>
      </c>
      <c r="H600" s="607" t="str">
        <f>+VLOOKUP(B600,'Salary sheet'!$B$6:$AZ$1386,50,0)</f>
        <v>SK1 Bag</v>
      </c>
      <c r="I600" s="607" t="str">
        <f t="shared" si="28"/>
        <v>C2649TRAN THI DUNG050040902251</v>
      </c>
      <c r="J600" s="853" t="str">
        <f>+VLOOKUP(B600,'[5]04 2025'!$B$2:$F$1371,5,0)</f>
        <v>C2649TRAN THI DUNG050040902251</v>
      </c>
      <c r="K600" s="607">
        <f t="shared" si="27"/>
        <v>1</v>
      </c>
      <c r="P600" s="685"/>
    </row>
    <row r="601" spans="1:16" s="607" customFormat="1" ht="18" customHeight="1">
      <c r="A601" s="826">
        <f>SUBTOTAL(3,B$6:B601)</f>
        <v>596</v>
      </c>
      <c r="B601" s="824" t="s">
        <v>1989</v>
      </c>
      <c r="C601" s="824" t="str">
        <f>+VLOOKUP(B601,'Salary sheet'!$B$6:$AX$1386,48,0)</f>
        <v>THI NGUYET</v>
      </c>
      <c r="D601" s="824" t="str">
        <f>+VLOOKUP(B601,'Salary sheet'!$B$6:$BW$1386,49,0)</f>
        <v>050040934690</v>
      </c>
      <c r="E601" s="620">
        <f>+VLOOKUP(B601,'Salary sheet'!$B$6:$AT$1292,45,0)</f>
        <v>8635531</v>
      </c>
      <c r="F601" s="1029" t="s">
        <v>5723</v>
      </c>
      <c r="G601" s="824" t="str">
        <f>+VLOOKUP(B601,'Salary sheet'!$B$6:$E$2281,4,0)</f>
        <v>FACTORY D</v>
      </c>
      <c r="H601" s="607" t="str">
        <f>+VLOOKUP(B601,'Salary sheet'!$B$6:$AZ$1386,50,0)</f>
        <v>SK1 Bag</v>
      </c>
      <c r="I601" s="607" t="str">
        <f t="shared" si="28"/>
        <v>C2843THI NGUYET050040934690</v>
      </c>
      <c r="J601" s="853" t="str">
        <f>+VLOOKUP(B601,'[5]04 2025'!$B$2:$F$1371,5,0)</f>
        <v>C2843THI NGUYET050040934690</v>
      </c>
      <c r="K601" s="607">
        <f t="shared" si="27"/>
        <v>1</v>
      </c>
      <c r="P601" s="685"/>
    </row>
    <row r="602" spans="1:16" s="607" customFormat="1" ht="18" customHeight="1">
      <c r="A602" s="826">
        <f>SUBTOTAL(3,B$6:B602)</f>
        <v>597</v>
      </c>
      <c r="B602" s="824" t="s">
        <v>1991</v>
      </c>
      <c r="C602" s="824" t="str">
        <f>+VLOOKUP(B602,'Salary sheet'!$B$6:$AX$1386,48,0)</f>
        <v>TRAN THI DUONG</v>
      </c>
      <c r="D602" s="824" t="str">
        <f>+VLOOKUP(B602,'Salary sheet'!$B$6:$BW$1386,49,0)</f>
        <v>050040902837</v>
      </c>
      <c r="E602" s="620">
        <f>+VLOOKUP(B602,'Salary sheet'!$B$6:$AT$1292,45,0)</f>
        <v>9169967</v>
      </c>
      <c r="F602" s="1029" t="s">
        <v>5723</v>
      </c>
      <c r="G602" s="824" t="str">
        <f>+VLOOKUP(B602,'Salary sheet'!$B$6:$E$2281,4,0)</f>
        <v>FACTORY D</v>
      </c>
      <c r="H602" s="607" t="str">
        <f>+VLOOKUP(B602,'Salary sheet'!$B$6:$AZ$1386,50,0)</f>
        <v>SK1 Bag</v>
      </c>
      <c r="I602" s="607" t="str">
        <f t="shared" si="28"/>
        <v>C3093TRAN THI DUONG050040902837</v>
      </c>
      <c r="J602" s="853" t="str">
        <f>+VLOOKUP(B602,'[5]04 2025'!$B$2:$F$1371,5,0)</f>
        <v>C3093TRAN THI DUONG050040902837</v>
      </c>
      <c r="K602" s="607">
        <f t="shared" si="27"/>
        <v>1</v>
      </c>
      <c r="P602" s="685"/>
    </row>
    <row r="603" spans="1:16" s="607" customFormat="1" ht="18" customHeight="1">
      <c r="A603" s="826">
        <f>SUBTOTAL(3,B$6:B603)</f>
        <v>598</v>
      </c>
      <c r="B603" s="824" t="s">
        <v>1993</v>
      </c>
      <c r="C603" s="824" t="str">
        <f>+VLOOKUP(B603,'Salary sheet'!$B$6:$AX$1386,48,0)</f>
        <v>BUI THI THANH</v>
      </c>
      <c r="D603" s="824" t="str">
        <f>+VLOOKUP(B603,'Salary sheet'!$B$6:$BW$1386,49,0)</f>
        <v>050040869287</v>
      </c>
      <c r="E603" s="620">
        <f>+VLOOKUP(B603,'Salary sheet'!$B$6:$AT$1292,45,0)</f>
        <v>10320973</v>
      </c>
      <c r="F603" s="1029" t="s">
        <v>5723</v>
      </c>
      <c r="G603" s="824" t="str">
        <f>+VLOOKUP(B603,'Salary sheet'!$B$6:$E$2281,4,0)</f>
        <v>FACTORY D</v>
      </c>
      <c r="H603" s="607" t="str">
        <f>+VLOOKUP(B603,'Salary sheet'!$B$6:$AZ$1386,50,0)</f>
        <v>SK1 Bag</v>
      </c>
      <c r="I603" s="607" t="str">
        <f t="shared" si="28"/>
        <v>C5834BUI THI THANH050040869287</v>
      </c>
      <c r="J603" s="853" t="str">
        <f>+VLOOKUP(B603,'[5]04 2025'!$B$2:$F$1371,5,0)</f>
        <v>C5834BUI THI THANH050040869287</v>
      </c>
      <c r="K603" s="607">
        <f t="shared" si="27"/>
        <v>1</v>
      </c>
      <c r="P603" s="685"/>
    </row>
    <row r="604" spans="1:16" s="607" customFormat="1" ht="18" customHeight="1">
      <c r="A604" s="826">
        <f>SUBTOTAL(3,B$6:B604)</f>
        <v>599</v>
      </c>
      <c r="B604" s="824" t="s">
        <v>1995</v>
      </c>
      <c r="C604" s="824" t="str">
        <f>+VLOOKUP(B604,'Salary sheet'!$B$6:$AX$1386,48,0)</f>
        <v>HO THI TINH</v>
      </c>
      <c r="D604" s="824" t="str">
        <f>+VLOOKUP(B604,'Salary sheet'!$B$6:$BW$1386,49,0)</f>
        <v>050043961168</v>
      </c>
      <c r="E604" s="620">
        <f>+VLOOKUP(B604,'Salary sheet'!$B$6:$AT$1292,45,0)</f>
        <v>8726659</v>
      </c>
      <c r="F604" s="1029" t="s">
        <v>5723</v>
      </c>
      <c r="G604" s="824" t="str">
        <f>+VLOOKUP(B604,'Salary sheet'!$B$6:$E$2281,4,0)</f>
        <v>FACTORY D</v>
      </c>
      <c r="H604" s="607" t="str">
        <f>+VLOOKUP(B604,'Salary sheet'!$B$6:$AZ$1386,50,0)</f>
        <v>SK1 Bag</v>
      </c>
      <c r="I604" s="607" t="str">
        <f t="shared" si="28"/>
        <v>C6274HO THI TINH050043961168</v>
      </c>
      <c r="J604" s="853" t="str">
        <f>+VLOOKUP(B604,'[5]04 2025'!$B$2:$F$1371,5,0)</f>
        <v>C6274HO THI TINH050043961168</v>
      </c>
      <c r="K604" s="607">
        <f t="shared" si="27"/>
        <v>1</v>
      </c>
      <c r="P604" s="685"/>
    </row>
    <row r="605" spans="1:16" s="607" customFormat="1" ht="18" customHeight="1">
      <c r="A605" s="826">
        <f>SUBTOTAL(3,B$6:B605)</f>
        <v>600</v>
      </c>
      <c r="B605" s="824" t="s">
        <v>1997</v>
      </c>
      <c r="C605" s="824" t="str">
        <f>+VLOOKUP(B605,'Salary sheet'!$B$6:$AX$1386,48,0)</f>
        <v>VO THI MY LE</v>
      </c>
      <c r="D605" s="824" t="str">
        <f>+VLOOKUP(B605,'Salary sheet'!$B$6:$BW$1386,49,0)</f>
        <v>050068235593</v>
      </c>
      <c r="E605" s="620">
        <f>+VLOOKUP(B605,'Salary sheet'!$B$6:$AT$1292,45,0)</f>
        <v>8635531</v>
      </c>
      <c r="F605" s="1029" t="s">
        <v>5723</v>
      </c>
      <c r="G605" s="824" t="str">
        <f>+VLOOKUP(B605,'Salary sheet'!$B$6:$E$2281,4,0)</f>
        <v>FACTORY D</v>
      </c>
      <c r="H605" s="607" t="str">
        <f>+VLOOKUP(B605,'Salary sheet'!$B$6:$AZ$1386,50,0)</f>
        <v>SK1 Bag</v>
      </c>
      <c r="I605" s="607" t="str">
        <f t="shared" si="28"/>
        <v>C6693VO THI MY LE050068235593</v>
      </c>
      <c r="J605" s="853" t="str">
        <f>+VLOOKUP(B605,'[5]04 2025'!$B$2:$F$1371,5,0)</f>
        <v>C6693VO THI MY LE050068235593</v>
      </c>
      <c r="K605" s="607">
        <f t="shared" si="27"/>
        <v>1</v>
      </c>
      <c r="P605" s="685"/>
    </row>
    <row r="606" spans="1:16" s="607" customFormat="1" ht="18" customHeight="1">
      <c r="A606" s="826">
        <f>SUBTOTAL(3,B$6:B606)</f>
        <v>601</v>
      </c>
      <c r="B606" s="824" t="s">
        <v>1999</v>
      </c>
      <c r="C606" s="824" t="str">
        <f>+VLOOKUP(B606,'Salary sheet'!$B$6:$AX$1386,48,0)</f>
        <v>DIEU THI MY</v>
      </c>
      <c r="D606" s="824" t="str">
        <f>+VLOOKUP(B606,'Salary sheet'!$B$6:$BW$1386,49,0)</f>
        <v>050073342489</v>
      </c>
      <c r="E606" s="620">
        <f>+VLOOKUP(B606,'Salary sheet'!$B$6:$AT$1292,45,0)</f>
        <v>8862113</v>
      </c>
      <c r="F606" s="1029" t="s">
        <v>5723</v>
      </c>
      <c r="G606" s="824" t="str">
        <f>+VLOOKUP(B606,'Salary sheet'!$B$6:$E$2281,4,0)</f>
        <v>FACTORY D</v>
      </c>
      <c r="H606" s="607" t="str">
        <f>+VLOOKUP(B606,'Salary sheet'!$B$6:$AZ$1386,50,0)</f>
        <v>SK1 Bag</v>
      </c>
      <c r="I606" s="607" t="str">
        <f t="shared" si="28"/>
        <v>C6834DIEU THI MY050073342489</v>
      </c>
      <c r="J606" s="853" t="str">
        <f>+VLOOKUP(B606,'[5]04 2025'!$B$2:$F$1371,5,0)</f>
        <v>C6834DIEU THI MY050073342489</v>
      </c>
      <c r="K606" s="607">
        <f t="shared" si="27"/>
        <v>1</v>
      </c>
      <c r="P606" s="685"/>
    </row>
    <row r="607" spans="1:16" s="607" customFormat="1" ht="18" customHeight="1">
      <c r="A607" s="826">
        <f>SUBTOTAL(3,B$6:B607)</f>
        <v>602</v>
      </c>
      <c r="B607" s="824" t="s">
        <v>2001</v>
      </c>
      <c r="C607" s="824" t="str">
        <f>+VLOOKUP(B607,'Salary sheet'!$B$6:$AX$1386,48,0)</f>
        <v>DIEU THI YEN</v>
      </c>
      <c r="D607" s="824" t="str">
        <f>+VLOOKUP(B607,'Salary sheet'!$B$6:$BW$1386,49,0)</f>
        <v>050059875581</v>
      </c>
      <c r="E607" s="620">
        <f>+VLOOKUP(B607,'Salary sheet'!$B$6:$AT$1292,45,0)</f>
        <v>8594947</v>
      </c>
      <c r="F607" s="1029" t="s">
        <v>5723</v>
      </c>
      <c r="G607" s="824" t="str">
        <f>+VLOOKUP(B607,'Salary sheet'!$B$6:$E$2281,4,0)</f>
        <v>FACTORY D</v>
      </c>
      <c r="H607" s="607" t="str">
        <f>+VLOOKUP(B607,'Salary sheet'!$B$6:$AZ$1386,50,0)</f>
        <v>SK1 Bag</v>
      </c>
      <c r="I607" s="607" t="str">
        <f t="shared" si="28"/>
        <v>C7207DIEU THI YEN050059875581</v>
      </c>
      <c r="J607" s="853" t="str">
        <f>+VLOOKUP(B607,'[5]04 2025'!$B$2:$F$1371,5,0)</f>
        <v>C7207DIEU THI YEN050059875581</v>
      </c>
      <c r="K607" s="607">
        <f t="shared" si="27"/>
        <v>1</v>
      </c>
      <c r="P607" s="685"/>
    </row>
    <row r="608" spans="1:16" s="607" customFormat="1" ht="18" customHeight="1">
      <c r="A608" s="826">
        <f>SUBTOTAL(3,B$6:B608)</f>
        <v>603</v>
      </c>
      <c r="B608" s="824" t="s">
        <v>2003</v>
      </c>
      <c r="C608" s="824" t="str">
        <f>+VLOOKUP(B608,'Salary sheet'!$B$6:$AX$1386,48,0)</f>
        <v>LE THI PHUONG</v>
      </c>
      <c r="D608" s="824" t="str">
        <f>+VLOOKUP(B608,'Salary sheet'!$B$6:$BW$1386,49,0)</f>
        <v>050098922064</v>
      </c>
      <c r="E608" s="620">
        <f>+VLOOKUP(B608,'Salary sheet'!$B$6:$AT$1292,45,0)</f>
        <v>8635531</v>
      </c>
      <c r="F608" s="1029" t="s">
        <v>5723</v>
      </c>
      <c r="G608" s="824" t="str">
        <f>+VLOOKUP(B608,'Salary sheet'!$B$6:$E$2281,4,0)</f>
        <v>FACTORY D</v>
      </c>
      <c r="H608" s="607" t="str">
        <f>+VLOOKUP(B608,'Salary sheet'!$B$6:$AZ$1386,50,0)</f>
        <v>SK1 Bag</v>
      </c>
      <c r="I608" s="607" t="str">
        <f t="shared" si="28"/>
        <v>C7387LE THI PHUONG050098922064</v>
      </c>
      <c r="J608" s="853" t="str">
        <f>+VLOOKUP(B608,'[5]04 2025'!$B$2:$F$1371,5,0)</f>
        <v>C7387LE THI PHUONG050098922064</v>
      </c>
      <c r="K608" s="607">
        <f t="shared" si="27"/>
        <v>1</v>
      </c>
      <c r="P608" s="685"/>
    </row>
    <row r="609" spans="1:16" s="607" customFormat="1" ht="18" customHeight="1">
      <c r="A609" s="826">
        <f>SUBTOTAL(3,B$6:B609)</f>
        <v>604</v>
      </c>
      <c r="B609" s="824" t="s">
        <v>2004</v>
      </c>
      <c r="C609" s="824" t="str">
        <f>+VLOOKUP(B609,'Salary sheet'!$B$6:$AX$1386,48,0)</f>
        <v>NGUYEN THI KIM PHUNG</v>
      </c>
      <c r="D609" s="824" t="str">
        <f>+VLOOKUP(B609,'Salary sheet'!$B$6:$BW$1386,49,0)</f>
        <v>050098252220</v>
      </c>
      <c r="E609" s="620">
        <f>+VLOOKUP(B609,'Salary sheet'!$B$6:$AT$1292,45,0)</f>
        <v>8862113</v>
      </c>
      <c r="F609" s="1029" t="s">
        <v>5723</v>
      </c>
      <c r="G609" s="824" t="str">
        <f>+VLOOKUP(B609,'Salary sheet'!$B$6:$E$2281,4,0)</f>
        <v>FACTORY D</v>
      </c>
      <c r="H609" s="607" t="str">
        <f>+VLOOKUP(B609,'Salary sheet'!$B$6:$AZ$1386,50,0)</f>
        <v>SK1 Bag</v>
      </c>
      <c r="I609" s="607" t="str">
        <f t="shared" si="28"/>
        <v>C7560NGUYEN THI KIM PHUNG050098252220</v>
      </c>
      <c r="J609" s="853" t="str">
        <f>+VLOOKUP(B609,'[5]04 2025'!$B$2:$F$1371,5,0)</f>
        <v>C7560NGUYEN THI KIM PHUNG050098252220</v>
      </c>
      <c r="K609" s="607">
        <f t="shared" si="27"/>
        <v>1</v>
      </c>
      <c r="P609" s="685"/>
    </row>
    <row r="610" spans="1:16" s="607" customFormat="1" ht="18" customHeight="1">
      <c r="A610" s="826">
        <f>SUBTOTAL(3,B$6:B610)</f>
        <v>605</v>
      </c>
      <c r="B610" s="824" t="s">
        <v>2006</v>
      </c>
      <c r="C610" s="824" t="str">
        <f>+VLOOKUP(B610,'Salary sheet'!$B$6:$AX$1386,48,0)</f>
        <v>LE KHAC BON</v>
      </c>
      <c r="D610" s="824" t="str">
        <f>+VLOOKUP(B610,'Salary sheet'!$B$6:$BW$1386,49,0)</f>
        <v>050066209285</v>
      </c>
      <c r="E610" s="620">
        <f>+VLOOKUP(B610,'Salary sheet'!$B$6:$AT$1292,45,0)</f>
        <v>9213002</v>
      </c>
      <c r="F610" s="1029" t="s">
        <v>5723</v>
      </c>
      <c r="G610" s="824" t="str">
        <f>+VLOOKUP(B610,'Salary sheet'!$B$6:$E$2281,4,0)</f>
        <v>FACTORY D</v>
      </c>
      <c r="H610" s="607" t="str">
        <f>+VLOOKUP(B610,'Salary sheet'!$B$6:$AZ$1386,50,0)</f>
        <v>SK1 Bag</v>
      </c>
      <c r="I610" s="607" t="str">
        <f t="shared" si="28"/>
        <v>C9396LE KHAC BON050066209285</v>
      </c>
      <c r="J610" s="853" t="str">
        <f>+VLOOKUP(B610,'[5]04 2025'!$B$2:$F$1371,5,0)</f>
        <v>C9396LE KHAC BON050066209285</v>
      </c>
      <c r="K610" s="607">
        <f t="shared" si="27"/>
        <v>1</v>
      </c>
      <c r="P610" s="685"/>
    </row>
    <row r="611" spans="1:16" s="607" customFormat="1" ht="18" customHeight="1">
      <c r="A611" s="826">
        <f>SUBTOTAL(3,B$6:B611)</f>
        <v>606</v>
      </c>
      <c r="B611" s="824" t="s">
        <v>2008</v>
      </c>
      <c r="C611" s="824" t="str">
        <f>+VLOOKUP(B611,'Salary sheet'!$B$6:$AX$1386,48,0)</f>
        <v>PHAM THI BICH TRANG</v>
      </c>
      <c r="D611" s="824" t="str">
        <f>+VLOOKUP(B611,'Salary sheet'!$B$6:$BW$1386,49,0)</f>
        <v>050109871548</v>
      </c>
      <c r="E611" s="620">
        <f>+VLOOKUP(B611,'Salary sheet'!$B$6:$AT$1292,45,0)</f>
        <v>9298723</v>
      </c>
      <c r="F611" s="1029" t="s">
        <v>5723</v>
      </c>
      <c r="G611" s="824" t="str">
        <f>+VLOOKUP(B611,'Salary sheet'!$B$6:$E$2281,4,0)</f>
        <v>FACTORY D</v>
      </c>
      <c r="H611" s="607" t="str">
        <f>+VLOOKUP(B611,'Salary sheet'!$B$6:$AZ$1386,50,0)</f>
        <v>SK1 Bag</v>
      </c>
      <c r="I611" s="607" t="str">
        <f t="shared" si="28"/>
        <v>C11067PHAM THI BICH TRANG050109871548</v>
      </c>
      <c r="J611" s="853" t="str">
        <f>+VLOOKUP(B611,'[5]04 2025'!$B$2:$F$1371,5,0)</f>
        <v>C11067PHAM THI BICH TRANG050109871548</v>
      </c>
      <c r="K611" s="607">
        <f t="shared" si="27"/>
        <v>1</v>
      </c>
      <c r="P611" s="685"/>
    </row>
    <row r="612" spans="1:16" s="607" customFormat="1" ht="18" customHeight="1">
      <c r="A612" s="826">
        <f>SUBTOTAL(3,B$6:B612)</f>
        <v>607</v>
      </c>
      <c r="B612" s="824" t="s">
        <v>2010</v>
      </c>
      <c r="C612" s="824" t="str">
        <f>+VLOOKUP(B612,'Salary sheet'!$B$6:$AX$1386,48,0)</f>
        <v>LY THI NGOC LAN</v>
      </c>
      <c r="D612" s="824" t="str">
        <f>+VLOOKUP(B612,'Salary sheet'!$B$6:$BW$1386,49,0)</f>
        <v>050105125884</v>
      </c>
      <c r="E612" s="620">
        <f>+VLOOKUP(B612,'Salary sheet'!$B$6:$AT$1292,45,0)</f>
        <v>8683375</v>
      </c>
      <c r="F612" s="1029" t="s">
        <v>5723</v>
      </c>
      <c r="G612" s="824" t="str">
        <f>+VLOOKUP(B612,'Salary sheet'!$B$6:$E$2281,4,0)</f>
        <v>FACTORY D</v>
      </c>
      <c r="H612" s="607" t="str">
        <f>+VLOOKUP(B612,'Salary sheet'!$B$6:$AZ$1386,50,0)</f>
        <v>SK1 Bag</v>
      </c>
      <c r="I612" s="607" t="str">
        <f t="shared" si="28"/>
        <v>C11217LY THI NGOC LAN050105125884</v>
      </c>
      <c r="J612" s="853" t="str">
        <f>+VLOOKUP(B612,'[5]04 2025'!$B$2:$F$1371,5,0)</f>
        <v>C11217LY THI NGOC LAN050105125884</v>
      </c>
      <c r="K612" s="607">
        <f t="shared" si="27"/>
        <v>1</v>
      </c>
      <c r="P612" s="685"/>
    </row>
    <row r="613" spans="1:16" s="607" customFormat="1" ht="18" customHeight="1">
      <c r="A613" s="826">
        <f>SUBTOTAL(3,B$6:B613)</f>
        <v>608</v>
      </c>
      <c r="B613" s="824" t="s">
        <v>2012</v>
      </c>
      <c r="C613" s="824" t="str">
        <f>+VLOOKUP(B613,'Salary sheet'!$B$6:$AX$1386,48,0)</f>
        <v>NIENG THI CLY</v>
      </c>
      <c r="D613" s="824" t="str">
        <f>+VLOOKUP(B613,'Salary sheet'!$B$6:$BW$1386,49,0)</f>
        <v>050118301762</v>
      </c>
      <c r="E613" s="620">
        <f>+VLOOKUP(B613,'Salary sheet'!$B$6:$AT$1292,45,0)</f>
        <v>8671891</v>
      </c>
      <c r="F613" s="1029" t="s">
        <v>5723</v>
      </c>
      <c r="G613" s="824" t="str">
        <f>+VLOOKUP(B613,'Salary sheet'!$B$6:$E$2281,4,0)</f>
        <v>FACTORY D</v>
      </c>
      <c r="H613" s="607" t="str">
        <f>+VLOOKUP(B613,'Salary sheet'!$B$6:$AZ$1386,50,0)</f>
        <v>SK1 Bag</v>
      </c>
      <c r="I613" s="607" t="str">
        <f t="shared" si="28"/>
        <v>C13575NIENG THI CLY050118301762</v>
      </c>
      <c r="J613" s="853" t="str">
        <f>+VLOOKUP(B613,'[5]04 2025'!$B$2:$F$1371,5,0)</f>
        <v>C13575NIENG THI CLY050118301762</v>
      </c>
      <c r="K613" s="607">
        <f t="shared" si="27"/>
        <v>1</v>
      </c>
      <c r="P613" s="685"/>
    </row>
    <row r="614" spans="1:16" s="607" customFormat="1" ht="18" customHeight="1">
      <c r="A614" s="826">
        <f>SUBTOTAL(3,B$6:B614)</f>
        <v>609</v>
      </c>
      <c r="B614" s="824" t="s">
        <v>5765</v>
      </c>
      <c r="C614" s="824" t="str">
        <f>+VLOOKUP(B614,'Salary sheet'!$B$6:$AX$1386,48,0)</f>
        <v>THI HA</v>
      </c>
      <c r="D614" s="824" t="str">
        <f>+VLOOKUP(B614,'Salary sheet'!$B$6:$BW$1386,49,0)</f>
        <v>050128193364</v>
      </c>
      <c r="E614" s="620">
        <f>+VLOOKUP(B614,'Salary sheet'!$B$6:$AT$1292,45,0)</f>
        <v>3667460</v>
      </c>
      <c r="F614" s="1029" t="s">
        <v>5723</v>
      </c>
      <c r="G614" s="824" t="str">
        <f>+VLOOKUP(B614,'Salary sheet'!$B$6:$E$2281,4,0)</f>
        <v>FACTORY D</v>
      </c>
      <c r="H614" s="607" t="str">
        <f>+VLOOKUP(B614,'Salary sheet'!$B$6:$AZ$1386,50,0)</f>
        <v>SK1 Bag</v>
      </c>
      <c r="I614" s="607" t="str">
        <f t="shared" si="28"/>
        <v>C13883THI HA050128193364</v>
      </c>
      <c r="J614" s="853" t="str">
        <f>+VLOOKUP(B614,'[5]04 2025'!$B$2:$F$1371,5,0)</f>
        <v>C13883THI HA050128193364</v>
      </c>
      <c r="K614" s="607">
        <f t="shared" ref="K614:K677" si="29">+IF(J614=I614,1,0)</f>
        <v>1</v>
      </c>
      <c r="P614" s="685"/>
    </row>
    <row r="615" spans="1:16" s="607" customFormat="1" ht="18" customHeight="1">
      <c r="A615" s="826">
        <f>SUBTOTAL(3,B$6:B615)</f>
        <v>610</v>
      </c>
      <c r="B615" s="824" t="s">
        <v>2014</v>
      </c>
      <c r="C615" s="824" t="str">
        <f>+VLOOKUP(B615,'Salary sheet'!$B$6:$AX$1386,48,0)</f>
        <v>THI NUONG</v>
      </c>
      <c r="D615" s="824" t="str">
        <f>+VLOOKUP(B615,'Salary sheet'!$B$6:$BW$1386,49,0)</f>
        <v>050120391469</v>
      </c>
      <c r="E615" s="620">
        <f>+VLOOKUP(B615,'Salary sheet'!$B$6:$AT$1292,45,0)</f>
        <v>9200047</v>
      </c>
      <c r="F615" s="1029" t="s">
        <v>5723</v>
      </c>
      <c r="G615" s="824" t="str">
        <f>+VLOOKUP(B615,'Salary sheet'!$B$6:$E$2281,4,0)</f>
        <v>FACTORY D</v>
      </c>
      <c r="H615" s="607" t="str">
        <f>+VLOOKUP(B615,'Salary sheet'!$B$6:$AZ$1386,50,0)</f>
        <v>SK1 Bag</v>
      </c>
      <c r="I615" s="607" t="str">
        <f t="shared" si="28"/>
        <v>C14808THI NUONG050120391469</v>
      </c>
      <c r="J615" s="853" t="str">
        <f>+VLOOKUP(B615,'[5]04 2025'!$B$2:$F$1371,5,0)</f>
        <v>C14808THI NUONG050120391469</v>
      </c>
      <c r="K615" s="607">
        <f t="shared" si="29"/>
        <v>1</v>
      </c>
      <c r="P615" s="685"/>
    </row>
    <row r="616" spans="1:16" s="607" customFormat="1" ht="18" customHeight="1">
      <c r="A616" s="826">
        <f>SUBTOTAL(3,B$6:B616)</f>
        <v>611</v>
      </c>
      <c r="B616" s="824" t="s">
        <v>2016</v>
      </c>
      <c r="C616" s="824" t="str">
        <f>+VLOOKUP(B616,'Salary sheet'!$B$6:$AX$1386,48,0)</f>
        <v>NGUYEN THI THANH THAO</v>
      </c>
      <c r="D616" s="824" t="str">
        <f>+VLOOKUP(B616,'Salary sheet'!$B$6:$BW$1386,49,0)</f>
        <v>050126082972</v>
      </c>
      <c r="E616" s="620">
        <f>+VLOOKUP(B616,'Salary sheet'!$B$6:$AT$1292,45,0)</f>
        <v>2211092</v>
      </c>
      <c r="F616" s="1029" t="s">
        <v>5723</v>
      </c>
      <c r="G616" s="824" t="str">
        <f>+VLOOKUP(B616,'Salary sheet'!$B$6:$E$2281,4,0)</f>
        <v>FACTORY D</v>
      </c>
      <c r="H616" s="607" t="str">
        <f>+VLOOKUP(B616,'Salary sheet'!$B$6:$AZ$1386,50,0)</f>
        <v>SK1 Bag</v>
      </c>
      <c r="I616" s="607" t="str">
        <f t="shared" si="28"/>
        <v>C15064NGUYEN THI THANH THAO050126082972</v>
      </c>
      <c r="J616" s="853" t="str">
        <f>+VLOOKUP(B616,'[5]04 2025'!$B$2:$F$1371,5,0)</f>
        <v>C15064NGUYEN THI THANH THAO050126082972</v>
      </c>
      <c r="K616" s="607">
        <f t="shared" si="29"/>
        <v>1</v>
      </c>
      <c r="P616" s="685"/>
    </row>
    <row r="617" spans="1:16" s="607" customFormat="1" ht="18" customHeight="1">
      <c r="A617" s="826">
        <f>SUBTOTAL(3,B$6:B617)</f>
        <v>612</v>
      </c>
      <c r="B617" s="824" t="s">
        <v>2018</v>
      </c>
      <c r="C617" s="824" t="str">
        <f>+VLOOKUP(B617,'Salary sheet'!$B$6:$AX$1386,48,0)</f>
        <v>THI MY</v>
      </c>
      <c r="D617" s="824" t="str">
        <f>+VLOOKUP(B617,'Salary sheet'!$B$6:$BW$1386,49,0)</f>
        <v>050153459433</v>
      </c>
      <c r="E617" s="620">
        <f>+VLOOKUP(B617,'Salary sheet'!$B$6:$AT$1292,45,0)</f>
        <v>6770762</v>
      </c>
      <c r="F617" s="1029" t="s">
        <v>5723</v>
      </c>
      <c r="G617" s="824" t="str">
        <f>+VLOOKUP(B617,'Salary sheet'!$B$6:$E$2281,4,0)</f>
        <v>FACTORY D</v>
      </c>
      <c r="H617" s="607" t="str">
        <f>+VLOOKUP(B617,'Salary sheet'!$B$6:$AZ$1386,50,0)</f>
        <v>SK1 Bag</v>
      </c>
      <c r="I617" s="607" t="str">
        <f t="shared" si="28"/>
        <v>C15958THI MY050153459433</v>
      </c>
      <c r="J617" s="853" t="str">
        <f>+VLOOKUP(B617,'[5]04 2025'!$B$2:$F$1371,5,0)</f>
        <v>C15958THI MY050153459433</v>
      </c>
      <c r="K617" s="607">
        <f t="shared" si="29"/>
        <v>1</v>
      </c>
      <c r="P617" s="685"/>
    </row>
    <row r="618" spans="1:16" s="607" customFormat="1" ht="18" customHeight="1">
      <c r="A618" s="826">
        <f>SUBTOTAL(3,B$6:B618)</f>
        <v>613</v>
      </c>
      <c r="B618" s="824" t="s">
        <v>2020</v>
      </c>
      <c r="C618" s="824" t="str">
        <f>+VLOOKUP(B618,'Salary sheet'!$B$6:$AX$1386,48,0)</f>
        <v>PHUNG HUE NHU</v>
      </c>
      <c r="D618" s="824" t="str">
        <f>+VLOOKUP(B618,'Salary sheet'!$B$6:$BW$1386,49,0)</f>
        <v>050158476190</v>
      </c>
      <c r="E618" s="620">
        <f>+VLOOKUP(B618,'Salary sheet'!$B$6:$AT$1292,45,0)</f>
        <v>7862923</v>
      </c>
      <c r="F618" s="1029" t="s">
        <v>5723</v>
      </c>
      <c r="G618" s="824" t="str">
        <f>+VLOOKUP(B618,'Salary sheet'!$B$6:$E$2281,4,0)</f>
        <v>FACTORY D</v>
      </c>
      <c r="H618" s="607" t="str">
        <f>+VLOOKUP(B618,'Salary sheet'!$B$6:$AZ$1386,50,0)</f>
        <v>SK1 Bag</v>
      </c>
      <c r="I618" s="607" t="str">
        <f t="shared" si="28"/>
        <v>C16467PHUNG HUE NHU050158476190</v>
      </c>
      <c r="J618" s="853" t="str">
        <f>+VLOOKUP(B618,'[5]04 2025'!$B$2:$F$1371,5,0)</f>
        <v>C16467PHUNG HUE NHU050158476190</v>
      </c>
      <c r="K618" s="607">
        <f t="shared" si="29"/>
        <v>1</v>
      </c>
      <c r="P618" s="685"/>
    </row>
    <row r="619" spans="1:16" s="607" customFormat="1" ht="18" customHeight="1">
      <c r="A619" s="826">
        <f>SUBTOTAL(3,B$6:B619)</f>
        <v>614</v>
      </c>
      <c r="B619" s="824" t="s">
        <v>2022</v>
      </c>
      <c r="C619" s="824" t="str">
        <f>+VLOOKUP(B619,'Salary sheet'!$B$6:$AX$1386,48,0)</f>
        <v>BUI THI NGOC YEN</v>
      </c>
      <c r="D619" s="824" t="str">
        <f>+VLOOKUP(B619,'Salary sheet'!$B$6:$BW$1386,49,0)</f>
        <v>050040850969</v>
      </c>
      <c r="E619" s="620">
        <f>+VLOOKUP(B619,'Salary sheet'!$B$6:$AT$1292,45,0)</f>
        <v>12225370</v>
      </c>
      <c r="F619" s="1029" t="s">
        <v>5723</v>
      </c>
      <c r="G619" s="824" t="str">
        <f>+VLOOKUP(B619,'Salary sheet'!$B$6:$E$2281,4,0)</f>
        <v>FACTORY D</v>
      </c>
      <c r="H619" s="607" t="str">
        <f>+VLOOKUP(B619,'Salary sheet'!$B$6:$AZ$1386,50,0)</f>
        <v>SK1 Bag</v>
      </c>
      <c r="I619" s="607" t="str">
        <f t="shared" si="28"/>
        <v>C3716BUI THI NGOC YEN050040850969</v>
      </c>
      <c r="J619" s="853" t="str">
        <f>+VLOOKUP(B619,'[5]04 2025'!$B$2:$F$1371,5,0)</f>
        <v>C3716BUI THI NGOC YEN050040850969</v>
      </c>
      <c r="K619" s="607">
        <f t="shared" si="29"/>
        <v>1</v>
      </c>
      <c r="P619" s="685"/>
    </row>
    <row r="620" spans="1:16" s="607" customFormat="1" ht="18" customHeight="1">
      <c r="A620" s="826">
        <f>SUBTOTAL(3,B$6:B620)</f>
        <v>615</v>
      </c>
      <c r="B620" s="824" t="s">
        <v>2025</v>
      </c>
      <c r="C620" s="824" t="str">
        <f>+VLOOKUP(B620,'Salary sheet'!$B$6:$AX$1386,48,0)</f>
        <v>TRUONG THI CU</v>
      </c>
      <c r="D620" s="824" t="str">
        <f>+VLOOKUP(B620,'Salary sheet'!$B$6:$BW$1386,49,0)</f>
        <v>050067513158</v>
      </c>
      <c r="E620" s="620">
        <f>+VLOOKUP(B620,'Salary sheet'!$B$6:$AT$1292,45,0)</f>
        <v>8702868</v>
      </c>
      <c r="F620" s="1029" t="s">
        <v>5723</v>
      </c>
      <c r="G620" s="824" t="str">
        <f>+VLOOKUP(B620,'Salary sheet'!$B$6:$E$2281,4,0)</f>
        <v>FACTORY D</v>
      </c>
      <c r="H620" s="607" t="str">
        <f>+VLOOKUP(B620,'Salary sheet'!$B$6:$AZ$1386,50,0)</f>
        <v>SK1 Bag</v>
      </c>
      <c r="I620" s="607" t="str">
        <f t="shared" si="28"/>
        <v>C6605TRUONG THI CU050067513158</v>
      </c>
      <c r="J620" s="853" t="str">
        <f>+VLOOKUP(B620,'[5]04 2025'!$B$2:$F$1371,5,0)</f>
        <v>C6605TRUONG THI CU050067513158</v>
      </c>
      <c r="K620" s="607">
        <f t="shared" si="29"/>
        <v>1</v>
      </c>
      <c r="P620" s="685"/>
    </row>
    <row r="621" spans="1:16" s="607" customFormat="1" ht="18" customHeight="1">
      <c r="A621" s="826">
        <f>SUBTOTAL(3,B$6:B621)</f>
        <v>616</v>
      </c>
      <c r="B621" s="824" t="s">
        <v>2027</v>
      </c>
      <c r="C621" s="824" t="str">
        <f>+VLOOKUP(B621,'Salary sheet'!$B$6:$AX$1386,48,0)</f>
        <v>NGUYEN THI XUAN</v>
      </c>
      <c r="D621" s="824" t="str">
        <f>+VLOOKUP(B621,'Salary sheet'!$B$6:$BW$1386,49,0)</f>
        <v>050088957137</v>
      </c>
      <c r="E621" s="620">
        <f>+VLOOKUP(B621,'Salary sheet'!$B$6:$AT$1292,45,0)</f>
        <v>8583364</v>
      </c>
      <c r="F621" s="1029" t="s">
        <v>5723</v>
      </c>
      <c r="G621" s="824" t="str">
        <f>+VLOOKUP(B621,'Salary sheet'!$B$6:$E$2281,4,0)</f>
        <v>FACTORY D</v>
      </c>
      <c r="H621" s="607" t="str">
        <f>+VLOOKUP(B621,'Salary sheet'!$B$6:$AZ$1386,50,0)</f>
        <v>SK1 Bag</v>
      </c>
      <c r="I621" s="607" t="str">
        <f t="shared" si="28"/>
        <v>C7264NGUYEN THI XUAN050088957137</v>
      </c>
      <c r="J621" s="853" t="str">
        <f>+VLOOKUP(B621,'[5]04 2025'!$B$2:$F$1371,5,0)</f>
        <v>C7264NGUYEN THI XUAN050088957137</v>
      </c>
      <c r="K621" s="607">
        <f t="shared" si="29"/>
        <v>1</v>
      </c>
      <c r="P621" s="685"/>
    </row>
    <row r="622" spans="1:16" s="607" customFormat="1" ht="18" customHeight="1">
      <c r="A622" s="826">
        <f>SUBTOTAL(3,B$6:B622)</f>
        <v>617</v>
      </c>
      <c r="B622" s="824" t="s">
        <v>2029</v>
      </c>
      <c r="C622" s="824" t="str">
        <f>+VLOOKUP(B622,'Salary sheet'!$B$6:$AX$1386,48,0)</f>
        <v>NGUYEN THI NGOC HONG THAM</v>
      </c>
      <c r="D622" s="824" t="str">
        <f>+VLOOKUP(B622,'Salary sheet'!$B$6:$BW$1386,49,0)</f>
        <v>050095313199</v>
      </c>
      <c r="E622" s="620">
        <f>+VLOOKUP(B622,'Salary sheet'!$B$6:$AT$1292,45,0)</f>
        <v>9824351</v>
      </c>
      <c r="F622" s="1029" t="s">
        <v>5723</v>
      </c>
      <c r="G622" s="824" t="str">
        <f>+VLOOKUP(B622,'Salary sheet'!$B$6:$E$2281,4,0)</f>
        <v>FACTORY D</v>
      </c>
      <c r="H622" s="607" t="str">
        <f>+VLOOKUP(B622,'Salary sheet'!$B$6:$AZ$1386,50,0)</f>
        <v>SK1 Bag</v>
      </c>
      <c r="I622" s="607" t="str">
        <f t="shared" si="28"/>
        <v>C8000NGUYEN THI NGOC HONG THAM050095313199</v>
      </c>
      <c r="J622" s="853" t="str">
        <f>+VLOOKUP(B622,'[5]04 2025'!$B$2:$F$1371,5,0)</f>
        <v>C8000NGUYEN THI NGOC HONG THAM050095313199</v>
      </c>
      <c r="K622" s="607">
        <f t="shared" si="29"/>
        <v>1</v>
      </c>
      <c r="P622" s="685"/>
    </row>
    <row r="623" spans="1:16" s="607" customFormat="1" ht="18" customHeight="1">
      <c r="A623" s="826">
        <f>SUBTOTAL(3,B$6:B623)</f>
        <v>618</v>
      </c>
      <c r="B623" s="824" t="s">
        <v>2031</v>
      </c>
      <c r="C623" s="824" t="str">
        <f>+VLOOKUP(B623,'Salary sheet'!$B$6:$AX$1386,48,0)</f>
        <v>VO THI KIM CHI</v>
      </c>
      <c r="D623" s="824" t="str">
        <f>+VLOOKUP(B623,'Salary sheet'!$B$6:$BW$1386,49,0)</f>
        <v>050103659393</v>
      </c>
      <c r="E623" s="620">
        <f>+VLOOKUP(B623,'Salary sheet'!$B$6:$AT$1292,45,0)</f>
        <v>9537160</v>
      </c>
      <c r="F623" s="1029" t="s">
        <v>5723</v>
      </c>
      <c r="G623" s="824" t="str">
        <f>+VLOOKUP(B623,'Salary sheet'!$B$6:$E$2281,4,0)</f>
        <v>FACTORY D</v>
      </c>
      <c r="H623" s="607" t="str">
        <f>+VLOOKUP(B623,'Salary sheet'!$B$6:$AZ$1386,50,0)</f>
        <v>SK1 Bag</v>
      </c>
      <c r="I623" s="607" t="str">
        <f t="shared" si="28"/>
        <v>C8468VO THI KIM CHI050103659393</v>
      </c>
      <c r="J623" s="853" t="str">
        <f>+VLOOKUP(B623,'[5]04 2025'!$B$2:$F$1371,5,0)</f>
        <v>C8468VO THI KIM CHI050103659393</v>
      </c>
      <c r="K623" s="607">
        <f t="shared" si="29"/>
        <v>1</v>
      </c>
      <c r="P623" s="685"/>
    </row>
    <row r="624" spans="1:16" s="607" customFormat="1" ht="18" customHeight="1">
      <c r="A624" s="826">
        <f>SUBTOTAL(3,B$6:B624)</f>
        <v>619</v>
      </c>
      <c r="B624" s="824" t="s">
        <v>2033</v>
      </c>
      <c r="C624" s="824" t="str">
        <f>+VLOOKUP(B624,'Salary sheet'!$B$6:$AX$1386,48,0)</f>
        <v>LE VAN TAN</v>
      </c>
      <c r="D624" s="824" t="str">
        <f>+VLOOKUP(B624,'Salary sheet'!$B$6:$BW$1386,49,0)</f>
        <v>050089661835</v>
      </c>
      <c r="E624" s="620">
        <f>+VLOOKUP(B624,'Salary sheet'!$B$6:$AT$1292,45,0)</f>
        <v>8040348</v>
      </c>
      <c r="F624" s="1029" t="s">
        <v>5723</v>
      </c>
      <c r="G624" s="824" t="str">
        <f>+VLOOKUP(B624,'Salary sheet'!$B$6:$E$2281,4,0)</f>
        <v>FACTORY D</v>
      </c>
      <c r="H624" s="607" t="str">
        <f>+VLOOKUP(B624,'Salary sheet'!$B$6:$AZ$1386,50,0)</f>
        <v>SK1 Bag</v>
      </c>
      <c r="I624" s="607" t="str">
        <f t="shared" si="28"/>
        <v>C15744LE VAN TAN050089661835</v>
      </c>
      <c r="J624" s="853" t="str">
        <f>+VLOOKUP(B624,'[5]04 2025'!$B$2:$F$1371,5,0)</f>
        <v>C15744LE VAN TAN050089661835</v>
      </c>
      <c r="K624" s="607">
        <f t="shared" si="29"/>
        <v>1</v>
      </c>
      <c r="P624" s="685"/>
    </row>
    <row r="625" spans="1:16" s="607" customFormat="1" ht="18" customHeight="1">
      <c r="A625" s="826">
        <f>SUBTOTAL(3,B$6:B625)</f>
        <v>620</v>
      </c>
      <c r="B625" s="824" t="s">
        <v>2035</v>
      </c>
      <c r="C625" s="824" t="str">
        <f>+VLOOKUP(B625,'Salary sheet'!$B$6:$AX$1386,48,0)</f>
        <v>DU QUOC AN</v>
      </c>
      <c r="D625" s="824" t="str">
        <f>+VLOOKUP(B625,'Salary sheet'!$B$6:$BW$1386,49,0)</f>
        <v>050040849553</v>
      </c>
      <c r="E625" s="620">
        <f>+VLOOKUP(B625,'Salary sheet'!$B$6:$AT$1292,45,0)</f>
        <v>11108174</v>
      </c>
      <c r="F625" s="1029" t="s">
        <v>5723</v>
      </c>
      <c r="G625" s="824" t="str">
        <f>+VLOOKUP(B625,'Salary sheet'!$B$6:$E$2281,4,0)</f>
        <v>FACTORY D</v>
      </c>
      <c r="H625" s="607" t="str">
        <f>+VLOOKUP(B625,'Salary sheet'!$B$6:$AZ$1386,50,0)</f>
        <v>SK1 Bag</v>
      </c>
      <c r="I625" s="607" t="str">
        <f t="shared" si="28"/>
        <v>C3163DU QUOC AN050040849553</v>
      </c>
      <c r="J625" s="853" t="str">
        <f>+VLOOKUP(B625,'[5]04 2025'!$B$2:$F$1371,5,0)</f>
        <v>C3163DU QUOC AN050040849553</v>
      </c>
      <c r="K625" s="607">
        <f t="shared" si="29"/>
        <v>1</v>
      </c>
      <c r="P625" s="685"/>
    </row>
    <row r="626" spans="1:16" s="607" customFormat="1" ht="18" customHeight="1">
      <c r="A626" s="826">
        <f>SUBTOTAL(3,B$6:B626)</f>
        <v>621</v>
      </c>
      <c r="B626" s="824" t="s">
        <v>2038</v>
      </c>
      <c r="C626" s="824" t="str">
        <f>+VLOOKUP(B626,'Salary sheet'!$B$6:$AX$1386,48,0)</f>
        <v>DIEU DEN</v>
      </c>
      <c r="D626" s="824" t="str">
        <f>+VLOOKUP(B626,'Salary sheet'!$B$6:$BW$1386,49,0)</f>
        <v>050087243122</v>
      </c>
      <c r="E626" s="620">
        <f>+VLOOKUP(B626,'Salary sheet'!$B$6:$AT$1292,45,0)</f>
        <v>9155644</v>
      </c>
      <c r="F626" s="1029" t="s">
        <v>5723</v>
      </c>
      <c r="G626" s="824" t="str">
        <f>+VLOOKUP(B626,'Salary sheet'!$B$6:$E$2281,4,0)</f>
        <v>FACTORY D</v>
      </c>
      <c r="H626" s="607" t="str">
        <f>+VLOOKUP(B626,'Salary sheet'!$B$6:$AZ$1386,50,0)</f>
        <v>SK1 Bag</v>
      </c>
      <c r="I626" s="607" t="str">
        <f t="shared" si="28"/>
        <v>C7168DIEU DEN050087243122</v>
      </c>
      <c r="J626" s="853" t="str">
        <f>+VLOOKUP(B626,'[5]04 2025'!$B$2:$F$1371,5,0)</f>
        <v>C7168DIEU DEN050087243122</v>
      </c>
      <c r="K626" s="607">
        <f t="shared" si="29"/>
        <v>1</v>
      </c>
      <c r="P626" s="685"/>
    </row>
    <row r="627" spans="1:16" s="607" customFormat="1" ht="18" customHeight="1">
      <c r="A627" s="826">
        <f>SUBTOTAL(3,B$6:B627)</f>
        <v>622</v>
      </c>
      <c r="B627" s="824" t="s">
        <v>2040</v>
      </c>
      <c r="C627" s="824" t="str">
        <f>+VLOOKUP(B627,'Salary sheet'!$B$6:$AX$1386,48,0)</f>
        <v>HO THANH TAN</v>
      </c>
      <c r="D627" s="824" t="str">
        <f>+VLOOKUP(B627,'Salary sheet'!$B$6:$BW$1386,49,0)</f>
        <v>050087243068</v>
      </c>
      <c r="E627" s="620">
        <f>+VLOOKUP(B627,'Salary sheet'!$B$6:$AT$1292,45,0)</f>
        <v>8459114</v>
      </c>
      <c r="F627" s="1029" t="s">
        <v>5723</v>
      </c>
      <c r="G627" s="824" t="str">
        <f>+VLOOKUP(B627,'Salary sheet'!$B$6:$E$2281,4,0)</f>
        <v>FACTORY D</v>
      </c>
      <c r="H627" s="607" t="str">
        <f>+VLOOKUP(B627,'Salary sheet'!$B$6:$AZ$1386,50,0)</f>
        <v>SK1 Bag</v>
      </c>
      <c r="I627" s="607" t="str">
        <f t="shared" si="28"/>
        <v>C7211HO THANH TAN050087243068</v>
      </c>
      <c r="J627" s="853" t="str">
        <f>+VLOOKUP(B627,'[5]04 2025'!$B$2:$F$1371,5,0)</f>
        <v>C7211HO THANH TAN050087243068</v>
      </c>
      <c r="K627" s="607">
        <f t="shared" si="29"/>
        <v>1</v>
      </c>
      <c r="P627" s="685"/>
    </row>
    <row r="628" spans="1:16" s="607" customFormat="1" ht="18" customHeight="1">
      <c r="A628" s="826">
        <f>SUBTOTAL(3,B$6:B628)</f>
        <v>623</v>
      </c>
      <c r="B628" s="824" t="s">
        <v>2042</v>
      </c>
      <c r="C628" s="824" t="str">
        <f>+VLOOKUP(B628,'Salary sheet'!$B$6:$AX$1386,48,0)</f>
        <v>DIEU MY</v>
      </c>
      <c r="D628" s="824" t="str">
        <f>+VLOOKUP(B628,'Salary sheet'!$B$6:$BW$1386,49,0)</f>
        <v>050087500461</v>
      </c>
      <c r="E628" s="620">
        <f>+VLOOKUP(B628,'Salary sheet'!$B$6:$AT$1292,45,0)</f>
        <v>8539173</v>
      </c>
      <c r="F628" s="1029" t="s">
        <v>5723</v>
      </c>
      <c r="G628" s="824" t="str">
        <f>+VLOOKUP(B628,'Salary sheet'!$B$6:$E$2281,4,0)</f>
        <v>FACTORY D</v>
      </c>
      <c r="H628" s="607" t="str">
        <f>+VLOOKUP(B628,'Salary sheet'!$B$6:$AZ$1386,50,0)</f>
        <v>SK1 Bag</v>
      </c>
      <c r="I628" s="607" t="str">
        <f t="shared" si="28"/>
        <v>C7212DIEU MY050087500461</v>
      </c>
      <c r="J628" s="853" t="str">
        <f>+VLOOKUP(B628,'[5]04 2025'!$B$2:$F$1371,5,0)</f>
        <v>C7212DIEU MY050087500461</v>
      </c>
      <c r="K628" s="607">
        <f t="shared" si="29"/>
        <v>1</v>
      </c>
      <c r="P628" s="685"/>
    </row>
    <row r="629" spans="1:16" s="607" customFormat="1" ht="18" customHeight="1">
      <c r="A629" s="826">
        <f>SUBTOTAL(3,B$6:B629)</f>
        <v>624</v>
      </c>
      <c r="B629" s="824" t="s">
        <v>2044</v>
      </c>
      <c r="C629" s="824" t="str">
        <f>+VLOOKUP(B629,'Salary sheet'!$B$6:$AX$1386,48,0)</f>
        <v>DIEU UT BE</v>
      </c>
      <c r="D629" s="824" t="str">
        <f>+VLOOKUP(B629,'Salary sheet'!$B$6:$BW$1386,49,0)</f>
        <v>050091855841</v>
      </c>
      <c r="E629" s="620">
        <f>+VLOOKUP(B629,'Salary sheet'!$B$6:$AT$1292,45,0)</f>
        <v>6778056</v>
      </c>
      <c r="F629" s="1029" t="s">
        <v>5723</v>
      </c>
      <c r="G629" s="824" t="str">
        <f>+VLOOKUP(B629,'Salary sheet'!$B$6:$E$2281,4,0)</f>
        <v>FACTORY D</v>
      </c>
      <c r="H629" s="607" t="str">
        <f>+VLOOKUP(B629,'Salary sheet'!$B$6:$AZ$1386,50,0)</f>
        <v>SK1 Bag</v>
      </c>
      <c r="I629" s="607" t="str">
        <f t="shared" si="28"/>
        <v>C7335DIEU UT BE050091855841</v>
      </c>
      <c r="J629" s="853" t="str">
        <f>+VLOOKUP(B629,'[5]04 2025'!$B$2:$F$1371,5,0)</f>
        <v>C7335DIEU UT BE050091855841</v>
      </c>
      <c r="K629" s="607">
        <f t="shared" si="29"/>
        <v>1</v>
      </c>
      <c r="P629" s="685"/>
    </row>
    <row r="630" spans="1:16" s="607" customFormat="1" ht="18" customHeight="1">
      <c r="A630" s="826">
        <f>SUBTOTAL(3,B$6:B630)</f>
        <v>625</v>
      </c>
      <c r="B630" s="824" t="s">
        <v>2046</v>
      </c>
      <c r="C630" s="824" t="str">
        <f>+VLOOKUP(B630,'Salary sheet'!$B$6:$AX$1386,48,0)</f>
        <v>HUYNH TIEU BAO</v>
      </c>
      <c r="D630" s="824" t="str">
        <f>+VLOOKUP(B630,'Salary sheet'!$B$6:$BW$1386,49,0)</f>
        <v>050098252085</v>
      </c>
      <c r="E630" s="620">
        <f>+VLOOKUP(B630,'Salary sheet'!$B$6:$AT$1292,45,0)</f>
        <v>9870870</v>
      </c>
      <c r="F630" s="1029" t="s">
        <v>5723</v>
      </c>
      <c r="G630" s="824" t="str">
        <f>+VLOOKUP(B630,'Salary sheet'!$B$6:$E$2281,4,0)</f>
        <v>FACTORY D</v>
      </c>
      <c r="H630" s="607" t="str">
        <f>+VLOOKUP(B630,'Salary sheet'!$B$6:$AZ$1386,50,0)</f>
        <v>SK1 Bag</v>
      </c>
      <c r="I630" s="607" t="str">
        <f t="shared" si="28"/>
        <v>C7528HUYNH TIEU BAO050098252085</v>
      </c>
      <c r="J630" s="853" t="str">
        <f>+VLOOKUP(B630,'[5]04 2025'!$B$2:$F$1371,5,0)</f>
        <v>C7528HUYNH TIEU BAO050098252085</v>
      </c>
      <c r="K630" s="607">
        <f t="shared" si="29"/>
        <v>1</v>
      </c>
      <c r="P630" s="685"/>
    </row>
    <row r="631" spans="1:16" s="607" customFormat="1" ht="18" customHeight="1">
      <c r="A631" s="826">
        <f>SUBTOTAL(3,B$6:B631)</f>
        <v>626</v>
      </c>
      <c r="B631" s="824" t="s">
        <v>2049</v>
      </c>
      <c r="C631" s="824" t="str">
        <f>+VLOOKUP(B631,'Salary sheet'!$B$6:$AX$1386,48,0)</f>
        <v>BUI TAN TAI</v>
      </c>
      <c r="D631" s="824" t="str">
        <f>+VLOOKUP(B631,'Salary sheet'!$B$6:$BW$1386,49,0)</f>
        <v>050099643339</v>
      </c>
      <c r="E631" s="620">
        <f>+VLOOKUP(B631,'Salary sheet'!$B$6:$AT$1292,45,0)</f>
        <v>9143450</v>
      </c>
      <c r="F631" s="1029" t="s">
        <v>5723</v>
      </c>
      <c r="G631" s="824" t="str">
        <f>+VLOOKUP(B631,'Salary sheet'!$B$6:$E$2281,4,0)</f>
        <v>FACTORY D</v>
      </c>
      <c r="H631" s="607" t="str">
        <f>+VLOOKUP(B631,'Salary sheet'!$B$6:$AZ$1386,50,0)</f>
        <v>SK1 Bag</v>
      </c>
      <c r="I631" s="607" t="str">
        <f t="shared" si="28"/>
        <v>C7714BUI TAN TAI050099643339</v>
      </c>
      <c r="J631" s="853" t="str">
        <f>+VLOOKUP(B631,'[5]04 2025'!$B$2:$F$1371,5,0)</f>
        <v>C7714BUI TAN TAI050099643339</v>
      </c>
      <c r="K631" s="607">
        <f t="shared" si="29"/>
        <v>1</v>
      </c>
      <c r="P631" s="685"/>
    </row>
    <row r="632" spans="1:16" s="607" customFormat="1" ht="18" customHeight="1">
      <c r="A632" s="826">
        <f>SUBTOTAL(3,B$6:B632)</f>
        <v>627</v>
      </c>
      <c r="B632" s="824" t="s">
        <v>2051</v>
      </c>
      <c r="C632" s="824" t="str">
        <f>+VLOOKUP(B632,'Salary sheet'!$B$6:$AX$1386,48,0)</f>
        <v>NGUYEN CHI CONG</v>
      </c>
      <c r="D632" s="824" t="str">
        <f>+VLOOKUP(B632,'Salary sheet'!$B$6:$BW$1386,49,0)</f>
        <v>050103660022</v>
      </c>
      <c r="E632" s="620">
        <f>+VLOOKUP(B632,'Salary sheet'!$B$6:$AT$1292,45,0)</f>
        <v>9141330</v>
      </c>
      <c r="F632" s="1029" t="s">
        <v>5723</v>
      </c>
      <c r="G632" s="824" t="str">
        <f>+VLOOKUP(B632,'Salary sheet'!$B$6:$E$2281,4,0)</f>
        <v>FACTORY D</v>
      </c>
      <c r="H632" s="607" t="str">
        <f>+VLOOKUP(B632,'Salary sheet'!$B$6:$AZ$1386,50,0)</f>
        <v>SK1 Bag</v>
      </c>
      <c r="I632" s="607" t="str">
        <f t="shared" ref="I632:I696" si="30">+CONCATENATE(B632,C632,D632)</f>
        <v>C7987NGUYEN CHI CONG050103660022</v>
      </c>
      <c r="J632" s="853" t="str">
        <f>+VLOOKUP(B632,'[5]04 2025'!$B$2:$F$1371,5,0)</f>
        <v>C7987NGUYEN CHI CONG050103660022</v>
      </c>
      <c r="K632" s="607">
        <f t="shared" si="29"/>
        <v>1</v>
      </c>
      <c r="P632" s="685"/>
    </row>
    <row r="633" spans="1:16" s="607" customFormat="1" ht="18" customHeight="1">
      <c r="A633" s="826">
        <f>SUBTOTAL(3,B$6:B633)</f>
        <v>628</v>
      </c>
      <c r="B633" s="824" t="s">
        <v>2053</v>
      </c>
      <c r="C633" s="824" t="str">
        <f>+VLOOKUP(B633,'Salary sheet'!$B$6:$AX$1386,48,0)</f>
        <v>TA TUAN ANH</v>
      </c>
      <c r="D633" s="824" t="str">
        <f>+VLOOKUP(B633,'Salary sheet'!$B$6:$BW$1386,49,0)</f>
        <v>050096977228</v>
      </c>
      <c r="E633" s="620">
        <f>+VLOOKUP(B633,'Salary sheet'!$B$6:$AT$1292,45,0)</f>
        <v>8581621</v>
      </c>
      <c r="F633" s="1029" t="s">
        <v>5723</v>
      </c>
      <c r="G633" s="824" t="str">
        <f>+VLOOKUP(B633,'Salary sheet'!$B$6:$E$2281,4,0)</f>
        <v>FACTORY D</v>
      </c>
      <c r="H633" s="607" t="str">
        <f>+VLOOKUP(B633,'Salary sheet'!$B$6:$AZ$1386,50,0)</f>
        <v>SK1 Bag</v>
      </c>
      <c r="I633" s="607" t="str">
        <f t="shared" si="30"/>
        <v>C8194TA TUAN ANH050096977228</v>
      </c>
      <c r="J633" s="853" t="str">
        <f>+VLOOKUP(B633,'[5]04 2025'!$B$2:$F$1371,5,0)</f>
        <v>C8194TA TUAN ANH050096977228</v>
      </c>
      <c r="K633" s="607">
        <f t="shared" si="29"/>
        <v>1</v>
      </c>
      <c r="P633" s="685"/>
    </row>
    <row r="634" spans="1:16" s="607" customFormat="1" ht="18" customHeight="1">
      <c r="A634" s="826">
        <f>SUBTOTAL(3,B$6:B634)</f>
        <v>629</v>
      </c>
      <c r="B634" s="824" t="s">
        <v>2055</v>
      </c>
      <c r="C634" s="824" t="str">
        <f>+VLOOKUP(B634,'Salary sheet'!$B$6:$AX$1386,48,0)</f>
        <v>DO VAN HONG PHONG</v>
      </c>
      <c r="D634" s="824" t="str">
        <f>+VLOOKUP(B634,'Salary sheet'!$B$6:$BW$1386,49,0)</f>
        <v>050046448801</v>
      </c>
      <c r="E634" s="620">
        <f>+VLOOKUP(B634,'Salary sheet'!$B$6:$AT$1292,45,0)</f>
        <v>8641742</v>
      </c>
      <c r="F634" s="1029" t="s">
        <v>5723</v>
      </c>
      <c r="G634" s="824" t="str">
        <f>+VLOOKUP(B634,'Salary sheet'!$B$6:$E$2281,4,0)</f>
        <v>FACTORY D</v>
      </c>
      <c r="H634" s="607" t="str">
        <f>+VLOOKUP(B634,'Salary sheet'!$B$6:$AZ$1386,50,0)</f>
        <v>SK1 Bag</v>
      </c>
      <c r="I634" s="607" t="str">
        <f t="shared" si="30"/>
        <v>C8812DO VAN HONG PHONG050046448801</v>
      </c>
      <c r="J634" s="853" t="str">
        <f>+VLOOKUP(B634,'[5]04 2025'!$B$2:$F$1371,5,0)</f>
        <v>C8812DO VAN HONG PHONG050046448801</v>
      </c>
      <c r="K634" s="607">
        <f t="shared" si="29"/>
        <v>1</v>
      </c>
      <c r="P634" s="685"/>
    </row>
    <row r="635" spans="1:16" s="607" customFormat="1" ht="18" customHeight="1">
      <c r="A635" s="826">
        <f>SUBTOTAL(3,B$6:B635)</f>
        <v>630</v>
      </c>
      <c r="B635" s="824" t="s">
        <v>2057</v>
      </c>
      <c r="C635" s="824" t="str">
        <f>+VLOOKUP(B635,'Salary sheet'!$B$6:$AX$1386,48,0)</f>
        <v>THAI THI TUYET DAO</v>
      </c>
      <c r="D635" s="824" t="str">
        <f>+VLOOKUP(B635,'Salary sheet'!$B$6:$BW$1386,49,0)</f>
        <v>050041001930</v>
      </c>
      <c r="E635" s="620">
        <f>+VLOOKUP(B635,'Salary sheet'!$B$6:$AT$1292,45,0)</f>
        <v>21637260</v>
      </c>
      <c r="F635" s="1029" t="s">
        <v>5723</v>
      </c>
      <c r="G635" s="824" t="str">
        <f>+VLOOKUP(B635,'Salary sheet'!$B$6:$E$2281,4,0)</f>
        <v>FACTORY D</v>
      </c>
      <c r="H635" s="607" t="str">
        <f>+VLOOKUP(B635,'Salary sheet'!$B$6:$AZ$1386,50,0)</f>
        <v>SK1 Bag</v>
      </c>
      <c r="I635" s="607" t="str">
        <f t="shared" si="30"/>
        <v>C5310THAI THI TUYET DAO050041001930</v>
      </c>
      <c r="J635" s="853" t="str">
        <f>+VLOOKUP(B635,'[5]04 2025'!$B$2:$F$1371,5,0)</f>
        <v>C5310THAI THI TUYET DAO050041001930</v>
      </c>
      <c r="K635" s="607">
        <f t="shared" si="29"/>
        <v>1</v>
      </c>
      <c r="P635" s="685"/>
    </row>
    <row r="636" spans="1:16" s="607" customFormat="1" ht="18" customHeight="1">
      <c r="A636" s="826">
        <f>SUBTOTAL(3,B$6:B636)</f>
        <v>631</v>
      </c>
      <c r="B636" s="824" t="s">
        <v>2059</v>
      </c>
      <c r="C636" s="824" t="str">
        <f>+VLOOKUP(B636,'Salary sheet'!$B$6:$AX$1386,48,0)</f>
        <v>LY THI KIM CHI</v>
      </c>
      <c r="D636" s="824" t="str">
        <f>+VLOOKUP(B636,'Salary sheet'!$B$6:$BW$1386,49,0)</f>
        <v>050040860972</v>
      </c>
      <c r="E636" s="620">
        <f>+VLOOKUP(B636,'Salary sheet'!$B$6:$AT$1292,45,0)</f>
        <v>20368697</v>
      </c>
      <c r="F636" s="1029" t="s">
        <v>5723</v>
      </c>
      <c r="G636" s="824" t="str">
        <f>+VLOOKUP(B636,'Salary sheet'!$B$6:$E$2281,4,0)</f>
        <v>FACTORY D</v>
      </c>
      <c r="H636" s="607" t="str">
        <f>+VLOOKUP(B636,'Salary sheet'!$B$6:$AZ$1386,50,0)</f>
        <v>SK1 Bag</v>
      </c>
      <c r="I636" s="607" t="str">
        <f t="shared" si="30"/>
        <v>C5817LY THI KIM CHI050040860972</v>
      </c>
      <c r="J636" s="853" t="str">
        <f>+VLOOKUP(B636,'[5]04 2025'!$B$2:$F$1371,5,0)</f>
        <v>C5817LY THI KIM CHI050040860972</v>
      </c>
      <c r="K636" s="607">
        <f t="shared" si="29"/>
        <v>1</v>
      </c>
      <c r="P636" s="685"/>
    </row>
    <row r="637" spans="1:16" s="607" customFormat="1" ht="18" customHeight="1">
      <c r="A637" s="826">
        <f>SUBTOTAL(3,B$6:B637)</f>
        <v>632</v>
      </c>
      <c r="B637" s="824" t="s">
        <v>58</v>
      </c>
      <c r="C637" s="824" t="str">
        <f>+VLOOKUP(B637,'Salary sheet'!$B$6:$AX$1386,48,0)</f>
        <v>TRAN THI CAM LINH</v>
      </c>
      <c r="D637" s="824" t="str">
        <f>+VLOOKUP(B637,'Salary sheet'!$B$6:$BW$1386,49,0)</f>
        <v>050040871311</v>
      </c>
      <c r="E637" s="620">
        <f>+VLOOKUP(B637,'Salary sheet'!$B$6:$AT$1292,45,0)</f>
        <v>24895079</v>
      </c>
      <c r="F637" s="1029" t="s">
        <v>5723</v>
      </c>
      <c r="G637" s="824" t="str">
        <f>+VLOOKUP(B637,'Salary sheet'!$B$6:$E$2281,4,0)</f>
        <v>FACTORY D</v>
      </c>
      <c r="H637" s="607" t="str">
        <f>+VLOOKUP(B637,'Salary sheet'!$B$6:$AZ$1386,50,0)</f>
        <v>SK1 Bag</v>
      </c>
      <c r="I637" s="607" t="str">
        <f t="shared" si="30"/>
        <v>C6068TRAN THI CAM LINH050040871311</v>
      </c>
      <c r="J637" s="853" t="str">
        <f>+VLOOKUP(B637,'[5]04 2025'!$B$2:$F$1371,5,0)</f>
        <v>C6068TRAN THI CAM LINH050040871311</v>
      </c>
      <c r="K637" s="607">
        <f t="shared" si="29"/>
        <v>1</v>
      </c>
      <c r="P637" s="685"/>
    </row>
    <row r="638" spans="1:16" s="607" customFormat="1" ht="18" customHeight="1">
      <c r="A638" s="826">
        <f>SUBTOTAL(3,B$6:B638)</f>
        <v>633</v>
      </c>
      <c r="B638" s="824" t="s">
        <v>2061</v>
      </c>
      <c r="C638" s="824" t="str">
        <f>+VLOOKUP(B638,'Salary sheet'!$B$6:$AX$1386,48,0)</f>
        <v>VO NGOC MINH</v>
      </c>
      <c r="D638" s="824" t="str">
        <f>+VLOOKUP(B638,'Salary sheet'!$B$6:$BW$1386,49,0)</f>
        <v>050056441473</v>
      </c>
      <c r="E638" s="620">
        <f>+VLOOKUP(B638,'Salary sheet'!$B$6:$AT$1292,45,0)</f>
        <v>11357802</v>
      </c>
      <c r="F638" s="1029" t="s">
        <v>5723</v>
      </c>
      <c r="G638" s="824" t="str">
        <f>+VLOOKUP(B638,'Salary sheet'!$B$6:$E$2281,4,0)</f>
        <v>FACTORY D</v>
      </c>
      <c r="H638" s="607" t="str">
        <f>+VLOOKUP(B638,'Salary sheet'!$B$6:$AZ$1386,50,0)</f>
        <v>SK1 Bag</v>
      </c>
      <c r="I638" s="607" t="str">
        <f t="shared" si="30"/>
        <v>C6348VO NGOC MINH050056441473</v>
      </c>
      <c r="J638" s="853" t="str">
        <f>+VLOOKUP(B638,'[5]04 2025'!$B$2:$F$1371,5,0)</f>
        <v>C6348VO NGOC MINH050056441473</v>
      </c>
      <c r="K638" s="607">
        <f t="shared" si="29"/>
        <v>1</v>
      </c>
      <c r="P638" s="685"/>
    </row>
    <row r="639" spans="1:16" s="607" customFormat="1" ht="18" customHeight="1">
      <c r="A639" s="826">
        <f>SUBTOTAL(3,B$6:B639)</f>
        <v>634</v>
      </c>
      <c r="B639" s="824" t="s">
        <v>2063</v>
      </c>
      <c r="C639" s="824" t="str">
        <f>+VLOOKUP(B639,'Salary sheet'!$B$6:$AX$1386,48,0)</f>
        <v>DOAN THI THUY VY</v>
      </c>
      <c r="D639" s="824" t="str">
        <f>+VLOOKUP(B639,'Salary sheet'!$B$6:$BW$1386,49,0)</f>
        <v>050121836049</v>
      </c>
      <c r="E639" s="620">
        <f>+VLOOKUP(B639,'Salary sheet'!$B$6:$AT$1292,45,0)</f>
        <v>9618024</v>
      </c>
      <c r="F639" s="1029" t="s">
        <v>5723</v>
      </c>
      <c r="G639" s="824" t="str">
        <f>+VLOOKUP(B639,'Salary sheet'!$B$6:$E$2281,4,0)</f>
        <v>FACTORY D</v>
      </c>
      <c r="H639" s="607" t="str">
        <f>+VLOOKUP(B639,'Salary sheet'!$B$6:$AZ$1386,50,0)</f>
        <v>SK1 Bag</v>
      </c>
      <c r="I639" s="607" t="str">
        <f t="shared" si="30"/>
        <v>C13576DOAN THI THUY VY050121836049</v>
      </c>
      <c r="J639" s="853" t="str">
        <f>+VLOOKUP(B639,'[5]04 2025'!$B$2:$F$1371,5,0)</f>
        <v>C13576DOAN THI THUY VY050121836049</v>
      </c>
      <c r="K639" s="607">
        <f t="shared" si="29"/>
        <v>1</v>
      </c>
      <c r="P639" s="685"/>
    </row>
    <row r="640" spans="1:16" s="607" customFormat="1" ht="18" customHeight="1">
      <c r="A640" s="826">
        <f>SUBTOTAL(3,B$6:B640)</f>
        <v>635</v>
      </c>
      <c r="B640" s="824" t="s">
        <v>2065</v>
      </c>
      <c r="C640" s="824" t="str">
        <f>+VLOOKUP(B640,'Salary sheet'!$B$6:$AX$1386,48,0)</f>
        <v>HA THI MONG BINH</v>
      </c>
      <c r="D640" s="824" t="str">
        <f>+VLOOKUP(B640,'Salary sheet'!$B$6:$BW$1386,49,0)</f>
        <v>050120866335</v>
      </c>
      <c r="E640" s="620">
        <f>+VLOOKUP(B640,'Salary sheet'!$B$6:$AT$1292,45,0)</f>
        <v>9760540</v>
      </c>
      <c r="F640" s="1029" t="s">
        <v>5723</v>
      </c>
      <c r="G640" s="824" t="str">
        <f>+VLOOKUP(B640,'Salary sheet'!$B$6:$E$2281,4,0)</f>
        <v>FACTORY D</v>
      </c>
      <c r="H640" s="607" t="str">
        <f>+VLOOKUP(B640,'Salary sheet'!$B$6:$AZ$1386,50,0)</f>
        <v>SK1 Bag</v>
      </c>
      <c r="I640" s="607" t="str">
        <f t="shared" si="30"/>
        <v>C14152HA THI MONG BINH050120866335</v>
      </c>
      <c r="J640" s="853" t="str">
        <f>+VLOOKUP(B640,'[5]04 2025'!$B$2:$F$1371,5,0)</f>
        <v>C14152HA THI MONG BINH050120866335</v>
      </c>
      <c r="K640" s="607">
        <f t="shared" si="29"/>
        <v>1</v>
      </c>
      <c r="P640" s="685"/>
    </row>
    <row r="641" spans="1:16" s="607" customFormat="1" ht="18" customHeight="1">
      <c r="A641" s="826">
        <f>SUBTOTAL(3,B$6:B641)</f>
        <v>636</v>
      </c>
      <c r="B641" s="824" t="s">
        <v>2067</v>
      </c>
      <c r="C641" s="824" t="str">
        <f>+VLOOKUP(B641,'Salary sheet'!$B$6:$AX$1386,48,0)</f>
        <v>NGUYEN HIEN CHUONG</v>
      </c>
      <c r="D641" s="824" t="str">
        <f>+VLOOKUP(B641,'Salary sheet'!$B$6:$BW$1386,49,0)</f>
        <v>050121351592</v>
      </c>
      <c r="E641" s="620">
        <f>+VLOOKUP(B641,'Salary sheet'!$B$6:$AT$1292,45,0)</f>
        <v>9371184</v>
      </c>
      <c r="F641" s="1029" t="s">
        <v>5723</v>
      </c>
      <c r="G641" s="824" t="str">
        <f>+VLOOKUP(B641,'Salary sheet'!$B$6:$E$2281,4,0)</f>
        <v>FACTORY D</v>
      </c>
      <c r="H641" s="607" t="str">
        <f>+VLOOKUP(B641,'Salary sheet'!$B$6:$AZ$1386,50,0)</f>
        <v>SK1 Bag</v>
      </c>
      <c r="I641" s="607" t="str">
        <f t="shared" si="30"/>
        <v>C14158NGUYEN HIEN CHUONG050121351592</v>
      </c>
      <c r="J641" s="853" t="str">
        <f>+VLOOKUP(B641,'[5]04 2025'!$B$2:$F$1371,5,0)</f>
        <v>C14158NGUYEN HIEN CHUONG050121351592</v>
      </c>
      <c r="K641" s="607">
        <f t="shared" si="29"/>
        <v>1</v>
      </c>
      <c r="P641" s="685"/>
    </row>
    <row r="642" spans="1:16" s="607" customFormat="1" ht="18" customHeight="1">
      <c r="A642" s="826">
        <f>SUBTOTAL(3,B$6:B642)</f>
        <v>637</v>
      </c>
      <c r="B642" s="824" t="s">
        <v>2069</v>
      </c>
      <c r="C642" s="824" t="str">
        <f>+VLOOKUP(B642,'Salary sheet'!$B$6:$AX$1386,48,0)</f>
        <v>TRAN TUAN BAO</v>
      </c>
      <c r="D642" s="824" t="str">
        <f>+VLOOKUP(B642,'Salary sheet'!$B$6:$BW$1386,49,0)</f>
        <v>050128255963</v>
      </c>
      <c r="E642" s="620">
        <f>+VLOOKUP(B642,'Salary sheet'!$B$6:$AT$1292,45,0)</f>
        <v>9354484</v>
      </c>
      <c r="F642" s="1029" t="s">
        <v>5723</v>
      </c>
      <c r="G642" s="824" t="str">
        <f>+VLOOKUP(B642,'Salary sheet'!$B$6:$E$2281,4,0)</f>
        <v>FACTORY D</v>
      </c>
      <c r="H642" s="607" t="str">
        <f>+VLOOKUP(B642,'Salary sheet'!$B$6:$AZ$1386,50,0)</f>
        <v>SK1 Bag</v>
      </c>
      <c r="I642" s="607" t="str">
        <f t="shared" si="30"/>
        <v>C14256TRAN TUAN BAO050128255963</v>
      </c>
      <c r="J642" s="853" t="str">
        <f>+VLOOKUP(B642,'[5]04 2025'!$B$2:$F$1371,5,0)</f>
        <v>C14256TRAN TUAN BAO050128255963</v>
      </c>
      <c r="K642" s="607">
        <f t="shared" si="29"/>
        <v>1</v>
      </c>
      <c r="P642" s="685"/>
    </row>
    <row r="643" spans="1:16" s="607" customFormat="1" ht="18" customHeight="1">
      <c r="A643" s="826">
        <f>SUBTOTAL(3,B$6:B643)</f>
        <v>638</v>
      </c>
      <c r="B643" s="824" t="s">
        <v>2071</v>
      </c>
      <c r="C643" s="824" t="str">
        <f>+VLOOKUP(B643,'Salary sheet'!$B$6:$AX$1386,48,0)</f>
        <v>NGUYEN THI HA</v>
      </c>
      <c r="D643" s="824" t="str">
        <f>+VLOOKUP(B643,'Salary sheet'!$B$6:$BW$1386,49,0)</f>
        <v>050129038931</v>
      </c>
      <c r="E643" s="620">
        <f>+VLOOKUP(B643,'Salary sheet'!$B$6:$AT$1292,45,0)</f>
        <v>8957459</v>
      </c>
      <c r="F643" s="1029" t="s">
        <v>5723</v>
      </c>
      <c r="G643" s="824" t="str">
        <f>+VLOOKUP(B643,'Salary sheet'!$B$6:$E$2281,4,0)</f>
        <v>FACTORY D</v>
      </c>
      <c r="H643" s="607" t="str">
        <f>+VLOOKUP(B643,'Salary sheet'!$B$6:$AZ$1386,50,0)</f>
        <v>SK1 Bag</v>
      </c>
      <c r="I643" s="607" t="str">
        <f t="shared" si="30"/>
        <v>C14270NGUYEN THI HA050129038931</v>
      </c>
      <c r="J643" s="853" t="str">
        <f>+VLOOKUP(B643,'[5]04 2025'!$B$2:$F$1371,5,0)</f>
        <v>C14270NGUYEN THI HA050129038931</v>
      </c>
      <c r="K643" s="607">
        <f t="shared" si="29"/>
        <v>1</v>
      </c>
      <c r="P643" s="685"/>
    </row>
    <row r="644" spans="1:16" s="607" customFormat="1" ht="18" customHeight="1">
      <c r="A644" s="826">
        <f>SUBTOTAL(3,B$6:B644)</f>
        <v>639</v>
      </c>
      <c r="B644" s="824" t="s">
        <v>2073</v>
      </c>
      <c r="C644" s="824" t="str">
        <f>+VLOOKUP(B644,'Salary sheet'!$B$6:$AX$1386,48,0)</f>
        <v>NGUYEN THI NGOC HUYNH</v>
      </c>
      <c r="D644" s="824" t="str">
        <f>+VLOOKUP(B644,'Salary sheet'!$B$6:$BW$1386,49,0)</f>
        <v>050155392883</v>
      </c>
      <c r="E644" s="620">
        <f>+VLOOKUP(B644,'Salary sheet'!$B$6:$AT$1292,45,0)</f>
        <v>9675409</v>
      </c>
      <c r="F644" s="1029" t="s">
        <v>5723</v>
      </c>
      <c r="G644" s="824" t="str">
        <f>+VLOOKUP(B644,'Salary sheet'!$B$6:$E$2281,4,0)</f>
        <v>FACTORY D</v>
      </c>
      <c r="H644" s="607" t="str">
        <f>+VLOOKUP(B644,'Salary sheet'!$B$6:$AZ$1386,50,0)</f>
        <v>SK1 Bag</v>
      </c>
      <c r="I644" s="607" t="str">
        <f t="shared" si="30"/>
        <v>C14436NGUYEN THI NGOC HUYNH050155392883</v>
      </c>
      <c r="J644" s="853" t="str">
        <f>+VLOOKUP(B644,'[5]04 2025'!$B$2:$F$1371,5,0)</f>
        <v>C14436NGUYEN THI NGOC HUYNH050155392883</v>
      </c>
      <c r="K644" s="607">
        <f t="shared" si="29"/>
        <v>1</v>
      </c>
      <c r="P644" s="685"/>
    </row>
    <row r="645" spans="1:16" s="607" customFormat="1" ht="18" customHeight="1">
      <c r="A645" s="826">
        <f>SUBTOTAL(3,B$6:B645)</f>
        <v>640</v>
      </c>
      <c r="B645" s="824" t="s">
        <v>5769</v>
      </c>
      <c r="C645" s="824" t="str">
        <f>+VLOOKUP(B645,'Salary sheet'!$B$6:$AX$1386,48,0)</f>
        <v>PHAM THUY HUONG</v>
      </c>
      <c r="D645" s="824" t="str">
        <f>+VLOOKUP(B645,'Salary sheet'!$B$6:$BW$1386,49,0)</f>
        <v>050053905495</v>
      </c>
      <c r="E645" s="620">
        <f>+VLOOKUP(B645,'Salary sheet'!$B$6:$AT$1292,45,0)</f>
        <v>496746</v>
      </c>
      <c r="F645" s="1029" t="s">
        <v>5723</v>
      </c>
      <c r="G645" s="824" t="str">
        <f>+VLOOKUP(B645,'Salary sheet'!$B$6:$E$2281,4,0)</f>
        <v>FACTORY D</v>
      </c>
      <c r="H645" s="607" t="str">
        <f>+VLOOKUP(B645,'Salary sheet'!$B$6:$AZ$1386,50,0)</f>
        <v>SK1 Bag</v>
      </c>
      <c r="I645" s="607" t="str">
        <f t="shared" si="30"/>
        <v>C14444PHAM THUY HUONG050053905495</v>
      </c>
      <c r="J645" s="853" t="str">
        <f>+VLOOKUP(B645,'[5]04 2025'!$B$2:$F$1371,5,0)</f>
        <v>C14444PHAM THUY HUONG050053905495</v>
      </c>
      <c r="K645" s="607">
        <f t="shared" si="29"/>
        <v>1</v>
      </c>
      <c r="P645" s="685"/>
    </row>
    <row r="646" spans="1:16" s="607" customFormat="1" ht="18" customHeight="1">
      <c r="A646" s="826">
        <f>SUBTOTAL(3,B$6:B646)</f>
        <v>641</v>
      </c>
      <c r="B646" s="824" t="s">
        <v>2075</v>
      </c>
      <c r="C646" s="824" t="str">
        <f>+VLOOKUP(B646,'Salary sheet'!$B$6:$AX$1386,48,0)</f>
        <v>KPA H MAI LY</v>
      </c>
      <c r="D646" s="824" t="str">
        <f>+VLOOKUP(B646,'Salary sheet'!$B$6:$BW$1386,49,0)</f>
        <v>050122316073</v>
      </c>
      <c r="E646" s="620">
        <f>+VLOOKUP(B646,'Salary sheet'!$B$6:$AT$1292,45,0)</f>
        <v>8802671</v>
      </c>
      <c r="F646" s="1029" t="s">
        <v>5723</v>
      </c>
      <c r="G646" s="824" t="str">
        <f>+VLOOKUP(B646,'Salary sheet'!$B$6:$E$2281,4,0)</f>
        <v>FACTORY D</v>
      </c>
      <c r="H646" s="607" t="str">
        <f>+VLOOKUP(B646,'Salary sheet'!$B$6:$AZ$1386,50,0)</f>
        <v>SK1 Bag</v>
      </c>
      <c r="I646" s="607" t="str">
        <f t="shared" si="30"/>
        <v>C14811KPA H MAI LY050122316073</v>
      </c>
      <c r="J646" s="853" t="str">
        <f>+VLOOKUP(B646,'[5]04 2025'!$B$2:$F$1371,5,0)</f>
        <v>C14811KPA H MAI LY050122316073</v>
      </c>
      <c r="K646" s="607">
        <f t="shared" si="29"/>
        <v>1</v>
      </c>
      <c r="P646" s="685"/>
    </row>
    <row r="647" spans="1:16" s="607" customFormat="1" ht="18" customHeight="1">
      <c r="A647" s="826">
        <f>SUBTOTAL(3,B$6:B647)</f>
        <v>642</v>
      </c>
      <c r="B647" s="824" t="s">
        <v>2077</v>
      </c>
      <c r="C647" s="824" t="str">
        <f>+VLOOKUP(B647,'Salary sheet'!$B$6:$AX$1386,48,0)</f>
        <v>NGUYEN THI ANH NGUYET</v>
      </c>
      <c r="D647" s="824" t="str">
        <f>+VLOOKUP(B647,'Salary sheet'!$B$6:$BW$1386,49,0)</f>
        <v>050108107526</v>
      </c>
      <c r="E647" s="620">
        <f>+VLOOKUP(B647,'Salary sheet'!$B$6:$AT$1292,45,0)</f>
        <v>8531839</v>
      </c>
      <c r="F647" s="1029" t="s">
        <v>5723</v>
      </c>
      <c r="G647" s="824" t="str">
        <f>+VLOOKUP(B647,'Salary sheet'!$B$6:$E$2281,4,0)</f>
        <v>FACTORY D</v>
      </c>
      <c r="H647" s="607" t="str">
        <f>+VLOOKUP(B647,'Salary sheet'!$B$6:$AZ$1386,50,0)</f>
        <v>SK1 Bag</v>
      </c>
      <c r="I647" s="607" t="str">
        <f t="shared" si="30"/>
        <v>C15396NGUYEN THI ANH NGUYET050108107526</v>
      </c>
      <c r="J647" s="853" t="str">
        <f>+VLOOKUP(B647,'[5]04 2025'!$B$2:$F$1371,5,0)</f>
        <v>C15396NGUYEN THI ANH NGUYET050108107526</v>
      </c>
      <c r="K647" s="607">
        <f t="shared" si="29"/>
        <v>1</v>
      </c>
      <c r="P647" s="685"/>
    </row>
    <row r="648" spans="1:16" s="607" customFormat="1" ht="18" customHeight="1">
      <c r="A648" s="826">
        <f>SUBTOTAL(3,B$6:B648)</f>
        <v>643</v>
      </c>
      <c r="B648" s="824" t="s">
        <v>2079</v>
      </c>
      <c r="C648" s="824" t="str">
        <f>+VLOOKUP(B648,'Salary sheet'!$B$6:$AX$1386,48,0)</f>
        <v>PHAM THI KHANH</v>
      </c>
      <c r="D648" s="824" t="str">
        <f>+VLOOKUP(B648,'Salary sheet'!$B$6:$BW$1386,49,0)</f>
        <v>050040850918</v>
      </c>
      <c r="E648" s="620">
        <f>+VLOOKUP(B648,'Salary sheet'!$B$6:$AT$1292,45,0)</f>
        <v>14771147</v>
      </c>
      <c r="F648" s="1029" t="s">
        <v>5723</v>
      </c>
      <c r="G648" s="824" t="str">
        <f>+VLOOKUP(B648,'Salary sheet'!$B$6:$E$2281,4,0)</f>
        <v>FACTORY D</v>
      </c>
      <c r="H648" s="607" t="str">
        <f>+VLOOKUP(B648,'Salary sheet'!$B$6:$AZ$1386,50,0)</f>
        <v>SK1 Bag</v>
      </c>
      <c r="I648" s="607" t="str">
        <f t="shared" si="30"/>
        <v>C1655PHAM THI KHANH050040850918</v>
      </c>
      <c r="J648" s="853" t="str">
        <f>+VLOOKUP(B648,'[5]04 2025'!$B$2:$F$1371,5,0)</f>
        <v>C1655PHAM THI KHANH050040850918</v>
      </c>
      <c r="K648" s="607">
        <f t="shared" si="29"/>
        <v>1</v>
      </c>
      <c r="P648" s="685"/>
    </row>
    <row r="649" spans="1:16" s="607" customFormat="1" ht="18" customHeight="1">
      <c r="A649" s="826">
        <f>SUBTOTAL(3,B$6:B649)</f>
        <v>644</v>
      </c>
      <c r="B649" s="824" t="s">
        <v>2081</v>
      </c>
      <c r="C649" s="824" t="str">
        <f>+VLOOKUP(B649,'Salary sheet'!$B$6:$AX$1386,48,0)</f>
        <v>LE THI THANH XUAN</v>
      </c>
      <c r="D649" s="824" t="str">
        <f>+VLOOKUP(B649,'Salary sheet'!$B$6:$BW$1386,49,0)</f>
        <v>050103660197</v>
      </c>
      <c r="E649" s="620">
        <f>+VLOOKUP(B649,'Salary sheet'!$B$6:$AT$1292,45,0)</f>
        <v>7013222</v>
      </c>
      <c r="F649" s="1029" t="s">
        <v>5723</v>
      </c>
      <c r="G649" s="824" t="str">
        <f>+VLOOKUP(B649,'Salary sheet'!$B$6:$E$2281,4,0)</f>
        <v>FACTORY D</v>
      </c>
      <c r="H649" s="607" t="str">
        <f>+VLOOKUP(B649,'Salary sheet'!$B$6:$AZ$1386,50,0)</f>
        <v>SK1 Bag</v>
      </c>
      <c r="I649" s="607" t="str">
        <f t="shared" si="30"/>
        <v>C7792LE THI THANH XUAN050103660197</v>
      </c>
      <c r="J649" s="853" t="str">
        <f>+VLOOKUP(B649,'[5]04 2025'!$B$2:$F$1371,5,0)</f>
        <v>C7792LE THI THANH XUAN050103660197</v>
      </c>
      <c r="K649" s="607">
        <f t="shared" si="29"/>
        <v>1</v>
      </c>
      <c r="P649" s="685"/>
    </row>
    <row r="650" spans="1:16" s="607" customFormat="1" ht="18" customHeight="1">
      <c r="A650" s="826">
        <f>SUBTOTAL(3,B$6:B650)</f>
        <v>645</v>
      </c>
      <c r="B650" s="824" t="s">
        <v>2083</v>
      </c>
      <c r="C650" s="824" t="str">
        <f>+VLOOKUP(B650,'Salary sheet'!$B$6:$AX$1386,48,0)</f>
        <v>NGUYEN THANH LIEM</v>
      </c>
      <c r="D650" s="824" t="str">
        <f>+VLOOKUP(B650,'Salary sheet'!$B$6:$BW$1386,49,0)</f>
        <v>050095670511</v>
      </c>
      <c r="E650" s="620">
        <f>+VLOOKUP(B650,'Salary sheet'!$B$6:$AT$1292,45,0)</f>
        <v>7808493</v>
      </c>
      <c r="F650" s="1029" t="s">
        <v>5723</v>
      </c>
      <c r="G650" s="824" t="str">
        <f>+VLOOKUP(B650,'Salary sheet'!$B$6:$E$2281,4,0)</f>
        <v>FACTORY D</v>
      </c>
      <c r="H650" s="607" t="str">
        <f>+VLOOKUP(B650,'Salary sheet'!$B$6:$AZ$1386,50,0)</f>
        <v>SK1 Bag</v>
      </c>
      <c r="I650" s="607" t="str">
        <f t="shared" si="30"/>
        <v>C7617NGUYEN THANH LIEM050095670511</v>
      </c>
      <c r="J650" s="853" t="str">
        <f>+VLOOKUP(B650,'[5]04 2025'!$B$2:$F$1371,5,0)</f>
        <v>C7617NGUYEN THANH LIEM050095670511</v>
      </c>
      <c r="K650" s="607">
        <f t="shared" si="29"/>
        <v>1</v>
      </c>
      <c r="P650" s="685"/>
    </row>
    <row r="651" spans="1:16" s="607" customFormat="1" ht="18" customHeight="1">
      <c r="A651" s="826">
        <f>SUBTOTAL(3,B$6:B651)</f>
        <v>646</v>
      </c>
      <c r="B651" s="824" t="s">
        <v>2085</v>
      </c>
      <c r="C651" s="824" t="str">
        <f>+VLOOKUP(B651,'Salary sheet'!$B$6:$AX$1386,48,0)</f>
        <v>DO THI VAN</v>
      </c>
      <c r="D651" s="824" t="str">
        <f>+VLOOKUP(B651,'Salary sheet'!$B$6:$BW$1386,49,0)</f>
        <v>050048183686</v>
      </c>
      <c r="E651" s="620">
        <f>+VLOOKUP(B651,'Salary sheet'!$B$6:$AT$1292,45,0)</f>
        <v>15220419</v>
      </c>
      <c r="F651" s="1029" t="s">
        <v>5723</v>
      </c>
      <c r="G651" s="824" t="str">
        <f>+VLOOKUP(B651,'Salary sheet'!$B$6:$E$2281,4,0)</f>
        <v>FACTORY O</v>
      </c>
      <c r="H651" s="607" t="str">
        <f>+VLOOKUP(B651,'Salary sheet'!$B$6:$AZ$1386,50,0)</f>
        <v>SK1 Box</v>
      </c>
      <c r="I651" s="607" t="str">
        <f t="shared" si="30"/>
        <v>C11692DO THI VAN050048183686</v>
      </c>
      <c r="J651" s="853" t="str">
        <f>+VLOOKUP(B651,'[5]04 2025'!$B$2:$F$1371,5,0)</f>
        <v>C11692DO THI VAN050048183686</v>
      </c>
      <c r="K651" s="607">
        <f t="shared" si="29"/>
        <v>1</v>
      </c>
      <c r="P651" s="685"/>
    </row>
    <row r="652" spans="1:16" s="607" customFormat="1" ht="18" customHeight="1">
      <c r="A652" s="826">
        <f>SUBTOTAL(3,B$6:B652)</f>
        <v>647</v>
      </c>
      <c r="B652" s="824" t="s">
        <v>2087</v>
      </c>
      <c r="C652" s="824" t="str">
        <f>+VLOOKUP(B652,'Salary sheet'!$B$6:$AX$1386,48,0)</f>
        <v>NGUYEN XUAN DANG</v>
      </c>
      <c r="D652" s="824" t="str">
        <f>+VLOOKUP(B652,'Salary sheet'!$B$6:$BW$1386,49,0)</f>
        <v>060263994100</v>
      </c>
      <c r="E652" s="620">
        <f>+VLOOKUP(B652,'Salary sheet'!$B$6:$AT$1292,45,0)</f>
        <v>14545092</v>
      </c>
      <c r="F652" s="1029" t="s">
        <v>5723</v>
      </c>
      <c r="G652" s="824" t="str">
        <f>+VLOOKUP(B652,'Salary sheet'!$B$6:$E$2281,4,0)</f>
        <v>FACTORY O</v>
      </c>
      <c r="H652" s="607" t="str">
        <f>+VLOOKUP(B652,'Salary sheet'!$B$6:$AZ$1386,50,0)</f>
        <v>SK1 Bag</v>
      </c>
      <c r="I652" s="607" t="str">
        <f t="shared" si="30"/>
        <v>C13175NGUYEN XUAN DANG060263994100</v>
      </c>
      <c r="J652" s="853" t="str">
        <f>+VLOOKUP(B652,'[5]04 2025'!$B$2:$F$1371,5,0)</f>
        <v>C13175NGUYEN XUAN DANG060263994100</v>
      </c>
      <c r="K652" s="607">
        <f t="shared" si="29"/>
        <v>1</v>
      </c>
      <c r="P652" s="685"/>
    </row>
    <row r="653" spans="1:16" s="607" customFormat="1" ht="18" customHeight="1">
      <c r="A653" s="826">
        <f>SUBTOTAL(3,B$6:B653)</f>
        <v>648</v>
      </c>
      <c r="B653" s="824" t="s">
        <v>2089</v>
      </c>
      <c r="C653" s="824" t="str">
        <f>+VLOOKUP(B653,'Salary sheet'!$B$6:$AX$1386,48,0)</f>
        <v>NGUYEN THI THIEN KIEU</v>
      </c>
      <c r="D653" s="824" t="str">
        <f>+VLOOKUP(B653,'Salary sheet'!$B$6:$BW$1386,49,0)</f>
        <v>050055353041</v>
      </c>
      <c r="E653" s="620">
        <f>+VLOOKUP(B653,'Salary sheet'!$B$6:$AT$1292,45,0)</f>
        <v>15355160</v>
      </c>
      <c r="F653" s="1029" t="s">
        <v>5723</v>
      </c>
      <c r="G653" s="824" t="str">
        <f>+VLOOKUP(B653,'Salary sheet'!$B$6:$E$2281,4,0)</f>
        <v>FACTORY O</v>
      </c>
      <c r="H653" s="607" t="str">
        <f>+VLOOKUP(B653,'Salary sheet'!$B$6:$AZ$1386,50,0)</f>
        <v>SK2</v>
      </c>
      <c r="I653" s="607" t="str">
        <f t="shared" si="30"/>
        <v>C14117NGUYEN THI THIEN KIEU050055353041</v>
      </c>
      <c r="J653" s="853" t="str">
        <f>+VLOOKUP(B653,'[5]04 2025'!$B$2:$F$1371,5,0)</f>
        <v>C14117NGUYEN THI THIEN KIEU050055353041</v>
      </c>
      <c r="K653" s="607">
        <f t="shared" si="29"/>
        <v>1</v>
      </c>
      <c r="P653" s="685"/>
    </row>
    <row r="654" spans="1:16" s="607" customFormat="1" ht="18" customHeight="1">
      <c r="A654" s="826">
        <f>SUBTOTAL(3,B$6:B654)</f>
        <v>649</v>
      </c>
      <c r="B654" s="824" t="s">
        <v>2091</v>
      </c>
      <c r="C654" s="824" t="str">
        <f>+VLOOKUP(B654,'Salary sheet'!$B$6:$AX$1386,48,0)</f>
        <v>NGO THI TAM</v>
      </c>
      <c r="D654" s="824" t="str">
        <f>+VLOOKUP(B654,'Salary sheet'!$B$6:$BW$1386,49,0)</f>
        <v>050155812467</v>
      </c>
      <c r="E654" s="620">
        <f>+VLOOKUP(B654,'Salary sheet'!$B$6:$AT$1292,45,0)</f>
        <v>14891285</v>
      </c>
      <c r="F654" s="1029" t="s">
        <v>5723</v>
      </c>
      <c r="G654" s="824" t="str">
        <f>+VLOOKUP(B654,'Salary sheet'!$B$6:$E$2281,4,0)</f>
        <v>FACTORY O</v>
      </c>
      <c r="H654" s="607" t="str">
        <f>+VLOOKUP(B654,'Salary sheet'!$B$6:$AZ$1386,50,0)</f>
        <v>SK1 Box</v>
      </c>
      <c r="I654" s="607" t="str">
        <f t="shared" si="30"/>
        <v>C16112NGO THI TAM050155812467</v>
      </c>
      <c r="J654" s="853" t="str">
        <f>+VLOOKUP(B654,'[5]04 2025'!$B$2:$F$1371,5,0)</f>
        <v>C16112NGO THI TAM050155812467</v>
      </c>
      <c r="K654" s="607">
        <f t="shared" si="29"/>
        <v>1</v>
      </c>
      <c r="P654" s="685"/>
    </row>
    <row r="655" spans="1:16" s="607" customFormat="1" ht="18" customHeight="1">
      <c r="A655" s="826">
        <f>SUBTOTAL(3,B$6:B655)</f>
        <v>650</v>
      </c>
      <c r="B655" s="824" t="s">
        <v>2093</v>
      </c>
      <c r="C655" s="824" t="str">
        <f>+VLOOKUP(B655,'Salary sheet'!$B$6:$AX$1386,48,0)</f>
        <v>NGUYEN THI HA</v>
      </c>
      <c r="D655" s="824" t="str">
        <f>+VLOOKUP(B655,'Salary sheet'!$B$6:$BW$1386,49,0)</f>
        <v>050040796239</v>
      </c>
      <c r="E655" s="620">
        <f>+VLOOKUP(B655,'Salary sheet'!$B$6:$AT$1292,45,0)</f>
        <v>27112390</v>
      </c>
      <c r="F655" s="1029" t="s">
        <v>5723</v>
      </c>
      <c r="G655" s="824" t="str">
        <f>+VLOOKUP(B655,'Salary sheet'!$B$6:$E$2281,4,0)</f>
        <v>FACTORY O</v>
      </c>
      <c r="H655" s="607" t="str">
        <f>+VLOOKUP(B655,'Salary sheet'!$B$6:$AZ$1386,50,0)</f>
        <v>SK1 Bag</v>
      </c>
      <c r="I655" s="607" t="str">
        <f t="shared" si="30"/>
        <v>V036NGUYEN THI HA050040796239</v>
      </c>
      <c r="J655" s="853" t="str">
        <f>+VLOOKUP(B655,'[5]04 2025'!$B$2:$F$1371,5,0)</f>
        <v>V036NGUYEN THI HA050040796239</v>
      </c>
      <c r="K655" s="607">
        <f t="shared" si="29"/>
        <v>1</v>
      </c>
      <c r="P655" s="685"/>
    </row>
    <row r="656" spans="1:16" s="607" customFormat="1" ht="18" customHeight="1">
      <c r="A656" s="826">
        <f>SUBTOTAL(3,B$6:B656)</f>
        <v>651</v>
      </c>
      <c r="B656" s="824" t="s">
        <v>2095</v>
      </c>
      <c r="C656" s="824" t="str">
        <f>+VLOOKUP(B656,'Salary sheet'!$B$6:$AX$1386,48,0)</f>
        <v>TRAN THI THUY TRANG</v>
      </c>
      <c r="D656" s="824" t="str">
        <f>+VLOOKUP(B656,'Salary sheet'!$B$6:$BW$1386,49,0)</f>
        <v>050040795933</v>
      </c>
      <c r="E656" s="620">
        <f>+VLOOKUP(B656,'Salary sheet'!$B$6:$AT$1292,45,0)</f>
        <v>16423564</v>
      </c>
      <c r="F656" s="1029" t="s">
        <v>5723</v>
      </c>
      <c r="G656" s="824" t="str">
        <f>+VLOOKUP(B656,'Salary sheet'!$B$6:$E$2281,4,0)</f>
        <v>FACTORY O</v>
      </c>
      <c r="H656" s="607" t="str">
        <f>+VLOOKUP(B656,'Salary sheet'!$B$6:$AZ$1386,50,0)</f>
        <v>SK2</v>
      </c>
      <c r="I656" s="607" t="str">
        <f t="shared" si="30"/>
        <v>V085TRAN THI THUY TRANG050040795933</v>
      </c>
      <c r="J656" s="853" t="str">
        <f>+VLOOKUP(B656,'[5]04 2025'!$B$2:$F$1371,5,0)</f>
        <v>V085TRAN THI THUY TRANG050040795933</v>
      </c>
      <c r="K656" s="607">
        <f t="shared" si="29"/>
        <v>1</v>
      </c>
      <c r="P656" s="685"/>
    </row>
    <row r="657" spans="1:16" s="607" customFormat="1" ht="18" customHeight="1">
      <c r="A657" s="826">
        <f>SUBTOTAL(3,B$6:B657)</f>
        <v>652</v>
      </c>
      <c r="B657" s="824" t="s">
        <v>2097</v>
      </c>
      <c r="C657" s="824" t="str">
        <f>+VLOOKUP(B657,'Salary sheet'!$B$6:$AX$1386,48,0)</f>
        <v>BUI TRAN CHIN</v>
      </c>
      <c r="D657" s="824" t="str">
        <f>+VLOOKUP(B657,'Salary sheet'!$B$6:$BW$1386,49,0)</f>
        <v>050066264669</v>
      </c>
      <c r="E657" s="620">
        <f>+VLOOKUP(B657,'Salary sheet'!$B$6:$AT$1292,45,0)</f>
        <v>15308554</v>
      </c>
      <c r="F657" s="1029" t="s">
        <v>5723</v>
      </c>
      <c r="G657" s="824" t="str">
        <f>+VLOOKUP(B657,'Salary sheet'!$B$6:$E$2281,4,0)</f>
        <v>FACTORY O</v>
      </c>
      <c r="H657" s="607" t="str">
        <f>+VLOOKUP(B657,'Salary sheet'!$B$6:$AZ$1386,50,0)</f>
        <v>SK1 Bag</v>
      </c>
      <c r="I657" s="607" t="str">
        <f t="shared" si="30"/>
        <v>C6508BUI TRAN CHIN050066264669</v>
      </c>
      <c r="J657" s="853" t="str">
        <f>+VLOOKUP(B657,'[5]04 2025'!$B$2:$F$1371,5,0)</f>
        <v>C6508BUI TRAN CHIN050066264669</v>
      </c>
      <c r="K657" s="607">
        <f t="shared" si="29"/>
        <v>1</v>
      </c>
      <c r="P657" s="685"/>
    </row>
    <row r="658" spans="1:16" s="607" customFormat="1" ht="18" customHeight="1">
      <c r="A658" s="826">
        <f>SUBTOTAL(3,B$6:B658)</f>
        <v>653</v>
      </c>
      <c r="B658" s="824" t="s">
        <v>2100</v>
      </c>
      <c r="C658" s="824" t="str">
        <f>+VLOOKUP(B658,'Salary sheet'!$B$6:$AX$1386,48,0)</f>
        <v>VU VAN LUAN</v>
      </c>
      <c r="D658" s="824" t="str">
        <f>+VLOOKUP(B658,'Salary sheet'!$B$6:$BW$1386,49,0)</f>
        <v>050040796352</v>
      </c>
      <c r="E658" s="620">
        <f>+VLOOKUP(B658,'Salary sheet'!$B$6:$AT$1292,45,0)</f>
        <v>20523450</v>
      </c>
      <c r="F658" s="1029" t="s">
        <v>5723</v>
      </c>
      <c r="G658" s="824" t="str">
        <f>+VLOOKUP(B658,'Salary sheet'!$B$6:$E$2281,4,0)</f>
        <v>FACTORY O</v>
      </c>
      <c r="H658" s="607" t="str">
        <f>+VLOOKUP(B658,'Salary sheet'!$B$6:$AZ$1386,50,0)</f>
        <v>SK1 Box</v>
      </c>
      <c r="I658" s="607" t="str">
        <f t="shared" si="30"/>
        <v>V003VU VAN LUAN050040796352</v>
      </c>
      <c r="J658" s="853" t="str">
        <f>+VLOOKUP(B658,'[5]04 2025'!$B$2:$F$1371,5,0)</f>
        <v>V003VU VAN LUAN050040796352</v>
      </c>
      <c r="K658" s="607">
        <f t="shared" si="29"/>
        <v>1</v>
      </c>
      <c r="P658" s="685"/>
    </row>
    <row r="659" spans="1:16" s="607" customFormat="1" ht="18" customHeight="1">
      <c r="A659" s="826">
        <f>SUBTOTAL(3,B$6:B659)</f>
        <v>654</v>
      </c>
      <c r="B659" s="824" t="s">
        <v>2102</v>
      </c>
      <c r="C659" s="824" t="str">
        <f>+VLOOKUP(B659,'Salary sheet'!$B$6:$AX$1386,48,0)</f>
        <v>MAI VAN BOI</v>
      </c>
      <c r="D659" s="824" t="str">
        <f>+VLOOKUP(B659,'Salary sheet'!$B$6:$BW$1386,49,0)</f>
        <v>050116196058</v>
      </c>
      <c r="E659" s="620">
        <f>+VLOOKUP(B659,'Salary sheet'!$B$6:$AT$1292,45,0)</f>
        <v>8348255</v>
      </c>
      <c r="F659" s="1029" t="s">
        <v>5723</v>
      </c>
      <c r="G659" s="824" t="str">
        <f>+VLOOKUP(B659,'Salary sheet'!$B$6:$E$2281,4,0)</f>
        <v>FACTORY O</v>
      </c>
      <c r="H659" s="607" t="str">
        <f>+VLOOKUP(B659,'Salary sheet'!$B$6:$AZ$1386,50,0)</f>
        <v>SK1 Bag</v>
      </c>
      <c r="I659" s="607" t="str">
        <f t="shared" si="30"/>
        <v>C11694MAI VAN BOI050116196058</v>
      </c>
      <c r="J659" s="853" t="str">
        <f>+VLOOKUP(B659,'[5]04 2025'!$B$2:$F$1371,5,0)</f>
        <v>C11694MAI VAN BOI050116196058</v>
      </c>
      <c r="K659" s="607">
        <f t="shared" si="29"/>
        <v>1</v>
      </c>
      <c r="P659" s="685"/>
    </row>
    <row r="660" spans="1:16" s="607" customFormat="1" ht="18" customHeight="1">
      <c r="A660" s="826">
        <f>SUBTOTAL(3,B$6:B660)</f>
        <v>655</v>
      </c>
      <c r="B660" s="824" t="s">
        <v>2105</v>
      </c>
      <c r="C660" s="824" t="str">
        <f>+VLOOKUP(B660,'Salary sheet'!$B$6:$AX$1386,48,0)</f>
        <v>LE THI HAO</v>
      </c>
      <c r="D660" s="824" t="str">
        <f>+VLOOKUP(B660,'Salary sheet'!$B$6:$BW$1386,49,0)</f>
        <v>050055489235</v>
      </c>
      <c r="E660" s="620">
        <f>+VLOOKUP(B660,'Salary sheet'!$B$6:$AT$1292,45,0)</f>
        <v>8568446</v>
      </c>
      <c r="F660" s="1029" t="s">
        <v>5723</v>
      </c>
      <c r="G660" s="824" t="str">
        <f>+VLOOKUP(B660,'Salary sheet'!$B$6:$E$2281,4,0)</f>
        <v>FACTORY O</v>
      </c>
      <c r="H660" s="607" t="str">
        <f>+VLOOKUP(B660,'Salary sheet'!$B$6:$AZ$1386,50,0)</f>
        <v>SK1 Bag</v>
      </c>
      <c r="I660" s="607" t="str">
        <f t="shared" si="30"/>
        <v>C15443LE THI HAO050055489235</v>
      </c>
      <c r="J660" s="853" t="str">
        <f>+VLOOKUP(B660,'[5]04 2025'!$B$2:$F$1371,5,0)</f>
        <v>C15443LE THI HAO050055489235</v>
      </c>
      <c r="K660" s="607">
        <f t="shared" si="29"/>
        <v>1</v>
      </c>
      <c r="P660" s="685"/>
    </row>
    <row r="661" spans="1:16" s="607" customFormat="1" ht="18" customHeight="1">
      <c r="A661" s="826">
        <f>SUBTOTAL(3,B$6:B661)</f>
        <v>656</v>
      </c>
      <c r="B661" s="824" t="s">
        <v>2108</v>
      </c>
      <c r="C661" s="824" t="str">
        <f>+VLOOKUP(B661,'Salary sheet'!$B$6:$AX$1386,48,0)</f>
        <v>LE THO THIET</v>
      </c>
      <c r="D661" s="824" t="str">
        <f>+VLOOKUP(B661,'Salary sheet'!$B$6:$BW$1386,49,0)</f>
        <v>050040998516</v>
      </c>
      <c r="E661" s="620">
        <f>+VLOOKUP(B661,'Salary sheet'!$B$6:$AT$1292,45,0)</f>
        <v>8920901</v>
      </c>
      <c r="F661" s="1029" t="s">
        <v>5723</v>
      </c>
      <c r="G661" s="824" t="str">
        <f>+VLOOKUP(B661,'Salary sheet'!$B$6:$E$2281,4,0)</f>
        <v>FACTORY O</v>
      </c>
      <c r="H661" s="607" t="str">
        <f>+VLOOKUP(B661,'Salary sheet'!$B$6:$AZ$1386,50,0)</f>
        <v>SK1 Box</v>
      </c>
      <c r="I661" s="607" t="str">
        <f t="shared" si="30"/>
        <v>C3408LE THO THIET050040998516</v>
      </c>
      <c r="J661" s="853" t="str">
        <f>+VLOOKUP(B661,'[5]04 2025'!$B$2:$F$1371,5,0)</f>
        <v>C3408LE THO THIET050040998516</v>
      </c>
      <c r="K661" s="607">
        <f t="shared" si="29"/>
        <v>1</v>
      </c>
      <c r="P661" s="685"/>
    </row>
    <row r="662" spans="1:16" s="607" customFormat="1" ht="18" customHeight="1">
      <c r="A662" s="826">
        <f>SUBTOTAL(3,B$6:B662)</f>
        <v>657</v>
      </c>
      <c r="B662" s="824" t="s">
        <v>2110</v>
      </c>
      <c r="C662" s="824" t="str">
        <f>+VLOOKUP(B662,'Salary sheet'!$B$6:$AX$1386,48,0)</f>
        <v>PHAM VU HOANG LONG</v>
      </c>
      <c r="D662" s="824" t="str">
        <f>+VLOOKUP(B662,'Salary sheet'!$B$6:$BW$1386,49,0)</f>
        <v>050046448402</v>
      </c>
      <c r="E662" s="620">
        <f>+VLOOKUP(B662,'Salary sheet'!$B$6:$AT$1292,45,0)</f>
        <v>10329711</v>
      </c>
      <c r="F662" s="1029" t="s">
        <v>5723</v>
      </c>
      <c r="G662" s="824" t="str">
        <f>+VLOOKUP(B662,'Salary sheet'!$B$6:$E$2281,4,0)</f>
        <v>FACTORY O</v>
      </c>
      <c r="H662" s="607" t="str">
        <f>+VLOOKUP(B662,'Salary sheet'!$B$6:$AZ$1386,50,0)</f>
        <v>SK1 Box</v>
      </c>
      <c r="I662" s="607" t="str">
        <f t="shared" si="30"/>
        <v>C6533PHAM VU HOANG LONG050046448402</v>
      </c>
      <c r="J662" s="853" t="str">
        <f>+VLOOKUP(B662,'[5]04 2025'!$B$2:$F$1371,5,0)</f>
        <v>C6533PHAM VU HOANG LONG050046448402</v>
      </c>
      <c r="K662" s="607">
        <f t="shared" si="29"/>
        <v>1</v>
      </c>
      <c r="P662" s="685"/>
    </row>
    <row r="663" spans="1:16" s="607" customFormat="1" ht="18" customHeight="1">
      <c r="A663" s="826">
        <f>SUBTOTAL(3,B$6:B663)</f>
        <v>658</v>
      </c>
      <c r="B663" s="824" t="s">
        <v>2113</v>
      </c>
      <c r="C663" s="824" t="str">
        <f>+VLOOKUP(B663,'Salary sheet'!$B$6:$AX$1386,48,0)</f>
        <v>HOANG THI DAN</v>
      </c>
      <c r="D663" s="824" t="str">
        <f>+VLOOKUP(B663,'Salary sheet'!$B$6:$BW$1386,49,0)</f>
        <v>050050562163</v>
      </c>
      <c r="E663" s="620">
        <f>+VLOOKUP(B663,'Salary sheet'!$B$6:$AT$1292,45,0)</f>
        <v>10291417</v>
      </c>
      <c r="F663" s="1029" t="s">
        <v>5723</v>
      </c>
      <c r="G663" s="824" t="str">
        <f>+VLOOKUP(B663,'Salary sheet'!$B$6:$E$2281,4,0)</f>
        <v>FACTORY O</v>
      </c>
      <c r="H663" s="607" t="str">
        <f>+VLOOKUP(B663,'Salary sheet'!$B$6:$AZ$1386,50,0)</f>
        <v>SK1 Bag</v>
      </c>
      <c r="I663" s="607" t="str">
        <f t="shared" si="30"/>
        <v>C6697HOANG THI DAN050050562163</v>
      </c>
      <c r="J663" s="853" t="str">
        <f>+VLOOKUP(B663,'[5]04 2025'!$B$2:$F$1371,5,0)</f>
        <v>C6697HOANG THI DAN050050562163</v>
      </c>
      <c r="K663" s="607">
        <f t="shared" si="29"/>
        <v>1</v>
      </c>
      <c r="P663" s="685"/>
    </row>
    <row r="664" spans="1:16" s="607" customFormat="1" ht="18" customHeight="1">
      <c r="A664" s="826">
        <f>SUBTOTAL(3,B$6:B664)</f>
        <v>659</v>
      </c>
      <c r="B664" s="824" t="s">
        <v>2115</v>
      </c>
      <c r="C664" s="824" t="str">
        <f>+VLOOKUP(B664,'Salary sheet'!$B$6:$AX$1386,48,0)</f>
        <v>NGUYEN THI HANH</v>
      </c>
      <c r="D664" s="824" t="str">
        <f>+VLOOKUP(B664,'Salary sheet'!$B$6:$BW$1386,49,0)</f>
        <v>050040795364</v>
      </c>
      <c r="E664" s="620">
        <f>+VLOOKUP(B664,'Salary sheet'!$B$6:$AT$1292,45,0)</f>
        <v>9468108</v>
      </c>
      <c r="F664" s="1029" t="s">
        <v>5723</v>
      </c>
      <c r="G664" s="824" t="str">
        <f>+VLOOKUP(B664,'Salary sheet'!$B$6:$E$2281,4,0)</f>
        <v>FACTORY O</v>
      </c>
      <c r="H664" s="607" t="str">
        <f>+VLOOKUP(B664,'Salary sheet'!$B$6:$AZ$1386,50,0)</f>
        <v>SK1 Box</v>
      </c>
      <c r="I664" s="607" t="str">
        <f t="shared" si="30"/>
        <v>C7259NGUYEN THI HANH050040795364</v>
      </c>
      <c r="J664" s="853" t="str">
        <f>+VLOOKUP(B664,'[5]04 2025'!$B$2:$F$1371,5,0)</f>
        <v>C7259NGUYEN THI HANH050040795364</v>
      </c>
      <c r="K664" s="607">
        <f t="shared" si="29"/>
        <v>1</v>
      </c>
      <c r="P664" s="685"/>
    </row>
    <row r="665" spans="1:16" s="607" customFormat="1" ht="18" customHeight="1">
      <c r="A665" s="826">
        <f>SUBTOTAL(3,B$6:B665)</f>
        <v>660</v>
      </c>
      <c r="B665" s="824" t="s">
        <v>2117</v>
      </c>
      <c r="C665" s="824" t="str">
        <f>+VLOOKUP(B665,'Salary sheet'!$B$6:$AX$1386,48,0)</f>
        <v>LUU THI MY DUNG</v>
      </c>
      <c r="D665" s="824" t="str">
        <f>+VLOOKUP(B665,'Salary sheet'!$B$6:$BW$1386,49,0)</f>
        <v>050153731354</v>
      </c>
      <c r="E665" s="620">
        <f>+VLOOKUP(B665,'Salary sheet'!$B$6:$AT$1292,45,0)</f>
        <v>10752452</v>
      </c>
      <c r="F665" s="1029" t="s">
        <v>5723</v>
      </c>
      <c r="G665" s="824" t="str">
        <f>+VLOOKUP(B665,'Salary sheet'!$B$6:$E$2281,4,0)</f>
        <v>FACTORY O</v>
      </c>
      <c r="H665" s="607" t="str">
        <f>+VLOOKUP(B665,'Salary sheet'!$B$6:$AZ$1386,50,0)</f>
        <v>SK1 Box</v>
      </c>
      <c r="I665" s="607" t="str">
        <f t="shared" si="30"/>
        <v>C15923LUU THI MY DUNG050153731354</v>
      </c>
      <c r="J665" s="853" t="str">
        <f>+VLOOKUP(B665,'[5]04 2025'!$B$2:$F$1371,5,0)</f>
        <v>C15923LUU THI MY DUNG050153731354</v>
      </c>
      <c r="K665" s="607">
        <f t="shared" si="29"/>
        <v>1</v>
      </c>
      <c r="P665" s="685"/>
    </row>
    <row r="666" spans="1:16" s="607" customFormat="1" ht="18" customHeight="1">
      <c r="A666" s="826">
        <f>SUBTOTAL(3,B$6:B666)</f>
        <v>661</v>
      </c>
      <c r="B666" s="824" t="s">
        <v>2120</v>
      </c>
      <c r="C666" s="824" t="str">
        <f>+VLOOKUP(B666,'Salary sheet'!$B$6:$AX$1386,48,0)</f>
        <v>DO THI TRINH</v>
      </c>
      <c r="D666" s="824" t="str">
        <f>+VLOOKUP(B666,'Salary sheet'!$B$6:$BW$1386,49,0)</f>
        <v>050040851671</v>
      </c>
      <c r="E666" s="620">
        <f>+VLOOKUP(B666,'Salary sheet'!$B$6:$AT$1292,45,0)</f>
        <v>14906802</v>
      </c>
      <c r="F666" s="1029" t="s">
        <v>5723</v>
      </c>
      <c r="G666" s="824" t="str">
        <f>+VLOOKUP(B666,'Salary sheet'!$B$6:$E$2281,4,0)</f>
        <v>FACTORY O</v>
      </c>
      <c r="H666" s="607" t="str">
        <f>+VLOOKUP(B666,'Salary sheet'!$B$6:$AZ$1386,50,0)</f>
        <v>SK1 Bag</v>
      </c>
      <c r="I666" s="607" t="str">
        <f t="shared" si="30"/>
        <v>C2666DO THI TRINH050040851671</v>
      </c>
      <c r="J666" s="853" t="str">
        <f>+VLOOKUP(B666,'[5]04 2025'!$B$2:$F$1371,5,0)</f>
        <v>C2666DO THI TRINH050040851671</v>
      </c>
      <c r="K666" s="607">
        <f t="shared" si="29"/>
        <v>1</v>
      </c>
      <c r="P666" s="685"/>
    </row>
    <row r="667" spans="1:16" s="607" customFormat="1" ht="18" customHeight="1">
      <c r="A667" s="826">
        <f>SUBTOTAL(3,B$6:B667)</f>
        <v>662</v>
      </c>
      <c r="B667" s="824" t="s">
        <v>2122</v>
      </c>
      <c r="C667" s="824" t="str">
        <f>+VLOOKUP(B667,'Salary sheet'!$B$6:$AX$1386,48,0)</f>
        <v>NGUYEN THI NGOC LOAN</v>
      </c>
      <c r="D667" s="824" t="str">
        <f>+VLOOKUP(B667,'Salary sheet'!$B$6:$BW$1386,49,0)</f>
        <v>050040875155</v>
      </c>
      <c r="E667" s="620">
        <f>+VLOOKUP(B667,'Salary sheet'!$B$6:$AT$1292,45,0)</f>
        <v>13999167</v>
      </c>
      <c r="F667" s="1029" t="s">
        <v>5723</v>
      </c>
      <c r="G667" s="824" t="str">
        <f>+VLOOKUP(B667,'Salary sheet'!$B$6:$E$2281,4,0)</f>
        <v>FACTORY O</v>
      </c>
      <c r="H667" s="607" t="str">
        <f>+VLOOKUP(B667,'Salary sheet'!$B$6:$AZ$1386,50,0)</f>
        <v>SK1 Box</v>
      </c>
      <c r="I667" s="607" t="str">
        <f t="shared" si="30"/>
        <v>C2867NGUYEN THI NGOC LOAN050040875155</v>
      </c>
      <c r="J667" s="853" t="str">
        <f>+VLOOKUP(B667,'[5]04 2025'!$B$2:$F$1371,5,0)</f>
        <v>C2867NGUYEN THI NGOC LOAN050040875155</v>
      </c>
      <c r="K667" s="607">
        <f t="shared" si="29"/>
        <v>1</v>
      </c>
      <c r="P667" s="685"/>
    </row>
    <row r="668" spans="1:16" s="607" customFormat="1" ht="18" customHeight="1">
      <c r="A668" s="826">
        <f>SUBTOTAL(3,B$6:B668)</f>
        <v>663</v>
      </c>
      <c r="B668" s="824" t="s">
        <v>2124</v>
      </c>
      <c r="C668" s="824" t="str">
        <f>+VLOOKUP(B668,'Salary sheet'!$B$6:$AX$1386,48,0)</f>
        <v>KIEU THI PHUONG</v>
      </c>
      <c r="D668" s="824" t="str">
        <f>+VLOOKUP(B668,'Salary sheet'!$B$6:$BW$1386,49,0)</f>
        <v>050040876356</v>
      </c>
      <c r="E668" s="620">
        <f>+VLOOKUP(B668,'Salary sheet'!$B$6:$AT$1292,45,0)</f>
        <v>16359176</v>
      </c>
      <c r="F668" s="1029" t="s">
        <v>5723</v>
      </c>
      <c r="G668" s="824" t="str">
        <f>+VLOOKUP(B668,'Salary sheet'!$B$6:$E$2281,4,0)</f>
        <v>FACTORY O</v>
      </c>
      <c r="H668" s="607" t="str">
        <f>+VLOOKUP(B668,'Salary sheet'!$B$6:$AZ$1386,50,0)</f>
        <v>SK1 Bag</v>
      </c>
      <c r="I668" s="607" t="str">
        <f t="shared" si="30"/>
        <v>C5397KIEU THI PHUONG050040876356</v>
      </c>
      <c r="J668" s="853" t="str">
        <f>+VLOOKUP(B668,'[5]04 2025'!$B$2:$F$1371,5,0)</f>
        <v>C5397KIEU THI PHUONG050040876356</v>
      </c>
      <c r="K668" s="607">
        <f t="shared" si="29"/>
        <v>1</v>
      </c>
      <c r="P668" s="685"/>
    </row>
    <row r="669" spans="1:16" s="607" customFormat="1" ht="18" customHeight="1">
      <c r="A669" s="826">
        <f>SUBTOTAL(3,B$6:B669)</f>
        <v>664</v>
      </c>
      <c r="B669" s="824" t="s">
        <v>2127</v>
      </c>
      <c r="C669" s="824" t="str">
        <f>+VLOOKUP(B669,'Salary sheet'!$B$6:$AX$1386,48,0)</f>
        <v>BUI KHAC THO</v>
      </c>
      <c r="D669" s="824" t="str">
        <f>+VLOOKUP(B669,'Salary sheet'!$B$6:$BW$1386,49,0)</f>
        <v>050068550901</v>
      </c>
      <c r="E669" s="620">
        <f>+VLOOKUP(B669,'Salary sheet'!$B$6:$AT$1292,45,0)</f>
        <v>17857208</v>
      </c>
      <c r="F669" s="1029" t="s">
        <v>5723</v>
      </c>
      <c r="G669" s="824" t="str">
        <f>+VLOOKUP(B669,'Salary sheet'!$B$6:$E$2281,4,0)</f>
        <v>FACTORY O</v>
      </c>
      <c r="H669" s="607" t="str">
        <f>+VLOOKUP(B669,'Salary sheet'!$B$6:$AZ$1386,50,0)</f>
        <v>SK1 Box</v>
      </c>
      <c r="I669" s="607" t="str">
        <f t="shared" si="30"/>
        <v>C6390BUI KHAC THO050068550901</v>
      </c>
      <c r="J669" s="853" t="str">
        <f>+VLOOKUP(B669,'[5]04 2025'!$B$2:$F$1371,5,0)</f>
        <v>C6390BUI KHAC THO050068550901</v>
      </c>
      <c r="K669" s="607">
        <f t="shared" si="29"/>
        <v>1</v>
      </c>
      <c r="P669" s="685"/>
    </row>
    <row r="670" spans="1:16" s="607" customFormat="1" ht="18" customHeight="1">
      <c r="A670" s="826">
        <f>SUBTOTAL(3,B$6:B670)</f>
        <v>665</v>
      </c>
      <c r="B670" s="824" t="s">
        <v>2130</v>
      </c>
      <c r="C670" s="824" t="str">
        <f>+VLOOKUP(B670,'Salary sheet'!$B$6:$AX$1386,48,0)</f>
        <v>LE NGOC DUC</v>
      </c>
      <c r="D670" s="824" t="str">
        <f>+VLOOKUP(B670,'Salary sheet'!$B$6:$BW$1386,49,0)</f>
        <v>050061804851</v>
      </c>
      <c r="E670" s="620">
        <f>+VLOOKUP(B670,'Salary sheet'!$B$6:$AT$1292,45,0)</f>
        <v>14178034</v>
      </c>
      <c r="F670" s="1029" t="s">
        <v>5723</v>
      </c>
      <c r="G670" s="824" t="str">
        <f>+VLOOKUP(B670,'Salary sheet'!$B$6:$E$2281,4,0)</f>
        <v>FACTORY O</v>
      </c>
      <c r="H670" s="607" t="str">
        <f>+VLOOKUP(B670,'Salary sheet'!$B$6:$AZ$1386,50,0)</f>
        <v>SK1 Bag</v>
      </c>
      <c r="I670" s="607" t="str">
        <f t="shared" si="30"/>
        <v>C9431LE NGOC DUC050061804851</v>
      </c>
      <c r="J670" s="853" t="str">
        <f>+VLOOKUP(B670,'[5]04 2025'!$B$2:$F$1371,5,0)</f>
        <v>C9431LE NGOC DUC050061804851</v>
      </c>
      <c r="K670" s="607">
        <f t="shared" si="29"/>
        <v>1</v>
      </c>
      <c r="P670" s="685"/>
    </row>
    <row r="671" spans="1:16" s="607" customFormat="1" ht="18" customHeight="1">
      <c r="A671" s="826">
        <f>SUBTOTAL(3,B$6:B671)</f>
        <v>666</v>
      </c>
      <c r="B671" s="824" t="s">
        <v>2132</v>
      </c>
      <c r="C671" s="824" t="str">
        <f>+VLOOKUP(B671,'Salary sheet'!$B$6:$AX$1386,48,0)</f>
        <v>LE THANH LOC</v>
      </c>
      <c r="D671" s="824" t="str">
        <f>+VLOOKUP(B671,'Salary sheet'!$B$6:$BW$1386,49,0)</f>
        <v>050121174313</v>
      </c>
      <c r="E671" s="620">
        <f>+VLOOKUP(B671,'Salary sheet'!$B$6:$AT$1292,45,0)</f>
        <v>15491900</v>
      </c>
      <c r="F671" s="1029" t="s">
        <v>5723</v>
      </c>
      <c r="G671" s="824" t="str">
        <f>+VLOOKUP(B671,'Salary sheet'!$B$6:$E$2281,4,0)</f>
        <v>FACTORY O</v>
      </c>
      <c r="H671" s="607" t="str">
        <f>+VLOOKUP(B671,'Salary sheet'!$B$6:$AZ$1386,50,0)</f>
        <v>SK1 Box</v>
      </c>
      <c r="I671" s="607" t="str">
        <f t="shared" si="30"/>
        <v>C12764LE THANH LOC050121174313</v>
      </c>
      <c r="J671" s="853" t="str">
        <f>+VLOOKUP(B671,'[5]04 2025'!$B$2:$F$1371,5,0)</f>
        <v>C12764LE THANH LOC050121174313</v>
      </c>
      <c r="K671" s="607">
        <f t="shared" si="29"/>
        <v>1</v>
      </c>
      <c r="P671" s="685"/>
    </row>
    <row r="672" spans="1:16" s="607" customFormat="1" ht="18" customHeight="1">
      <c r="A672" s="826">
        <f>SUBTOTAL(3,B$6:B672)</f>
        <v>667</v>
      </c>
      <c r="B672" s="824" t="s">
        <v>2136</v>
      </c>
      <c r="C672" s="824" t="str">
        <f>+VLOOKUP(B672,'Salary sheet'!$B$6:$AX$1386,48,0)</f>
        <v>LE THI HONG BUOC</v>
      </c>
      <c r="D672" s="824" t="str">
        <f>+VLOOKUP(B672,'Salary sheet'!$B$6:$BW$1386,49,0)</f>
        <v>060260778504</v>
      </c>
      <c r="E672" s="620">
        <f>+VLOOKUP(B672,'Salary sheet'!$B$6:$AT$1292,45,0)</f>
        <v>7778544</v>
      </c>
      <c r="F672" s="1029" t="s">
        <v>5723</v>
      </c>
      <c r="G672" s="824" t="str">
        <f>+VLOOKUP(B672,'Salary sheet'!$B$6:$E$2281,4,0)</f>
        <v>FACTORY O</v>
      </c>
      <c r="H672" s="607" t="str">
        <f>+VLOOKUP(B672,'Salary sheet'!$B$6:$AZ$1386,50,0)</f>
        <v>SK1 Box</v>
      </c>
      <c r="I672" s="607" t="str">
        <f t="shared" si="30"/>
        <v>C14573LE THI HONG BUOC060260778504</v>
      </c>
      <c r="J672" s="853" t="str">
        <f>+VLOOKUP(B672,'[5]04 2025'!$B$2:$F$1371,5,0)</f>
        <v>C14573LE THI HONG BUOC060260778504</v>
      </c>
      <c r="K672" s="607">
        <f t="shared" si="29"/>
        <v>1</v>
      </c>
      <c r="P672" s="685"/>
    </row>
    <row r="673" spans="1:16" s="607" customFormat="1" ht="18" customHeight="1">
      <c r="A673" s="826">
        <f>SUBTOTAL(3,B$6:B673)</f>
        <v>668</v>
      </c>
      <c r="B673" s="824" t="s">
        <v>2138</v>
      </c>
      <c r="C673" s="824" t="str">
        <f>+VLOOKUP(B673,'Salary sheet'!$B$6:$AX$1386,48,0)</f>
        <v>NGO THI THANH NGUYEN</v>
      </c>
      <c r="D673" s="824" t="str">
        <f>+VLOOKUP(B673,'Salary sheet'!$B$6:$BW$1386,49,0)</f>
        <v>050146573212</v>
      </c>
      <c r="E673" s="620">
        <f>+VLOOKUP(B673,'Salary sheet'!$B$6:$AT$1292,45,0)</f>
        <v>7608208</v>
      </c>
      <c r="F673" s="1029" t="s">
        <v>5723</v>
      </c>
      <c r="G673" s="824" t="str">
        <f>+VLOOKUP(B673,'Salary sheet'!$B$6:$E$2281,4,0)</f>
        <v>FACTORY O</v>
      </c>
      <c r="H673" s="607" t="str">
        <f>+VLOOKUP(B673,'Salary sheet'!$B$6:$AZ$1386,50,0)</f>
        <v>SK1 Box</v>
      </c>
      <c r="I673" s="607" t="str">
        <f t="shared" si="30"/>
        <v>C15903NGO THI THANH NGUYEN050146573212</v>
      </c>
      <c r="J673" s="853" t="str">
        <f>+VLOOKUP(B673,'[5]04 2025'!$B$2:$F$1371,5,0)</f>
        <v>C15903NGO THI THANH NGUYEN050146573212</v>
      </c>
      <c r="K673" s="607">
        <f t="shared" si="29"/>
        <v>1</v>
      </c>
      <c r="P673" s="685"/>
    </row>
    <row r="674" spans="1:16" s="607" customFormat="1" ht="18" customHeight="1">
      <c r="A674" s="826">
        <f>SUBTOTAL(3,B$6:B674)</f>
        <v>669</v>
      </c>
      <c r="B674" s="824" t="s">
        <v>5771</v>
      </c>
      <c r="C674" s="824" t="str">
        <f>+VLOOKUP(B674,'Salary sheet'!$B$6:$AX$1386,48,0)</f>
        <v>BUI THI THANH</v>
      </c>
      <c r="D674" s="824" t="str">
        <f>+VLOOKUP(B674,'Salary sheet'!$B$6:$BW$1386,49,0)</f>
        <v>050365491057</v>
      </c>
      <c r="E674" s="620">
        <f>+VLOOKUP(B674,'Salary sheet'!$B$6:$AT$1292,45,0)</f>
        <v>8057452</v>
      </c>
      <c r="F674" s="1029" t="s">
        <v>5723</v>
      </c>
      <c r="G674" s="824" t="str">
        <f>+VLOOKUP(B674,'Salary sheet'!$B$6:$E$2281,4,0)</f>
        <v>FACTORY O</v>
      </c>
      <c r="H674" s="607" t="str">
        <f>+VLOOKUP(B674,'Salary sheet'!$B$6:$AZ$1386,50,0)</f>
        <v>SK2</v>
      </c>
      <c r="I674" s="607" t="str">
        <f t="shared" si="30"/>
        <v>C16577BUI THI THANH050365491057</v>
      </c>
      <c r="J674" s="853" t="str">
        <f>+VLOOKUP(B674,'[5]04 2025'!$B$2:$F$1371,5,0)</f>
        <v>C16577BUI THI THANH050365491057</v>
      </c>
      <c r="K674" s="607">
        <f t="shared" si="29"/>
        <v>1</v>
      </c>
      <c r="P674" s="685"/>
    </row>
    <row r="675" spans="1:16" s="607" customFormat="1" ht="18" customHeight="1">
      <c r="A675" s="826">
        <f>SUBTOTAL(3,B$6:B675)</f>
        <v>670</v>
      </c>
      <c r="B675" s="824" t="s">
        <v>2140</v>
      </c>
      <c r="C675" s="824" t="str">
        <f>+VLOOKUP(B675,'Salary sheet'!$B$6:$AX$1386,48,0)</f>
        <v>DUONG VAN KHANH</v>
      </c>
      <c r="D675" s="824" t="str">
        <f>+VLOOKUP(B675,'Salary sheet'!$B$6:$BW$1386,49,0)</f>
        <v>050040825166</v>
      </c>
      <c r="E675" s="620">
        <f>+VLOOKUP(B675,'Salary sheet'!$B$6:$AT$1292,45,0)</f>
        <v>12436732</v>
      </c>
      <c r="F675" s="1029" t="s">
        <v>5723</v>
      </c>
      <c r="G675" s="824" t="str">
        <f>+VLOOKUP(B675,'Salary sheet'!$B$6:$E$2281,4,0)</f>
        <v>FACTORY O</v>
      </c>
      <c r="H675" s="607" t="str">
        <f>+VLOOKUP(B675,'Salary sheet'!$B$6:$AZ$1386,50,0)</f>
        <v>SK1 Bag</v>
      </c>
      <c r="I675" s="607" t="str">
        <f t="shared" si="30"/>
        <v>C0681DUONG VAN KHANH050040825166</v>
      </c>
      <c r="J675" s="853" t="str">
        <f>+VLOOKUP(B675,'[5]04 2025'!$B$2:$F$1371,5,0)</f>
        <v>C0681DUONG VAN KHANH050040825166</v>
      </c>
      <c r="K675" s="607">
        <f t="shared" si="29"/>
        <v>1</v>
      </c>
      <c r="P675" s="685"/>
    </row>
    <row r="676" spans="1:16" s="607" customFormat="1" ht="18" customHeight="1">
      <c r="A676" s="826">
        <f>SUBTOTAL(3,B$6:B676)</f>
        <v>671</v>
      </c>
      <c r="B676" s="824" t="s">
        <v>2143</v>
      </c>
      <c r="C676" s="824" t="str">
        <f>+VLOOKUP(B676,'Salary sheet'!$B$6:$AX$1386,48,0)</f>
        <v>LE MANH HA</v>
      </c>
      <c r="D676" s="824" t="str">
        <f>+VLOOKUP(B676,'Salary sheet'!$B$6:$BW$1386,49,0)</f>
        <v>050063604051</v>
      </c>
      <c r="E676" s="620">
        <f>+VLOOKUP(B676,'Salary sheet'!$B$6:$AT$1292,45,0)</f>
        <v>10916505</v>
      </c>
      <c r="F676" s="1029" t="s">
        <v>5723</v>
      </c>
      <c r="G676" s="824" t="str">
        <f>+VLOOKUP(B676,'Salary sheet'!$B$6:$E$2281,4,0)</f>
        <v>FACTORY O</v>
      </c>
      <c r="H676" s="607" t="str">
        <f>+VLOOKUP(B676,'Salary sheet'!$B$6:$AZ$1386,50,0)</f>
        <v>SK1 Box</v>
      </c>
      <c r="I676" s="607" t="str">
        <f t="shared" si="30"/>
        <v>C10707LE MANH HA050063604051</v>
      </c>
      <c r="J676" s="853" t="str">
        <f>+VLOOKUP(B676,'[5]04 2025'!$B$2:$F$1371,5,0)</f>
        <v>C10707LE MANH HA050063604051</v>
      </c>
      <c r="K676" s="607">
        <f t="shared" si="29"/>
        <v>1</v>
      </c>
      <c r="P676" s="685"/>
    </row>
    <row r="677" spans="1:16" s="607" customFormat="1" ht="18" customHeight="1">
      <c r="A677" s="826">
        <f>SUBTOTAL(3,B$6:B677)</f>
        <v>672</v>
      </c>
      <c r="B677" s="824" t="s">
        <v>2146</v>
      </c>
      <c r="C677" s="824" t="str">
        <f>+VLOOKUP(B677,'Salary sheet'!$B$6:$AX$1386,48,0)</f>
        <v>DO VAN TUAN</v>
      </c>
      <c r="D677" s="824" t="str">
        <f>+VLOOKUP(B677,'Salary sheet'!$B$6:$BW$1386,49,0)</f>
        <v>050040818437</v>
      </c>
      <c r="E677" s="620">
        <f>+VLOOKUP(B677,'Salary sheet'!$B$6:$AT$1292,45,0)</f>
        <v>15157585</v>
      </c>
      <c r="F677" s="1029" t="s">
        <v>5723</v>
      </c>
      <c r="G677" s="824" t="str">
        <f>+VLOOKUP(B677,'Salary sheet'!$B$6:$E$2281,4,0)</f>
        <v>FACTORY O</v>
      </c>
      <c r="H677" s="607" t="str">
        <f>+VLOOKUP(B677,'Salary sheet'!$B$6:$AZ$1386,50,0)</f>
        <v>SK1 Box</v>
      </c>
      <c r="I677" s="607" t="str">
        <f t="shared" si="30"/>
        <v>C1079DO VAN TUAN050040818437</v>
      </c>
      <c r="J677" s="853" t="str">
        <f>+VLOOKUP(B677,'[5]04 2025'!$B$2:$F$1371,5,0)</f>
        <v>C1079DO VAN TUAN050040818437</v>
      </c>
      <c r="K677" s="607">
        <f t="shared" si="29"/>
        <v>1</v>
      </c>
      <c r="P677" s="685"/>
    </row>
    <row r="678" spans="1:16" s="607" customFormat="1" ht="18" customHeight="1">
      <c r="A678" s="826">
        <f>SUBTOTAL(3,B$6:B678)</f>
        <v>673</v>
      </c>
      <c r="B678" s="824" t="s">
        <v>2149</v>
      </c>
      <c r="C678" s="824" t="str">
        <f>+VLOOKUP(B678,'Salary sheet'!$B$6:$AX$1386,48,0)</f>
        <v>NGUYEN HOANG HUNG</v>
      </c>
      <c r="D678" s="824" t="str">
        <f>+VLOOKUP(B678,'Salary sheet'!$B$6:$BW$1386,49,0)</f>
        <v>050102541763</v>
      </c>
      <c r="E678" s="620">
        <f>+VLOOKUP(B678,'Salary sheet'!$B$6:$AT$1292,45,0)</f>
        <v>7739715</v>
      </c>
      <c r="F678" s="1029" t="s">
        <v>5723</v>
      </c>
      <c r="G678" s="824" t="str">
        <f>+VLOOKUP(B678,'Salary sheet'!$B$6:$E$2281,4,0)</f>
        <v>FACTORY O</v>
      </c>
      <c r="H678" s="607" t="str">
        <f>+VLOOKUP(B678,'Salary sheet'!$B$6:$AZ$1386,50,0)</f>
        <v>SK2</v>
      </c>
      <c r="I678" s="607" t="str">
        <f t="shared" si="30"/>
        <v>C14375NGUYEN HOANG HUNG050102541763</v>
      </c>
      <c r="J678" s="853" t="str">
        <f>+VLOOKUP(B678,'[5]04 2025'!$B$2:$F$1371,5,0)</f>
        <v>C14375NGUYEN HOANG HUNG050102541763</v>
      </c>
      <c r="K678" s="607">
        <f t="shared" ref="K678:K742" si="31">+IF(J678=I678,1,0)</f>
        <v>1</v>
      </c>
      <c r="P678" s="685"/>
    </row>
    <row r="679" spans="1:16" s="607" customFormat="1" ht="18" customHeight="1">
      <c r="A679" s="826">
        <f>SUBTOTAL(3,B$6:B679)</f>
        <v>674</v>
      </c>
      <c r="B679" s="824" t="s">
        <v>2152</v>
      </c>
      <c r="C679" s="824" t="str">
        <f>+VLOOKUP(B679,'Salary sheet'!$B$6:$AX$1386,48,0)</f>
        <v>HOANG TUNG LAM</v>
      </c>
      <c r="D679" s="824" t="str">
        <f>+VLOOKUP(B679,'Salary sheet'!$B$6:$BW$1386,49,0)</f>
        <v>050133727083</v>
      </c>
      <c r="E679" s="620">
        <f>+VLOOKUP(B679,'Salary sheet'!$B$6:$AT$1292,45,0)</f>
        <v>10119620</v>
      </c>
      <c r="F679" s="1029" t="s">
        <v>5723</v>
      </c>
      <c r="G679" s="824" t="str">
        <f>+VLOOKUP(B679,'Salary sheet'!$B$6:$E$2281,4,0)</f>
        <v>FACTORY O</v>
      </c>
      <c r="H679" s="607" t="str">
        <f>+VLOOKUP(B679,'Salary sheet'!$B$6:$AZ$1386,50,0)</f>
        <v>SK2</v>
      </c>
      <c r="I679" s="607" t="str">
        <f t="shared" si="30"/>
        <v>C14654HOANG TUNG LAM050133727083</v>
      </c>
      <c r="J679" s="853" t="str">
        <f>+VLOOKUP(B679,'[5]04 2025'!$B$2:$F$1371,5,0)</f>
        <v>C14654HOANG TUNG LAM050133727083</v>
      </c>
      <c r="K679" s="607">
        <f t="shared" si="31"/>
        <v>1</v>
      </c>
      <c r="P679" s="685"/>
    </row>
    <row r="680" spans="1:16" s="607" customFormat="1" ht="18" customHeight="1">
      <c r="A680" s="826">
        <f>SUBTOTAL(3,B$6:B680)</f>
        <v>675</v>
      </c>
      <c r="B680" s="824" t="s">
        <v>2155</v>
      </c>
      <c r="C680" s="824" t="str">
        <f>+VLOOKUP(B680,'Salary sheet'!$B$6:$AX$1386,48,0)</f>
        <v>KIEU VIET YEN</v>
      </c>
      <c r="D680" s="824" t="str">
        <f>+VLOOKUP(B680,'Salary sheet'!$B$6:$BW$1386,49,0)</f>
        <v>050097814251</v>
      </c>
      <c r="E680" s="620">
        <f>+VLOOKUP(B680,'Salary sheet'!$B$6:$AT$1292,45,0)</f>
        <v>7942114</v>
      </c>
      <c r="F680" s="1029" t="s">
        <v>5723</v>
      </c>
      <c r="G680" s="824" t="str">
        <f>+VLOOKUP(B680,'Salary sheet'!$B$6:$E$2281,4,0)</f>
        <v>FACTORY O</v>
      </c>
      <c r="H680" s="607" t="str">
        <f>+VLOOKUP(B680,'Salary sheet'!$B$6:$AZ$1386,50,0)</f>
        <v>SK1 Bag</v>
      </c>
      <c r="I680" s="607" t="str">
        <f t="shared" si="30"/>
        <v>C15569KIEU VIET YEN050097814251</v>
      </c>
      <c r="J680" s="853" t="str">
        <f>+VLOOKUP(B680,'[5]04 2025'!$B$2:$F$1371,5,0)</f>
        <v>C15569KIEU VIET YEN050097814251</v>
      </c>
      <c r="K680" s="607">
        <f t="shared" si="31"/>
        <v>1</v>
      </c>
      <c r="P680" s="685"/>
    </row>
    <row r="681" spans="1:16" s="607" customFormat="1" ht="18" customHeight="1">
      <c r="A681" s="826">
        <f>SUBTOTAL(3,B$6:B681)</f>
        <v>676</v>
      </c>
      <c r="B681" s="824" t="s">
        <v>2157</v>
      </c>
      <c r="C681" s="824" t="str">
        <f>+VLOOKUP(B681,'Salary sheet'!$B$6:$AX$1386,48,0)</f>
        <v>DIEU KHANG</v>
      </c>
      <c r="D681" s="824" t="str">
        <f>+VLOOKUP(B681,'Salary sheet'!$B$6:$BW$1386,49,0)</f>
        <v>050159034124</v>
      </c>
      <c r="E681" s="620">
        <f>+VLOOKUP(B681,'Salary sheet'!$B$6:$AT$1292,45,0)</f>
        <v>5376113</v>
      </c>
      <c r="F681" s="1029" t="s">
        <v>5723</v>
      </c>
      <c r="G681" s="824" t="str">
        <f>+VLOOKUP(B681,'Salary sheet'!$B$6:$E$2281,4,0)</f>
        <v>FACTORY O</v>
      </c>
      <c r="H681" s="607" t="str">
        <f>+VLOOKUP(B681,'Salary sheet'!$B$6:$AZ$1386,50,0)</f>
        <v>SK1 Bag</v>
      </c>
      <c r="I681" s="607" t="str">
        <f t="shared" si="30"/>
        <v>C16456DIEU KHANG050159034124</v>
      </c>
      <c r="J681" s="853" t="str">
        <f>+VLOOKUP(B681,'[5]04 2025'!$B$2:$F$1371,5,0)</f>
        <v>C16456DIEU KHANG050159034124</v>
      </c>
      <c r="K681" s="607">
        <f t="shared" si="31"/>
        <v>1</v>
      </c>
      <c r="P681" s="685"/>
    </row>
    <row r="682" spans="1:16" s="607" customFormat="1" ht="18" customHeight="1">
      <c r="A682" s="826">
        <f>SUBTOTAL(3,B$6:B682)</f>
        <v>677</v>
      </c>
      <c r="B682" s="824" t="s">
        <v>2159</v>
      </c>
      <c r="C682" s="824" t="str">
        <f>+VLOOKUP(B682,'Salary sheet'!$B$6:$AX$1386,48,0)</f>
        <v>PHAN DUY MANH</v>
      </c>
      <c r="D682" s="824" t="str">
        <f>+VLOOKUP(B682,'Salary sheet'!$B$6:$BW$1386,49,0)</f>
        <v>053795822305</v>
      </c>
      <c r="E682" s="620">
        <f>+VLOOKUP(B682,'Salary sheet'!$B$6:$AT$1292,45,0)</f>
        <v>5804128</v>
      </c>
      <c r="F682" s="1029" t="s">
        <v>5723</v>
      </c>
      <c r="G682" s="824" t="str">
        <f>+VLOOKUP(B682,'Salary sheet'!$B$6:$E$2281,4,0)</f>
        <v>FACTORY O</v>
      </c>
      <c r="H682" s="607" t="str">
        <f>+VLOOKUP(B682,'Salary sheet'!$B$6:$AZ$1386,50,0)</f>
        <v>SK1 Box</v>
      </c>
      <c r="I682" s="607" t="str">
        <f t="shared" si="30"/>
        <v>C16560PHAN DUY MANH053795822305</v>
      </c>
      <c r="J682" s="853" t="str">
        <f>+VLOOKUP(B682,'[5]04 2025'!$B$2:$F$1371,5,0)</f>
        <v>C16560PHAN DUY MANH053795822305</v>
      </c>
      <c r="K682" s="607">
        <f t="shared" si="31"/>
        <v>1</v>
      </c>
      <c r="P682" s="685"/>
    </row>
    <row r="683" spans="1:16" s="607" customFormat="1" ht="18" customHeight="1">
      <c r="A683" s="826">
        <f>SUBTOTAL(3,B$6:B683)</f>
        <v>678</v>
      </c>
      <c r="B683" s="824" t="s">
        <v>5772</v>
      </c>
      <c r="C683" s="824" t="str">
        <f>+VLOOKUP(B683,'Salary sheet'!$B$6:$AX$1386,48,0)</f>
        <v>NGUYEN VAN LUOT</v>
      </c>
      <c r="D683" s="824" t="str">
        <f>+VLOOKUP(B683,'Salary sheet'!$B$6:$BW$1386,49,0)</f>
        <v>050150935250</v>
      </c>
      <c r="E683" s="620">
        <f>+VLOOKUP(B683,'Salary sheet'!$B$6:$AT$1292,45,0)</f>
        <v>3412750</v>
      </c>
      <c r="F683" s="1029" t="s">
        <v>5723</v>
      </c>
      <c r="G683" s="824" t="str">
        <f>+VLOOKUP(B683,'Salary sheet'!$B$6:$E$2281,4,0)</f>
        <v>FACTORY O</v>
      </c>
      <c r="H683" s="607" t="str">
        <f>+VLOOKUP(B683,'Salary sheet'!$B$6:$AZ$1386,50,0)</f>
        <v>SK1 Box</v>
      </c>
      <c r="I683" s="607" t="str">
        <f t="shared" si="30"/>
        <v>C16611NGUYEN VAN LUOT050150935250</v>
      </c>
      <c r="J683" s="853" t="str">
        <f>+VLOOKUP(B683,'[5]04 2025'!$B$2:$F$1371,5,0)</f>
        <v>C16611NGUYEN VAN LUOT050150935250</v>
      </c>
      <c r="K683" s="607">
        <f t="shared" si="31"/>
        <v>1</v>
      </c>
      <c r="P683" s="685"/>
    </row>
    <row r="684" spans="1:16" s="607" customFormat="1" ht="18" customHeight="1">
      <c r="A684" s="826">
        <f>SUBTOTAL(3,B$6:B684)</f>
        <v>679</v>
      </c>
      <c r="B684" s="824" t="s">
        <v>2161</v>
      </c>
      <c r="C684" s="824" t="str">
        <f>+VLOOKUP(B684,'Salary sheet'!$B$6:$AX$1386,48,0)</f>
        <v>LUONG TAI HIEU</v>
      </c>
      <c r="D684" s="824" t="str">
        <f>+VLOOKUP(B684,'Salary sheet'!$B$6:$BW$1386,49,0)</f>
        <v>050041002058</v>
      </c>
      <c r="E684" s="620">
        <f>+VLOOKUP(B684,'Salary sheet'!$B$6:$AT$1292,45,0)</f>
        <v>14912793</v>
      </c>
      <c r="F684" s="1029" t="s">
        <v>5723</v>
      </c>
      <c r="G684" s="824" t="str">
        <f>+VLOOKUP(B684,'Salary sheet'!$B$6:$E$2281,4,0)</f>
        <v>FACTORY O</v>
      </c>
      <c r="H684" s="607" t="str">
        <f>+VLOOKUP(B684,'Salary sheet'!$B$6:$AZ$1386,50,0)</f>
        <v>SK1 Bag</v>
      </c>
      <c r="I684" s="607" t="str">
        <f t="shared" si="30"/>
        <v>C1681LUONG TAI HIEU050041002058</v>
      </c>
      <c r="J684" s="853" t="str">
        <f>+VLOOKUP(B684,'[5]04 2025'!$B$2:$F$1371,5,0)</f>
        <v>C1681LUONG TAI HIEU050041002058</v>
      </c>
      <c r="K684" s="607">
        <f t="shared" si="31"/>
        <v>1</v>
      </c>
      <c r="P684" s="685"/>
    </row>
    <row r="685" spans="1:16" s="607" customFormat="1" ht="18" customHeight="1">
      <c r="A685" s="826">
        <f>SUBTOTAL(3,B$6:B685)</f>
        <v>680</v>
      </c>
      <c r="B685" s="824" t="s">
        <v>2164</v>
      </c>
      <c r="C685" s="824" t="str">
        <f>+VLOOKUP(B685,'Salary sheet'!$B$6:$AX$1386,48,0)</f>
        <v>NGUYEN MINH CANH</v>
      </c>
      <c r="D685" s="824" t="str">
        <f>+VLOOKUP(B685,'Salary sheet'!$B$6:$BW$1386,49,0)</f>
        <v>050040825093</v>
      </c>
      <c r="E685" s="620">
        <f>+VLOOKUP(B685,'Salary sheet'!$B$6:$AT$1292,45,0)</f>
        <v>10202108</v>
      </c>
      <c r="F685" s="1029" t="s">
        <v>5723</v>
      </c>
      <c r="G685" s="824" t="str">
        <f>+VLOOKUP(B685,'Salary sheet'!$B$6:$E$2281,4,0)</f>
        <v>FACTORY O</v>
      </c>
      <c r="H685" s="607" t="str">
        <f>+VLOOKUP(B685,'Salary sheet'!$B$6:$AZ$1386,50,0)</f>
        <v>SK2</v>
      </c>
      <c r="I685" s="607" t="str">
        <f t="shared" si="30"/>
        <v>C2275NGUYEN MINH CANH050040825093</v>
      </c>
      <c r="J685" s="853" t="str">
        <f>+VLOOKUP(B685,'[5]04 2025'!$B$2:$F$1371,5,0)</f>
        <v>C2275NGUYEN MINH CANH050040825093</v>
      </c>
      <c r="K685" s="607">
        <f t="shared" si="31"/>
        <v>1</v>
      </c>
      <c r="P685" s="685"/>
    </row>
    <row r="686" spans="1:16" s="607" customFormat="1" ht="18" customHeight="1">
      <c r="A686" s="826">
        <f>SUBTOTAL(3,B$6:B686)</f>
        <v>681</v>
      </c>
      <c r="B686" s="824" t="s">
        <v>2166</v>
      </c>
      <c r="C686" s="824" t="str">
        <f>+VLOOKUP(B686,'Salary sheet'!$B$6:$AX$1386,48,0)</f>
        <v>PHAN THI KHANH HOA</v>
      </c>
      <c r="D686" s="824" t="str">
        <f>+VLOOKUP(B686,'Salary sheet'!$B$6:$BW$1386,49,0)</f>
        <v>050040846937</v>
      </c>
      <c r="E686" s="620">
        <f>+VLOOKUP(B686,'Salary sheet'!$B$6:$AT$1292,45,0)</f>
        <v>10485859</v>
      </c>
      <c r="F686" s="1029" t="s">
        <v>5723</v>
      </c>
      <c r="G686" s="824" t="str">
        <f>+VLOOKUP(B686,'Salary sheet'!$B$6:$E$2281,4,0)</f>
        <v>FACTORY O</v>
      </c>
      <c r="H686" s="607" t="str">
        <f>+VLOOKUP(B686,'Salary sheet'!$B$6:$AZ$1386,50,0)</f>
        <v>SK1 Bag</v>
      </c>
      <c r="I686" s="607" t="str">
        <f t="shared" si="30"/>
        <v>C3399PHAN THI KHANH HOA050040846937</v>
      </c>
      <c r="J686" s="853" t="str">
        <f>+VLOOKUP(B686,'[5]04 2025'!$B$2:$F$1371,5,0)</f>
        <v>C3399PHAN THI KHANH HOA050040846937</v>
      </c>
      <c r="K686" s="607">
        <f t="shared" si="31"/>
        <v>1</v>
      </c>
      <c r="P686" s="685"/>
    </row>
    <row r="687" spans="1:16" s="607" customFormat="1" ht="18" customHeight="1">
      <c r="A687" s="826">
        <f>SUBTOTAL(3,B$6:B687)</f>
        <v>682</v>
      </c>
      <c r="B687" s="824" t="s">
        <v>2168</v>
      </c>
      <c r="C687" s="824" t="str">
        <f>+VLOOKUP(B687,'Salary sheet'!$B$6:$AX$1386,48,0)</f>
        <v>HO TRONG THUY</v>
      </c>
      <c r="D687" s="824" t="str">
        <f>+VLOOKUP(B687,'Salary sheet'!$B$6:$BW$1386,49,0)</f>
        <v>050040821810</v>
      </c>
      <c r="E687" s="620">
        <f>+VLOOKUP(B687,'Salary sheet'!$B$6:$AT$1292,45,0)</f>
        <v>10961207</v>
      </c>
      <c r="F687" s="1029" t="s">
        <v>5723</v>
      </c>
      <c r="G687" s="824" t="str">
        <f>+VLOOKUP(B687,'Salary sheet'!$B$6:$E$2281,4,0)</f>
        <v>FACTORY O</v>
      </c>
      <c r="H687" s="607" t="str">
        <f>+VLOOKUP(B687,'Salary sheet'!$B$6:$AZ$1386,50,0)</f>
        <v>SK1 Box</v>
      </c>
      <c r="I687" s="607" t="str">
        <f t="shared" si="30"/>
        <v>C3656HO TRONG THUY050040821810</v>
      </c>
      <c r="J687" s="853" t="str">
        <f>+VLOOKUP(B687,'[5]04 2025'!$B$2:$F$1371,5,0)</f>
        <v>C3656HO TRONG THUY050040821810</v>
      </c>
      <c r="K687" s="607">
        <f t="shared" si="31"/>
        <v>1</v>
      </c>
      <c r="P687" s="685"/>
    </row>
    <row r="688" spans="1:16" s="607" customFormat="1" ht="18" customHeight="1">
      <c r="A688" s="826">
        <f>SUBTOTAL(3,B$6:B688)</f>
        <v>683</v>
      </c>
      <c r="B688" s="824" t="s">
        <v>2170</v>
      </c>
      <c r="C688" s="824" t="str">
        <f>+VLOOKUP(B688,'Salary sheet'!$B$6:$AX$1386,48,0)</f>
        <v>PHAM VAN KY</v>
      </c>
      <c r="D688" s="824" t="str">
        <f>+VLOOKUP(B688,'Salary sheet'!$B$6:$BW$1386,49,0)</f>
        <v>050040825948</v>
      </c>
      <c r="E688" s="620">
        <f>+VLOOKUP(B688,'Salary sheet'!$B$6:$AT$1292,45,0)</f>
        <v>10858035</v>
      </c>
      <c r="F688" s="1029" t="s">
        <v>5723</v>
      </c>
      <c r="G688" s="824" t="str">
        <f>+VLOOKUP(B688,'Salary sheet'!$B$6:$E$2281,4,0)</f>
        <v>FACTORY O</v>
      </c>
      <c r="H688" s="607" t="str">
        <f>+VLOOKUP(B688,'Salary sheet'!$B$6:$AZ$1386,50,0)</f>
        <v>SK1 Bag</v>
      </c>
      <c r="I688" s="607" t="str">
        <f t="shared" si="30"/>
        <v>C4373PHAM VAN KY050040825948</v>
      </c>
      <c r="J688" s="853" t="str">
        <f>+VLOOKUP(B688,'[5]04 2025'!$B$2:$F$1371,5,0)</f>
        <v>C4373PHAM VAN KY050040825948</v>
      </c>
      <c r="K688" s="607">
        <f t="shared" si="31"/>
        <v>1</v>
      </c>
      <c r="P688" s="685"/>
    </row>
    <row r="689" spans="1:16" s="607" customFormat="1" ht="18" customHeight="1">
      <c r="A689" s="826">
        <f>SUBTOTAL(3,B$6:B689)</f>
        <v>684</v>
      </c>
      <c r="B689" s="824" t="s">
        <v>2173</v>
      </c>
      <c r="C689" s="824" t="str">
        <f>+VLOOKUP(B689,'Salary sheet'!$B$6:$AX$1386,48,0)</f>
        <v>DANG VAN TRUNG</v>
      </c>
      <c r="D689" s="824" t="str">
        <f>+VLOOKUP(B689,'Salary sheet'!$B$6:$BW$1386,49,0)</f>
        <v>050040935921</v>
      </c>
      <c r="E689" s="620">
        <f>+VLOOKUP(B689,'Salary sheet'!$B$6:$AT$1292,45,0)</f>
        <v>11073883</v>
      </c>
      <c r="F689" s="1029" t="s">
        <v>5723</v>
      </c>
      <c r="G689" s="824" t="str">
        <f>+VLOOKUP(B689,'Salary sheet'!$B$6:$E$2281,4,0)</f>
        <v>FACTORY O</v>
      </c>
      <c r="H689" s="607" t="str">
        <f>+VLOOKUP(B689,'Salary sheet'!$B$6:$AZ$1386,50,0)</f>
        <v>SK1 Box</v>
      </c>
      <c r="I689" s="607" t="str">
        <f t="shared" si="30"/>
        <v>C5303DANG VAN TRUNG050040935921</v>
      </c>
      <c r="J689" s="853" t="str">
        <f>+VLOOKUP(B689,'[5]04 2025'!$B$2:$F$1371,5,0)</f>
        <v>C5303DANG VAN TRUNG050040935921</v>
      </c>
      <c r="K689" s="607">
        <f t="shared" si="31"/>
        <v>1</v>
      </c>
      <c r="P689" s="685"/>
    </row>
    <row r="690" spans="1:16" s="607" customFormat="1" ht="18" customHeight="1">
      <c r="A690" s="826">
        <f>SUBTOTAL(3,B$6:B690)</f>
        <v>685</v>
      </c>
      <c r="B690" s="824" t="s">
        <v>2175</v>
      </c>
      <c r="C690" s="824" t="str">
        <f>+VLOOKUP(B690,'Salary sheet'!$B$6:$AX$1386,48,0)</f>
        <v>LE TAN BAO</v>
      </c>
      <c r="D690" s="824" t="str">
        <f>+VLOOKUP(B690,'Salary sheet'!$B$6:$BW$1386,49,0)</f>
        <v>050040829943</v>
      </c>
      <c r="E690" s="620">
        <f>+VLOOKUP(B690,'Salary sheet'!$B$6:$AT$1292,45,0)</f>
        <v>9964929</v>
      </c>
      <c r="F690" s="1029" t="s">
        <v>5723</v>
      </c>
      <c r="G690" s="824" t="str">
        <f>+VLOOKUP(B690,'Salary sheet'!$B$6:$E$2281,4,0)</f>
        <v>FACTORY O</v>
      </c>
      <c r="H690" s="607" t="str">
        <f>+VLOOKUP(B690,'Salary sheet'!$B$6:$AZ$1386,50,0)</f>
        <v>SK1 Box</v>
      </c>
      <c r="I690" s="607" t="str">
        <f t="shared" si="30"/>
        <v>C5600LE TAN BAO050040829943</v>
      </c>
      <c r="J690" s="853" t="str">
        <f>+VLOOKUP(B690,'[5]04 2025'!$B$2:$F$1371,5,0)</f>
        <v>C5600LE TAN BAO050040829943</v>
      </c>
      <c r="K690" s="607">
        <f t="shared" si="31"/>
        <v>1</v>
      </c>
      <c r="P690" s="685"/>
    </row>
    <row r="691" spans="1:16" s="607" customFormat="1" ht="18" customHeight="1">
      <c r="A691" s="826">
        <f>SUBTOTAL(3,B$6:B691)</f>
        <v>686</v>
      </c>
      <c r="B691" s="824" t="s">
        <v>2177</v>
      </c>
      <c r="C691" s="824" t="str">
        <f>+VLOOKUP(B691,'Salary sheet'!$B$6:$AX$1386,48,0)</f>
        <v>NGUYEN THI HIEN</v>
      </c>
      <c r="D691" s="824" t="str">
        <f>+VLOOKUP(B691,'Salary sheet'!$B$6:$BW$1386,49,0)</f>
        <v>050041002112</v>
      </c>
      <c r="E691" s="620">
        <f>+VLOOKUP(B691,'Salary sheet'!$B$6:$AT$1292,45,0)</f>
        <v>9752044</v>
      </c>
      <c r="F691" s="1029" t="s">
        <v>5723</v>
      </c>
      <c r="G691" s="824" t="str">
        <f>+VLOOKUP(B691,'Salary sheet'!$B$6:$E$2281,4,0)</f>
        <v>FACTORY O</v>
      </c>
      <c r="H691" s="607" t="str">
        <f>+VLOOKUP(B691,'Salary sheet'!$B$6:$AZ$1386,50,0)</f>
        <v>SK2</v>
      </c>
      <c r="I691" s="607" t="str">
        <f t="shared" si="30"/>
        <v>C5650NGUYEN THI HIEN050041002112</v>
      </c>
      <c r="J691" s="853" t="str">
        <f>+VLOOKUP(B691,'[5]04 2025'!$B$2:$F$1371,5,0)</f>
        <v>C5650NGUYEN THI HIEN050041002112</v>
      </c>
      <c r="K691" s="607">
        <f t="shared" si="31"/>
        <v>1</v>
      </c>
      <c r="P691" s="685"/>
    </row>
    <row r="692" spans="1:16" s="607" customFormat="1" ht="18" customHeight="1">
      <c r="A692" s="826">
        <f>SUBTOTAL(3,B$6:B692)</f>
        <v>687</v>
      </c>
      <c r="B692" s="824" t="s">
        <v>2179</v>
      </c>
      <c r="C692" s="824" t="str">
        <f>+VLOOKUP(B692,'Salary sheet'!$B$6:$AX$1386,48,0)</f>
        <v>NGUYEN MINH TONG</v>
      </c>
      <c r="D692" s="824" t="str">
        <f>+VLOOKUP(B692,'Salary sheet'!$B$6:$BW$1386,49,0)</f>
        <v>050067513182</v>
      </c>
      <c r="E692" s="620">
        <f>+VLOOKUP(B692,'Salary sheet'!$B$6:$AT$1292,45,0)</f>
        <v>10918085</v>
      </c>
      <c r="F692" s="1029" t="s">
        <v>5723</v>
      </c>
      <c r="G692" s="824" t="str">
        <f>+VLOOKUP(B692,'Salary sheet'!$B$6:$E$2281,4,0)</f>
        <v>FACTORY O</v>
      </c>
      <c r="H692" s="607" t="str">
        <f>+VLOOKUP(B692,'Salary sheet'!$B$6:$AZ$1386,50,0)</f>
        <v>SK1 Bag</v>
      </c>
      <c r="I692" s="607" t="str">
        <f t="shared" si="30"/>
        <v>C6487NGUYEN MINH TONG050067513182</v>
      </c>
      <c r="J692" s="853" t="str">
        <f>+VLOOKUP(B692,'[5]04 2025'!$B$2:$F$1371,5,0)</f>
        <v>C6487NGUYEN MINH TONG050067513182</v>
      </c>
      <c r="K692" s="607">
        <f t="shared" si="31"/>
        <v>1</v>
      </c>
      <c r="P692" s="685"/>
    </row>
    <row r="693" spans="1:16" s="607" customFormat="1" ht="18" customHeight="1">
      <c r="A693" s="826">
        <f>SUBTOTAL(3,B$6:B693)</f>
        <v>688</v>
      </c>
      <c r="B693" s="824" t="s">
        <v>2181</v>
      </c>
      <c r="C693" s="824" t="str">
        <f>+VLOOKUP(B693,'Salary sheet'!$B$6:$AX$1386,48,0)</f>
        <v>TRAN THANG LONG</v>
      </c>
      <c r="D693" s="824" t="str">
        <f>+VLOOKUP(B693,'Salary sheet'!$B$6:$BW$1386,49,0)</f>
        <v>050073583281</v>
      </c>
      <c r="E693" s="620">
        <f>+VLOOKUP(B693,'Salary sheet'!$B$6:$AT$1292,45,0)</f>
        <v>12258063</v>
      </c>
      <c r="F693" s="1029" t="s">
        <v>5723</v>
      </c>
      <c r="G693" s="824" t="str">
        <f>+VLOOKUP(B693,'Salary sheet'!$B$6:$E$2281,4,0)</f>
        <v>FACTORY O</v>
      </c>
      <c r="H693" s="607" t="str">
        <f>+VLOOKUP(B693,'Salary sheet'!$B$6:$AZ$1386,50,0)</f>
        <v>SK1 Bag</v>
      </c>
      <c r="I693" s="607" t="str">
        <f t="shared" ref="I693" si="32">+CONCATENATE(B693,C693,D693)</f>
        <v>C7022TRAN THANG LONG050073583281</v>
      </c>
      <c r="J693" s="853" t="str">
        <f>+VLOOKUP(B693,'[5]04 2025'!$B$2:$F$1371,5,0)</f>
        <v>C7022TRAN THANG LONG050073583281</v>
      </c>
      <c r="K693" s="607">
        <f t="shared" ref="K693" si="33">+IF(J693=I693,1,0)</f>
        <v>1</v>
      </c>
      <c r="P693" s="685"/>
    </row>
    <row r="694" spans="1:16" s="607" customFormat="1" ht="18" customHeight="1">
      <c r="A694" s="826">
        <f>SUBTOTAL(3,B$6:B694)</f>
        <v>689</v>
      </c>
      <c r="B694" s="824" t="s">
        <v>2183</v>
      </c>
      <c r="C694" s="824" t="str">
        <f>+VLOOKUP(B694,'Salary sheet'!$B$6:$AX$1386,48,0)</f>
        <v>LAM LAY</v>
      </c>
      <c r="D694" s="824" t="str">
        <f>+VLOOKUP(B694,'Salary sheet'!$B$6:$BW$1386,49,0)</f>
        <v>050087500885</v>
      </c>
      <c r="E694" s="620">
        <f>+VLOOKUP(B694,'Salary sheet'!$B$6:$AT$1292,45,0)</f>
        <v>10324849</v>
      </c>
      <c r="F694" s="1029" t="s">
        <v>5723</v>
      </c>
      <c r="G694" s="824" t="str">
        <f>+VLOOKUP(B694,'Salary sheet'!$B$6:$E$2281,4,0)</f>
        <v>FACTORY O</v>
      </c>
      <c r="H694" s="607" t="str">
        <f>+VLOOKUP(B694,'Salary sheet'!$B$6:$AZ$1386,50,0)</f>
        <v>SK1 Box</v>
      </c>
      <c r="I694" s="607" t="str">
        <f t="shared" si="30"/>
        <v>C7208LAM LAY050087500885</v>
      </c>
      <c r="J694" s="853" t="str">
        <f>+VLOOKUP(B694,'[5]04 2025'!$B$2:$F$1371,5,0)</f>
        <v>C7208LAM LAY050087500885</v>
      </c>
      <c r="K694" s="607">
        <f t="shared" si="31"/>
        <v>1</v>
      </c>
      <c r="P694" s="685"/>
    </row>
    <row r="695" spans="1:16" s="607" customFormat="1" ht="18" customHeight="1">
      <c r="A695" s="826">
        <f>SUBTOTAL(3,B$6:B695)</f>
        <v>690</v>
      </c>
      <c r="B695" s="824" t="s">
        <v>2185</v>
      </c>
      <c r="C695" s="824" t="str">
        <f>+VLOOKUP(B695,'Salary sheet'!$B$6:$AX$1386,48,0)</f>
        <v>NGUYEN HOAI NAM</v>
      </c>
      <c r="D695" s="824" t="str">
        <f>+VLOOKUP(B695,'Salary sheet'!$B$6:$BW$1386,49,0)</f>
        <v>050070731425</v>
      </c>
      <c r="E695" s="620">
        <f>+VLOOKUP(B695,'Salary sheet'!$B$6:$AT$1292,45,0)</f>
        <v>11145025</v>
      </c>
      <c r="F695" s="1029" t="s">
        <v>5723</v>
      </c>
      <c r="G695" s="824" t="str">
        <f>+VLOOKUP(B695,'Salary sheet'!$B$6:$E$2281,4,0)</f>
        <v>FACTORY O</v>
      </c>
      <c r="H695" s="607" t="str">
        <f>+VLOOKUP(B695,'Salary sheet'!$B$6:$AZ$1386,50,0)</f>
        <v>SK1 Box</v>
      </c>
      <c r="I695" s="607" t="str">
        <f t="shared" si="30"/>
        <v>C7464NGUYEN HOAI NAM050070731425</v>
      </c>
      <c r="J695" s="853" t="str">
        <f>+VLOOKUP(B695,'[5]04 2025'!$B$2:$F$1371,5,0)</f>
        <v>C7464NGUYEN HOAI NAM050070731425</v>
      </c>
      <c r="K695" s="607">
        <f t="shared" si="31"/>
        <v>1</v>
      </c>
      <c r="P695" s="685"/>
    </row>
    <row r="696" spans="1:16" s="607" customFormat="1" ht="18" customHeight="1">
      <c r="A696" s="826">
        <f>SUBTOTAL(3,B$6:B696)</f>
        <v>691</v>
      </c>
      <c r="B696" s="824" t="s">
        <v>2187</v>
      </c>
      <c r="C696" s="824" t="str">
        <f>+VLOOKUP(B696,'Salary sheet'!$B$6:$AX$1386,48,0)</f>
        <v>NGUYEN THI DIEU HIEN</v>
      </c>
      <c r="D696" s="824" t="str">
        <f>+VLOOKUP(B696,'Salary sheet'!$B$6:$BW$1386,49,0)</f>
        <v>050104743576</v>
      </c>
      <c r="E696" s="620">
        <f>+VLOOKUP(B696,'Salary sheet'!$B$6:$AT$1292,45,0)</f>
        <v>11129841</v>
      </c>
      <c r="F696" s="1029" t="s">
        <v>5723</v>
      </c>
      <c r="G696" s="824" t="str">
        <f>+VLOOKUP(B696,'Salary sheet'!$B$6:$E$2281,4,0)</f>
        <v>FACTORY O</v>
      </c>
      <c r="H696" s="607" t="str">
        <f>+VLOOKUP(B696,'Salary sheet'!$B$6:$AZ$1386,50,0)</f>
        <v>SK2</v>
      </c>
      <c r="I696" s="607" t="str">
        <f t="shared" si="30"/>
        <v>C7854NGUYEN THI DIEU HIEN050104743576</v>
      </c>
      <c r="J696" s="853" t="str">
        <f>+VLOOKUP(B696,'[5]04 2025'!$B$2:$F$1371,5,0)</f>
        <v>C7854NGUYEN THI DIEU HIEN050104743576</v>
      </c>
      <c r="K696" s="607">
        <f t="shared" si="31"/>
        <v>1</v>
      </c>
      <c r="P696" s="685"/>
    </row>
    <row r="697" spans="1:16" s="607" customFormat="1" ht="18" customHeight="1">
      <c r="A697" s="826">
        <f>SUBTOTAL(3,B$6:B697)</f>
        <v>692</v>
      </c>
      <c r="B697" s="824" t="s">
        <v>2190</v>
      </c>
      <c r="C697" s="824" t="str">
        <f>+VLOOKUP(B697,'Salary sheet'!$B$6:$AX$1386,48,0)</f>
        <v>VO THI NGOC HA</v>
      </c>
      <c r="D697" s="824" t="str">
        <f>+VLOOKUP(B697,'Salary sheet'!$B$6:$BW$1386,49,0)</f>
        <v>050080498656</v>
      </c>
      <c r="E697" s="620">
        <f>+VLOOKUP(B697,'Salary sheet'!$B$6:$AT$1292,45,0)</f>
        <v>11303218</v>
      </c>
      <c r="F697" s="1029" t="s">
        <v>5723</v>
      </c>
      <c r="G697" s="824" t="str">
        <f>+VLOOKUP(B697,'Salary sheet'!$B$6:$E$2281,4,0)</f>
        <v>FACTORY O</v>
      </c>
      <c r="H697" s="607" t="str">
        <f>+VLOOKUP(B697,'Salary sheet'!$B$6:$AZ$1386,50,0)</f>
        <v>SK1 Bag</v>
      </c>
      <c r="I697" s="607" t="str">
        <f t="shared" ref="I697:I760" si="34">+CONCATENATE(B697,C697,D697)</f>
        <v>C14908VO THI NGOC HA050080498656</v>
      </c>
      <c r="J697" s="853" t="str">
        <f>+VLOOKUP(B697,'[5]04 2025'!$B$2:$F$1371,5,0)</f>
        <v>C14908VO THI NGOC HA050080498656</v>
      </c>
      <c r="K697" s="607">
        <f t="shared" si="31"/>
        <v>1</v>
      </c>
      <c r="P697" s="685"/>
    </row>
    <row r="698" spans="1:16" s="607" customFormat="1" ht="18" customHeight="1">
      <c r="A698" s="826">
        <f>SUBTOTAL(3,B$6:B698)</f>
        <v>693</v>
      </c>
      <c r="B698" s="824" t="s">
        <v>2193</v>
      </c>
      <c r="C698" s="824" t="str">
        <f>+VLOOKUP(B698,'Salary sheet'!$B$6:$AX$1386,48,0)</f>
        <v>LE THI MY LINH</v>
      </c>
      <c r="D698" s="824" t="str">
        <f>+VLOOKUP(B698,'Salary sheet'!$B$6:$BW$1386,49,0)</f>
        <v>050109861976</v>
      </c>
      <c r="E698" s="620">
        <f>+VLOOKUP(B698,'Salary sheet'!$B$6:$AT$1292,45,0)</f>
        <v>10542544</v>
      </c>
      <c r="F698" s="1029" t="s">
        <v>5723</v>
      </c>
      <c r="G698" s="824" t="str">
        <f>+VLOOKUP(B698,'Salary sheet'!$B$6:$E$2281,4,0)</f>
        <v>FACTORY O</v>
      </c>
      <c r="H698" s="607" t="str">
        <f>+VLOOKUP(B698,'Salary sheet'!$B$6:$AZ$1386,50,0)</f>
        <v>SK1 Box</v>
      </c>
      <c r="I698" s="607" t="str">
        <f t="shared" si="34"/>
        <v>C14909LE THI MY LINH050109861976</v>
      </c>
      <c r="J698" s="853" t="str">
        <f>+VLOOKUP(B698,'[5]04 2025'!$B$2:$F$1371,5,0)</f>
        <v>C14909LE THI MY LINH050109861976</v>
      </c>
      <c r="K698" s="607">
        <f t="shared" si="31"/>
        <v>1</v>
      </c>
      <c r="P698" s="685"/>
    </row>
    <row r="699" spans="1:16" s="607" customFormat="1" ht="18" customHeight="1">
      <c r="A699" s="826">
        <f>SUBTOTAL(3,B$6:B699)</f>
        <v>694</v>
      </c>
      <c r="B699" s="824" t="s">
        <v>2195</v>
      </c>
      <c r="C699" s="824" t="str">
        <f>+VLOOKUP(B699,'Salary sheet'!$B$6:$AX$1386,48,0)</f>
        <v>LE THI MO</v>
      </c>
      <c r="D699" s="824" t="str">
        <f>+VLOOKUP(B699,'Salary sheet'!$B$6:$BW$1386,49,0)</f>
        <v>050148899352</v>
      </c>
      <c r="E699" s="620">
        <f>+VLOOKUP(B699,'Salary sheet'!$B$6:$AT$1292,45,0)</f>
        <v>7797447</v>
      </c>
      <c r="F699" s="1029" t="s">
        <v>5723</v>
      </c>
      <c r="G699" s="824" t="str">
        <f>+VLOOKUP(B699,'Salary sheet'!$B$6:$E$2281,4,0)</f>
        <v>FACTORY O</v>
      </c>
      <c r="H699" s="607" t="str">
        <f>+VLOOKUP(B699,'Salary sheet'!$B$6:$AZ$1386,50,0)</f>
        <v>SK1 Box</v>
      </c>
      <c r="I699" s="607" t="str">
        <f t="shared" si="34"/>
        <v>C15521LE THI MO050148899352</v>
      </c>
      <c r="J699" s="853" t="str">
        <f>+VLOOKUP(B699,'[5]04 2025'!$B$2:$F$1371,5,0)</f>
        <v>C15521LE THI MO050148899352</v>
      </c>
      <c r="K699" s="607">
        <f t="shared" si="31"/>
        <v>1</v>
      </c>
      <c r="P699" s="685"/>
    </row>
    <row r="700" spans="1:16" s="607" customFormat="1" ht="18" customHeight="1">
      <c r="A700" s="826">
        <f>SUBTOTAL(3,B$6:B700)</f>
        <v>695</v>
      </c>
      <c r="B700" s="824" t="s">
        <v>2198</v>
      </c>
      <c r="C700" s="824" t="str">
        <f>+VLOOKUP(B700,'Salary sheet'!$B$6:$AX$1386,48,0)</f>
        <v>DINH THUY DUNG</v>
      </c>
      <c r="D700" s="824" t="str">
        <f>+VLOOKUP(B700,'Salary sheet'!$B$6:$BW$1386,49,0)</f>
        <v>054103062001</v>
      </c>
      <c r="E700" s="620">
        <f>+VLOOKUP(B700,'Salary sheet'!$B$6:$AT$1292,45,0)</f>
        <v>8552884</v>
      </c>
      <c r="F700" s="1029" t="s">
        <v>5723</v>
      </c>
      <c r="G700" s="824" t="str">
        <f>+VLOOKUP(B700,'Salary sheet'!$B$6:$E$2281,4,0)</f>
        <v>FACTORY O</v>
      </c>
      <c r="H700" s="607" t="str">
        <f>+VLOOKUP(B700,'Salary sheet'!$B$6:$AZ$1386,50,0)</f>
        <v>SK1 Box</v>
      </c>
      <c r="I700" s="607" t="str">
        <f t="shared" si="34"/>
        <v>C15977DINH THUY DUNG054103062001</v>
      </c>
      <c r="J700" s="853" t="str">
        <f>+VLOOKUP(B700,'[5]04 2025'!$B$2:$F$1371,5,0)</f>
        <v>C15977DINH THUY DUNG054103062001</v>
      </c>
      <c r="K700" s="607">
        <f t="shared" si="31"/>
        <v>1</v>
      </c>
      <c r="P700" s="685"/>
    </row>
    <row r="701" spans="1:16" s="607" customFormat="1" ht="18" customHeight="1">
      <c r="A701" s="826">
        <f>SUBTOTAL(3,B$6:B701)</f>
        <v>696</v>
      </c>
      <c r="B701" s="824" t="s">
        <v>2200</v>
      </c>
      <c r="C701" s="824" t="str">
        <f>+VLOOKUP(B701,'Salary sheet'!$B$6:$AX$1386,48,0)</f>
        <v>PHAM THI NGOC BICH</v>
      </c>
      <c r="D701" s="824" t="str">
        <f>+VLOOKUP(B701,'Salary sheet'!$B$6:$BW$1386,49,0)</f>
        <v>050034253886</v>
      </c>
      <c r="E701" s="620">
        <f>+VLOOKUP(B701,'Salary sheet'!$B$6:$AT$1292,45,0)</f>
        <v>25760200</v>
      </c>
      <c r="F701" s="1029" t="s">
        <v>5723</v>
      </c>
      <c r="G701" s="824" t="str">
        <f>+VLOOKUP(B701,'Salary sheet'!$B$6:$E$2281,4,0)</f>
        <v>FACTORY O</v>
      </c>
      <c r="H701" s="607" t="str">
        <f>+VLOOKUP(B701,'Salary sheet'!$B$6:$AZ$1386,50,0)</f>
        <v>SK1 Box</v>
      </c>
      <c r="I701" s="607" t="str">
        <f t="shared" si="34"/>
        <v>C6745PHAM THI NGOC BICH050034253886</v>
      </c>
      <c r="J701" s="853" t="str">
        <f>+VLOOKUP(B701,'[5]04 2025'!$B$2:$F$1371,5,0)</f>
        <v>C6745PHAM THI NGOC BICH050034253886</v>
      </c>
      <c r="K701" s="607">
        <f t="shared" si="31"/>
        <v>1</v>
      </c>
      <c r="P701" s="685"/>
    </row>
    <row r="702" spans="1:16" s="607" customFormat="1" ht="18" customHeight="1">
      <c r="A702" s="826">
        <f>SUBTOTAL(3,B$6:B702)</f>
        <v>697</v>
      </c>
      <c r="B702" s="824" t="s">
        <v>2203</v>
      </c>
      <c r="C702" s="824" t="str">
        <f>+VLOOKUP(B702,'Salary sheet'!$B$6:$AX$1386,48,0)</f>
        <v>NGUYEN TAN TAI</v>
      </c>
      <c r="D702" s="824" t="str">
        <f>+VLOOKUP(B702,'Salary sheet'!$B$6:$BW$1386,49,0)</f>
        <v>050043183904</v>
      </c>
      <c r="E702" s="620">
        <f>+VLOOKUP(B702,'Salary sheet'!$B$6:$AT$1292,45,0)</f>
        <v>18128425</v>
      </c>
      <c r="F702" s="1029" t="s">
        <v>5723</v>
      </c>
      <c r="G702" s="824" t="str">
        <f>+VLOOKUP(B702,'Salary sheet'!$B$6:$E$2281,4,0)</f>
        <v>FACTORY O</v>
      </c>
      <c r="H702" s="607" t="str">
        <f>+VLOOKUP(B702,'Salary sheet'!$B$6:$AZ$1386,50,0)</f>
        <v>SK1 Bag</v>
      </c>
      <c r="I702" s="607" t="str">
        <f t="shared" si="34"/>
        <v>C7689NGUYEN TAN TAI050043183904</v>
      </c>
      <c r="J702" s="853" t="str">
        <f>+VLOOKUP(B702,'[5]04 2025'!$B$2:$F$1371,5,0)</f>
        <v>C7689NGUYEN TAN TAI050043183904</v>
      </c>
      <c r="K702" s="607">
        <f t="shared" si="31"/>
        <v>1</v>
      </c>
      <c r="P702" s="685"/>
    </row>
    <row r="703" spans="1:16" s="607" customFormat="1" ht="18" customHeight="1">
      <c r="A703" s="826">
        <f>SUBTOTAL(3,B$6:B703)</f>
        <v>698</v>
      </c>
      <c r="B703" s="824" t="s">
        <v>2206</v>
      </c>
      <c r="C703" s="824" t="str">
        <f>+VLOOKUP(B703,'Salary sheet'!$B$6:$AX$1386,48,0)</f>
        <v>DIEU DIU</v>
      </c>
      <c r="D703" s="824" t="str">
        <f>+VLOOKUP(B703,'Salary sheet'!$B$6:$BW$1386,49,0)</f>
        <v>050093230482</v>
      </c>
      <c r="E703" s="620">
        <f>+VLOOKUP(B703,'Salary sheet'!$B$6:$AT$1292,45,0)</f>
        <v>5960864</v>
      </c>
      <c r="F703" s="1029" t="s">
        <v>5723</v>
      </c>
      <c r="G703" s="824" t="str">
        <f>+VLOOKUP(B703,'Salary sheet'!$B$6:$E$2281,4,0)</f>
        <v>FACTORY O</v>
      </c>
      <c r="H703" s="607" t="str">
        <f>+VLOOKUP(B703,'Salary sheet'!$B$6:$AZ$1386,50,0)</f>
        <v>SK1 Bag</v>
      </c>
      <c r="I703" s="607" t="str">
        <f t="shared" si="34"/>
        <v>C10597DIEU DIU050093230482</v>
      </c>
      <c r="J703" s="853" t="str">
        <f>+VLOOKUP(B703,'[5]04 2025'!$B$2:$F$1371,5,0)</f>
        <v>C10597DIEU DIU050093230482</v>
      </c>
      <c r="K703" s="607">
        <f t="shared" si="31"/>
        <v>1</v>
      </c>
      <c r="P703" s="685"/>
    </row>
    <row r="704" spans="1:16" s="607" customFormat="1" ht="18" customHeight="1">
      <c r="A704" s="826">
        <f>SUBTOTAL(3,B$6:B704)</f>
        <v>699</v>
      </c>
      <c r="B704" s="824" t="s">
        <v>2209</v>
      </c>
      <c r="C704" s="824" t="str">
        <f>+VLOOKUP(B704,'Salary sheet'!$B$6:$AX$1386,48,0)</f>
        <v>PHAM VAN KHOI</v>
      </c>
      <c r="D704" s="824" t="str">
        <f>+VLOOKUP(B704,'Salary sheet'!$B$6:$BW$1386,49,0)</f>
        <v>050098025178</v>
      </c>
      <c r="E704" s="620">
        <f>+VLOOKUP(B704,'Salary sheet'!$B$6:$AT$1292,45,0)</f>
        <v>13153122</v>
      </c>
      <c r="F704" s="1029" t="s">
        <v>5723</v>
      </c>
      <c r="G704" s="824" t="str">
        <f>+VLOOKUP(B704,'Salary sheet'!$B$6:$E$2281,4,0)</f>
        <v>FACTORY O</v>
      </c>
      <c r="H704" s="607" t="str">
        <f>+VLOOKUP(B704,'Salary sheet'!$B$6:$AZ$1386,50,0)</f>
        <v>SK1 Bag</v>
      </c>
      <c r="I704" s="607" t="str">
        <f t="shared" si="34"/>
        <v>C11027PHAM VAN KHOI050098025178</v>
      </c>
      <c r="J704" s="853" t="str">
        <f>+VLOOKUP(B704,'[5]04 2025'!$B$2:$F$1371,5,0)</f>
        <v>C11027PHAM VAN KHOI050098025178</v>
      </c>
      <c r="K704" s="607">
        <f t="shared" si="31"/>
        <v>1</v>
      </c>
      <c r="P704" s="685"/>
    </row>
    <row r="705" spans="1:16" s="607" customFormat="1" ht="18" customHeight="1">
      <c r="A705" s="826">
        <f>SUBTOTAL(3,B$6:B705)</f>
        <v>700</v>
      </c>
      <c r="B705" s="824" t="s">
        <v>2212</v>
      </c>
      <c r="C705" s="824" t="str">
        <f>+VLOOKUP(B705,'Salary sheet'!$B$6:$AX$1386,48,0)</f>
        <v>NGUYEN THI NGOAN</v>
      </c>
      <c r="D705" s="824" t="str">
        <f>+VLOOKUP(B705,'Salary sheet'!$B$6:$BW$1386,49,0)</f>
        <v>050113873504</v>
      </c>
      <c r="E705" s="620">
        <f>+VLOOKUP(B705,'Salary sheet'!$B$6:$AT$1292,45,0)</f>
        <v>9250620</v>
      </c>
      <c r="F705" s="1029" t="s">
        <v>5723</v>
      </c>
      <c r="G705" s="824" t="str">
        <f>+VLOOKUP(B705,'Salary sheet'!$B$6:$E$2281,4,0)</f>
        <v>FACTORY O</v>
      </c>
      <c r="H705" s="607" t="str">
        <f>+VLOOKUP(B705,'Salary sheet'!$B$6:$AZ$1386,50,0)</f>
        <v>SK1 Box</v>
      </c>
      <c r="I705" s="607" t="str">
        <f t="shared" si="34"/>
        <v>C11670NGUYEN THI NGOAN050113873504</v>
      </c>
      <c r="J705" s="853" t="str">
        <f>+VLOOKUP(B705,'[5]04 2025'!$B$2:$F$1371,5,0)</f>
        <v>C11670NGUYEN THI NGOAN050113873504</v>
      </c>
      <c r="K705" s="607">
        <f t="shared" si="31"/>
        <v>1</v>
      </c>
      <c r="P705" s="685"/>
    </row>
    <row r="706" spans="1:16" s="607" customFormat="1" ht="18" customHeight="1">
      <c r="A706" s="826">
        <f>SUBTOTAL(3,B$6:B706)</f>
        <v>701</v>
      </c>
      <c r="B706" s="824" t="s">
        <v>2214</v>
      </c>
      <c r="C706" s="824" t="str">
        <f>+VLOOKUP(B706,'Salary sheet'!$B$6:$AX$1386,48,0)</f>
        <v>LE THI MY DUYEN</v>
      </c>
      <c r="D706" s="824" t="str">
        <f>+VLOOKUP(B706,'Salary sheet'!$B$6:$BW$1386,49,0)</f>
        <v>050119454538</v>
      </c>
      <c r="E706" s="620">
        <f>+VLOOKUP(B706,'Salary sheet'!$B$6:$AT$1292,45,0)</f>
        <v>9280431</v>
      </c>
      <c r="F706" s="1029" t="s">
        <v>5723</v>
      </c>
      <c r="G706" s="824" t="str">
        <f>+VLOOKUP(B706,'Salary sheet'!$B$6:$E$2281,4,0)</f>
        <v>FACTORY O</v>
      </c>
      <c r="H706" s="607" t="str">
        <f>+VLOOKUP(B706,'Salary sheet'!$B$6:$AZ$1386,50,0)</f>
        <v>SK2</v>
      </c>
      <c r="I706" s="607" t="str">
        <f t="shared" si="34"/>
        <v>C12403LE THI MY DUYEN050119454538</v>
      </c>
      <c r="J706" s="853" t="str">
        <f>+VLOOKUP(B706,'[5]04 2025'!$B$2:$F$1371,5,0)</f>
        <v>C12403LE THI MY DUYEN050119454538</v>
      </c>
      <c r="K706" s="607">
        <f t="shared" si="31"/>
        <v>1</v>
      </c>
      <c r="P706" s="685"/>
    </row>
    <row r="707" spans="1:16" s="607" customFormat="1" ht="18" customHeight="1">
      <c r="A707" s="826">
        <f>SUBTOTAL(3,B$6:B707)</f>
        <v>702</v>
      </c>
      <c r="B707" s="824" t="s">
        <v>2217</v>
      </c>
      <c r="C707" s="824" t="str">
        <f>+VLOOKUP(B707,'Salary sheet'!$B$6:$AX$1386,48,0)</f>
        <v>DANG THI THUY</v>
      </c>
      <c r="D707" s="824" t="str">
        <f>+VLOOKUP(B707,'Salary sheet'!$B$6:$BW$1386,49,0)</f>
        <v>050120050254</v>
      </c>
      <c r="E707" s="620">
        <f>+VLOOKUP(B707,'Salary sheet'!$B$6:$AT$1292,45,0)</f>
        <v>9263421</v>
      </c>
      <c r="F707" s="1029" t="s">
        <v>5723</v>
      </c>
      <c r="G707" s="824" t="str">
        <f>+VLOOKUP(B707,'Salary sheet'!$B$6:$E$2281,4,0)</f>
        <v>FACTORY O</v>
      </c>
      <c r="H707" s="607" t="str">
        <f>+VLOOKUP(B707,'Salary sheet'!$B$6:$AZ$1386,50,0)</f>
        <v>SK1 Bag</v>
      </c>
      <c r="I707" s="607" t="str">
        <f t="shared" si="34"/>
        <v>C12557DANG THI THUY050120050254</v>
      </c>
      <c r="J707" s="853" t="str">
        <f>+VLOOKUP(B707,'[5]04 2025'!$B$2:$F$1371,5,0)</f>
        <v>C12557DANG THI THUY050120050254</v>
      </c>
      <c r="K707" s="607">
        <f t="shared" si="31"/>
        <v>1</v>
      </c>
      <c r="P707" s="685"/>
    </row>
    <row r="708" spans="1:16" s="607" customFormat="1" ht="18" customHeight="1">
      <c r="A708" s="826">
        <f>SUBTOTAL(3,B$6:B708)</f>
        <v>703</v>
      </c>
      <c r="B708" s="824" t="s">
        <v>2219</v>
      </c>
      <c r="C708" s="824" t="str">
        <f>+VLOOKUP(B708,'Salary sheet'!$B$6:$AX$1386,48,0)</f>
        <v>HOANG MINH CON</v>
      </c>
      <c r="D708" s="824" t="str">
        <f>+VLOOKUP(B708,'Salary sheet'!$B$6:$BW$1386,49,0)</f>
        <v>050073798350</v>
      </c>
      <c r="E708" s="620">
        <f>+VLOOKUP(B708,'Salary sheet'!$B$6:$AT$1292,45,0)</f>
        <v>12016556</v>
      </c>
      <c r="F708" s="1029" t="s">
        <v>5723</v>
      </c>
      <c r="G708" s="824" t="str">
        <f>+VLOOKUP(B708,'Salary sheet'!$B$6:$E$2281,4,0)</f>
        <v>FACTORY O</v>
      </c>
      <c r="H708" s="607" t="str">
        <f>+VLOOKUP(B708,'Salary sheet'!$B$6:$AZ$1386,50,0)</f>
        <v>SK1 Box</v>
      </c>
      <c r="I708" s="607" t="str">
        <f t="shared" si="34"/>
        <v>C13911HOANG MINH CON050073798350</v>
      </c>
      <c r="J708" s="853" t="str">
        <f>+VLOOKUP(B708,'[5]04 2025'!$B$2:$F$1371,5,0)</f>
        <v>C13911HOANG MINH CON050073798350</v>
      </c>
      <c r="K708" s="607">
        <f t="shared" si="31"/>
        <v>1</v>
      </c>
      <c r="P708" s="685"/>
    </row>
    <row r="709" spans="1:16" s="607" customFormat="1" ht="18" customHeight="1">
      <c r="A709" s="826">
        <f>SUBTOTAL(3,B$6:B709)</f>
        <v>704</v>
      </c>
      <c r="B709" s="824" t="s">
        <v>2221</v>
      </c>
      <c r="C709" s="824" t="str">
        <f>+VLOOKUP(B709,'Salary sheet'!$B$6:$AX$1386,48,0)</f>
        <v>PHAN LAM TUONG</v>
      </c>
      <c r="D709" s="824" t="str">
        <f>+VLOOKUP(B709,'Salary sheet'!$B$6:$BW$1386,49,0)</f>
        <v>050121173351</v>
      </c>
      <c r="E709" s="620">
        <f>+VLOOKUP(B709,'Salary sheet'!$B$6:$AT$1292,45,0)</f>
        <v>8457946</v>
      </c>
      <c r="F709" s="1029" t="s">
        <v>5723</v>
      </c>
      <c r="G709" s="824" t="str">
        <f>+VLOOKUP(B709,'Salary sheet'!$B$6:$E$2281,4,0)</f>
        <v>FACTORY O</v>
      </c>
      <c r="H709" s="607" t="str">
        <f>+VLOOKUP(B709,'Salary sheet'!$B$6:$AZ$1386,50,0)</f>
        <v>SK1 Box</v>
      </c>
      <c r="I709" s="607" t="str">
        <f t="shared" si="34"/>
        <v>C13921PHAN LAM TUONG050121173351</v>
      </c>
      <c r="J709" s="853" t="str">
        <f>+VLOOKUP(B709,'[5]04 2025'!$B$2:$F$1371,5,0)</f>
        <v>C13921PHAN LAM TUONG050121173351</v>
      </c>
      <c r="K709" s="607">
        <f t="shared" si="31"/>
        <v>1</v>
      </c>
      <c r="P709" s="685"/>
    </row>
    <row r="710" spans="1:16" s="607" customFormat="1" ht="18" customHeight="1">
      <c r="A710" s="826">
        <f>SUBTOTAL(3,B$6:B710)</f>
        <v>705</v>
      </c>
      <c r="B710" s="824" t="s">
        <v>2223</v>
      </c>
      <c r="C710" s="824" t="str">
        <f>+VLOOKUP(B710,'Salary sheet'!$B$6:$AX$1386,48,0)</f>
        <v>LE VU BAO TUYEN</v>
      </c>
      <c r="D710" s="824" t="str">
        <f>+VLOOKUP(B710,'Salary sheet'!$B$6:$BW$1386,49,0)</f>
        <v>050121145003</v>
      </c>
      <c r="E710" s="620">
        <f>+VLOOKUP(B710,'Salary sheet'!$B$6:$AT$1292,45,0)</f>
        <v>8253599</v>
      </c>
      <c r="F710" s="1029" t="s">
        <v>5723</v>
      </c>
      <c r="G710" s="824" t="str">
        <f>+VLOOKUP(B710,'Salary sheet'!$B$6:$E$2281,4,0)</f>
        <v>FACTORY O</v>
      </c>
      <c r="H710" s="607" t="str">
        <f>+VLOOKUP(B710,'Salary sheet'!$B$6:$AZ$1386,50,0)</f>
        <v>SK1 Box</v>
      </c>
      <c r="I710" s="607" t="str">
        <f t="shared" si="34"/>
        <v>C13976LE VU BAO TUYEN050121145003</v>
      </c>
      <c r="J710" s="853" t="str">
        <f>+VLOOKUP(B710,'[5]04 2025'!$B$2:$F$1371,5,0)</f>
        <v>C13976LE VU BAO TUYEN050121145003</v>
      </c>
      <c r="K710" s="607">
        <f t="shared" si="31"/>
        <v>1</v>
      </c>
      <c r="P710" s="685"/>
    </row>
    <row r="711" spans="1:16" s="607" customFormat="1" ht="18" customHeight="1">
      <c r="A711" s="826">
        <f>SUBTOTAL(3,B$6:B711)</f>
        <v>706</v>
      </c>
      <c r="B711" s="824" t="s">
        <v>2225</v>
      </c>
      <c r="C711" s="824" t="str">
        <f>+VLOOKUP(B711,'Salary sheet'!$B$6:$AX$1386,48,0)</f>
        <v>NGUYEN THAO NGAN</v>
      </c>
      <c r="D711" s="824" t="str">
        <f>+VLOOKUP(B711,'Salary sheet'!$B$6:$BW$1386,49,0)</f>
        <v>070106701340</v>
      </c>
      <c r="E711" s="620">
        <f>+VLOOKUP(B711,'Salary sheet'!$B$6:$AT$1292,45,0)</f>
        <v>8348968</v>
      </c>
      <c r="F711" s="1029" t="s">
        <v>5723</v>
      </c>
      <c r="G711" s="824" t="str">
        <f>+VLOOKUP(B711,'Salary sheet'!$B$6:$E$2281,4,0)</f>
        <v>FACTORY O</v>
      </c>
      <c r="H711" s="607" t="str">
        <f>+VLOOKUP(B711,'Salary sheet'!$B$6:$AZ$1386,50,0)</f>
        <v>SK1 Bag</v>
      </c>
      <c r="I711" s="607" t="str">
        <f t="shared" si="34"/>
        <v>C14027NGUYEN THAO NGAN070106701340</v>
      </c>
      <c r="J711" s="853" t="str">
        <f>+VLOOKUP(B711,'[5]04 2025'!$B$2:$F$1371,5,0)</f>
        <v>C14027NGUYEN THAO NGAN070106701340</v>
      </c>
      <c r="K711" s="607">
        <f t="shared" si="31"/>
        <v>1</v>
      </c>
      <c r="P711" s="685"/>
    </row>
    <row r="712" spans="1:16" s="607" customFormat="1" ht="18" customHeight="1">
      <c r="A712" s="826">
        <f>SUBTOTAL(3,B$6:B712)</f>
        <v>707</v>
      </c>
      <c r="B712" s="824" t="s">
        <v>2227</v>
      </c>
      <c r="C712" s="824" t="str">
        <f>+VLOOKUP(B712,'Salary sheet'!$B$6:$AX$1386,48,0)</f>
        <v>HUYNH ANH THUONG</v>
      </c>
      <c r="D712" s="824" t="str">
        <f>+VLOOKUP(B712,'Salary sheet'!$B$6:$BW$1386,49,0)</f>
        <v>050119368925</v>
      </c>
      <c r="E712" s="620">
        <f>+VLOOKUP(B712,'Salary sheet'!$B$6:$AT$1292,45,0)</f>
        <v>9800476</v>
      </c>
      <c r="F712" s="1029" t="s">
        <v>5723</v>
      </c>
      <c r="G712" s="824" t="str">
        <f>+VLOOKUP(B712,'Salary sheet'!$B$6:$E$2281,4,0)</f>
        <v>FACTORY O</v>
      </c>
      <c r="H712" s="607" t="str">
        <f>+VLOOKUP(B712,'Salary sheet'!$B$6:$AZ$1386,50,0)</f>
        <v>SK1 Box</v>
      </c>
      <c r="I712" s="607" t="str">
        <f t="shared" si="34"/>
        <v>C14057HUYNH ANH THUONG050119368925</v>
      </c>
      <c r="J712" s="853" t="str">
        <f>+VLOOKUP(B712,'[5]04 2025'!$B$2:$F$1371,5,0)</f>
        <v>C14057HUYNH ANH THUONG050119368925</v>
      </c>
      <c r="K712" s="607">
        <f t="shared" si="31"/>
        <v>1</v>
      </c>
      <c r="P712" s="685"/>
    </row>
    <row r="713" spans="1:16" s="607" customFormat="1" ht="18" customHeight="1">
      <c r="A713" s="826">
        <f>SUBTOTAL(3,B$6:B713)</f>
        <v>708</v>
      </c>
      <c r="B713" s="824" t="s">
        <v>2229</v>
      </c>
      <c r="C713" s="824" t="str">
        <f>+VLOOKUP(B713,'Salary sheet'!$B$6:$AX$1386,48,0)</f>
        <v>DAO THI DIEM CHI</v>
      </c>
      <c r="D713" s="824" t="str">
        <f>+VLOOKUP(B713,'Salary sheet'!$B$6:$BW$1386,49,0)</f>
        <v>050128443867</v>
      </c>
      <c r="E713" s="620">
        <f>+VLOOKUP(B713,'Salary sheet'!$B$6:$AT$1292,45,0)</f>
        <v>9263421</v>
      </c>
      <c r="F713" s="1029" t="s">
        <v>5723</v>
      </c>
      <c r="G713" s="824" t="str">
        <f>+VLOOKUP(B713,'Salary sheet'!$B$6:$E$2281,4,0)</f>
        <v>FACTORY O</v>
      </c>
      <c r="H713" s="607" t="str">
        <f>+VLOOKUP(B713,'Salary sheet'!$B$6:$AZ$1386,50,0)</f>
        <v>SK1 Bag</v>
      </c>
      <c r="I713" s="607" t="str">
        <f t="shared" si="34"/>
        <v>C14058DAO THI DIEM CHI050128443867</v>
      </c>
      <c r="J713" s="853" t="str">
        <f>+VLOOKUP(B713,'[5]04 2025'!$B$2:$F$1371,5,0)</f>
        <v>C14058DAO THI DIEM CHI050128443867</v>
      </c>
      <c r="K713" s="607">
        <f t="shared" si="31"/>
        <v>1</v>
      </c>
      <c r="P713" s="685"/>
    </row>
    <row r="714" spans="1:16" s="607" customFormat="1" ht="18" customHeight="1">
      <c r="A714" s="826">
        <f>SUBTOTAL(3,B$6:B714)</f>
        <v>709</v>
      </c>
      <c r="B714" s="824" t="s">
        <v>2231</v>
      </c>
      <c r="C714" s="824" t="str">
        <f>+VLOOKUP(B714,'Salary sheet'!$B$6:$AX$1386,48,0)</f>
        <v>HOANG THI NHAT LINH</v>
      </c>
      <c r="D714" s="824" t="str">
        <f>+VLOOKUP(B714,'Salary sheet'!$B$6:$BW$1386,49,0)</f>
        <v>050138650739</v>
      </c>
      <c r="E714" s="620">
        <f>+VLOOKUP(B714,'Salary sheet'!$B$6:$AT$1292,45,0)</f>
        <v>7954780</v>
      </c>
      <c r="F714" s="1029" t="s">
        <v>5723</v>
      </c>
      <c r="G714" s="824" t="str">
        <f>+VLOOKUP(B714,'Salary sheet'!$B$6:$E$2281,4,0)</f>
        <v>FACTORY O</v>
      </c>
      <c r="H714" s="607" t="str">
        <f>+VLOOKUP(B714,'Salary sheet'!$B$6:$AZ$1386,50,0)</f>
        <v>SK1 Box</v>
      </c>
      <c r="I714" s="607" t="str">
        <f t="shared" si="34"/>
        <v>C15297HOANG THI NHAT LINH050138650739</v>
      </c>
      <c r="J714" s="853" t="str">
        <f>+VLOOKUP(B714,'[5]04 2025'!$B$2:$F$1371,5,0)</f>
        <v>C15297HOANG THI NHAT LINH050138650739</v>
      </c>
      <c r="K714" s="607">
        <f t="shared" si="31"/>
        <v>1</v>
      </c>
      <c r="P714" s="685"/>
    </row>
    <row r="715" spans="1:16" s="607" customFormat="1" ht="18" customHeight="1">
      <c r="A715" s="826">
        <f>SUBTOTAL(3,B$6:B715)</f>
        <v>710</v>
      </c>
      <c r="B715" s="824" t="s">
        <v>2233</v>
      </c>
      <c r="C715" s="824" t="str">
        <f>+VLOOKUP(B715,'Salary sheet'!$B$6:$AX$1386,48,0)</f>
        <v>NONG THI NGA</v>
      </c>
      <c r="D715" s="824" t="str">
        <f>+VLOOKUP(B715,'Salary sheet'!$B$6:$BW$1386,49,0)</f>
        <v>060258379279</v>
      </c>
      <c r="E715" s="620">
        <f>+VLOOKUP(B715,'Salary sheet'!$B$6:$AT$1292,45,0)</f>
        <v>8233472</v>
      </c>
      <c r="F715" s="1029" t="s">
        <v>5723</v>
      </c>
      <c r="G715" s="824" t="str">
        <f>+VLOOKUP(B715,'Salary sheet'!$B$6:$E$2281,4,0)</f>
        <v>FACTORY O</v>
      </c>
      <c r="H715" s="607" t="str">
        <f>+VLOOKUP(B715,'Salary sheet'!$B$6:$AZ$1386,50,0)</f>
        <v>SK1 Bag</v>
      </c>
      <c r="I715" s="607" t="str">
        <f t="shared" si="34"/>
        <v>C15298NONG THI NGA060258379279</v>
      </c>
      <c r="J715" s="853" t="str">
        <f>+VLOOKUP(B715,'[5]04 2025'!$B$2:$F$1371,5,0)</f>
        <v>C15298NONG THI NGA060258379279</v>
      </c>
      <c r="K715" s="607">
        <f t="shared" si="31"/>
        <v>1</v>
      </c>
      <c r="P715" s="685"/>
    </row>
    <row r="716" spans="1:16" s="607" customFormat="1" ht="18" customHeight="1">
      <c r="A716" s="826">
        <f>SUBTOTAL(3,B$6:B716)</f>
        <v>711</v>
      </c>
      <c r="B716" s="824" t="s">
        <v>2235</v>
      </c>
      <c r="C716" s="824" t="str">
        <f>+VLOOKUP(B716,'Salary sheet'!$B$6:$AX$1386,48,0)</f>
        <v>DUONG NGOC TRONG</v>
      </c>
      <c r="D716" s="824" t="str">
        <f>+VLOOKUP(B716,'Salary sheet'!$B$6:$BW$1386,49,0)</f>
        <v>050138654580</v>
      </c>
      <c r="E716" s="620">
        <f>+VLOOKUP(B716,'Salary sheet'!$B$6:$AT$1292,45,0)</f>
        <v>8573394</v>
      </c>
      <c r="F716" s="1029" t="s">
        <v>5723</v>
      </c>
      <c r="G716" s="824" t="str">
        <f>+VLOOKUP(B716,'Salary sheet'!$B$6:$E$2281,4,0)</f>
        <v>FACTORY O</v>
      </c>
      <c r="H716" s="607" t="str">
        <f>+VLOOKUP(B716,'Salary sheet'!$B$6:$AZ$1386,50,0)</f>
        <v>SK1 Box</v>
      </c>
      <c r="I716" s="607" t="str">
        <f t="shared" si="34"/>
        <v>C15320DUONG NGOC TRONG050138654580</v>
      </c>
      <c r="J716" s="853" t="str">
        <f>+VLOOKUP(B716,'[5]04 2025'!$B$2:$F$1371,5,0)</f>
        <v>C15320DUONG NGOC TRONG050138654580</v>
      </c>
      <c r="K716" s="607">
        <f t="shared" si="31"/>
        <v>1</v>
      </c>
      <c r="P716" s="685"/>
    </row>
    <row r="717" spans="1:16" s="607" customFormat="1" ht="18" customHeight="1">
      <c r="A717" s="826">
        <f>SUBTOTAL(3,B$6:B717)</f>
        <v>712</v>
      </c>
      <c r="B717" s="824" t="s">
        <v>2237</v>
      </c>
      <c r="C717" s="824" t="str">
        <f>+VLOOKUP(B717,'Salary sheet'!$B$6:$AX$1386,48,0)</f>
        <v>NGUYEN THI THU THAO</v>
      </c>
      <c r="D717" s="824" t="str">
        <f>+VLOOKUP(B717,'Salary sheet'!$B$6:$BW$1386,49,0)</f>
        <v>050132576091</v>
      </c>
      <c r="E717" s="620">
        <f>+VLOOKUP(B717,'Salary sheet'!$B$6:$AT$1292,45,0)</f>
        <v>1813746</v>
      </c>
      <c r="F717" s="1029" t="s">
        <v>5723</v>
      </c>
      <c r="G717" s="824" t="str">
        <f>+VLOOKUP(B717,'Salary sheet'!$B$6:$E$2281,4,0)</f>
        <v>FACTORY O</v>
      </c>
      <c r="H717" s="607" t="str">
        <f>+VLOOKUP(B717,'Salary sheet'!$B$6:$AZ$1386,50,0)</f>
        <v>SK1 Box</v>
      </c>
      <c r="I717" s="607" t="str">
        <f t="shared" si="34"/>
        <v>C15462NGUYEN THI THU THAO050132576091</v>
      </c>
      <c r="J717" s="853" t="str">
        <f>+VLOOKUP(B717,'[5]04 2025'!$B$2:$F$1371,5,0)</f>
        <v>C15462NGUYEN THI THU THAO050132576091</v>
      </c>
      <c r="K717" s="607">
        <f t="shared" si="31"/>
        <v>1</v>
      </c>
      <c r="P717" s="685"/>
    </row>
    <row r="718" spans="1:16" s="607" customFormat="1" ht="18" customHeight="1">
      <c r="A718" s="826">
        <f>SUBTOTAL(3,B$6:B718)</f>
        <v>713</v>
      </c>
      <c r="B718" s="824" t="s">
        <v>2239</v>
      </c>
      <c r="C718" s="824" t="str">
        <f>+VLOOKUP(B718,'Salary sheet'!$B$6:$AX$1386,48,0)</f>
        <v>HOANG THI CANH</v>
      </c>
      <c r="D718" s="824" t="str">
        <f>+VLOOKUP(B718,'Salary sheet'!$B$6:$BW$1386,49,0)</f>
        <v>050087243319</v>
      </c>
      <c r="E718" s="620">
        <f>+VLOOKUP(B718,'Salary sheet'!$B$6:$AT$1292,45,0)</f>
        <v>2973792</v>
      </c>
      <c r="F718" s="1029" t="s">
        <v>5723</v>
      </c>
      <c r="G718" s="824" t="str">
        <f>+VLOOKUP(B718,'Salary sheet'!$B$6:$E$2281,4,0)</f>
        <v>FACTORY O</v>
      </c>
      <c r="H718" s="607" t="str">
        <f>+VLOOKUP(B718,'Salary sheet'!$B$6:$AZ$1386,50,0)</f>
        <v>SK1 Bag</v>
      </c>
      <c r="I718" s="607" t="str">
        <f t="shared" si="34"/>
        <v>C15463HOANG THI CANH050087243319</v>
      </c>
      <c r="J718" s="853" t="str">
        <f>+VLOOKUP(B718,'[5]04 2025'!$B$2:$F$1371,5,0)</f>
        <v>C15463HOANG THI CANH050087243319</v>
      </c>
      <c r="K718" s="607">
        <f t="shared" si="31"/>
        <v>1</v>
      </c>
      <c r="P718" s="685"/>
    </row>
    <row r="719" spans="1:16" s="607" customFormat="1" ht="18" customHeight="1">
      <c r="A719" s="826">
        <f>SUBTOTAL(3,B$6:B719)</f>
        <v>714</v>
      </c>
      <c r="B719" s="824" t="s">
        <v>2242</v>
      </c>
      <c r="C719" s="824" t="str">
        <f>+VLOOKUP(B719,'Salary sheet'!$B$6:$AX$1386,48,0)</f>
        <v>LAM EM</v>
      </c>
      <c r="D719" s="824" t="str">
        <f>+VLOOKUP(B719,'Salary sheet'!$B$6:$BW$1386,49,0)</f>
        <v>050103660154</v>
      </c>
      <c r="E719" s="620">
        <f>+VLOOKUP(B719,'Salary sheet'!$B$6:$AT$1292,45,0)</f>
        <v>7473292</v>
      </c>
      <c r="F719" s="1029" t="s">
        <v>5723</v>
      </c>
      <c r="G719" s="824" t="str">
        <f>+VLOOKUP(B719,'Salary sheet'!$B$6:$E$2281,4,0)</f>
        <v>FACTORY O</v>
      </c>
      <c r="H719" s="607" t="str">
        <f>+VLOOKUP(B719,'Salary sheet'!$B$6:$AZ$1386,50,0)</f>
        <v>SK1 Bag</v>
      </c>
      <c r="I719" s="607" t="str">
        <f t="shared" si="34"/>
        <v>C15803LAM EM050103660154</v>
      </c>
      <c r="J719" s="853" t="str">
        <f>+VLOOKUP(B719,'[5]04 2025'!$B$2:$F$1371,5,0)</f>
        <v>C15803LAM EM050103660154</v>
      </c>
      <c r="K719" s="607">
        <f t="shared" si="31"/>
        <v>1</v>
      </c>
      <c r="P719" s="685"/>
    </row>
    <row r="720" spans="1:16" s="607" customFormat="1" ht="18" customHeight="1">
      <c r="A720" s="826">
        <f>SUBTOTAL(3,B$6:B720)</f>
        <v>715</v>
      </c>
      <c r="B720" s="824" t="s">
        <v>2244</v>
      </c>
      <c r="C720" s="824" t="str">
        <f>+VLOOKUP(B720,'Salary sheet'!$B$6:$AX$1386,48,0)</f>
        <v>THI THE</v>
      </c>
      <c r="D720" s="824" t="str">
        <f>+VLOOKUP(B720,'Salary sheet'!$B$6:$BW$1386,49,0)</f>
        <v>050092203589</v>
      </c>
      <c r="E720" s="620">
        <f>+VLOOKUP(B720,'Salary sheet'!$B$6:$AT$1292,45,0)</f>
        <v>7257740</v>
      </c>
      <c r="F720" s="1029" t="s">
        <v>5723</v>
      </c>
      <c r="G720" s="824" t="str">
        <f>+VLOOKUP(B720,'Salary sheet'!$B$6:$E$2281,4,0)</f>
        <v>FACTORY O</v>
      </c>
      <c r="H720" s="607" t="str">
        <f>+VLOOKUP(B720,'Salary sheet'!$B$6:$AZ$1386,50,0)</f>
        <v>SK1 Bag</v>
      </c>
      <c r="I720" s="607" t="str">
        <f t="shared" si="34"/>
        <v>C16057THI THE050092203589</v>
      </c>
      <c r="J720" s="853" t="str">
        <f>+VLOOKUP(B720,'[5]04 2025'!$B$2:$F$1371,5,0)</f>
        <v>C16057THI THE050092203589</v>
      </c>
      <c r="K720" s="607">
        <f t="shared" si="31"/>
        <v>1</v>
      </c>
      <c r="P720" s="685"/>
    </row>
    <row r="721" spans="1:16" s="607" customFormat="1" ht="18" customHeight="1">
      <c r="A721" s="826">
        <f>SUBTOTAL(3,B$6:B721)</f>
        <v>716</v>
      </c>
      <c r="B721" s="824" t="s">
        <v>2246</v>
      </c>
      <c r="C721" s="824" t="str">
        <f>+VLOOKUP(B721,'Salary sheet'!$B$6:$AX$1386,48,0)</f>
        <v>PHAM THI TAM</v>
      </c>
      <c r="D721" s="824" t="str">
        <f>+VLOOKUP(B721,'Salary sheet'!$B$6:$BW$1386,49,0)</f>
        <v>050106513942</v>
      </c>
      <c r="E721" s="620">
        <f>+VLOOKUP(B721,'Salary sheet'!$B$6:$AT$1292,45,0)</f>
        <v>7135708</v>
      </c>
      <c r="F721" s="1029" t="s">
        <v>5723</v>
      </c>
      <c r="G721" s="824" t="str">
        <f>+VLOOKUP(B721,'Salary sheet'!$B$6:$E$2281,4,0)</f>
        <v>FACTORY O</v>
      </c>
      <c r="H721" s="607" t="str">
        <f>+VLOOKUP(B721,'Salary sheet'!$B$6:$AZ$1386,50,0)</f>
        <v>SK1 Box</v>
      </c>
      <c r="I721" s="607" t="str">
        <f t="shared" si="34"/>
        <v>C16058PHAM THI TAM050106513942</v>
      </c>
      <c r="J721" s="853" t="str">
        <f>+VLOOKUP(B721,'[5]04 2025'!$B$2:$F$1371,5,0)</f>
        <v>C16058PHAM THI TAM050106513942</v>
      </c>
      <c r="K721" s="607">
        <f t="shared" si="31"/>
        <v>1</v>
      </c>
      <c r="P721" s="685"/>
    </row>
    <row r="722" spans="1:16" s="607" customFormat="1" ht="18" customHeight="1">
      <c r="A722" s="826">
        <f>SUBTOTAL(3,B$6:B722)</f>
        <v>717</v>
      </c>
      <c r="B722" s="824" t="s">
        <v>2248</v>
      </c>
      <c r="C722" s="824" t="str">
        <f>+VLOOKUP(B722,'Salary sheet'!$B$6:$AX$1386,48,0)</f>
        <v>DOAN TRUONG DAI</v>
      </c>
      <c r="D722" s="824" t="str">
        <f>+VLOOKUP(B722,'Salary sheet'!$B$6:$BW$1386,49,0)</f>
        <v>050156247631</v>
      </c>
      <c r="E722" s="620">
        <f>+VLOOKUP(B722,'Salary sheet'!$B$6:$AT$1292,45,0)</f>
        <v>7030290</v>
      </c>
      <c r="F722" s="1029" t="s">
        <v>5723</v>
      </c>
      <c r="G722" s="824" t="str">
        <f>+VLOOKUP(B722,'Salary sheet'!$B$6:$E$2281,4,0)</f>
        <v>FACTORY O</v>
      </c>
      <c r="H722" s="607" t="str">
        <f>+VLOOKUP(B722,'Salary sheet'!$B$6:$AZ$1386,50,0)</f>
        <v>SK1 Bag</v>
      </c>
      <c r="I722" s="607" t="str">
        <f t="shared" si="34"/>
        <v>C16201DOAN TRUONG DAI050156247631</v>
      </c>
      <c r="J722" s="853" t="str">
        <f>+VLOOKUP(B722,'[5]04 2025'!$B$2:$F$1371,5,0)</f>
        <v>C16201DOAN TRUONG DAI050156247631</v>
      </c>
      <c r="K722" s="607">
        <f t="shared" si="31"/>
        <v>1</v>
      </c>
      <c r="P722" s="685"/>
    </row>
    <row r="723" spans="1:16" s="607" customFormat="1" ht="18" customHeight="1">
      <c r="A723" s="826">
        <f>SUBTOTAL(3,B$6:B723)</f>
        <v>718</v>
      </c>
      <c r="B723" s="824" t="s">
        <v>2250</v>
      </c>
      <c r="C723" s="824" t="str">
        <f>+VLOOKUP(B723,'Salary sheet'!$B$6:$AX$1386,48,0)</f>
        <v>PHAN VAN DUONG</v>
      </c>
      <c r="D723" s="824" t="str">
        <f>+VLOOKUP(B723,'Salary sheet'!$B$6:$BW$1386,49,0)</f>
        <v>050040934429</v>
      </c>
      <c r="E723" s="620">
        <f>+VLOOKUP(B723,'Salary sheet'!$B$6:$AT$1292,45,0)</f>
        <v>14460362</v>
      </c>
      <c r="F723" s="1029" t="s">
        <v>5723</v>
      </c>
      <c r="G723" s="824" t="str">
        <f>+VLOOKUP(B723,'Salary sheet'!$B$6:$E$2281,4,0)</f>
        <v>FACTORY O</v>
      </c>
      <c r="H723" s="607" t="str">
        <f>+VLOOKUP(B723,'Salary sheet'!$B$6:$AZ$1386,50,0)</f>
        <v>SK2</v>
      </c>
      <c r="I723" s="607" t="str">
        <f t="shared" si="34"/>
        <v>C2076PHAN VAN DUONG050040934429</v>
      </c>
      <c r="J723" s="853" t="str">
        <f>+VLOOKUP(B723,'[5]04 2025'!$B$2:$F$1371,5,0)</f>
        <v>C2076PHAN VAN DUONG050040934429</v>
      </c>
      <c r="K723" s="607">
        <f t="shared" si="31"/>
        <v>1</v>
      </c>
      <c r="P723" s="685"/>
    </row>
    <row r="724" spans="1:16" s="607" customFormat="1" ht="18" customHeight="1">
      <c r="A724" s="826">
        <f>SUBTOTAL(3,B$6:B724)</f>
        <v>719</v>
      </c>
      <c r="B724" s="824" t="s">
        <v>2252</v>
      </c>
      <c r="C724" s="824" t="str">
        <f>+VLOOKUP(B724,'Salary sheet'!$B$6:$AX$1386,48,0)</f>
        <v>NGUYEN THI HOAI THU</v>
      </c>
      <c r="D724" s="824" t="str">
        <f>+VLOOKUP(B724,'Salary sheet'!$B$6:$BW$1386,49,0)</f>
        <v>050066207649</v>
      </c>
      <c r="E724" s="620">
        <f>+VLOOKUP(B724,'Salary sheet'!$B$6:$AT$1292,45,0)</f>
        <v>16042904</v>
      </c>
      <c r="F724" s="1029" t="s">
        <v>5723</v>
      </c>
      <c r="G724" s="824" t="str">
        <f>+VLOOKUP(B724,'Salary sheet'!$B$6:$E$2281,4,0)</f>
        <v>FACTORY O</v>
      </c>
      <c r="H724" s="607" t="str">
        <f>+VLOOKUP(B724,'Salary sheet'!$B$6:$AZ$1386,50,0)</f>
        <v>SK1 Box</v>
      </c>
      <c r="I724" s="607" t="str">
        <f t="shared" si="34"/>
        <v>C3199NGUYEN THI HOAI THU050066207649</v>
      </c>
      <c r="J724" s="853" t="str">
        <f>+VLOOKUP(B724,'[5]04 2025'!$B$2:$F$1371,5,0)</f>
        <v>C3199NGUYEN THI HOAI THU050066207649</v>
      </c>
      <c r="K724" s="607">
        <f t="shared" si="31"/>
        <v>1</v>
      </c>
      <c r="P724" s="685"/>
    </row>
    <row r="725" spans="1:16" s="607" customFormat="1" ht="18" customHeight="1">
      <c r="A725" s="826">
        <f>SUBTOTAL(3,B$6:B725)</f>
        <v>720</v>
      </c>
      <c r="B725" s="824" t="s">
        <v>2255</v>
      </c>
      <c r="C725" s="824" t="str">
        <f>+VLOOKUP(B725,'Salary sheet'!$B$6:$AX$1386,48,0)</f>
        <v>LAM THI THU</v>
      </c>
      <c r="D725" s="824" t="str">
        <f>+VLOOKUP(B725,'Salary sheet'!$B$6:$BW$1386,49,0)</f>
        <v>050040850691</v>
      </c>
      <c r="E725" s="620">
        <f>+VLOOKUP(B725,'Salary sheet'!$B$6:$AT$1292,45,0)</f>
        <v>10143120</v>
      </c>
      <c r="F725" s="1029" t="s">
        <v>5723</v>
      </c>
      <c r="G725" s="824" t="str">
        <f>+VLOOKUP(B725,'Salary sheet'!$B$6:$E$2281,4,0)</f>
        <v>FACTORY O</v>
      </c>
      <c r="H725" s="607" t="str">
        <f>+VLOOKUP(B725,'Salary sheet'!$B$6:$AZ$1386,50,0)</f>
        <v>SK1 Bag</v>
      </c>
      <c r="I725" s="607" t="str">
        <f t="shared" si="34"/>
        <v>C4463LAM THI THU050040850691</v>
      </c>
      <c r="J725" s="853" t="str">
        <f>+VLOOKUP(B725,'[5]04 2025'!$B$2:$F$1371,5,0)</f>
        <v>C4463LAM THI THU050040850691</v>
      </c>
      <c r="K725" s="607">
        <f t="shared" si="31"/>
        <v>1</v>
      </c>
      <c r="P725" s="685"/>
    </row>
    <row r="726" spans="1:16" s="607" customFormat="1" ht="18" customHeight="1">
      <c r="A726" s="826">
        <f>SUBTOTAL(3,B$6:B726)</f>
        <v>721</v>
      </c>
      <c r="B726" s="824" t="s">
        <v>2258</v>
      </c>
      <c r="C726" s="824" t="str">
        <f>+VLOOKUP(B726,'Salary sheet'!$B$6:$AX$1386,48,0)</f>
        <v>DOAN VAN NAM</v>
      </c>
      <c r="D726" s="824" t="str">
        <f>+VLOOKUP(B726,'Salary sheet'!$B$6:$BW$1386,49,0)</f>
        <v>050040816558</v>
      </c>
      <c r="E726" s="620">
        <f>+VLOOKUP(B726,'Salary sheet'!$B$6:$AT$1292,45,0)</f>
        <v>16532583</v>
      </c>
      <c r="F726" s="1029" t="s">
        <v>5723</v>
      </c>
      <c r="G726" s="824" t="str">
        <f>+VLOOKUP(B726,'Salary sheet'!$B$6:$E$2281,4,0)</f>
        <v>FACTORY O</v>
      </c>
      <c r="H726" s="607" t="str">
        <f>+VLOOKUP(B726,'Salary sheet'!$B$6:$AZ$1386,50,0)</f>
        <v>SK1 Box</v>
      </c>
      <c r="I726" s="607" t="str">
        <f t="shared" si="34"/>
        <v>C4766DOAN VAN NAM050040816558</v>
      </c>
      <c r="J726" s="853" t="str">
        <f>+VLOOKUP(B726,'[5]04 2025'!$B$2:$F$1371,5,0)</f>
        <v>C4766DOAN VAN NAM050040816558</v>
      </c>
      <c r="K726" s="607">
        <f t="shared" si="31"/>
        <v>1</v>
      </c>
      <c r="P726" s="685"/>
    </row>
    <row r="727" spans="1:16" s="607" customFormat="1" ht="18" customHeight="1">
      <c r="A727" s="826">
        <f>SUBTOTAL(3,B$6:B727)</f>
        <v>722</v>
      </c>
      <c r="B727" s="824" t="s">
        <v>2260</v>
      </c>
      <c r="C727" s="824" t="str">
        <f>+VLOOKUP(B727,'Salary sheet'!$B$6:$AX$1386,48,0)</f>
        <v>TRAN THI TAM</v>
      </c>
      <c r="D727" s="824" t="str">
        <f>+VLOOKUP(B727,'Salary sheet'!$B$6:$BW$1386,49,0)</f>
        <v>050040829102</v>
      </c>
      <c r="E727" s="620">
        <f>+VLOOKUP(B727,'Salary sheet'!$B$6:$AT$1292,45,0)</f>
        <v>6480388</v>
      </c>
      <c r="F727" s="1029" t="s">
        <v>5723</v>
      </c>
      <c r="G727" s="824" t="str">
        <f>+VLOOKUP(B727,'Salary sheet'!$B$6:$E$2281,4,0)</f>
        <v>FACTORY O</v>
      </c>
      <c r="H727" s="607" t="str">
        <f>+VLOOKUP(B727,'Salary sheet'!$B$6:$AZ$1386,50,0)</f>
        <v>SK1 Box</v>
      </c>
      <c r="I727" s="607" t="str">
        <f t="shared" si="34"/>
        <v>C5021TRAN THI TAM050040829102</v>
      </c>
      <c r="J727" s="853" t="str">
        <f>+VLOOKUP(B727,'[5]04 2025'!$B$2:$F$1371,5,0)</f>
        <v>C5021TRAN THI TAM050040829102</v>
      </c>
      <c r="K727" s="607">
        <f t="shared" si="31"/>
        <v>1</v>
      </c>
      <c r="P727" s="685"/>
    </row>
    <row r="728" spans="1:16" s="607" customFormat="1" ht="18" customHeight="1">
      <c r="A728" s="826">
        <f>SUBTOTAL(3,B$6:B728)</f>
        <v>723</v>
      </c>
      <c r="B728" s="824" t="s">
        <v>2262</v>
      </c>
      <c r="C728" s="824" t="str">
        <f>+VLOOKUP(B728,'Salary sheet'!$B$6:$AX$1386,48,0)</f>
        <v>LE THI NGA</v>
      </c>
      <c r="D728" s="824" t="str">
        <f>+VLOOKUP(B728,'Salary sheet'!$B$6:$BW$1386,49,0)</f>
        <v>050040851205</v>
      </c>
      <c r="E728" s="620">
        <f>+VLOOKUP(B728,'Salary sheet'!$B$6:$AT$1292,45,0)</f>
        <v>9480417</v>
      </c>
      <c r="F728" s="1029" t="s">
        <v>5723</v>
      </c>
      <c r="G728" s="824" t="str">
        <f>+VLOOKUP(B728,'Salary sheet'!$B$6:$E$2281,4,0)</f>
        <v>FACTORY O</v>
      </c>
      <c r="H728" s="607" t="str">
        <f>+VLOOKUP(B728,'Salary sheet'!$B$6:$AZ$1386,50,0)</f>
        <v>SK1 Bag</v>
      </c>
      <c r="I728" s="607" t="str">
        <f t="shared" si="34"/>
        <v>C5036LE THI NGA050040851205</v>
      </c>
      <c r="J728" s="853" t="str">
        <f>+VLOOKUP(B728,'[5]04 2025'!$B$2:$F$1371,5,0)</f>
        <v>C5036LE THI NGA050040851205</v>
      </c>
      <c r="K728" s="607">
        <f t="shared" si="31"/>
        <v>1</v>
      </c>
      <c r="P728" s="685"/>
    </row>
    <row r="729" spans="1:16" s="607" customFormat="1" ht="18" customHeight="1">
      <c r="A729" s="826">
        <f>SUBTOTAL(3,B$6:B729)</f>
        <v>724</v>
      </c>
      <c r="B729" s="824" t="s">
        <v>2265</v>
      </c>
      <c r="C729" s="824" t="str">
        <f>+VLOOKUP(B729,'Salary sheet'!$B$6:$AX$1386,48,0)</f>
        <v>DO THI KIM ANH</v>
      </c>
      <c r="D729" s="824" t="str">
        <f>+VLOOKUP(B729,'Salary sheet'!$B$6:$BW$1386,49,0)</f>
        <v>050040935484</v>
      </c>
      <c r="E729" s="620">
        <f>+VLOOKUP(B729,'Salary sheet'!$B$6:$AT$1292,45,0)</f>
        <v>9302545</v>
      </c>
      <c r="F729" s="1029" t="s">
        <v>5723</v>
      </c>
      <c r="G729" s="824" t="str">
        <f>+VLOOKUP(B729,'Salary sheet'!$B$6:$E$2281,4,0)</f>
        <v>FACTORY O</v>
      </c>
      <c r="H729" s="607" t="str">
        <f>+VLOOKUP(B729,'Salary sheet'!$B$6:$AZ$1386,50,0)</f>
        <v>SK1 Box</v>
      </c>
      <c r="I729" s="607" t="str">
        <f t="shared" si="34"/>
        <v>C5370DO THI KIM ANH050040935484</v>
      </c>
      <c r="J729" s="853" t="str">
        <f>+VLOOKUP(B729,'[5]04 2025'!$B$2:$F$1371,5,0)</f>
        <v>C5370DO THI KIM ANH050040935484</v>
      </c>
      <c r="K729" s="607">
        <f t="shared" si="31"/>
        <v>1</v>
      </c>
      <c r="P729" s="685"/>
    </row>
    <row r="730" spans="1:16" s="607" customFormat="1" ht="18" customHeight="1">
      <c r="A730" s="826">
        <f>SUBTOTAL(3,B$6:B730)</f>
        <v>725</v>
      </c>
      <c r="B730" s="824" t="s">
        <v>2267</v>
      </c>
      <c r="C730" s="824" t="str">
        <f>+VLOOKUP(B730,'Salary sheet'!$B$6:$AX$1386,48,0)</f>
        <v>PHAN TAN VINH</v>
      </c>
      <c r="D730" s="824" t="str">
        <f>+VLOOKUP(B730,'Salary sheet'!$B$6:$BW$1386,49,0)</f>
        <v>050099643738</v>
      </c>
      <c r="E730" s="620">
        <f>+VLOOKUP(B730,'Salary sheet'!$B$6:$AT$1292,45,0)</f>
        <v>8236189</v>
      </c>
      <c r="F730" s="1029" t="s">
        <v>5723</v>
      </c>
      <c r="G730" s="824" t="str">
        <f>+VLOOKUP(B730,'Salary sheet'!$B$6:$E$2281,4,0)</f>
        <v>FACTORY O</v>
      </c>
      <c r="H730" s="607" t="str">
        <f>+VLOOKUP(B730,'Salary sheet'!$B$6:$AZ$1386,50,0)</f>
        <v>SK1 Box</v>
      </c>
      <c r="I730" s="607" t="str">
        <f t="shared" si="34"/>
        <v>C7632PHAN TAN VINH050099643738</v>
      </c>
      <c r="J730" s="853" t="str">
        <f>+VLOOKUP(B730,'[5]04 2025'!$B$2:$F$1371,5,0)</f>
        <v>C7632PHAN TAN VINH050099643738</v>
      </c>
      <c r="K730" s="607">
        <f t="shared" si="31"/>
        <v>1</v>
      </c>
      <c r="P730" s="685"/>
    </row>
    <row r="731" spans="1:16" s="607" customFormat="1" ht="18" customHeight="1">
      <c r="A731" s="826">
        <f>SUBTOTAL(3,B$6:B731)</f>
        <v>726</v>
      </c>
      <c r="B731" s="824" t="s">
        <v>2269</v>
      </c>
      <c r="C731" s="824" t="str">
        <f>+VLOOKUP(B731,'Salary sheet'!$B$6:$AX$1386,48,0)</f>
        <v>PHAM NGOC TAN</v>
      </c>
      <c r="D731" s="824" t="str">
        <f>+VLOOKUP(B731,'Salary sheet'!$B$6:$BW$1386,49,0)</f>
        <v>050087815185</v>
      </c>
      <c r="E731" s="620">
        <f>+VLOOKUP(B731,'Salary sheet'!$B$6:$AT$1292,45,0)</f>
        <v>11517646</v>
      </c>
      <c r="F731" s="1029" t="s">
        <v>5723</v>
      </c>
      <c r="G731" s="824" t="str">
        <f>+VLOOKUP(B731,'Salary sheet'!$B$6:$E$2281,4,0)</f>
        <v>FACTORY O</v>
      </c>
      <c r="H731" s="607" t="str">
        <f>+VLOOKUP(B731,'Salary sheet'!$B$6:$AZ$1386,50,0)</f>
        <v>SK1 Bag</v>
      </c>
      <c r="I731" s="607" t="str">
        <f t="shared" si="34"/>
        <v>C8243PHAM NGOC TAN050087815185</v>
      </c>
      <c r="J731" s="853" t="str">
        <f>+VLOOKUP(B731,'[5]04 2025'!$B$2:$F$1371,5,0)</f>
        <v>C8243PHAM NGOC TAN050087815185</v>
      </c>
      <c r="K731" s="607">
        <f t="shared" si="31"/>
        <v>1</v>
      </c>
      <c r="P731" s="685"/>
    </row>
    <row r="732" spans="1:16" s="607" customFormat="1" ht="18" customHeight="1">
      <c r="A732" s="826">
        <f>SUBTOTAL(3,B$6:B732)</f>
        <v>727</v>
      </c>
      <c r="B732" s="824" t="s">
        <v>2271</v>
      </c>
      <c r="C732" s="824" t="str">
        <f>+VLOOKUP(B732,'Salary sheet'!$B$6:$AX$1386,48,0)</f>
        <v>LUU THI DIEU TRINH</v>
      </c>
      <c r="D732" s="824" t="str">
        <f>+VLOOKUP(B732,'Salary sheet'!$B$6:$BW$1386,49,0)</f>
        <v>050103659814</v>
      </c>
      <c r="E732" s="620">
        <f>+VLOOKUP(B732,'Salary sheet'!$B$6:$AT$1292,45,0)</f>
        <v>8312369</v>
      </c>
      <c r="F732" s="1029" t="s">
        <v>5723</v>
      </c>
      <c r="G732" s="824" t="str">
        <f>+VLOOKUP(B732,'Salary sheet'!$B$6:$E$2281,4,0)</f>
        <v>FACTORY O</v>
      </c>
      <c r="H732" s="607" t="str">
        <f>+VLOOKUP(B732,'Salary sheet'!$B$6:$AZ$1386,50,0)</f>
        <v>SK1 Bag</v>
      </c>
      <c r="I732" s="607" t="str">
        <f t="shared" si="34"/>
        <v>C8274LUU THI DIEU TRINH050103659814</v>
      </c>
      <c r="J732" s="853" t="str">
        <f>+VLOOKUP(B732,'[5]04 2025'!$B$2:$F$1371,5,0)</f>
        <v>C8274LUU THI DIEU TRINH050103659814</v>
      </c>
      <c r="K732" s="607">
        <f t="shared" si="31"/>
        <v>1</v>
      </c>
      <c r="P732" s="685"/>
    </row>
    <row r="733" spans="1:16" s="607" customFormat="1" ht="18" customHeight="1">
      <c r="A733" s="826">
        <f>SUBTOTAL(3,B$6:B733)</f>
        <v>728</v>
      </c>
      <c r="B733" s="824" t="s">
        <v>2273</v>
      </c>
      <c r="C733" s="824" t="str">
        <f>+VLOOKUP(B733,'Salary sheet'!$B$6:$AX$1386,48,0)</f>
        <v>HOANG VAN TOAN</v>
      </c>
      <c r="D733" s="824" t="str">
        <f>+VLOOKUP(B733,'Salary sheet'!$B$6:$BW$1386,49,0)</f>
        <v>050103659377</v>
      </c>
      <c r="E733" s="620">
        <f>+VLOOKUP(B733,'Salary sheet'!$B$6:$AT$1292,45,0)</f>
        <v>8197144</v>
      </c>
      <c r="F733" s="1029" t="s">
        <v>5723</v>
      </c>
      <c r="G733" s="824" t="str">
        <f>+VLOOKUP(B733,'Salary sheet'!$B$6:$E$2281,4,0)</f>
        <v>FACTORY O</v>
      </c>
      <c r="H733" s="607" t="str">
        <f>+VLOOKUP(B733,'Salary sheet'!$B$6:$AZ$1386,50,0)</f>
        <v>SK1 Bag</v>
      </c>
      <c r="I733" s="607" t="str">
        <f t="shared" si="34"/>
        <v>C8291HOANG VAN TOAN050103659377</v>
      </c>
      <c r="J733" s="853" t="str">
        <f>+VLOOKUP(B733,'[5]04 2025'!$B$2:$F$1371,5,0)</f>
        <v>C8291HOANG VAN TOAN050103659377</v>
      </c>
      <c r="K733" s="607">
        <f t="shared" si="31"/>
        <v>1</v>
      </c>
      <c r="P733" s="685"/>
    </row>
    <row r="734" spans="1:16" s="607" customFormat="1" ht="18" customHeight="1">
      <c r="A734" s="826">
        <f>SUBTOTAL(3,B$6:B734)</f>
        <v>729</v>
      </c>
      <c r="B734" s="824" t="s">
        <v>2275</v>
      </c>
      <c r="C734" s="824" t="str">
        <f>+VLOOKUP(B734,'Salary sheet'!$B$6:$AX$1386,48,0)</f>
        <v>NGUYEN THI THUY</v>
      </c>
      <c r="D734" s="824" t="str">
        <f>+VLOOKUP(B734,'Salary sheet'!$B$6:$BW$1386,49,0)</f>
        <v>050121174291</v>
      </c>
      <c r="E734" s="620">
        <f>+VLOOKUP(B734,'Salary sheet'!$B$6:$AT$1292,45,0)</f>
        <v>13086862</v>
      </c>
      <c r="F734" s="1029" t="s">
        <v>5723</v>
      </c>
      <c r="G734" s="824" t="str">
        <f>+VLOOKUP(B734,'Salary sheet'!$B$6:$E$2281,4,0)</f>
        <v>FACTORY O</v>
      </c>
      <c r="H734" s="607" t="str">
        <f>+VLOOKUP(B734,'Salary sheet'!$B$6:$AZ$1386,50,0)</f>
        <v>SK2</v>
      </c>
      <c r="I734" s="607" t="str">
        <f t="shared" si="34"/>
        <v>C12728NGUYEN THI THUY050121174291</v>
      </c>
      <c r="J734" s="853" t="str">
        <f>+VLOOKUP(B734,'[5]04 2025'!$B$2:$F$1371,5,0)</f>
        <v>C12728NGUYEN THI THUY050121174291</v>
      </c>
      <c r="K734" s="607">
        <f t="shared" si="31"/>
        <v>1</v>
      </c>
      <c r="P734" s="685"/>
    </row>
    <row r="735" spans="1:16" s="607" customFormat="1" ht="18" customHeight="1">
      <c r="A735" s="826">
        <f>SUBTOTAL(3,B$6:B735)</f>
        <v>730</v>
      </c>
      <c r="B735" s="824" t="s">
        <v>2278</v>
      </c>
      <c r="C735" s="824" t="str">
        <f>+VLOOKUP(B735,'Salary sheet'!$B$6:$AX$1386,48,0)</f>
        <v>NGUYEN NGOC NHU Y</v>
      </c>
      <c r="D735" s="824" t="str">
        <f>+VLOOKUP(B735,'Salary sheet'!$B$6:$BW$1386,49,0)</f>
        <v>050135075210</v>
      </c>
      <c r="E735" s="620">
        <f>+VLOOKUP(B735,'Salary sheet'!$B$6:$AT$1292,45,0)</f>
        <v>10888044</v>
      </c>
      <c r="F735" s="1029" t="s">
        <v>5723</v>
      </c>
      <c r="G735" s="824" t="str">
        <f>+VLOOKUP(B735,'Salary sheet'!$B$6:$E$2281,4,0)</f>
        <v>FACTORY O</v>
      </c>
      <c r="H735" s="607" t="str">
        <f>+VLOOKUP(B735,'Salary sheet'!$B$6:$AZ$1386,50,0)</f>
        <v>SK2</v>
      </c>
      <c r="I735" s="607" t="str">
        <f t="shared" si="34"/>
        <v>C15157NGUYEN NGOC NHU Y050135075210</v>
      </c>
      <c r="J735" s="853" t="str">
        <f>+VLOOKUP(B735,'[5]04 2025'!$B$2:$F$1371,5,0)</f>
        <v>C15157NGUYEN NGOC NHU Y050135075210</v>
      </c>
      <c r="K735" s="607">
        <f t="shared" si="31"/>
        <v>1</v>
      </c>
      <c r="P735" s="685"/>
    </row>
    <row r="736" spans="1:16" s="607" customFormat="1" ht="18" customHeight="1">
      <c r="A736" s="826">
        <f>SUBTOTAL(3,B$6:B736)</f>
        <v>731</v>
      </c>
      <c r="B736" s="824" t="s">
        <v>2280</v>
      </c>
      <c r="C736" s="824" t="str">
        <f>+VLOOKUP(B736,'Salary sheet'!$B$6:$AX$1386,48,0)</f>
        <v>TRAN VAN TAI</v>
      </c>
      <c r="D736" s="824" t="str">
        <f>+VLOOKUP(B736,'Salary sheet'!$B$6:$BW$1386,49,0)</f>
        <v>057111061999</v>
      </c>
      <c r="E736" s="620">
        <f>+VLOOKUP(B736,'Salary sheet'!$B$6:$AT$1292,45,0)</f>
        <v>12252277</v>
      </c>
      <c r="F736" s="1029" t="s">
        <v>5723</v>
      </c>
      <c r="G736" s="824" t="str">
        <f>+VLOOKUP(B736,'Salary sheet'!$B$6:$E$2281,4,0)</f>
        <v>FACTORY O</v>
      </c>
      <c r="H736" s="607" t="str">
        <f>+VLOOKUP(B736,'Salary sheet'!$B$6:$AZ$1386,50,0)</f>
        <v>SK1 Bag</v>
      </c>
      <c r="I736" s="607" t="str">
        <f t="shared" si="34"/>
        <v>C15702TRAN VAN TAI057111061999</v>
      </c>
      <c r="J736" s="853" t="str">
        <f>+VLOOKUP(B736,'[5]04 2025'!$B$2:$F$1371,5,0)</f>
        <v>C15702TRAN VAN TAI057111061999</v>
      </c>
      <c r="K736" s="607">
        <f t="shared" si="31"/>
        <v>1</v>
      </c>
      <c r="P736" s="685"/>
    </row>
    <row r="737" spans="1:16" s="607" customFormat="1" ht="18" customHeight="1">
      <c r="A737" s="826">
        <f>SUBTOTAL(3,B$6:B737)</f>
        <v>732</v>
      </c>
      <c r="B737" s="824" t="s">
        <v>2282</v>
      </c>
      <c r="C737" s="824" t="str">
        <f>+VLOOKUP(B737,'Salary sheet'!$B$6:$AX$1386,48,0)</f>
        <v>THUONG THI THANH TRUC</v>
      </c>
      <c r="D737" s="824" t="str">
        <f>+VLOOKUP(B737,'Salary sheet'!$B$6:$BW$1386,49,0)</f>
        <v>050126321012</v>
      </c>
      <c r="E737" s="620">
        <f>+VLOOKUP(B737,'Salary sheet'!$B$6:$AT$1292,45,0)</f>
        <v>10609361</v>
      </c>
      <c r="F737" s="1029" t="s">
        <v>5723</v>
      </c>
      <c r="G737" s="824" t="str">
        <f>+VLOOKUP(B737,'Salary sheet'!$B$6:$E$2281,4,0)</f>
        <v>FACTORY O</v>
      </c>
      <c r="H737" s="607" t="str">
        <f>+VLOOKUP(B737,'Salary sheet'!$B$6:$AZ$1386,50,0)</f>
        <v>SK1 Box</v>
      </c>
      <c r="I737" s="607" t="str">
        <f t="shared" si="34"/>
        <v>C15741THUONG THI THANH TRUC050126321012</v>
      </c>
      <c r="J737" s="853" t="str">
        <f>+VLOOKUP(B737,'[5]04 2025'!$B$2:$F$1371,5,0)</f>
        <v>C15741THUONG THI THANH TRUC050126321012</v>
      </c>
      <c r="K737" s="607">
        <f t="shared" si="31"/>
        <v>1</v>
      </c>
      <c r="P737" s="685"/>
    </row>
    <row r="738" spans="1:16" s="607" customFormat="1" ht="18" customHeight="1">
      <c r="A738" s="826">
        <f>SUBTOTAL(3,B$6:B738)</f>
        <v>733</v>
      </c>
      <c r="B738" s="824" t="s">
        <v>2285</v>
      </c>
      <c r="C738" s="824" t="str">
        <f>+VLOOKUP(B738,'Salary sheet'!$B$6:$AX$1386,48,0)</f>
        <v>HOANG THI KIM PHUONG</v>
      </c>
      <c r="D738" s="824" t="str">
        <f>+VLOOKUP(B738,'Salary sheet'!$B$6:$BW$1386,49,0)</f>
        <v>050040796522</v>
      </c>
      <c r="E738" s="620">
        <f>+VLOOKUP(B738,'Salary sheet'!$B$6:$AT$1292,45,0)</f>
        <v>13547746</v>
      </c>
      <c r="F738" s="1029" t="s">
        <v>5723</v>
      </c>
      <c r="G738" s="824" t="str">
        <f>+VLOOKUP(B738,'Salary sheet'!$B$6:$E$2281,4,0)</f>
        <v>FACTORY O</v>
      </c>
      <c r="H738" s="607" t="str">
        <f>+VLOOKUP(B738,'Salary sheet'!$B$6:$AZ$1386,50,0)</f>
        <v>SK1 Bag</v>
      </c>
      <c r="I738" s="607" t="str">
        <f t="shared" si="34"/>
        <v>C5739HOANG THI KIM PHUONG050040796522</v>
      </c>
      <c r="J738" s="853" t="str">
        <f>+VLOOKUP(B738,'[5]04 2025'!$B$2:$F$1371,5,0)</f>
        <v>C5739HOANG THI KIM PHUONG050040796522</v>
      </c>
      <c r="K738" s="607">
        <f t="shared" si="31"/>
        <v>1</v>
      </c>
      <c r="P738" s="685"/>
    </row>
    <row r="739" spans="1:16" s="607" customFormat="1" ht="18" customHeight="1">
      <c r="A739" s="826">
        <f>SUBTOTAL(3,B$6:B739)</f>
        <v>734</v>
      </c>
      <c r="B739" s="824" t="s">
        <v>2287</v>
      </c>
      <c r="C739" s="824" t="str">
        <f>+VLOOKUP(B739,'Salary sheet'!$B$6:$AX$1386,48,0)</f>
        <v>VO THI HUONG</v>
      </c>
      <c r="D739" s="824" t="str">
        <f>+VLOOKUP(B739,'Salary sheet'!$B$6:$BW$1386,49,0)</f>
        <v>050041002163</v>
      </c>
      <c r="E739" s="620">
        <f>+VLOOKUP(B739,'Salary sheet'!$B$6:$AT$1292,45,0)</f>
        <v>30202225</v>
      </c>
      <c r="F739" s="1029" t="s">
        <v>5723</v>
      </c>
      <c r="G739" s="824" t="str">
        <f>+VLOOKUP(B739,'Salary sheet'!$B$6:$E$2281,4,0)</f>
        <v>FACTORY O</v>
      </c>
      <c r="H739" s="607" t="str">
        <f>+VLOOKUP(B739,'Salary sheet'!$B$6:$AZ$1386,50,0)</f>
        <v>SK2</v>
      </c>
      <c r="I739" s="607" t="str">
        <f t="shared" si="34"/>
        <v>V044VO THI HUONG050041002163</v>
      </c>
      <c r="J739" s="853" t="str">
        <f>+VLOOKUP(B739,'[5]04 2025'!$B$2:$F$1371,5,0)</f>
        <v>V044VO THI HUONG050041002163</v>
      </c>
      <c r="K739" s="607">
        <f t="shared" si="31"/>
        <v>1</v>
      </c>
      <c r="P739" s="685"/>
    </row>
    <row r="740" spans="1:16" s="607" customFormat="1" ht="18" customHeight="1">
      <c r="A740" s="826">
        <f>SUBTOTAL(3,B$6:B740)</f>
        <v>735</v>
      </c>
      <c r="B740" s="824" t="s">
        <v>2290</v>
      </c>
      <c r="C740" s="824" t="str">
        <f>+VLOOKUP(B740,'Salary sheet'!$B$6:$AX$1386,48,0)</f>
        <v>NGUYEN HUNG THAM</v>
      </c>
      <c r="D740" s="824" t="str">
        <f>+VLOOKUP(B740,'Salary sheet'!$B$6:$BW$1386,49,0)</f>
        <v>050040796212</v>
      </c>
      <c r="E740" s="620">
        <f>+VLOOKUP(B740,'Salary sheet'!$B$6:$AT$1292,45,0)</f>
        <v>26885000</v>
      </c>
      <c r="F740" s="1029" t="s">
        <v>5723</v>
      </c>
      <c r="G740" s="824" t="str">
        <f>+VLOOKUP(B740,'Salary sheet'!$B$6:$E$2281,4,0)</f>
        <v>FACTORY O</v>
      </c>
      <c r="H740" s="607" t="str">
        <f>+VLOOKUP(B740,'Salary sheet'!$B$6:$AZ$1386,50,0)</f>
        <v>SK1 Bag</v>
      </c>
      <c r="I740" s="607" t="str">
        <f t="shared" si="34"/>
        <v>V046NGUYEN HUNG THAM050040796212</v>
      </c>
      <c r="J740" s="853" t="str">
        <f>+VLOOKUP(B740,'[5]04 2025'!$B$2:$F$1371,5,0)</f>
        <v>V046NGUYEN HUNG THAM050040796212</v>
      </c>
      <c r="K740" s="607">
        <f t="shared" si="31"/>
        <v>1</v>
      </c>
      <c r="P740" s="685"/>
    </row>
    <row r="741" spans="1:16" s="607" customFormat="1" ht="18" customHeight="1">
      <c r="A741" s="826">
        <f>SUBTOTAL(3,B$6:B741)</f>
        <v>736</v>
      </c>
      <c r="B741" s="824" t="s">
        <v>2293</v>
      </c>
      <c r="C741" s="824" t="str">
        <f>+VLOOKUP(B741,'Salary sheet'!$B$6:$AX$1386,48,0)</f>
        <v>PHAN THANH TUU</v>
      </c>
      <c r="D741" s="824" t="str">
        <f>+VLOOKUP(B741,'Salary sheet'!$B$6:$BW$1386,49,0)</f>
        <v>050040795895</v>
      </c>
      <c r="E741" s="620">
        <f>+VLOOKUP(B741,'Salary sheet'!$B$6:$AT$1292,45,0)</f>
        <v>14055631</v>
      </c>
      <c r="F741" s="1029" t="s">
        <v>5723</v>
      </c>
      <c r="G741" s="824" t="str">
        <f>+VLOOKUP(B741,'Salary sheet'!$B$6:$E$2281,4,0)</f>
        <v>FACTORY O</v>
      </c>
      <c r="H741" s="607" t="str">
        <f>+VLOOKUP(B741,'Salary sheet'!$B$6:$AZ$1386,50,0)</f>
        <v>SK1 Box</v>
      </c>
      <c r="I741" s="607" t="str">
        <f t="shared" si="34"/>
        <v>V081PHAN THANH TUU050040795895</v>
      </c>
      <c r="J741" s="853" t="str">
        <f>+VLOOKUP(B741,'[5]04 2025'!$B$2:$F$1371,5,0)</f>
        <v>V081PHAN THANH TUU050040795895</v>
      </c>
      <c r="K741" s="607">
        <f t="shared" si="31"/>
        <v>1</v>
      </c>
      <c r="P741" s="685"/>
    </row>
    <row r="742" spans="1:16" s="607" customFormat="1" ht="18" customHeight="1">
      <c r="A742" s="826">
        <f>SUBTOTAL(3,B$6:B742)</f>
        <v>737</v>
      </c>
      <c r="B742" s="824" t="s">
        <v>2295</v>
      </c>
      <c r="C742" s="824" t="str">
        <f>+VLOOKUP(B742,'Salary sheet'!$B$6:$AX$1386,48,0)</f>
        <v>DOAN THI KIM NHUNG</v>
      </c>
      <c r="D742" s="824" t="str">
        <f>+VLOOKUP(B742,'Salary sheet'!$B$6:$BW$1386,49,0)</f>
        <v>050040795984</v>
      </c>
      <c r="E742" s="620">
        <f>+VLOOKUP(B742,'Salary sheet'!$B$6:$AT$1292,45,0)</f>
        <v>16075044</v>
      </c>
      <c r="F742" s="1029" t="s">
        <v>5723</v>
      </c>
      <c r="G742" s="824" t="str">
        <f>+VLOOKUP(B742,'Salary sheet'!$B$6:$E$2281,4,0)</f>
        <v>FACTORY O</v>
      </c>
      <c r="H742" s="607" t="str">
        <f>+VLOOKUP(B742,'Salary sheet'!$B$6:$AZ$1386,50,0)</f>
        <v>SK1 Bag</v>
      </c>
      <c r="I742" s="607" t="str">
        <f t="shared" si="34"/>
        <v>V088DOAN THI KIM NHUNG050040795984</v>
      </c>
      <c r="J742" s="853" t="str">
        <f>+VLOOKUP(B742,'[5]04 2025'!$B$2:$F$1371,5,0)</f>
        <v>V088DOAN THI KIM NHUNG050040795984</v>
      </c>
      <c r="K742" s="607">
        <f t="shared" si="31"/>
        <v>1</v>
      </c>
      <c r="P742" s="685"/>
    </row>
    <row r="743" spans="1:16" s="607" customFormat="1" ht="18" customHeight="1">
      <c r="A743" s="826">
        <f>SUBTOTAL(3,B$6:B743)</f>
        <v>738</v>
      </c>
      <c r="B743" s="824" t="s">
        <v>2297</v>
      </c>
      <c r="C743" s="824" t="str">
        <f>+VLOOKUP(B743,'Salary sheet'!$B$6:$AX$1386,48,0)</f>
        <v>NGUYEN VAN LUC</v>
      </c>
      <c r="D743" s="824" t="str">
        <f>+VLOOKUP(B743,'Salary sheet'!$B$6:$BW$1386,49,0)</f>
        <v>050117176727</v>
      </c>
      <c r="E743" s="620">
        <f>+VLOOKUP(B743,'Salary sheet'!$B$6:$AT$1292,45,0)</f>
        <v>9024351</v>
      </c>
      <c r="F743" s="1029" t="s">
        <v>5723</v>
      </c>
      <c r="G743" s="824" t="str">
        <f>+VLOOKUP(B743,'Salary sheet'!$B$6:$E$2281,4,0)</f>
        <v>FACTORY O</v>
      </c>
      <c r="H743" s="607" t="str">
        <f>+VLOOKUP(B743,'Salary sheet'!$B$6:$AZ$1386,50,0)</f>
        <v>SK1 Bag</v>
      </c>
      <c r="I743" s="607" t="str">
        <f t="shared" si="34"/>
        <v>C14046NGUYEN VAN LUC050117176727</v>
      </c>
      <c r="J743" s="853" t="str">
        <f>+VLOOKUP(B743,'[5]04 2025'!$B$2:$F$1371,5,0)</f>
        <v>C14046NGUYEN VAN LUC050117176727</v>
      </c>
      <c r="K743" s="607">
        <f t="shared" ref="K743:K806" si="35">+IF(J743=I743,1,0)</f>
        <v>1</v>
      </c>
      <c r="P743" s="685"/>
    </row>
    <row r="744" spans="1:16" s="607" customFormat="1" ht="18" customHeight="1">
      <c r="A744" s="826">
        <f>SUBTOTAL(3,B$6:B744)</f>
        <v>739</v>
      </c>
      <c r="B744" s="824" t="s">
        <v>2299</v>
      </c>
      <c r="C744" s="824" t="str">
        <f>+VLOOKUP(B744,'Salary sheet'!$B$6:$AX$1386,48,0)</f>
        <v>HOANG VAN HOAN</v>
      </c>
      <c r="D744" s="824" t="str">
        <f>+VLOOKUP(B744,'Salary sheet'!$B$6:$BW$1386,49,0)</f>
        <v>050040831549</v>
      </c>
      <c r="E744" s="620">
        <f>+VLOOKUP(B744,'Salary sheet'!$B$6:$AT$1292,45,0)</f>
        <v>21906399</v>
      </c>
      <c r="F744" s="1029" t="s">
        <v>5723</v>
      </c>
      <c r="G744" s="824" t="str">
        <f>+VLOOKUP(B744,'Salary sheet'!$B$6:$E$2281,4,0)</f>
        <v>FACTORY O</v>
      </c>
      <c r="H744" s="607" t="str">
        <f>+VLOOKUP(B744,'Salary sheet'!$B$6:$AZ$1386,50,0)</f>
        <v>SK1 Box</v>
      </c>
      <c r="I744" s="607" t="str">
        <f t="shared" si="34"/>
        <v>C0253HOANG VAN HOAN050040831549</v>
      </c>
      <c r="J744" s="853" t="str">
        <f>+VLOOKUP(B744,'[5]04 2025'!$B$2:$F$1371,5,0)</f>
        <v>C0253HOANG VAN HOAN050040831549</v>
      </c>
      <c r="K744" s="607">
        <f t="shared" si="35"/>
        <v>1</v>
      </c>
      <c r="P744" s="685"/>
    </row>
    <row r="745" spans="1:16" s="607" customFormat="1" ht="18" customHeight="1">
      <c r="A745" s="826">
        <f>SUBTOTAL(3,B$6:B745)</f>
        <v>740</v>
      </c>
      <c r="B745" s="824" t="s">
        <v>2302</v>
      </c>
      <c r="C745" s="824" t="str">
        <f>+VLOOKUP(B745,'Salary sheet'!$B$6:$AX$1386,48,0)</f>
        <v>PHAM KHAC TRUNG</v>
      </c>
      <c r="D745" s="824" t="str">
        <f>+VLOOKUP(B745,'Salary sheet'!$B$6:$BW$1386,49,0)</f>
        <v>050115341607</v>
      </c>
      <c r="E745" s="620">
        <f>+VLOOKUP(B745,'Salary sheet'!$B$6:$AT$1292,45,0)</f>
        <v>16948290</v>
      </c>
      <c r="F745" s="1029" t="s">
        <v>5723</v>
      </c>
      <c r="G745" s="824" t="str">
        <f>+VLOOKUP(B745,'Salary sheet'!$B$6:$E$2281,4,0)</f>
        <v>FACTORY O</v>
      </c>
      <c r="H745" s="607" t="str">
        <f>+VLOOKUP(B745,'Salary sheet'!$B$6:$AZ$1386,50,0)</f>
        <v>SK1 Bag</v>
      </c>
      <c r="I745" s="607" t="str">
        <f t="shared" si="34"/>
        <v>C11665PHAM KHAC TRUNG050115341607</v>
      </c>
      <c r="J745" s="853" t="str">
        <f>+VLOOKUP(B745,'[5]04 2025'!$B$2:$F$1371,5,0)</f>
        <v>C11665PHAM KHAC TRUNG050115341607</v>
      </c>
      <c r="K745" s="607">
        <f t="shared" si="35"/>
        <v>1</v>
      </c>
      <c r="P745" s="685"/>
    </row>
    <row r="746" spans="1:16" s="607" customFormat="1" ht="18" customHeight="1">
      <c r="A746" s="826">
        <f>SUBTOTAL(3,B$6:B746)</f>
        <v>741</v>
      </c>
      <c r="B746" s="824" t="s">
        <v>2305</v>
      </c>
      <c r="C746" s="824" t="str">
        <f>+VLOOKUP(B746,'Salary sheet'!$B$6:$AX$1386,48,0)</f>
        <v>NGUYEN THI HONG YEN</v>
      </c>
      <c r="D746" s="824" t="str">
        <f>+VLOOKUP(B746,'Salary sheet'!$B$6:$BW$1386,49,0)</f>
        <v>050078214195</v>
      </c>
      <c r="E746" s="620">
        <f>+VLOOKUP(B746,'Salary sheet'!$B$6:$AT$1292,45,0)</f>
        <v>9213915</v>
      </c>
      <c r="F746" s="1029" t="s">
        <v>5723</v>
      </c>
      <c r="G746" s="824" t="str">
        <f>+VLOOKUP(B746,'Salary sheet'!$B$6:$E$2281,4,0)</f>
        <v>FACTORY O</v>
      </c>
      <c r="H746" s="607" t="str">
        <f>+VLOOKUP(B746,'Salary sheet'!$B$6:$AZ$1386,50,0)</f>
        <v>SK1 Box</v>
      </c>
      <c r="I746" s="607" t="str">
        <f t="shared" si="34"/>
        <v>C12820NGUYEN THI HONG YEN050078214195</v>
      </c>
      <c r="J746" s="853" t="str">
        <f>+VLOOKUP(B746,'[5]04 2025'!$B$2:$F$1371,5,0)</f>
        <v>C12820NGUYEN THI HONG YEN050078214195</v>
      </c>
      <c r="K746" s="607">
        <f t="shared" si="35"/>
        <v>1</v>
      </c>
      <c r="P746" s="685"/>
    </row>
    <row r="747" spans="1:16" s="607" customFormat="1" ht="18" customHeight="1">
      <c r="A747" s="826">
        <f>SUBTOTAL(3,B$6:B747)</f>
        <v>742</v>
      </c>
      <c r="B747" s="824" t="s">
        <v>2308</v>
      </c>
      <c r="C747" s="824" t="str">
        <f>+VLOOKUP(B747,'Salary sheet'!$B$6:$AX$1386,48,0)</f>
        <v>CHAU NGOC ANH DUY</v>
      </c>
      <c r="D747" s="824" t="str">
        <f>+VLOOKUP(B747,'Salary sheet'!$B$6:$BW$1386,49,0)</f>
        <v>050127859164</v>
      </c>
      <c r="E747" s="620">
        <f>+VLOOKUP(B747,'Salary sheet'!$B$6:$AT$1292,45,0)</f>
        <v>9602800</v>
      </c>
      <c r="F747" s="1029" t="s">
        <v>5723</v>
      </c>
      <c r="G747" s="824" t="str">
        <f>+VLOOKUP(B747,'Salary sheet'!$B$6:$E$2281,4,0)</f>
        <v>FACTORY O</v>
      </c>
      <c r="H747" s="607" t="str">
        <f>+VLOOKUP(B747,'Salary sheet'!$B$6:$AZ$1386,50,0)</f>
        <v>SK1 Bag</v>
      </c>
      <c r="I747" s="607" t="str">
        <f t="shared" si="34"/>
        <v>C14063CHAU NGOC ANH DUY050127859164</v>
      </c>
      <c r="J747" s="853" t="str">
        <f>+VLOOKUP(B747,'[5]04 2025'!$B$2:$F$1371,5,0)</f>
        <v>C14063CHAU NGOC ANH DUY050127859164</v>
      </c>
      <c r="K747" s="607">
        <f t="shared" si="35"/>
        <v>1</v>
      </c>
      <c r="P747" s="685"/>
    </row>
    <row r="748" spans="1:16" s="607" customFormat="1" ht="18" customHeight="1">
      <c r="A748" s="826">
        <f>SUBTOTAL(3,B$6:B748)</f>
        <v>743</v>
      </c>
      <c r="B748" s="824" t="s">
        <v>2311</v>
      </c>
      <c r="C748" s="824" t="str">
        <f>+VLOOKUP(B748,'Salary sheet'!$B$6:$AX$1386,48,0)</f>
        <v>VI VAN TUAN</v>
      </c>
      <c r="D748" s="824" t="str">
        <f>+VLOOKUP(B748,'Salary sheet'!$B$6:$BW$1386,49,0)</f>
        <v>050140521601</v>
      </c>
      <c r="E748" s="620">
        <f>+VLOOKUP(B748,'Salary sheet'!$B$6:$AT$1292,45,0)</f>
        <v>11528113</v>
      </c>
      <c r="F748" s="1029" t="s">
        <v>5723</v>
      </c>
      <c r="G748" s="824" t="str">
        <f>+VLOOKUP(B748,'Salary sheet'!$B$6:$E$2281,4,0)</f>
        <v>FACTORY O</v>
      </c>
      <c r="H748" s="607" t="str">
        <f>+VLOOKUP(B748,'Salary sheet'!$B$6:$AZ$1386,50,0)</f>
        <v>SK1 Bag</v>
      </c>
      <c r="I748" s="607" t="str">
        <f t="shared" si="34"/>
        <v>C15361VI VAN TUAN050140521601</v>
      </c>
      <c r="J748" s="853" t="str">
        <f>+VLOOKUP(B748,'[5]04 2025'!$B$2:$F$1371,5,0)</f>
        <v>C15361VI VAN TUAN050140521601</v>
      </c>
      <c r="K748" s="607">
        <f t="shared" si="35"/>
        <v>1</v>
      </c>
      <c r="P748" s="685"/>
    </row>
    <row r="749" spans="1:16" s="607" customFormat="1" ht="18" customHeight="1">
      <c r="A749" s="826">
        <f>SUBTOTAL(3,B$6:B749)</f>
        <v>744</v>
      </c>
      <c r="B749" s="824" t="s">
        <v>2314</v>
      </c>
      <c r="C749" s="824" t="str">
        <f>+VLOOKUP(B749,'Salary sheet'!$B$6:$AX$1386,48,0)</f>
        <v>PHAM DUY QUANG</v>
      </c>
      <c r="D749" s="824" t="str">
        <f>+VLOOKUP(B749,'Salary sheet'!$B$6:$BW$1386,49,0)</f>
        <v>050128214043</v>
      </c>
      <c r="E749" s="620">
        <f>+VLOOKUP(B749,'Salary sheet'!$B$6:$AT$1292,45,0)</f>
        <v>9405900</v>
      </c>
      <c r="F749" s="1029" t="s">
        <v>5723</v>
      </c>
      <c r="G749" s="824" t="str">
        <f>+VLOOKUP(B749,'Salary sheet'!$B$6:$E$2281,4,0)</f>
        <v>FACTORY O</v>
      </c>
      <c r="H749" s="607" t="str">
        <f>+VLOOKUP(B749,'Salary sheet'!$B$6:$AZ$1386,50,0)</f>
        <v>SK1 Bag</v>
      </c>
      <c r="I749" s="607" t="str">
        <f t="shared" si="34"/>
        <v>C15550PHAM DUY QUANG050128214043</v>
      </c>
      <c r="J749" s="853" t="str">
        <f>+VLOOKUP(B749,'[5]04 2025'!$B$2:$F$1371,5,0)</f>
        <v>C15550PHAM DUY QUANG050128214043</v>
      </c>
      <c r="K749" s="607">
        <f t="shared" si="35"/>
        <v>1</v>
      </c>
      <c r="P749" s="685"/>
    </row>
    <row r="750" spans="1:16" s="607" customFormat="1" ht="18" customHeight="1">
      <c r="A750" s="826">
        <f>SUBTOTAL(3,B$6:B750)</f>
        <v>745</v>
      </c>
      <c r="B750" s="824" t="s">
        <v>1451</v>
      </c>
      <c r="C750" s="824" t="str">
        <f>+VLOOKUP(B750,'Salary sheet'!$B$6:$AX$1386,48,0)</f>
        <v>NGUYEN THANH LUAN</v>
      </c>
      <c r="D750" s="824" t="str">
        <f>+VLOOKUP(B750,'Salary sheet'!$B$6:$BW$1386,49,0)</f>
        <v>050088394582</v>
      </c>
      <c r="E750" s="620">
        <f>+VLOOKUP(B750,'Salary sheet'!$B$6:$AT$1292,45,0)</f>
        <v>9373602</v>
      </c>
      <c r="F750" s="1029" t="s">
        <v>5723</v>
      </c>
      <c r="G750" s="824" t="str">
        <f>+VLOOKUP(B750,'Salary sheet'!$B$6:$E$2281,4,0)</f>
        <v>FACTORY O</v>
      </c>
      <c r="H750" s="607" t="str">
        <f>+VLOOKUP(B750,'Salary sheet'!$B$6:$AZ$1386,50,0)</f>
        <v>SK1 Box</v>
      </c>
      <c r="I750" s="607" t="str">
        <f t="shared" si="34"/>
        <v>C16496NGUYEN THANH LUAN050088394582</v>
      </c>
      <c r="J750" s="853" t="str">
        <f>+VLOOKUP(B750,'[5]04 2025'!$B$2:$F$1371,5,0)</f>
        <v>C16496NGUYEN THANH LUAN050088394582</v>
      </c>
      <c r="K750" s="607">
        <f t="shared" si="35"/>
        <v>1</v>
      </c>
      <c r="P750" s="685"/>
    </row>
    <row r="751" spans="1:16" s="607" customFormat="1" ht="18" customHeight="1">
      <c r="A751" s="826">
        <f>SUBTOTAL(3,B$6:B751)</f>
        <v>746</v>
      </c>
      <c r="B751" s="824" t="s">
        <v>2317</v>
      </c>
      <c r="C751" s="824" t="str">
        <f>+VLOOKUP(B751,'Salary sheet'!$B$6:$AX$1386,48,0)</f>
        <v>LE VAN HUNG</v>
      </c>
      <c r="D751" s="824" t="str">
        <f>+VLOOKUP(B751,'Salary sheet'!$B$6:$BW$1386,49,0)</f>
        <v>050040831336</v>
      </c>
      <c r="E751" s="620">
        <f>+VLOOKUP(B751,'Salary sheet'!$B$6:$AT$1292,45,0)</f>
        <v>17404559</v>
      </c>
      <c r="F751" s="1029" t="s">
        <v>5723</v>
      </c>
      <c r="G751" s="824" t="str">
        <f>+VLOOKUP(B751,'Salary sheet'!$B$6:$E$2281,4,0)</f>
        <v>FACTORY O</v>
      </c>
      <c r="H751" s="607" t="str">
        <f>+VLOOKUP(B751,'Salary sheet'!$B$6:$AZ$1386,50,0)</f>
        <v>SK1 Box</v>
      </c>
      <c r="I751" s="607" t="str">
        <f t="shared" si="34"/>
        <v>C2208LE VAN HUNG050040831336</v>
      </c>
      <c r="J751" s="853" t="str">
        <f>+VLOOKUP(B751,'[5]04 2025'!$B$2:$F$1371,5,0)</f>
        <v>C2208LE VAN HUNG050040831336</v>
      </c>
      <c r="K751" s="607">
        <f t="shared" si="35"/>
        <v>1</v>
      </c>
      <c r="P751" s="685"/>
    </row>
    <row r="752" spans="1:16" s="607" customFormat="1" ht="18" customHeight="1">
      <c r="A752" s="826">
        <f>SUBTOTAL(3,B$6:B752)</f>
        <v>747</v>
      </c>
      <c r="B752" s="824" t="s">
        <v>2320</v>
      </c>
      <c r="C752" s="824" t="str">
        <f>+VLOOKUP(B752,'Salary sheet'!$B$6:$AX$1386,48,0)</f>
        <v>TO DUY HUNG</v>
      </c>
      <c r="D752" s="824" t="str">
        <f>+VLOOKUP(B752,'Salary sheet'!$B$6:$BW$1386,49,0)</f>
        <v>050040831298</v>
      </c>
      <c r="E752" s="620">
        <f>+VLOOKUP(B752,'Salary sheet'!$B$6:$AT$1292,45,0)</f>
        <v>17812703</v>
      </c>
      <c r="F752" s="1029" t="s">
        <v>5723</v>
      </c>
      <c r="G752" s="824" t="str">
        <f>+VLOOKUP(B752,'Salary sheet'!$B$6:$E$2281,4,0)</f>
        <v>FACTORY O</v>
      </c>
      <c r="H752" s="607" t="str">
        <f>+VLOOKUP(B752,'Salary sheet'!$B$6:$AZ$1386,50,0)</f>
        <v>SK1 Bag</v>
      </c>
      <c r="I752" s="607" t="str">
        <f t="shared" si="34"/>
        <v>C4902TO DUY HUNG050040831298</v>
      </c>
      <c r="J752" s="853" t="str">
        <f>+VLOOKUP(B752,'[5]04 2025'!$B$2:$F$1371,5,0)</f>
        <v>C4902TO DUY HUNG050040831298</v>
      </c>
      <c r="K752" s="607">
        <f t="shared" si="35"/>
        <v>1</v>
      </c>
      <c r="P752" s="685"/>
    </row>
    <row r="753" spans="1:16" s="607" customFormat="1" ht="18" customHeight="1">
      <c r="A753" s="826">
        <f>SUBTOTAL(3,B$6:B753)</f>
        <v>748</v>
      </c>
      <c r="B753" s="824" t="s">
        <v>2322</v>
      </c>
      <c r="C753" s="824" t="str">
        <f>+VLOOKUP(B753,'Salary sheet'!$B$6:$AX$1386,48,0)</f>
        <v>DUONG VAN UY</v>
      </c>
      <c r="D753" s="824" t="str">
        <f>+VLOOKUP(B753,'Salary sheet'!$B$6:$BW$1386,49,0)</f>
        <v>050040831239</v>
      </c>
      <c r="E753" s="620">
        <f>+VLOOKUP(B753,'Salary sheet'!$B$6:$AT$1292,45,0)</f>
        <v>17775618</v>
      </c>
      <c r="F753" s="1029" t="s">
        <v>5723</v>
      </c>
      <c r="G753" s="824" t="str">
        <f>+VLOOKUP(B753,'Salary sheet'!$B$6:$E$2281,4,0)</f>
        <v>FACTORY O</v>
      </c>
      <c r="H753" s="607" t="str">
        <f>+VLOOKUP(B753,'Salary sheet'!$B$6:$AZ$1386,50,0)</f>
        <v>SK1 Box</v>
      </c>
      <c r="I753" s="607" t="str">
        <f t="shared" si="34"/>
        <v>C5228DUONG VAN UY050040831239</v>
      </c>
      <c r="J753" s="853" t="str">
        <f>+VLOOKUP(B753,'[5]04 2025'!$B$2:$F$1371,5,0)</f>
        <v>C5228DUONG VAN UY050040831239</v>
      </c>
      <c r="K753" s="607">
        <f t="shared" si="35"/>
        <v>1</v>
      </c>
      <c r="P753" s="685"/>
    </row>
    <row r="754" spans="1:16" s="607" customFormat="1" ht="18" customHeight="1">
      <c r="A754" s="826">
        <f>SUBTOTAL(3,B$6:B754)</f>
        <v>749</v>
      </c>
      <c r="B754" s="824" t="s">
        <v>2324</v>
      </c>
      <c r="C754" s="824" t="str">
        <f>+VLOOKUP(B754,'Salary sheet'!$B$6:$AX$1386,48,0)</f>
        <v>LE HOANG</v>
      </c>
      <c r="D754" s="824" t="str">
        <f>+VLOOKUP(B754,'Salary sheet'!$B$6:$BW$1386,49,0)</f>
        <v>050114669791</v>
      </c>
      <c r="E754" s="620">
        <f>+VLOOKUP(B754,'Salary sheet'!$B$6:$AT$1292,45,0)</f>
        <v>16120452</v>
      </c>
      <c r="F754" s="1029" t="s">
        <v>5723</v>
      </c>
      <c r="G754" s="824" t="str">
        <f>+VLOOKUP(B754,'Salary sheet'!$B$6:$E$2281,4,0)</f>
        <v>FACTORY O</v>
      </c>
      <c r="H754" s="607" t="str">
        <f>+VLOOKUP(B754,'Salary sheet'!$B$6:$AZ$1386,50,0)</f>
        <v>SK1 Bag</v>
      </c>
      <c r="I754" s="607" t="str">
        <f t="shared" si="34"/>
        <v>C7764LE HOANG050114669791</v>
      </c>
      <c r="J754" s="853" t="str">
        <f>+VLOOKUP(B754,'[5]04 2025'!$B$2:$F$1371,5,0)</f>
        <v>C7764LE HOANG050114669791</v>
      </c>
      <c r="K754" s="607">
        <f t="shared" si="35"/>
        <v>1</v>
      </c>
      <c r="P754" s="685"/>
    </row>
    <row r="755" spans="1:16" s="607" customFormat="1" ht="18" customHeight="1">
      <c r="A755" s="826">
        <f>SUBTOTAL(3,B$6:B755)</f>
        <v>750</v>
      </c>
      <c r="B755" s="824" t="s">
        <v>2326</v>
      </c>
      <c r="C755" s="824" t="str">
        <f>+VLOOKUP(B755,'Salary sheet'!$B$6:$AX$1386,48,0)</f>
        <v>PHAM THANH BANG</v>
      </c>
      <c r="D755" s="824" t="str">
        <f>+VLOOKUP(B755,'Salary sheet'!$B$6:$BW$1386,49,0)</f>
        <v>050103659539</v>
      </c>
      <c r="E755" s="620">
        <f>+VLOOKUP(B755,'Salary sheet'!$B$6:$AT$1292,45,0)</f>
        <v>18361891</v>
      </c>
      <c r="F755" s="1029" t="s">
        <v>5723</v>
      </c>
      <c r="G755" s="824" t="str">
        <f>+VLOOKUP(B755,'Salary sheet'!$B$6:$E$2281,4,0)</f>
        <v>FACTORY O</v>
      </c>
      <c r="H755" s="607" t="str">
        <f>+VLOOKUP(B755,'Salary sheet'!$B$6:$AZ$1386,50,0)</f>
        <v>SK1 Box</v>
      </c>
      <c r="I755" s="607" t="str">
        <f t="shared" si="34"/>
        <v>C8311PHAM THANH BANG050103659539</v>
      </c>
      <c r="J755" s="853" t="str">
        <f>+VLOOKUP(B755,'[5]04 2025'!$B$2:$F$1371,5,0)</f>
        <v>C8311PHAM THANH BANG050103659539</v>
      </c>
      <c r="K755" s="607">
        <f t="shared" si="35"/>
        <v>1</v>
      </c>
      <c r="P755" s="685"/>
    </row>
    <row r="756" spans="1:16" s="607" customFormat="1" ht="18" customHeight="1">
      <c r="A756" s="826">
        <f>SUBTOTAL(3,B$6:B756)</f>
        <v>751</v>
      </c>
      <c r="B756" s="824" t="s">
        <v>2329</v>
      </c>
      <c r="C756" s="824" t="str">
        <f>+VLOOKUP(B756,'Salary sheet'!$B$6:$AX$1386,48,0)</f>
        <v>BUI THI NGA</v>
      </c>
      <c r="D756" s="824" t="str">
        <f>+VLOOKUP(B756,'Salary sheet'!$B$6:$BW$1386,49,0)</f>
        <v>050078773909</v>
      </c>
      <c r="E756" s="620">
        <f>+VLOOKUP(B756,'Salary sheet'!$B$6:$AT$1292,45,0)</f>
        <v>25085929</v>
      </c>
      <c r="F756" s="1029" t="s">
        <v>5723</v>
      </c>
      <c r="G756" s="824" t="str">
        <f>+VLOOKUP(B756,'Salary sheet'!$B$6:$E$2281,4,0)</f>
        <v>FACTORY O</v>
      </c>
      <c r="H756" s="607" t="str">
        <f>+VLOOKUP(B756,'Salary sheet'!$B$6:$AZ$1386,50,0)</f>
        <v>SK1 Bag</v>
      </c>
      <c r="I756" s="607" t="str">
        <f t="shared" si="34"/>
        <v>C10631BUI THI NGA050078773909</v>
      </c>
      <c r="J756" s="853" t="str">
        <f>+VLOOKUP(B756,'[5]04 2025'!$B$2:$F$1371,5,0)</f>
        <v>C10631BUI THI NGA050078773909</v>
      </c>
      <c r="K756" s="607">
        <f t="shared" si="35"/>
        <v>1</v>
      </c>
      <c r="P756" s="685"/>
    </row>
    <row r="757" spans="1:16" s="607" customFormat="1" ht="18" customHeight="1">
      <c r="A757" s="826">
        <f>SUBTOTAL(3,B$6:B757)</f>
        <v>752</v>
      </c>
      <c r="B757" s="824" t="s">
        <v>2332</v>
      </c>
      <c r="C757" s="824" t="str">
        <f>+VLOOKUP(B757,'Salary sheet'!$B$6:$AX$1386,48,0)</f>
        <v>HO THI VINH</v>
      </c>
      <c r="D757" s="824" t="str">
        <f>+VLOOKUP(B757,'Salary sheet'!$B$6:$BW$1386,49,0)</f>
        <v>050063340951</v>
      </c>
      <c r="E757" s="620">
        <f>+VLOOKUP(B757,'Salary sheet'!$B$6:$AT$1292,45,0)</f>
        <v>14980936</v>
      </c>
      <c r="F757" s="1029" t="s">
        <v>5723</v>
      </c>
      <c r="G757" s="824" t="str">
        <f>+VLOOKUP(B757,'Salary sheet'!$B$6:$E$2281,4,0)</f>
        <v>FACTORY O</v>
      </c>
      <c r="H757" s="607" t="str">
        <f>+VLOOKUP(B757,'Salary sheet'!$B$6:$AZ$1386,50,0)</f>
        <v>SK1 Box</v>
      </c>
      <c r="I757" s="607" t="str">
        <f t="shared" si="34"/>
        <v>C10642HO THI VINH050063340951</v>
      </c>
      <c r="J757" s="853" t="str">
        <f>+VLOOKUP(B757,'[5]04 2025'!$B$2:$F$1371,5,0)</f>
        <v>C10642HO THI VINH050063340951</v>
      </c>
      <c r="K757" s="607">
        <f t="shared" si="35"/>
        <v>1</v>
      </c>
      <c r="P757" s="685"/>
    </row>
    <row r="758" spans="1:16" s="607" customFormat="1" ht="18" customHeight="1">
      <c r="A758" s="826">
        <f>SUBTOTAL(3,B$6:B758)</f>
        <v>753</v>
      </c>
      <c r="B758" s="824" t="s">
        <v>2335</v>
      </c>
      <c r="C758" s="824" t="str">
        <f>+VLOOKUP(B758,'Salary sheet'!$B$6:$AX$1386,48,0)</f>
        <v>TRAN THI THU THUY</v>
      </c>
      <c r="D758" s="824" t="str">
        <f>+VLOOKUP(B758,'Salary sheet'!$B$6:$BW$1386,49,0)</f>
        <v>050115309282</v>
      </c>
      <c r="E758" s="620">
        <f>+VLOOKUP(B758,'Salary sheet'!$B$6:$AT$1292,45,0)</f>
        <v>13114811</v>
      </c>
      <c r="F758" s="1029" t="s">
        <v>5723</v>
      </c>
      <c r="G758" s="824" t="str">
        <f>+VLOOKUP(B758,'Salary sheet'!$B$6:$E$2281,4,0)</f>
        <v>FACTORY O</v>
      </c>
      <c r="H758" s="607" t="str">
        <f>+VLOOKUP(B758,'Salary sheet'!$B$6:$AZ$1386,50,0)</f>
        <v>SK1 Box</v>
      </c>
      <c r="I758" s="607" t="str">
        <f t="shared" si="34"/>
        <v>C11642TRAN THI THU THUY050115309282</v>
      </c>
      <c r="J758" s="853" t="str">
        <f>+VLOOKUP(B758,'[5]04 2025'!$B$2:$F$1371,5,0)</f>
        <v>C11642TRAN THI THU THUY050115309282</v>
      </c>
      <c r="K758" s="607">
        <f t="shared" si="35"/>
        <v>1</v>
      </c>
      <c r="P758" s="685"/>
    </row>
    <row r="759" spans="1:16" s="607" customFormat="1" ht="18" customHeight="1">
      <c r="A759" s="826">
        <f>SUBTOTAL(3,B$6:B759)</f>
        <v>754</v>
      </c>
      <c r="B759" s="824" t="s">
        <v>2337</v>
      </c>
      <c r="C759" s="824" t="str">
        <f>+VLOOKUP(B759,'Salary sheet'!$B$6:$AX$1386,48,0)</f>
        <v>NGUYEN THI PHUONG THAO</v>
      </c>
      <c r="D759" s="824" t="str">
        <f>+VLOOKUP(B759,'Salary sheet'!$B$6:$BW$1386,49,0)</f>
        <v>050106506784</v>
      </c>
      <c r="E759" s="620">
        <f>+VLOOKUP(B759,'Salary sheet'!$B$6:$AT$1292,45,0)</f>
        <v>11833544</v>
      </c>
      <c r="F759" s="1029" t="s">
        <v>5723</v>
      </c>
      <c r="G759" s="824" t="str">
        <f>+VLOOKUP(B759,'Salary sheet'!$B$6:$E$2281,4,0)</f>
        <v>FACTORY O</v>
      </c>
      <c r="H759" s="607" t="str">
        <f>+VLOOKUP(B759,'Salary sheet'!$B$6:$AZ$1386,50,0)</f>
        <v>SK1 Bag</v>
      </c>
      <c r="I759" s="607" t="str">
        <f t="shared" si="34"/>
        <v>C12364NGUYEN THI PHUONG THAO050106506784</v>
      </c>
      <c r="J759" s="853" t="str">
        <f>+VLOOKUP(B759,'[5]04 2025'!$B$2:$F$1371,5,0)</f>
        <v>C12364NGUYEN THI PHUONG THAO050106506784</v>
      </c>
      <c r="K759" s="607">
        <f t="shared" si="35"/>
        <v>1</v>
      </c>
      <c r="P759" s="685"/>
    </row>
    <row r="760" spans="1:16" s="607" customFormat="1" ht="18" customHeight="1">
      <c r="A760" s="826">
        <f>SUBTOTAL(3,B$6:B760)</f>
        <v>755</v>
      </c>
      <c r="B760" s="824" t="s">
        <v>2338</v>
      </c>
      <c r="C760" s="824" t="str">
        <f>+VLOOKUP(B760,'Salary sheet'!$B$6:$AX$1386,48,0)</f>
        <v>VO THI XUAN ANH</v>
      </c>
      <c r="D760" s="824" t="str">
        <f>+VLOOKUP(B760,'Salary sheet'!$B$6:$BW$1386,49,0)</f>
        <v>050136133801</v>
      </c>
      <c r="E760" s="620">
        <f>+VLOOKUP(B760,'Salary sheet'!$B$6:$AT$1292,45,0)</f>
        <v>17934369</v>
      </c>
      <c r="F760" s="1029" t="s">
        <v>5723</v>
      </c>
      <c r="G760" s="824" t="str">
        <f>+VLOOKUP(B760,'Salary sheet'!$B$6:$E$2281,4,0)</f>
        <v>FACTORY O</v>
      </c>
      <c r="H760" s="607" t="str">
        <f>+VLOOKUP(B760,'Salary sheet'!$B$6:$AZ$1386,50,0)</f>
        <v>SK1 Box</v>
      </c>
      <c r="I760" s="607" t="str">
        <f t="shared" si="34"/>
        <v>C14758VO THI XUAN ANH050136133801</v>
      </c>
      <c r="J760" s="853" t="str">
        <f>+VLOOKUP(B760,'[5]04 2025'!$B$2:$F$1371,5,0)</f>
        <v>C14758VO THI XUAN ANH050136133801</v>
      </c>
      <c r="K760" s="607">
        <f t="shared" si="35"/>
        <v>1</v>
      </c>
      <c r="P760" s="685"/>
    </row>
    <row r="761" spans="1:16" s="607" customFormat="1" ht="18" customHeight="1">
      <c r="A761" s="826">
        <f>SUBTOTAL(3,B$6:B761)</f>
        <v>756</v>
      </c>
      <c r="B761" s="824" t="s">
        <v>2340</v>
      </c>
      <c r="C761" s="824" t="str">
        <f>+VLOOKUP(B761,'Salary sheet'!$B$6:$AX$1386,48,0)</f>
        <v>HO THI THANH TAM</v>
      </c>
      <c r="D761" s="824" t="str">
        <f>+VLOOKUP(B761,'Salary sheet'!$B$6:$BW$1386,49,0)</f>
        <v>050063346389</v>
      </c>
      <c r="E761" s="620">
        <f>+VLOOKUP(B761,'Salary sheet'!$B$6:$AT$1292,45,0)</f>
        <v>11101996</v>
      </c>
      <c r="F761" s="1029" t="s">
        <v>5723</v>
      </c>
      <c r="G761" s="824" t="str">
        <f>+VLOOKUP(B761,'Salary sheet'!$B$6:$E$2281,4,0)</f>
        <v>FACTORY O</v>
      </c>
      <c r="H761" s="607" t="str">
        <f>+VLOOKUP(B761,'Salary sheet'!$B$6:$AZ$1386,50,0)</f>
        <v>SK1 Bag</v>
      </c>
      <c r="I761" s="607" t="str">
        <f t="shared" ref="I761:I822" si="36">+CONCATENATE(B761,C761,D761)</f>
        <v>C15447HO THI THANH TAM050063346389</v>
      </c>
      <c r="J761" s="853" t="str">
        <f>+VLOOKUP(B761,'[5]04 2025'!$B$2:$F$1371,5,0)</f>
        <v>C15447HO THI THANH TAM050063346389</v>
      </c>
      <c r="K761" s="607">
        <f t="shared" si="35"/>
        <v>1</v>
      </c>
      <c r="P761" s="685"/>
    </row>
    <row r="762" spans="1:16" s="607" customFormat="1" ht="18" customHeight="1">
      <c r="A762" s="826">
        <f>SUBTOTAL(3,B$6:B762)</f>
        <v>757</v>
      </c>
      <c r="B762" s="824" t="s">
        <v>2342</v>
      </c>
      <c r="C762" s="824" t="str">
        <f>+VLOOKUP(B762,'Salary sheet'!$B$6:$AX$1386,48,0)</f>
        <v>PHAN THI NGOC ANH</v>
      </c>
      <c r="D762" s="824" t="str">
        <f>+VLOOKUP(B762,'Salary sheet'!$B$6:$BW$1386,49,0)</f>
        <v>050040796441</v>
      </c>
      <c r="E762" s="620">
        <f>+VLOOKUP(B762,'Salary sheet'!$B$6:$AT$1292,45,0)</f>
        <v>13499035</v>
      </c>
      <c r="F762" s="1029" t="s">
        <v>5723</v>
      </c>
      <c r="G762" s="824" t="str">
        <f>+VLOOKUP(B762,'Salary sheet'!$B$6:$E$2281,4,0)</f>
        <v>FACTORY O</v>
      </c>
      <c r="H762" s="607" t="str">
        <f>+VLOOKUP(B762,'Salary sheet'!$B$6:$AZ$1386,50,0)</f>
        <v>SK1 Box</v>
      </c>
      <c r="I762" s="607" t="str">
        <f t="shared" si="36"/>
        <v>C15928PHAN THI NGOC ANH050040796441</v>
      </c>
      <c r="J762" s="853" t="str">
        <f>+VLOOKUP(B762,'[5]04 2025'!$B$2:$F$1371,5,0)</f>
        <v>C15928PHAN THI NGOC ANH050040796441</v>
      </c>
      <c r="K762" s="607">
        <f t="shared" si="35"/>
        <v>1</v>
      </c>
      <c r="P762" s="685"/>
    </row>
    <row r="763" spans="1:16" s="607" customFormat="1" ht="18" customHeight="1">
      <c r="A763" s="826">
        <f>SUBTOTAL(3,B$6:B763)</f>
        <v>758</v>
      </c>
      <c r="B763" s="824" t="s">
        <v>2344</v>
      </c>
      <c r="C763" s="824" t="str">
        <f>+VLOOKUP(B763,'Salary sheet'!$B$6:$AX$1386,48,0)</f>
        <v>NGUYEN THI THU GIANG</v>
      </c>
      <c r="D763" s="824" t="str">
        <f>+VLOOKUP(B763,'Salary sheet'!$B$6:$BW$1386,49,0)</f>
        <v>050040796492</v>
      </c>
      <c r="E763" s="620">
        <f>+VLOOKUP(B763,'Salary sheet'!$B$6:$AT$1292,45,0)</f>
        <v>594362</v>
      </c>
      <c r="F763" s="1029" t="s">
        <v>5723</v>
      </c>
      <c r="G763" s="824" t="str">
        <f>+VLOOKUP(B763,'Salary sheet'!$B$6:$E$2281,4,0)</f>
        <v>FACTORY O</v>
      </c>
      <c r="H763" s="607" t="str">
        <f>+VLOOKUP(B763,'Salary sheet'!$B$6:$AZ$1386,50,0)</f>
        <v>SK1 Box</v>
      </c>
      <c r="I763" s="607" t="str">
        <f t="shared" si="36"/>
        <v>C5922NGUYEN THI THU GIANG050040796492</v>
      </c>
      <c r="J763" s="853" t="str">
        <f>+VLOOKUP(B763,'[5]04 2025'!$B$2:$F$1371,5,0)</f>
        <v>C5922NGUYEN THI THU GIANG050040796492</v>
      </c>
      <c r="K763" s="607">
        <f t="shared" si="35"/>
        <v>1</v>
      </c>
      <c r="P763" s="685"/>
    </row>
    <row r="764" spans="1:16" s="607" customFormat="1" ht="18" customHeight="1">
      <c r="A764" s="826">
        <f>SUBTOTAL(3,B$6:B764)</f>
        <v>759</v>
      </c>
      <c r="B764" s="824" t="s">
        <v>2346</v>
      </c>
      <c r="C764" s="824" t="str">
        <f>+VLOOKUP(B764,'Salary sheet'!$B$6:$AX$1386,48,0)</f>
        <v>HA THI LUONG</v>
      </c>
      <c r="D764" s="824" t="str">
        <f>+VLOOKUP(B764,'Salary sheet'!$B$6:$BW$1386,49,0)</f>
        <v>050042517965</v>
      </c>
      <c r="E764" s="620">
        <f>+VLOOKUP(B764,'Salary sheet'!$B$6:$AT$1292,45,0)</f>
        <v>17517477</v>
      </c>
      <c r="F764" s="1029" t="s">
        <v>5723</v>
      </c>
      <c r="G764" s="824" t="str">
        <f>+VLOOKUP(B764,'Salary sheet'!$B$6:$E$2281,4,0)</f>
        <v>FACTORY O</v>
      </c>
      <c r="H764" s="607" t="str">
        <f>+VLOOKUP(B764,'Salary sheet'!$B$6:$AZ$1386,50,0)</f>
        <v>SK1 Bag</v>
      </c>
      <c r="I764" s="607" t="str">
        <f t="shared" si="36"/>
        <v>V057HA THI LUONG050042517965</v>
      </c>
      <c r="J764" s="853" t="str">
        <f>+VLOOKUP(B764,'[5]04 2025'!$B$2:$F$1371,5,0)</f>
        <v>V057HA THI LUONG050042517965</v>
      </c>
      <c r="K764" s="607">
        <f t="shared" si="35"/>
        <v>1</v>
      </c>
      <c r="P764" s="685"/>
    </row>
    <row r="765" spans="1:16" s="607" customFormat="1" ht="18" customHeight="1">
      <c r="A765" s="826">
        <f>SUBTOTAL(3,B$6:B765)</f>
        <v>760</v>
      </c>
      <c r="B765" s="824" t="s">
        <v>2348</v>
      </c>
      <c r="C765" s="824" t="str">
        <f>+VLOOKUP(B765,'Salary sheet'!$B$6:$AX$1386,48,0)</f>
        <v>TRAN THI TU</v>
      </c>
      <c r="D765" s="824" t="str">
        <f>+VLOOKUP(B765,'Salary sheet'!$B$6:$BW$1386,49,0)</f>
        <v>050040795836</v>
      </c>
      <c r="E765" s="620">
        <f>+VLOOKUP(B765,'Salary sheet'!$B$6:$AT$1292,45,0)</f>
        <v>24217044</v>
      </c>
      <c r="F765" s="1029" t="s">
        <v>5723</v>
      </c>
      <c r="G765" s="824" t="str">
        <f>+VLOOKUP(B765,'Salary sheet'!$B$6:$E$2281,4,0)</f>
        <v>FACTORY O</v>
      </c>
      <c r="H765" s="607" t="str">
        <f>+VLOOKUP(B765,'Salary sheet'!$B$6:$AZ$1386,50,0)</f>
        <v>SK1 Bag</v>
      </c>
      <c r="I765" s="607" t="str">
        <f t="shared" si="36"/>
        <v>V075TRAN THI TU050040795836</v>
      </c>
      <c r="J765" s="853" t="str">
        <f>+VLOOKUP(B765,'[5]04 2025'!$B$2:$F$1371,5,0)</f>
        <v>V075TRAN THI TU050040795836</v>
      </c>
      <c r="K765" s="607">
        <f t="shared" si="35"/>
        <v>1</v>
      </c>
      <c r="P765" s="685"/>
    </row>
    <row r="766" spans="1:16" s="607" customFormat="1" ht="18" customHeight="1">
      <c r="A766" s="826">
        <f>SUBTOTAL(3,B$6:B766)</f>
        <v>761</v>
      </c>
      <c r="B766" s="824" t="s">
        <v>2350</v>
      </c>
      <c r="C766" s="824" t="str">
        <f>+VLOOKUP(B766,'Salary sheet'!$B$6:$AX$1386,48,0)</f>
        <v>TRAN THI DIEU HIEN</v>
      </c>
      <c r="D766" s="824" t="str">
        <f>+VLOOKUP(B766,'Salary sheet'!$B$6:$BW$1386,49,0)</f>
        <v>050040817678</v>
      </c>
      <c r="E766" s="620">
        <f>+VLOOKUP(B766,'Salary sheet'!$B$6:$AT$1292,45,0)</f>
        <v>13039542</v>
      </c>
      <c r="F766" s="1029" t="s">
        <v>5723</v>
      </c>
      <c r="G766" s="824" t="str">
        <f>+VLOOKUP(B766,'Salary sheet'!$B$6:$E$2281,4,0)</f>
        <v>FACTORY O</v>
      </c>
      <c r="H766" s="607" t="str">
        <f>+VLOOKUP(B766,'Salary sheet'!$B$6:$AZ$1386,50,0)</f>
        <v>SK1 Box</v>
      </c>
      <c r="I766" s="607" t="str">
        <f t="shared" si="36"/>
        <v>C0760TRAN THI DIEU HIEN050040817678</v>
      </c>
      <c r="J766" s="853" t="str">
        <f>+VLOOKUP(B766,'[5]04 2025'!$B$2:$F$1371,5,0)</f>
        <v>C0760TRAN THI DIEU HIEN050040817678</v>
      </c>
      <c r="K766" s="607">
        <f t="shared" si="35"/>
        <v>1</v>
      </c>
      <c r="P766" s="685"/>
    </row>
    <row r="767" spans="1:16" s="607" customFormat="1" ht="18" customHeight="1">
      <c r="A767" s="826">
        <f>SUBTOTAL(3,B$6:B767)</f>
        <v>762</v>
      </c>
      <c r="B767" s="824" t="s">
        <v>2353</v>
      </c>
      <c r="C767" s="824" t="str">
        <f>+VLOOKUP(B767,'Salary sheet'!$B$6:$AX$1386,48,0)</f>
        <v>DO TIEN TIEN</v>
      </c>
      <c r="D767" s="824" t="str">
        <f>+VLOOKUP(B767,'Salary sheet'!$B$6:$BW$1386,49,0)</f>
        <v>050090526682</v>
      </c>
      <c r="E767" s="620">
        <f>+VLOOKUP(B767,'Salary sheet'!$B$6:$AT$1292,45,0)</f>
        <v>9793041</v>
      </c>
      <c r="F767" s="1029" t="s">
        <v>5723</v>
      </c>
      <c r="G767" s="824" t="str">
        <f>+VLOOKUP(B767,'Salary sheet'!$B$6:$E$2281,4,0)</f>
        <v>FACTORY O</v>
      </c>
      <c r="H767" s="607" t="str">
        <f>+VLOOKUP(B767,'Salary sheet'!$B$6:$AZ$1386,50,0)</f>
        <v>SK1 Bag</v>
      </c>
      <c r="I767" s="607" t="str">
        <f t="shared" si="36"/>
        <v>C10799DO TIEN TIEN050090526682</v>
      </c>
      <c r="J767" s="853" t="str">
        <f>+VLOOKUP(B767,'[5]04 2025'!$B$2:$F$1371,5,0)</f>
        <v>C10799DO TIEN TIEN050090526682</v>
      </c>
      <c r="K767" s="607">
        <f t="shared" si="35"/>
        <v>1</v>
      </c>
      <c r="P767" s="685"/>
    </row>
    <row r="768" spans="1:16" s="607" customFormat="1" ht="18" customHeight="1">
      <c r="A768" s="826">
        <f>SUBTOTAL(3,B$6:B768)</f>
        <v>763</v>
      </c>
      <c r="B768" s="824" t="s">
        <v>2356</v>
      </c>
      <c r="C768" s="824" t="str">
        <f>+VLOOKUP(B768,'Salary sheet'!$B$6:$AX$1386,48,0)</f>
        <v>TRINH NGOC BINH</v>
      </c>
      <c r="D768" s="824" t="str">
        <f>+VLOOKUP(B768,'Salary sheet'!$B$6:$BW$1386,49,0)</f>
        <v>050074206619</v>
      </c>
      <c r="E768" s="620">
        <f>+VLOOKUP(B768,'Salary sheet'!$B$6:$AT$1292,45,0)</f>
        <v>10044915</v>
      </c>
      <c r="F768" s="1029" t="s">
        <v>5723</v>
      </c>
      <c r="G768" s="824" t="str">
        <f>+VLOOKUP(B768,'Salary sheet'!$B$6:$E$2281,4,0)</f>
        <v>FACTORY O</v>
      </c>
      <c r="H768" s="607" t="str">
        <f>+VLOOKUP(B768,'Salary sheet'!$B$6:$AZ$1386,50,0)</f>
        <v>SK1 Bag</v>
      </c>
      <c r="I768" s="607" t="str">
        <f t="shared" si="36"/>
        <v>C15547TRINH NGOC BINH050074206619</v>
      </c>
      <c r="J768" s="853" t="str">
        <f>+VLOOKUP(B768,'[5]04 2025'!$B$2:$F$1371,5,0)</f>
        <v>C15547TRINH NGOC BINH050074206619</v>
      </c>
      <c r="K768" s="607">
        <f t="shared" si="35"/>
        <v>1</v>
      </c>
      <c r="P768" s="685"/>
    </row>
    <row r="769" spans="1:16" s="607" customFormat="1" ht="18" customHeight="1">
      <c r="A769" s="826">
        <f>SUBTOTAL(3,B$6:B769)</f>
        <v>764</v>
      </c>
      <c r="B769" s="824" t="s">
        <v>2358</v>
      </c>
      <c r="C769" s="824" t="str">
        <f>+VLOOKUP(B769,'Salary sheet'!$B$6:$AX$1386,48,0)</f>
        <v>TRUONG THE THONG</v>
      </c>
      <c r="D769" s="824" t="str">
        <f>+VLOOKUP(B769,'Salary sheet'!$B$6:$BW$1386,49,0)</f>
        <v>050105128344</v>
      </c>
      <c r="E769" s="620">
        <f>+VLOOKUP(B769,'Salary sheet'!$B$6:$AT$1292,45,0)</f>
        <v>14769554</v>
      </c>
      <c r="F769" s="1029" t="s">
        <v>5723</v>
      </c>
      <c r="G769" s="824" t="str">
        <f>+VLOOKUP(B769,'Salary sheet'!$B$6:$E$2281,4,0)</f>
        <v>FACTORY O</v>
      </c>
      <c r="H769" s="607" t="str">
        <f>+VLOOKUP(B769,'Salary sheet'!$B$6:$AZ$1386,50,0)</f>
        <v>SK1 Bag</v>
      </c>
      <c r="I769" s="607" t="str">
        <f t="shared" si="36"/>
        <v>C16076TRUONG THE THONG050105128344</v>
      </c>
      <c r="J769" s="853" t="str">
        <f>+VLOOKUP(B769,'[5]04 2025'!$B$2:$F$1371,5,0)</f>
        <v>C16076TRUONG THE THONG050105128344</v>
      </c>
      <c r="K769" s="607">
        <f t="shared" si="35"/>
        <v>1</v>
      </c>
      <c r="P769" s="685"/>
    </row>
    <row r="770" spans="1:16" s="607" customFormat="1" ht="18" customHeight="1">
      <c r="A770" s="826">
        <f>SUBTOTAL(3,B$6:B770)</f>
        <v>765</v>
      </c>
      <c r="B770" s="824" t="s">
        <v>2361</v>
      </c>
      <c r="C770" s="824" t="str">
        <f>+VLOOKUP(B770,'Salary sheet'!$B$6:$AX$1386,48,0)</f>
        <v>TRAN HOANG HIEP</v>
      </c>
      <c r="D770" s="824" t="str">
        <f>+VLOOKUP(B770,'Salary sheet'!$B$6:$BW$1386,49,0)</f>
        <v>050119422385</v>
      </c>
      <c r="E770" s="620">
        <f>+VLOOKUP(B770,'Salary sheet'!$B$6:$AT$1292,45,0)</f>
        <v>9002984</v>
      </c>
      <c r="F770" s="1029" t="s">
        <v>5723</v>
      </c>
      <c r="G770" s="824" t="str">
        <f>+VLOOKUP(B770,'Salary sheet'!$B$6:$E$2281,4,0)</f>
        <v>FACTORY O</v>
      </c>
      <c r="H770" s="607" t="str">
        <f>+VLOOKUP(B770,'Salary sheet'!$B$6:$AZ$1386,50,0)</f>
        <v>SK1 Bag</v>
      </c>
      <c r="I770" s="607" t="str">
        <f t="shared" si="36"/>
        <v>C16368TRAN HOANG HIEP050119422385</v>
      </c>
      <c r="J770" s="853" t="str">
        <f>+VLOOKUP(B770,'[5]04 2025'!$B$2:$F$1371,5,0)</f>
        <v>C16368TRAN HOANG HIEP050119422385</v>
      </c>
      <c r="K770" s="607">
        <f t="shared" si="35"/>
        <v>1</v>
      </c>
      <c r="P770" s="685"/>
    </row>
    <row r="771" spans="1:16" s="607" customFormat="1" ht="18" customHeight="1">
      <c r="A771" s="826">
        <f>SUBTOTAL(3,B$6:B771)</f>
        <v>766</v>
      </c>
      <c r="B771" s="824" t="s">
        <v>2363</v>
      </c>
      <c r="C771" s="824" t="str">
        <f>+VLOOKUP(B771,'Salary sheet'!$B$6:$AX$1386,48,0)</f>
        <v>PHAM HUU TRUNG</v>
      </c>
      <c r="D771" s="824" t="str">
        <f>+VLOOKUP(B771,'Salary sheet'!$B$6:$BW$1386,49,0)</f>
        <v>050040849367</v>
      </c>
      <c r="E771" s="620">
        <f>+VLOOKUP(B771,'Salary sheet'!$B$6:$AT$1292,45,0)</f>
        <v>10010970</v>
      </c>
      <c r="F771" s="1029" t="s">
        <v>5723</v>
      </c>
      <c r="G771" s="824" t="str">
        <f>+VLOOKUP(B771,'Salary sheet'!$B$6:$E$2281,4,0)</f>
        <v>FACTORY O</v>
      </c>
      <c r="H771" s="607" t="str">
        <f>+VLOOKUP(B771,'Salary sheet'!$B$6:$AZ$1386,50,0)</f>
        <v>SK1 Box</v>
      </c>
      <c r="I771" s="607" t="str">
        <f t="shared" si="36"/>
        <v>C2521PHAM HUU TRUNG050040849367</v>
      </c>
      <c r="J771" s="853" t="str">
        <f>+VLOOKUP(B771,'[5]04 2025'!$B$2:$F$1371,5,0)</f>
        <v>C2521PHAM HUU TRUNG050040849367</v>
      </c>
      <c r="K771" s="607">
        <f t="shared" si="35"/>
        <v>1</v>
      </c>
      <c r="P771" s="685"/>
    </row>
    <row r="772" spans="1:16" s="607" customFormat="1" ht="18" customHeight="1">
      <c r="A772" s="826">
        <f>SUBTOTAL(3,B$6:B772)</f>
        <v>767</v>
      </c>
      <c r="B772" s="824" t="s">
        <v>2365</v>
      </c>
      <c r="C772" s="824" t="str">
        <f>+VLOOKUP(B772,'Salary sheet'!$B$6:$AX$1386,48,0)</f>
        <v>HUYNH DUY QUOC</v>
      </c>
      <c r="D772" s="824" t="str">
        <f>+VLOOKUP(B772,'Salary sheet'!$B$6:$BW$1386,49,0)</f>
        <v>050052443978</v>
      </c>
      <c r="E772" s="620">
        <f>+VLOOKUP(B772,'Salary sheet'!$B$6:$AT$1292,45,0)</f>
        <v>11245237</v>
      </c>
      <c r="F772" s="1029" t="s">
        <v>5723</v>
      </c>
      <c r="G772" s="824" t="str">
        <f>+VLOOKUP(B772,'Salary sheet'!$B$6:$E$2281,4,0)</f>
        <v>FACTORY O</v>
      </c>
      <c r="H772" s="607" t="str">
        <f>+VLOOKUP(B772,'Salary sheet'!$B$6:$AZ$1386,50,0)</f>
        <v>SK1 Box</v>
      </c>
      <c r="I772" s="607" t="str">
        <f t="shared" si="36"/>
        <v>C4494HUYNH DUY QUOC050052443978</v>
      </c>
      <c r="J772" s="853" t="str">
        <f>+VLOOKUP(B772,'[5]04 2025'!$B$2:$F$1371,5,0)</f>
        <v>C4494HUYNH DUY QUOC050052443978</v>
      </c>
      <c r="K772" s="607">
        <f t="shared" si="35"/>
        <v>1</v>
      </c>
      <c r="P772" s="685"/>
    </row>
    <row r="773" spans="1:16" s="607" customFormat="1" ht="18" customHeight="1">
      <c r="A773" s="826">
        <f>SUBTOTAL(3,B$6:B773)</f>
        <v>768</v>
      </c>
      <c r="B773" s="824" t="s">
        <v>2367</v>
      </c>
      <c r="C773" s="824" t="str">
        <f>+VLOOKUP(B773,'Salary sheet'!$B$6:$AX$1386,48,0)</f>
        <v>NGUYEN THI TAM</v>
      </c>
      <c r="D773" s="824" t="str">
        <f>+VLOOKUP(B773,'Salary sheet'!$B$6:$BW$1386,49,0)</f>
        <v>050097086874</v>
      </c>
      <c r="E773" s="620">
        <f>+VLOOKUP(B773,'Salary sheet'!$B$6:$AT$1292,45,0)</f>
        <v>10170478</v>
      </c>
      <c r="F773" s="1029" t="s">
        <v>5723</v>
      </c>
      <c r="G773" s="824" t="str">
        <f>+VLOOKUP(B773,'Salary sheet'!$B$6:$E$2281,4,0)</f>
        <v>FACTORY O</v>
      </c>
      <c r="H773" s="607" t="str">
        <f>+VLOOKUP(B773,'Salary sheet'!$B$6:$AZ$1386,50,0)</f>
        <v>SK1 Box</v>
      </c>
      <c r="I773" s="607" t="str">
        <f t="shared" si="36"/>
        <v>C7381NGUYEN THI TAM050097086874</v>
      </c>
      <c r="J773" s="853" t="str">
        <f>+VLOOKUP(B773,'[5]04 2025'!$B$2:$F$1371,5,0)</f>
        <v>C7381NGUYEN THI TAM050097086874</v>
      </c>
      <c r="K773" s="607">
        <f t="shared" si="35"/>
        <v>1</v>
      </c>
      <c r="P773" s="685"/>
    </row>
    <row r="774" spans="1:16" s="607" customFormat="1" ht="18" customHeight="1">
      <c r="A774" s="826">
        <f>SUBTOTAL(3,B$6:B774)</f>
        <v>769</v>
      </c>
      <c r="B774" s="824" t="s">
        <v>2368</v>
      </c>
      <c r="C774" s="824" t="str">
        <f>+VLOOKUP(B774,'Salary sheet'!$B$6:$AX$1386,48,0)</f>
        <v>NGUYEN VAN LINH</v>
      </c>
      <c r="D774" s="824" t="str">
        <f>+VLOOKUP(B774,'Salary sheet'!$B$6:$BW$1386,49,0)</f>
        <v>050035678236</v>
      </c>
      <c r="E774" s="620">
        <f>+VLOOKUP(B774,'Salary sheet'!$B$6:$AT$1292,45,0)</f>
        <v>11826320</v>
      </c>
      <c r="F774" s="1029" t="s">
        <v>5723</v>
      </c>
      <c r="G774" s="824" t="str">
        <f>+VLOOKUP(B774,'Salary sheet'!$B$6:$E$2281,4,0)</f>
        <v>FACTORY O</v>
      </c>
      <c r="H774" s="607" t="str">
        <f>+VLOOKUP(B774,'Salary sheet'!$B$6:$AZ$1386,50,0)</f>
        <v>SK1 Bag</v>
      </c>
      <c r="I774" s="607" t="str">
        <f t="shared" si="36"/>
        <v>C7691NGUYEN VAN LINH050035678236</v>
      </c>
      <c r="J774" s="853" t="str">
        <f>+VLOOKUP(B774,'[5]04 2025'!$B$2:$F$1371,5,0)</f>
        <v>C7691NGUYEN VAN LINH050035678236</v>
      </c>
      <c r="K774" s="607">
        <f t="shared" si="35"/>
        <v>1</v>
      </c>
      <c r="P774" s="685"/>
    </row>
    <row r="775" spans="1:16" s="607" customFormat="1" ht="18" customHeight="1">
      <c r="A775" s="826">
        <f>SUBTOTAL(3,B$6:B775)</f>
        <v>770</v>
      </c>
      <c r="B775" s="824" t="s">
        <v>2370</v>
      </c>
      <c r="C775" s="824" t="str">
        <f>+VLOOKUP(B775,'Salary sheet'!$B$6:$AX$1386,48,0)</f>
        <v>VO THANH TOAN</v>
      </c>
      <c r="D775" s="824" t="str">
        <f>+VLOOKUP(B775,'Salary sheet'!$B$6:$BW$1386,49,0)</f>
        <v>050103658941</v>
      </c>
      <c r="E775" s="620">
        <f>+VLOOKUP(B775,'Salary sheet'!$B$6:$AT$1292,45,0)</f>
        <v>10785609</v>
      </c>
      <c r="F775" s="1029" t="s">
        <v>5723</v>
      </c>
      <c r="G775" s="824" t="str">
        <f>+VLOOKUP(B775,'Salary sheet'!$B$6:$E$2281,4,0)</f>
        <v>FACTORY O</v>
      </c>
      <c r="H775" s="607" t="str">
        <f>+VLOOKUP(B775,'Salary sheet'!$B$6:$AZ$1386,50,0)</f>
        <v>SK1 Box</v>
      </c>
      <c r="I775" s="607" t="str">
        <f t="shared" si="36"/>
        <v>C8217VO THANH TOAN050103658941</v>
      </c>
      <c r="J775" s="853" t="str">
        <f>+VLOOKUP(B775,'[5]04 2025'!$B$2:$F$1371,5,0)</f>
        <v>C8217VO THANH TOAN050103658941</v>
      </c>
      <c r="K775" s="607">
        <f t="shared" si="35"/>
        <v>1</v>
      </c>
      <c r="P775" s="685"/>
    </row>
    <row r="776" spans="1:16" s="607" customFormat="1" ht="18" customHeight="1">
      <c r="A776" s="826">
        <f>SUBTOTAL(3,B$6:B776)</f>
        <v>771</v>
      </c>
      <c r="B776" s="824" t="s">
        <v>2372</v>
      </c>
      <c r="C776" s="824" t="str">
        <f>+VLOOKUP(B776,'Salary sheet'!$B$6:$AX$1386,48,0)</f>
        <v>HUYNH THI TUONG VY</v>
      </c>
      <c r="D776" s="824" t="str">
        <f>+VLOOKUP(B776,'Salary sheet'!$B$6:$BW$1386,49,0)</f>
        <v>050047062877</v>
      </c>
      <c r="E776" s="620">
        <f>+VLOOKUP(B776,'Salary sheet'!$B$6:$AT$1292,45,0)</f>
        <v>10285179</v>
      </c>
      <c r="F776" s="1029" t="s">
        <v>5723</v>
      </c>
      <c r="G776" s="824" t="str">
        <f>+VLOOKUP(B776,'Salary sheet'!$B$6:$E$2281,4,0)</f>
        <v>FACTORY O</v>
      </c>
      <c r="H776" s="607" t="str">
        <f>+VLOOKUP(B776,'Salary sheet'!$B$6:$AZ$1386,50,0)</f>
        <v>SK1 Bag</v>
      </c>
      <c r="I776" s="607" t="str">
        <f t="shared" si="36"/>
        <v>C9424HUYNH THI TUONG VY050047062877</v>
      </c>
      <c r="J776" s="853" t="str">
        <f>+VLOOKUP(B776,'[5]04 2025'!$B$2:$F$1371,5,0)</f>
        <v>C9424HUYNH THI TUONG VY050047062877</v>
      </c>
      <c r="K776" s="607">
        <f t="shared" si="35"/>
        <v>1</v>
      </c>
      <c r="P776" s="685"/>
    </row>
    <row r="777" spans="1:16" s="607" customFormat="1" ht="18" customHeight="1">
      <c r="A777" s="826">
        <f>SUBTOTAL(3,B$6:B777)</f>
        <v>772</v>
      </c>
      <c r="B777" s="824" t="s">
        <v>2374</v>
      </c>
      <c r="C777" s="824" t="str">
        <f>+VLOOKUP(B777,'Salary sheet'!$B$6:$AX$1386,48,0)</f>
        <v>TRAN VAN TIEN</v>
      </c>
      <c r="D777" s="824" t="str">
        <f>+VLOOKUP(B777,'Salary sheet'!$B$6:$BW$1386,49,0)</f>
        <v>050040874140</v>
      </c>
      <c r="E777" s="620">
        <f>+VLOOKUP(B777,'Salary sheet'!$B$6:$AT$1292,45,0)</f>
        <v>12973630</v>
      </c>
      <c r="F777" s="1029" t="s">
        <v>5723</v>
      </c>
      <c r="G777" s="824" t="str">
        <f>+VLOOKUP(B777,'Salary sheet'!$B$6:$E$2281,4,0)</f>
        <v>FACTORY O</v>
      </c>
      <c r="H777" s="607" t="str">
        <f>+VLOOKUP(B777,'Salary sheet'!$B$6:$AZ$1386,50,0)</f>
        <v>SK2</v>
      </c>
      <c r="I777" s="607" t="str">
        <f t="shared" si="36"/>
        <v>C3439TRAN VAN TIEN050040874140</v>
      </c>
      <c r="J777" s="853" t="str">
        <f>+VLOOKUP(B777,'[5]04 2025'!$B$2:$F$1371,5,0)</f>
        <v>C3439TRAN VAN TIEN050040874140</v>
      </c>
      <c r="K777" s="607">
        <f t="shared" si="35"/>
        <v>1</v>
      </c>
      <c r="P777" s="685"/>
    </row>
    <row r="778" spans="1:16" s="607" customFormat="1" ht="18" customHeight="1">
      <c r="A778" s="826">
        <f>SUBTOTAL(3,B$6:B778)</f>
        <v>773</v>
      </c>
      <c r="B778" s="824" t="s">
        <v>2377</v>
      </c>
      <c r="C778" s="824" t="str">
        <f>+VLOOKUP(B778,'Salary sheet'!$B$6:$AX$1386,48,0)</f>
        <v>LE NGOC HUNG</v>
      </c>
      <c r="D778" s="824" t="str">
        <f>+VLOOKUP(B778,'Salary sheet'!$B$6:$BW$1386,49,0)</f>
        <v>050040823368</v>
      </c>
      <c r="E778" s="620">
        <f>+VLOOKUP(B778,'Salary sheet'!$B$6:$AT$1292,45,0)</f>
        <v>12291462</v>
      </c>
      <c r="F778" s="1029" t="s">
        <v>5723</v>
      </c>
      <c r="G778" s="824" t="str">
        <f>+VLOOKUP(B778,'Salary sheet'!$B$6:$E$2281,4,0)</f>
        <v>FACTORY O</v>
      </c>
      <c r="H778" s="607" t="str">
        <f>+VLOOKUP(B778,'Salary sheet'!$B$6:$AZ$1386,50,0)</f>
        <v>SK1 Bag</v>
      </c>
      <c r="I778" s="607" t="str">
        <f t="shared" si="36"/>
        <v>C4999LE NGOC HUNG050040823368</v>
      </c>
      <c r="J778" s="853" t="str">
        <f>+VLOOKUP(B778,'[5]04 2025'!$B$2:$F$1371,5,0)</f>
        <v>C4999LE NGOC HUNG050040823368</v>
      </c>
      <c r="K778" s="607">
        <f t="shared" si="35"/>
        <v>1</v>
      </c>
      <c r="P778" s="685"/>
    </row>
    <row r="779" spans="1:16" s="607" customFormat="1" ht="18" customHeight="1">
      <c r="A779" s="826">
        <f>SUBTOTAL(3,B$6:B779)</f>
        <v>774</v>
      </c>
      <c r="B779" s="824" t="s">
        <v>2379</v>
      </c>
      <c r="C779" s="824" t="str">
        <f>+VLOOKUP(B779,'Salary sheet'!$B$6:$AX$1386,48,0)</f>
        <v>NGUYEN THI PHUONG THAO</v>
      </c>
      <c r="D779" s="824" t="str">
        <f>+VLOOKUP(B779,'Salary sheet'!$B$6:$BW$1386,49,0)</f>
        <v>050127387920</v>
      </c>
      <c r="E779" s="620">
        <f>+VLOOKUP(B779,'Salary sheet'!$B$6:$AT$1292,45,0)</f>
        <v>7337035</v>
      </c>
      <c r="F779" s="1029" t="s">
        <v>5723</v>
      </c>
      <c r="G779" s="824" t="str">
        <f>+VLOOKUP(B779,'Salary sheet'!$B$6:$E$2281,4,0)</f>
        <v>FACTORY O</v>
      </c>
      <c r="H779" s="607" t="str">
        <f>+VLOOKUP(B779,'Salary sheet'!$B$6:$AZ$1386,50,0)</f>
        <v>SK1 Bag</v>
      </c>
      <c r="I779" s="607" t="str">
        <f t="shared" si="36"/>
        <v>C13991NGUYEN THI PHUONG THAO050127387920</v>
      </c>
      <c r="J779" s="853" t="str">
        <f>+VLOOKUP(B779,'[5]04 2025'!$B$2:$F$1371,5,0)</f>
        <v>C13991NGUYEN THI PHUONG THAO050127387920</v>
      </c>
      <c r="K779" s="607">
        <f t="shared" si="35"/>
        <v>1</v>
      </c>
      <c r="P779" s="685"/>
    </row>
    <row r="780" spans="1:16" s="607" customFormat="1" ht="18" customHeight="1">
      <c r="A780" s="826">
        <f>SUBTOTAL(3,B$6:B780)</f>
        <v>775</v>
      </c>
      <c r="B780" s="824" t="s">
        <v>2380</v>
      </c>
      <c r="C780" s="824" t="str">
        <f>+VLOOKUP(B780,'Salary sheet'!$B$6:$AX$1386,48,0)</f>
        <v>SON ANH DO</v>
      </c>
      <c r="D780" s="824" t="str">
        <f>+VLOOKUP(B780,'Salary sheet'!$B$6:$BW$1386,49,0)</f>
        <v>050108107550</v>
      </c>
      <c r="E780" s="620">
        <f>+VLOOKUP(B780,'Salary sheet'!$B$6:$AT$1292,45,0)</f>
        <v>8642757</v>
      </c>
      <c r="F780" s="1029" t="s">
        <v>5723</v>
      </c>
      <c r="G780" s="824" t="str">
        <f>+VLOOKUP(B780,'Salary sheet'!$B$6:$E$2281,4,0)</f>
        <v>FACTORY O</v>
      </c>
      <c r="H780" s="607" t="str">
        <f>+VLOOKUP(B780,'Salary sheet'!$B$6:$AZ$1386,50,0)</f>
        <v>SK1 Bag</v>
      </c>
      <c r="I780" s="607" t="str">
        <f t="shared" si="36"/>
        <v>C15439SON ANH DO050108107550</v>
      </c>
      <c r="J780" s="853" t="str">
        <f>+VLOOKUP(B780,'[5]04 2025'!$B$2:$F$1371,5,0)</f>
        <v>C15439SON ANH DO050108107550</v>
      </c>
      <c r="K780" s="607">
        <f t="shared" si="35"/>
        <v>1</v>
      </c>
      <c r="P780" s="685"/>
    </row>
    <row r="781" spans="1:16" s="607" customFormat="1" ht="18" customHeight="1">
      <c r="A781" s="826">
        <f>SUBTOTAL(3,B$6:B781)</f>
        <v>776</v>
      </c>
      <c r="B781" s="824" t="s">
        <v>2383</v>
      </c>
      <c r="C781" s="824" t="str">
        <f>+VLOOKUP(B781,'Salary sheet'!$B$6:$AX$1386,48,0)</f>
        <v>NGUYEN THI HONG HOA</v>
      </c>
      <c r="D781" s="824" t="str">
        <f>+VLOOKUP(B781,'Salary sheet'!$B$6:$BW$1386,49,0)</f>
        <v>050065045701</v>
      </c>
      <c r="E781" s="620">
        <f>+VLOOKUP(B781,'Salary sheet'!$B$6:$AT$1292,45,0)</f>
        <v>8377741</v>
      </c>
      <c r="F781" s="1029" t="s">
        <v>5723</v>
      </c>
      <c r="G781" s="824" t="str">
        <f>+VLOOKUP(B781,'Salary sheet'!$B$6:$E$2281,4,0)</f>
        <v>FACTORY O</v>
      </c>
      <c r="H781" s="607" t="str">
        <f>+VLOOKUP(B781,'Salary sheet'!$B$6:$AZ$1386,50,0)</f>
        <v>SK2</v>
      </c>
      <c r="I781" s="607" t="str">
        <f t="shared" si="36"/>
        <v>C8048NGUYEN THI HONG HOA050065045701</v>
      </c>
      <c r="J781" s="853" t="str">
        <f>+VLOOKUP(B781,'[5]04 2025'!$B$2:$F$1371,5,0)</f>
        <v>C8048NGUYEN THI HONG HOA050065045701</v>
      </c>
      <c r="K781" s="607">
        <f t="shared" si="35"/>
        <v>1</v>
      </c>
      <c r="P781" s="685"/>
    </row>
    <row r="782" spans="1:16" s="607" customFormat="1" ht="18" customHeight="1">
      <c r="A782" s="826">
        <f>SUBTOTAL(3,B$6:B782)</f>
        <v>777</v>
      </c>
      <c r="B782" s="824" t="s">
        <v>2385</v>
      </c>
      <c r="C782" s="824" t="str">
        <f>+VLOOKUP(B782,'Salary sheet'!$B$6:$AX$1386,48,0)</f>
        <v>DANG THI HOAI THUONG</v>
      </c>
      <c r="D782" s="824" t="str">
        <f>+VLOOKUP(B782,'Salary sheet'!$B$6:$BW$1386,49,0)</f>
        <v>050040817724</v>
      </c>
      <c r="E782" s="620">
        <f>+VLOOKUP(B782,'Salary sheet'!$B$6:$AT$1292,45,0)</f>
        <v>5827784</v>
      </c>
      <c r="F782" s="1029" t="s">
        <v>5723</v>
      </c>
      <c r="G782" s="824" t="str">
        <f>+VLOOKUP(B782,'Salary sheet'!$B$6:$E$2281,4,0)</f>
        <v>FACTORY O</v>
      </c>
      <c r="H782" s="607" t="str">
        <f>+VLOOKUP(B782,'Salary sheet'!$B$6:$AZ$1386,50,0)</f>
        <v>SK1 Box</v>
      </c>
      <c r="I782" s="607" t="str">
        <f t="shared" si="36"/>
        <v>C0298DANG THI HOAI THUONG050040817724</v>
      </c>
      <c r="J782" s="853" t="str">
        <f>+VLOOKUP(B782,'[5]04 2025'!$B$2:$F$1371,5,0)</f>
        <v>C0298DANG THI HOAI THUONG050040817724</v>
      </c>
      <c r="K782" s="607">
        <f t="shared" si="35"/>
        <v>1</v>
      </c>
      <c r="P782" s="685"/>
    </row>
    <row r="783" spans="1:16" s="607" customFormat="1" ht="18" customHeight="1">
      <c r="A783" s="826">
        <f>SUBTOTAL(3,B$6:B783)</f>
        <v>778</v>
      </c>
      <c r="B783" s="824" t="s">
        <v>2387</v>
      </c>
      <c r="C783" s="824" t="str">
        <f>+VLOOKUP(B783,'Salary sheet'!$B$6:$AX$1386,48,0)</f>
        <v>LE THI LAN HUONG</v>
      </c>
      <c r="D783" s="824" t="str">
        <f>+VLOOKUP(B783,'Salary sheet'!$B$6:$BW$1386,49,0)</f>
        <v>050047953550</v>
      </c>
      <c r="E783" s="620">
        <f>+VLOOKUP(B783,'Salary sheet'!$B$6:$AT$1292,45,0)</f>
        <v>8254500</v>
      </c>
      <c r="F783" s="1029" t="s">
        <v>5723</v>
      </c>
      <c r="G783" s="824" t="str">
        <f>+VLOOKUP(B783,'Salary sheet'!$B$6:$E$2281,4,0)</f>
        <v>FACTORY O</v>
      </c>
      <c r="H783" s="607" t="str">
        <f>+VLOOKUP(B783,'Salary sheet'!$B$6:$AZ$1386,50,0)</f>
        <v>SK1 Bag</v>
      </c>
      <c r="I783" s="607" t="str">
        <f t="shared" si="36"/>
        <v>C10468LE THI LAN HUONG050047953550</v>
      </c>
      <c r="J783" s="853" t="str">
        <f>+VLOOKUP(B783,'[5]04 2025'!$B$2:$F$1371,5,0)</f>
        <v>C10468LE THI LAN HUONG050047953550</v>
      </c>
      <c r="K783" s="607">
        <f t="shared" si="35"/>
        <v>1</v>
      </c>
      <c r="P783" s="685"/>
    </row>
    <row r="784" spans="1:16" s="607" customFormat="1" ht="18" customHeight="1">
      <c r="A784" s="826">
        <f>SUBTOTAL(3,B$6:B784)</f>
        <v>779</v>
      </c>
      <c r="B784" s="824" t="s">
        <v>177</v>
      </c>
      <c r="C784" s="824" t="str">
        <f>+VLOOKUP(B784,'Salary sheet'!$B$6:$AX$1386,48,0)</f>
        <v>TRAN PHAM TUAN ANH</v>
      </c>
      <c r="D784" s="824" t="str">
        <f>+VLOOKUP(B784,'Salary sheet'!$B$6:$BW$1386,49,0)</f>
        <v>050112343765</v>
      </c>
      <c r="E784" s="620">
        <f>+VLOOKUP(B784,'Salary sheet'!$B$6:$AT$1292,45,0)</f>
        <v>27338450</v>
      </c>
      <c r="F784" s="1029" t="s">
        <v>5723</v>
      </c>
      <c r="G784" s="824" t="str">
        <f>+VLOOKUP(B784,'Salary sheet'!$B$6:$E$2281,4,0)</f>
        <v>FACTORY O</v>
      </c>
      <c r="H784" s="607" t="str">
        <f>+VLOOKUP(B784,'Salary sheet'!$B$6:$AZ$1386,50,0)</f>
        <v>SK1 Bag</v>
      </c>
      <c r="I784" s="607" t="str">
        <f t="shared" si="36"/>
        <v>C11234TRAN PHAM TUAN ANH050112343765</v>
      </c>
      <c r="J784" s="853" t="str">
        <f>+VLOOKUP(B784,'[5]04 2025'!$B$2:$F$1371,5,0)</f>
        <v>C11234TRAN PHAM TUAN ANH050112343765</v>
      </c>
      <c r="K784" s="607">
        <f t="shared" si="35"/>
        <v>1</v>
      </c>
      <c r="P784" s="685"/>
    </row>
    <row r="785" spans="1:16" s="607" customFormat="1" ht="18" customHeight="1">
      <c r="A785" s="826">
        <f>SUBTOTAL(3,B$6:B785)</f>
        <v>780</v>
      </c>
      <c r="B785" s="824" t="s">
        <v>2391</v>
      </c>
      <c r="C785" s="824" t="str">
        <f>+VLOOKUP(B785,'Salary sheet'!$B$6:$AX$1386,48,0)</f>
        <v>NGUYEN THI KIM TRANG</v>
      </c>
      <c r="D785" s="824" t="str">
        <f>+VLOOKUP(B785,'Salary sheet'!$B$6:$BW$1386,49,0)</f>
        <v>050113381581</v>
      </c>
      <c r="E785" s="620">
        <f>+VLOOKUP(B785,'Salary sheet'!$B$6:$AT$1292,45,0)</f>
        <v>11965529</v>
      </c>
      <c r="F785" s="1029" t="s">
        <v>5723</v>
      </c>
      <c r="G785" s="824" t="str">
        <f>+VLOOKUP(B785,'Salary sheet'!$B$6:$E$2281,4,0)</f>
        <v>FACTORY O</v>
      </c>
      <c r="H785" s="607" t="str">
        <f>+VLOOKUP(B785,'Salary sheet'!$B$6:$AZ$1386,50,0)</f>
        <v>SK1 Box</v>
      </c>
      <c r="I785" s="607" t="str">
        <f t="shared" si="36"/>
        <v>C11550NGUYEN THI KIM TRANG050113381581</v>
      </c>
      <c r="J785" s="853" t="str">
        <f>+VLOOKUP(B785,'[5]04 2025'!$B$2:$F$1371,5,0)</f>
        <v>C11550NGUYEN THI KIM TRANG050113381581</v>
      </c>
      <c r="K785" s="607">
        <f t="shared" si="35"/>
        <v>1</v>
      </c>
      <c r="P785" s="685"/>
    </row>
    <row r="786" spans="1:16" s="607" customFormat="1" ht="18" customHeight="1">
      <c r="A786" s="826">
        <f>SUBTOTAL(3,B$6:B786)</f>
        <v>781</v>
      </c>
      <c r="B786" s="824" t="s">
        <v>2394</v>
      </c>
      <c r="C786" s="824" t="str">
        <f>+VLOOKUP(B786,'Salary sheet'!$B$6:$AX$1386,48,0)</f>
        <v>VU THI HANH</v>
      </c>
      <c r="D786" s="824" t="str">
        <f>+VLOOKUP(B786,'Salary sheet'!$B$6:$BW$1386,49,0)</f>
        <v>050109384795</v>
      </c>
      <c r="E786" s="620">
        <f>+VLOOKUP(B786,'Salary sheet'!$B$6:$AT$1292,45,0)</f>
        <v>9613347</v>
      </c>
      <c r="F786" s="1029" t="s">
        <v>5723</v>
      </c>
      <c r="G786" s="824" t="str">
        <f>+VLOOKUP(B786,'Salary sheet'!$B$6:$E$2281,4,0)</f>
        <v>FACTORY O</v>
      </c>
      <c r="H786" s="607" t="str">
        <f>+VLOOKUP(B786,'Salary sheet'!$B$6:$AZ$1386,50,0)</f>
        <v>SK1 Box</v>
      </c>
      <c r="I786" s="607" t="str">
        <f t="shared" si="36"/>
        <v>C12941VU THI HANH050109384795</v>
      </c>
      <c r="J786" s="853" t="str">
        <f>+VLOOKUP(B786,'[5]04 2025'!$B$2:$F$1371,5,0)</f>
        <v>C12941VU THI HANH050109384795</v>
      </c>
      <c r="K786" s="607">
        <f t="shared" si="35"/>
        <v>1</v>
      </c>
      <c r="P786" s="685"/>
    </row>
    <row r="787" spans="1:16" s="607" customFormat="1" ht="18" customHeight="1">
      <c r="A787" s="826">
        <f>SUBTOTAL(3,B$6:B787)</f>
        <v>782</v>
      </c>
      <c r="B787" s="824" t="s">
        <v>2397</v>
      </c>
      <c r="C787" s="824" t="str">
        <f>+VLOOKUP(B787,'Salary sheet'!$B$6:$AX$1386,48,0)</f>
        <v>VU THI MY HANH</v>
      </c>
      <c r="D787" s="824" t="str">
        <f>+VLOOKUP(B787,'Salary sheet'!$B$6:$BW$1386,49,0)</f>
        <v>050124525192</v>
      </c>
      <c r="E787" s="620">
        <f>+VLOOKUP(B787,'Salary sheet'!$B$6:$AT$1292,45,0)</f>
        <v>10714737</v>
      </c>
      <c r="F787" s="1029" t="s">
        <v>5723</v>
      </c>
      <c r="G787" s="824" t="str">
        <f>+VLOOKUP(B787,'Salary sheet'!$B$6:$E$2281,4,0)</f>
        <v>FACTORY O</v>
      </c>
      <c r="H787" s="607" t="str">
        <f>+VLOOKUP(B787,'Salary sheet'!$B$6:$AZ$1386,50,0)</f>
        <v>SK1 Box</v>
      </c>
      <c r="I787" s="607" t="str">
        <f t="shared" si="36"/>
        <v>C14417VU THI MY HANH050124525192</v>
      </c>
      <c r="J787" s="853" t="str">
        <f>+VLOOKUP(B787,'[5]04 2025'!$B$2:$F$1371,5,0)</f>
        <v>C14417VU THI MY HANH050124525192</v>
      </c>
      <c r="K787" s="607">
        <f t="shared" si="35"/>
        <v>1</v>
      </c>
      <c r="P787" s="685"/>
    </row>
    <row r="788" spans="1:16" s="607" customFormat="1" ht="18" customHeight="1">
      <c r="A788" s="826">
        <f>SUBTOTAL(3,B$6:B788)</f>
        <v>783</v>
      </c>
      <c r="B788" s="824" t="s">
        <v>2399</v>
      </c>
      <c r="C788" s="824" t="str">
        <f>+VLOOKUP(B788,'Salary sheet'!$B$6:$AX$1386,48,0)</f>
        <v>LE THI THU HIEN</v>
      </c>
      <c r="D788" s="824" t="str">
        <f>+VLOOKUP(B788,'Salary sheet'!$B$6:$BW$1386,49,0)</f>
        <v>050059645096</v>
      </c>
      <c r="E788" s="620">
        <f>+VLOOKUP(B788,'Salary sheet'!$B$6:$AT$1292,45,0)</f>
        <v>12914603</v>
      </c>
      <c r="F788" s="1029" t="s">
        <v>5723</v>
      </c>
      <c r="G788" s="824" t="str">
        <f>+VLOOKUP(B788,'Salary sheet'!$B$6:$E$2281,4,0)</f>
        <v>FACTORY O</v>
      </c>
      <c r="H788" s="607" t="str">
        <f>+VLOOKUP(B788,'Salary sheet'!$B$6:$AZ$1386,50,0)</f>
        <v>SK1 Box</v>
      </c>
      <c r="I788" s="607" t="str">
        <f t="shared" si="36"/>
        <v>C14421LE THI THU HIEN050059645096</v>
      </c>
      <c r="J788" s="853" t="str">
        <f>+VLOOKUP(B788,'[5]04 2025'!$B$2:$F$1371,5,0)</f>
        <v>C14421LE THI THU HIEN050059645096</v>
      </c>
      <c r="K788" s="607">
        <f t="shared" si="35"/>
        <v>1</v>
      </c>
      <c r="P788" s="685"/>
    </row>
    <row r="789" spans="1:16" s="607" customFormat="1" ht="18" customHeight="1">
      <c r="A789" s="826">
        <f>SUBTOTAL(3,B$6:B789)</f>
        <v>784</v>
      </c>
      <c r="B789" s="824" t="s">
        <v>2400</v>
      </c>
      <c r="C789" s="824" t="str">
        <f>+VLOOKUP(B789,'Salary sheet'!$B$6:$AX$1386,48,0)</f>
        <v>PHAM NGOC DUNG</v>
      </c>
      <c r="D789" s="824" t="str">
        <f>+VLOOKUP(B789,'Salary sheet'!$B$6:$BW$1386,49,0)</f>
        <v>050121532171</v>
      </c>
      <c r="E789" s="620">
        <f>+VLOOKUP(B789,'Salary sheet'!$B$6:$AT$1292,45,0)</f>
        <v>11238208</v>
      </c>
      <c r="F789" s="1029" t="s">
        <v>5723</v>
      </c>
      <c r="G789" s="824" t="str">
        <f>+VLOOKUP(B789,'Salary sheet'!$B$6:$E$2281,4,0)</f>
        <v>FACTORY O</v>
      </c>
      <c r="H789" s="607" t="str">
        <f>+VLOOKUP(B789,'Salary sheet'!$B$6:$AZ$1386,50,0)</f>
        <v>SK1 Bag</v>
      </c>
      <c r="I789" s="607" t="str">
        <f t="shared" si="36"/>
        <v>C16200PHAM NGOC DUNG050121532171</v>
      </c>
      <c r="J789" s="853" t="str">
        <f>+VLOOKUP(B789,'[5]04 2025'!$B$2:$F$1371,5,0)</f>
        <v>C16200PHAM NGOC DUNG050121532171</v>
      </c>
      <c r="K789" s="607">
        <f t="shared" si="35"/>
        <v>1</v>
      </c>
      <c r="P789" s="685"/>
    </row>
    <row r="790" spans="1:16" s="607" customFormat="1" ht="18" customHeight="1">
      <c r="A790" s="826">
        <f>SUBTOTAL(3,B$6:B790)</f>
        <v>785</v>
      </c>
      <c r="B790" s="824" t="s">
        <v>2402</v>
      </c>
      <c r="C790" s="824" t="str">
        <f>+VLOOKUP(B790,'Salary sheet'!$B$6:$AX$1386,48,0)</f>
        <v>NGUYEN NHAT TRUNG</v>
      </c>
      <c r="D790" s="824" t="str">
        <f>+VLOOKUP(B790,'Salary sheet'!$B$6:$BW$1386,49,0)</f>
        <v>050158401050</v>
      </c>
      <c r="E790" s="620">
        <f>+VLOOKUP(B790,'Salary sheet'!$B$6:$AT$1292,45,0)</f>
        <v>9738015</v>
      </c>
      <c r="F790" s="1029" t="s">
        <v>5723</v>
      </c>
      <c r="G790" s="824" t="str">
        <f>+VLOOKUP(B790,'Salary sheet'!$B$6:$E$2281,4,0)</f>
        <v>FACTORY O</v>
      </c>
      <c r="H790" s="607" t="str">
        <f>+VLOOKUP(B790,'Salary sheet'!$B$6:$AZ$1386,50,0)</f>
        <v>Seaman</v>
      </c>
      <c r="I790" s="607" t="str">
        <f t="shared" si="36"/>
        <v>C16400NGUYEN NHAT TRUNG050158401050</v>
      </c>
      <c r="J790" s="853" t="str">
        <f>+VLOOKUP(B790,'[5]04 2025'!$B$2:$F$1371,5,0)</f>
        <v>C16400NGUYEN NHAT TRUNG050158401050</v>
      </c>
      <c r="K790" s="607">
        <f t="shared" si="35"/>
        <v>1</v>
      </c>
      <c r="P790" s="685"/>
    </row>
    <row r="791" spans="1:16" s="607" customFormat="1" ht="18" customHeight="1">
      <c r="A791" s="826">
        <f>SUBTOTAL(3,B$6:B791)</f>
        <v>786</v>
      </c>
      <c r="B791" s="824" t="s">
        <v>5776</v>
      </c>
      <c r="C791" s="824" t="str">
        <f>+VLOOKUP(B791,'Salary sheet'!$B$6:$AX$1386,48,0)</f>
        <v>PHAN THI THUY TIEN</v>
      </c>
      <c r="D791" s="824" t="str">
        <f>+VLOOKUP(B791,'Salary sheet'!$B$6:$BW$1386,49,0)</f>
        <v>050074681139</v>
      </c>
      <c r="E791" s="620">
        <f>+VLOOKUP(B791,'Salary sheet'!$B$6:$AT$1292,45,0)</f>
        <v>7376203</v>
      </c>
      <c r="F791" s="1029" t="s">
        <v>5723</v>
      </c>
      <c r="G791" s="824" t="str">
        <f>+VLOOKUP(B791,'Salary sheet'!$B$6:$E$2281,4,0)</f>
        <v>FACTORY O</v>
      </c>
      <c r="H791" s="607" t="str">
        <f>+VLOOKUP(B791,'Salary sheet'!$B$6:$AZ$1386,50,0)</f>
        <v>SK1 Box</v>
      </c>
      <c r="I791" s="607" t="str">
        <f t="shared" si="36"/>
        <v>C16591PHAN THI THUY TIEN050074681139</v>
      </c>
      <c r="J791" s="853" t="str">
        <f>+VLOOKUP(B791,'[5]04 2025'!$B$2:$F$1371,5,0)</f>
        <v>C16591PHAN THI THUY TIEN050074681139</v>
      </c>
      <c r="K791" s="607">
        <f t="shared" si="35"/>
        <v>1</v>
      </c>
      <c r="P791" s="685"/>
    </row>
    <row r="792" spans="1:16" s="607" customFormat="1" ht="18" customHeight="1">
      <c r="A792" s="826">
        <f>SUBTOTAL(3,B$6:B792)</f>
        <v>787</v>
      </c>
      <c r="B792" s="824" t="s">
        <v>2404</v>
      </c>
      <c r="C792" s="824" t="str">
        <f>+VLOOKUP(B792,'Salary sheet'!$B$6:$AX$1386,48,0)</f>
        <v>LE THI NGOC NGA</v>
      </c>
      <c r="D792" s="824" t="str">
        <f>+VLOOKUP(B792,'Salary sheet'!$B$6:$BW$1386,49,0)</f>
        <v>050040817171</v>
      </c>
      <c r="E792" s="620">
        <f>+VLOOKUP(B792,'Salary sheet'!$B$6:$AT$1292,45,0)</f>
        <v>12062025</v>
      </c>
      <c r="F792" s="1029" t="s">
        <v>5723</v>
      </c>
      <c r="G792" s="824" t="str">
        <f>+VLOOKUP(B792,'Salary sheet'!$B$6:$E$2281,4,0)</f>
        <v>FACTORY O</v>
      </c>
      <c r="H792" s="607" t="str">
        <f>+VLOOKUP(B792,'Salary sheet'!$B$6:$AZ$1386,50,0)</f>
        <v>SK1 Bag</v>
      </c>
      <c r="I792" s="607" t="str">
        <f t="shared" si="36"/>
        <v>C3196LE THI NGOC NGA050040817171</v>
      </c>
      <c r="J792" s="853" t="str">
        <f>+VLOOKUP(B792,'[5]04 2025'!$B$2:$F$1371,5,0)</f>
        <v>C3196LE THI NGOC NGA050040817171</v>
      </c>
      <c r="K792" s="607">
        <f t="shared" si="35"/>
        <v>1</v>
      </c>
      <c r="P792" s="685"/>
    </row>
    <row r="793" spans="1:16" s="607" customFormat="1" ht="18" customHeight="1">
      <c r="A793" s="826">
        <f>SUBTOTAL(3,B$6:B793)</f>
        <v>788</v>
      </c>
      <c r="B793" s="824" t="s">
        <v>2406</v>
      </c>
      <c r="C793" s="824" t="str">
        <f>+VLOOKUP(B793,'Salary sheet'!$B$6:$AX$1386,48,0)</f>
        <v>NGUYEN HOANG MINH THU</v>
      </c>
      <c r="D793" s="824" t="str">
        <f>+VLOOKUP(B793,'Salary sheet'!$B$6:$BW$1386,49,0)</f>
        <v>050099643053</v>
      </c>
      <c r="E793" s="620">
        <f>+VLOOKUP(B793,'Salary sheet'!$B$6:$AT$1292,45,0)</f>
        <v>13457525</v>
      </c>
      <c r="F793" s="1029" t="s">
        <v>5723</v>
      </c>
      <c r="G793" s="824" t="str">
        <f>+VLOOKUP(B793,'Salary sheet'!$B$6:$E$2281,4,0)</f>
        <v>FACTORY O</v>
      </c>
      <c r="H793" s="607" t="str">
        <f>+VLOOKUP(B793,'Salary sheet'!$B$6:$AZ$1386,50,0)</f>
        <v>Seaman</v>
      </c>
      <c r="I793" s="607" t="str">
        <f t="shared" si="36"/>
        <v>C7644NGUYEN HOANG MINH THU050099643053</v>
      </c>
      <c r="J793" s="853" t="str">
        <f>+VLOOKUP(B793,'[5]04 2025'!$B$2:$F$1371,5,0)</f>
        <v>C7644NGUYEN HOANG MINH THU050099643053</v>
      </c>
      <c r="K793" s="607">
        <f t="shared" si="35"/>
        <v>1</v>
      </c>
      <c r="P793" s="685"/>
    </row>
    <row r="794" spans="1:16" s="607" customFormat="1" ht="18" customHeight="1">
      <c r="A794" s="826">
        <f>SUBTOTAL(3,B$6:B794)</f>
        <v>789</v>
      </c>
      <c r="B794" s="824" t="s">
        <v>2408</v>
      </c>
      <c r="C794" s="824" t="str">
        <f>+VLOOKUP(B794,'Salary sheet'!$B$6:$AX$1386,48,0)</f>
        <v>VO HONG NGOC</v>
      </c>
      <c r="D794" s="824" t="str">
        <f>+VLOOKUP(B794,'Salary sheet'!$B$6:$BW$1386,49,0)</f>
        <v>050143854423</v>
      </c>
      <c r="E794" s="620">
        <f>+VLOOKUP(B794,'Salary sheet'!$B$6:$AT$1292,45,0)</f>
        <v>12318375</v>
      </c>
      <c r="F794" s="1029" t="s">
        <v>5723</v>
      </c>
      <c r="G794" s="824" t="str">
        <f>+VLOOKUP(B794,'Salary sheet'!$B$6:$E$2281,4,0)</f>
        <v>FACTORY O</v>
      </c>
      <c r="H794" s="607" t="str">
        <f>+VLOOKUP(B794,'Salary sheet'!$B$6:$AZ$1386,50,0)</f>
        <v>SK1 Bag</v>
      </c>
      <c r="I794" s="607" t="str">
        <f t="shared" si="36"/>
        <v>C15363VO HONG NGOC050143854423</v>
      </c>
      <c r="J794" s="853" t="str">
        <f>+VLOOKUP(B794,'[5]04 2025'!$B$2:$F$1371,5,0)</f>
        <v>C15363VO HONG NGOC050143854423</v>
      </c>
      <c r="K794" s="607">
        <f t="shared" si="35"/>
        <v>1</v>
      </c>
      <c r="P794" s="685"/>
    </row>
    <row r="795" spans="1:16" s="607" customFormat="1" ht="18" customHeight="1">
      <c r="A795" s="826">
        <f>SUBTOTAL(3,B$6:B795)</f>
        <v>790</v>
      </c>
      <c r="B795" s="824" t="s">
        <v>2411</v>
      </c>
      <c r="C795" s="824" t="str">
        <f>+VLOOKUP(B795,'Salary sheet'!$B$6:$AX$1386,48,0)</f>
        <v>LE THI THANH HOAI</v>
      </c>
      <c r="D795" s="824" t="str">
        <f>+VLOOKUP(B795,'Salary sheet'!$B$6:$BW$1386,49,0)</f>
        <v>050040812511</v>
      </c>
      <c r="E795" s="620">
        <f>+VLOOKUP(B795,'Salary sheet'!$B$6:$AT$1292,45,0)</f>
        <v>15825043</v>
      </c>
      <c r="F795" s="1029" t="s">
        <v>5723</v>
      </c>
      <c r="G795" s="824" t="str">
        <f>+VLOOKUP(B795,'Salary sheet'!$B$6:$E$2281,4,0)</f>
        <v>FACTORY O</v>
      </c>
      <c r="H795" s="607" t="str">
        <f>+VLOOKUP(B795,'Salary sheet'!$B$6:$AZ$1386,50,0)</f>
        <v>SK1 Bag</v>
      </c>
      <c r="I795" s="607" t="str">
        <f t="shared" si="36"/>
        <v>C5702LE THI THANH HOAI050040812511</v>
      </c>
      <c r="J795" s="853" t="str">
        <f>+VLOOKUP(B795,'[5]04 2025'!$B$2:$F$1371,5,0)</f>
        <v>C5702LE THI THANH HOAI050040812511</v>
      </c>
      <c r="K795" s="607">
        <f t="shared" si="35"/>
        <v>1</v>
      </c>
      <c r="P795" s="685"/>
    </row>
    <row r="796" spans="1:16" s="607" customFormat="1" ht="18" customHeight="1">
      <c r="A796" s="826">
        <f>SUBTOTAL(3,B$6:B796)</f>
        <v>791</v>
      </c>
      <c r="B796" s="824" t="s">
        <v>2414</v>
      </c>
      <c r="C796" s="824" t="str">
        <f>+VLOOKUP(B796,'Salary sheet'!$B$6:$AX$1386,48,0)</f>
        <v>NGUYEN THAI QUOC</v>
      </c>
      <c r="D796" s="824" t="str">
        <f>+VLOOKUP(B796,'Salary sheet'!$B$6:$BW$1386,49,0)</f>
        <v>050063551098</v>
      </c>
      <c r="E796" s="620">
        <f>+VLOOKUP(B796,'Salary sheet'!$B$6:$AT$1292,45,0)</f>
        <v>15192900</v>
      </c>
      <c r="F796" s="1029" t="s">
        <v>5723</v>
      </c>
      <c r="G796" s="824" t="str">
        <f>+VLOOKUP(B796,'Salary sheet'!$B$6:$E$2281,4,0)</f>
        <v>FACTORY O</v>
      </c>
      <c r="H796" s="607" t="str">
        <f>+VLOOKUP(B796,'Salary sheet'!$B$6:$AZ$1386,50,0)</f>
        <v>SK2</v>
      </c>
      <c r="I796" s="607" t="str">
        <f t="shared" si="36"/>
        <v>C6854NGUYEN THAI QUOC050063551098</v>
      </c>
      <c r="J796" s="853" t="str">
        <f>+VLOOKUP(B796,'[5]04 2025'!$B$2:$F$1371,5,0)</f>
        <v>C6854NGUYEN THAI QUOC050063551098</v>
      </c>
      <c r="K796" s="607">
        <f t="shared" si="35"/>
        <v>1</v>
      </c>
      <c r="P796" s="685"/>
    </row>
    <row r="797" spans="1:16" s="607" customFormat="1" ht="18" customHeight="1">
      <c r="A797" s="826">
        <f>SUBTOTAL(3,B$6:B797)</f>
        <v>792</v>
      </c>
      <c r="B797" s="824" t="s">
        <v>2416</v>
      </c>
      <c r="C797" s="824" t="str">
        <f>+VLOOKUP(B797,'Salary sheet'!$B$6:$AX$1386,48,0)</f>
        <v>TRUONG THI NGOC DUNG</v>
      </c>
      <c r="D797" s="824" t="str">
        <f>+VLOOKUP(B797,'Salary sheet'!$B$6:$BW$1386,49,0)</f>
        <v>050077160032</v>
      </c>
      <c r="E797" s="620">
        <f>+VLOOKUP(B797,'Salary sheet'!$B$6:$AT$1292,45,0)</f>
        <v>16024333</v>
      </c>
      <c r="F797" s="1029" t="s">
        <v>5723</v>
      </c>
      <c r="G797" s="824" t="str">
        <f>+VLOOKUP(B797,'Salary sheet'!$B$6:$E$2281,4,0)</f>
        <v>FACTORY O</v>
      </c>
      <c r="H797" s="607" t="str">
        <f>+VLOOKUP(B797,'Salary sheet'!$B$6:$AZ$1386,50,0)</f>
        <v>SK1 Box</v>
      </c>
      <c r="I797" s="607" t="str">
        <f t="shared" si="36"/>
        <v>C6997TRUONG THI NGOC DUNG050077160032</v>
      </c>
      <c r="J797" s="853" t="str">
        <f>+VLOOKUP(B797,'[5]04 2025'!$B$2:$F$1371,5,0)</f>
        <v>C6997TRUONG THI NGOC DUNG050077160032</v>
      </c>
      <c r="K797" s="607">
        <f t="shared" si="35"/>
        <v>1</v>
      </c>
      <c r="P797" s="685"/>
    </row>
    <row r="798" spans="1:16" s="607" customFormat="1" ht="18" customHeight="1">
      <c r="A798" s="826">
        <f>SUBTOTAL(3,B$6:B798)</f>
        <v>793</v>
      </c>
      <c r="B798" s="824" t="s">
        <v>2418</v>
      </c>
      <c r="C798" s="824" t="str">
        <f>+VLOOKUP(B798,'Salary sheet'!$B$6:$AX$1386,48,0)</f>
        <v>HO THI THU THAO</v>
      </c>
      <c r="D798" s="824" t="str">
        <f>+VLOOKUP(B798,'Salary sheet'!$B$6:$BW$1386,49,0)</f>
        <v>050096813829</v>
      </c>
      <c r="E798" s="620">
        <f>+VLOOKUP(B798,'Salary sheet'!$B$6:$AT$1292,45,0)</f>
        <v>13186333</v>
      </c>
      <c r="F798" s="1029" t="s">
        <v>5723</v>
      </c>
      <c r="G798" s="824" t="str">
        <f>+VLOOKUP(B798,'Salary sheet'!$B$6:$E$2281,4,0)</f>
        <v>FACTORY O</v>
      </c>
      <c r="H798" s="607" t="str">
        <f>+VLOOKUP(B798,'Salary sheet'!$B$6:$AZ$1386,50,0)</f>
        <v>SK1 Bag</v>
      </c>
      <c r="I798" s="607" t="str">
        <f t="shared" si="36"/>
        <v>C7411HO THI THU THAO050096813829</v>
      </c>
      <c r="J798" s="853" t="str">
        <f>+VLOOKUP(B798,'[5]04 2025'!$B$2:$F$1371,5,0)</f>
        <v>C7411HO THI THU THAO050096813829</v>
      </c>
      <c r="K798" s="607">
        <f t="shared" si="35"/>
        <v>1</v>
      </c>
      <c r="P798" s="685"/>
    </row>
    <row r="799" spans="1:16" s="607" customFormat="1" ht="18" customHeight="1">
      <c r="A799" s="826">
        <f>SUBTOTAL(3,B$6:B799)</f>
        <v>794</v>
      </c>
      <c r="B799" s="824" t="s">
        <v>2420</v>
      </c>
      <c r="C799" s="824" t="str">
        <f>+VLOOKUP(B799,'Salary sheet'!$B$6:$AX$1386,48,0)</f>
        <v>NGUYEN DINH QUAN</v>
      </c>
      <c r="D799" s="824" t="str">
        <f>+VLOOKUP(B799,'Salary sheet'!$B$6:$BW$1386,49,0)</f>
        <v>050040796050</v>
      </c>
      <c r="E799" s="620">
        <f>+VLOOKUP(B799,'Salary sheet'!$B$6:$AT$1292,45,0)</f>
        <v>25205169</v>
      </c>
      <c r="F799" s="1029" t="s">
        <v>5723</v>
      </c>
      <c r="G799" s="824" t="str">
        <f>+VLOOKUP(B799,'Salary sheet'!$B$6:$E$2281,4,0)</f>
        <v>FACTORY O</v>
      </c>
      <c r="H799" s="607" t="str">
        <f>+VLOOKUP(B799,'Salary sheet'!$B$6:$AZ$1386,50,0)</f>
        <v>SK1 Box</v>
      </c>
      <c r="I799" s="607" t="str">
        <f t="shared" si="36"/>
        <v>V068NGUYEN DINH QUAN050040796050</v>
      </c>
      <c r="J799" s="853" t="str">
        <f>+VLOOKUP(B799,'[5]04 2025'!$B$2:$F$1371,5,0)</f>
        <v>V068NGUYEN DINH QUAN050040796050</v>
      </c>
      <c r="K799" s="607">
        <f t="shared" si="35"/>
        <v>1</v>
      </c>
      <c r="P799" s="685"/>
    </row>
    <row r="800" spans="1:16" s="607" customFormat="1" ht="18" customHeight="1">
      <c r="A800" s="826">
        <f>SUBTOTAL(3,B$6:B800)</f>
        <v>795</v>
      </c>
      <c r="B800" s="824" t="s">
        <v>2423</v>
      </c>
      <c r="C800" s="824" t="str">
        <f>+VLOOKUP(B800,'Salary sheet'!$B$6:$AX$1386,48,0)</f>
        <v>TRAN THI THANH LAM</v>
      </c>
      <c r="D800" s="824" t="str">
        <f>+VLOOKUP(B800,'Salary sheet'!$B$6:$BW$1386,49,0)</f>
        <v>050115373517</v>
      </c>
      <c r="E800" s="620">
        <f>+VLOOKUP(B800,'Salary sheet'!$B$6:$AT$1292,45,0)</f>
        <v>10762525</v>
      </c>
      <c r="F800" s="1029" t="s">
        <v>5723</v>
      </c>
      <c r="G800" s="824" t="str">
        <f>+VLOOKUP(B800,'Salary sheet'!$B$6:$E$2281,4,0)</f>
        <v>FACTORY O</v>
      </c>
      <c r="H800" s="607" t="str">
        <f>+VLOOKUP(B800,'Salary sheet'!$B$6:$AZ$1386,50,0)</f>
        <v>SK1 Bag</v>
      </c>
      <c r="I800" s="607" t="str">
        <f t="shared" si="36"/>
        <v>C11710TRAN THI THANH LAM050115373517</v>
      </c>
      <c r="J800" s="853" t="str">
        <f>+VLOOKUP(B800,'[5]04 2025'!$B$2:$F$1371,5,0)</f>
        <v>C11710TRAN THI THANH LAM050115373517</v>
      </c>
      <c r="K800" s="607">
        <f t="shared" si="35"/>
        <v>1</v>
      </c>
      <c r="P800" s="685"/>
    </row>
    <row r="801" spans="1:16" s="607" customFormat="1" ht="18" customHeight="1">
      <c r="A801" s="826">
        <f>SUBTOTAL(3,B$6:B801)</f>
        <v>796</v>
      </c>
      <c r="B801" s="824" t="s">
        <v>2426</v>
      </c>
      <c r="C801" s="824" t="str">
        <f>+VLOOKUP(B801,'Salary sheet'!$B$6:$AX$1386,48,0)</f>
        <v>NGUYEN THI MONG CAM</v>
      </c>
      <c r="D801" s="824" t="str">
        <f>+VLOOKUP(B801,'Salary sheet'!$B$6:$BW$1386,49,0)</f>
        <v>050075421254</v>
      </c>
      <c r="E801" s="620">
        <f>+VLOOKUP(B801,'Salary sheet'!$B$6:$AT$1292,45,0)</f>
        <v>12453492</v>
      </c>
      <c r="F801" s="1029" t="s">
        <v>5723</v>
      </c>
      <c r="G801" s="824" t="str">
        <f>+VLOOKUP(B801,'Salary sheet'!$B$6:$E$2281,4,0)</f>
        <v>FACTORY O</v>
      </c>
      <c r="H801" s="607" t="str">
        <f>+VLOOKUP(B801,'Salary sheet'!$B$6:$AZ$1386,50,0)</f>
        <v>SK1 Box</v>
      </c>
      <c r="I801" s="607" t="str">
        <f t="shared" si="36"/>
        <v>C12337NGUYEN THI MONG CAM050075421254</v>
      </c>
      <c r="J801" s="853" t="str">
        <f>+VLOOKUP(B801,'[5]04 2025'!$B$2:$F$1371,5,0)</f>
        <v>C12337NGUYEN THI MONG CAM050075421254</v>
      </c>
      <c r="K801" s="607">
        <f t="shared" si="35"/>
        <v>1</v>
      </c>
      <c r="P801" s="685"/>
    </row>
    <row r="802" spans="1:16" s="607" customFormat="1" ht="18" customHeight="1">
      <c r="A802" s="826">
        <f>SUBTOTAL(3,B$6:B802)</f>
        <v>797</v>
      </c>
      <c r="B802" s="824" t="s">
        <v>2429</v>
      </c>
      <c r="C802" s="824" t="str">
        <f>+VLOOKUP(B802,'Salary sheet'!$B$6:$AX$1386,48,0)</f>
        <v>NGUYEN CONG TAI</v>
      </c>
      <c r="D802" s="824" t="str">
        <f>+VLOOKUP(B802,'Salary sheet'!$B$6:$BW$1386,49,0)</f>
        <v>050135058741</v>
      </c>
      <c r="E802" s="620">
        <f>+VLOOKUP(B802,'Salary sheet'!$B$6:$AT$1292,45,0)</f>
        <v>10646187</v>
      </c>
      <c r="F802" s="1029" t="s">
        <v>5723</v>
      </c>
      <c r="G802" s="824" t="str">
        <f>+VLOOKUP(B802,'Salary sheet'!$B$6:$E$2281,4,0)</f>
        <v>FACTORY O</v>
      </c>
      <c r="H802" s="607" t="str">
        <f>+VLOOKUP(B802,'Salary sheet'!$B$6:$AZ$1386,50,0)</f>
        <v>SK1 Bag</v>
      </c>
      <c r="I802" s="607" t="str">
        <f t="shared" si="36"/>
        <v>C14474NGUYEN CONG TAI050135058741</v>
      </c>
      <c r="J802" s="853" t="str">
        <f>+VLOOKUP(B802,'[5]04 2025'!$B$2:$F$1371,5,0)</f>
        <v>C14474NGUYEN CONG TAI050135058741</v>
      </c>
      <c r="K802" s="607">
        <f t="shared" si="35"/>
        <v>1</v>
      </c>
      <c r="P802" s="685"/>
    </row>
    <row r="803" spans="1:16" s="607" customFormat="1" ht="18" customHeight="1">
      <c r="A803" s="826">
        <f>SUBTOTAL(3,B$6:B803)</f>
        <v>798</v>
      </c>
      <c r="B803" s="824" t="s">
        <v>2431</v>
      </c>
      <c r="C803" s="824" t="str">
        <f>+VLOOKUP(B803,'Salary sheet'!$B$6:$AX$1386,48,0)</f>
        <v>TRAN THI HUONG</v>
      </c>
      <c r="D803" s="824" t="str">
        <f>+VLOOKUP(B803,'Salary sheet'!$B$6:$BW$1386,49,0)</f>
        <v>050040796514</v>
      </c>
      <c r="E803" s="620">
        <f>+VLOOKUP(B803,'Salary sheet'!$B$6:$AT$1292,45,0)</f>
        <v>28659580</v>
      </c>
      <c r="F803" s="1029" t="s">
        <v>5723</v>
      </c>
      <c r="G803" s="824" t="str">
        <f>+VLOOKUP(B803,'Salary sheet'!$B$6:$E$2281,4,0)</f>
        <v>FACTORY O</v>
      </c>
      <c r="H803" s="607" t="str">
        <f>+VLOOKUP(B803,'Salary sheet'!$B$6:$AZ$1386,50,0)</f>
        <v>SK1 Box</v>
      </c>
      <c r="I803" s="607" t="str">
        <f t="shared" si="36"/>
        <v>C14561TRAN THI HUONG050040796514</v>
      </c>
      <c r="J803" s="853" t="str">
        <f>+VLOOKUP(B803,'[5]04 2025'!$B$2:$F$1371,5,0)</f>
        <v>C14561TRAN THI HUONG050040796514</v>
      </c>
      <c r="K803" s="607">
        <f t="shared" si="35"/>
        <v>1</v>
      </c>
      <c r="P803" s="685"/>
    </row>
    <row r="804" spans="1:16" s="607" customFormat="1" ht="18" customHeight="1">
      <c r="A804" s="826">
        <f>SUBTOTAL(3,B$6:B804)</f>
        <v>799</v>
      </c>
      <c r="B804" s="824" t="s">
        <v>2434</v>
      </c>
      <c r="C804" s="824" t="str">
        <f>+VLOOKUP(B804,'Salary sheet'!$B$6:$AX$1386,48,0)</f>
        <v>TRINH NGUYEN ANH KHOA</v>
      </c>
      <c r="D804" s="824" t="str">
        <f>+VLOOKUP(B804,'Salary sheet'!$B$6:$BW$1386,49,0)</f>
        <v>050156032538</v>
      </c>
      <c r="E804" s="620">
        <f>+VLOOKUP(B804,'Salary sheet'!$B$6:$AT$1292,45,0)</f>
        <v>10895806</v>
      </c>
      <c r="F804" s="1029" t="s">
        <v>5723</v>
      </c>
      <c r="G804" s="824" t="str">
        <f>+VLOOKUP(B804,'Salary sheet'!$B$6:$E$2281,4,0)</f>
        <v>FACTORY O</v>
      </c>
      <c r="H804" s="607" t="str">
        <f>+VLOOKUP(B804,'Salary sheet'!$B$6:$AZ$1386,50,0)</f>
        <v>SK1 Box</v>
      </c>
      <c r="I804" s="607" t="str">
        <f t="shared" si="36"/>
        <v>C16271TRINH NGUYEN ANH KHOA050156032538</v>
      </c>
      <c r="J804" s="853" t="str">
        <f>+VLOOKUP(B804,'[5]04 2025'!$B$2:$F$1371,5,0)</f>
        <v>C16271TRINH NGUYEN ANH KHOA050156032538</v>
      </c>
      <c r="K804" s="607">
        <f t="shared" si="35"/>
        <v>1</v>
      </c>
      <c r="P804" s="685"/>
    </row>
    <row r="805" spans="1:16" s="607" customFormat="1" ht="18" customHeight="1">
      <c r="A805" s="826">
        <f>SUBTOTAL(3,B$6:B805)</f>
        <v>800</v>
      </c>
      <c r="B805" s="824" t="s">
        <v>2436</v>
      </c>
      <c r="C805" s="824" t="str">
        <f>+VLOOKUP(B805,'Salary sheet'!$B$6:$AX$1386,48,0)</f>
        <v>NGUYEN THI SINH</v>
      </c>
      <c r="D805" s="824" t="str">
        <f>+VLOOKUP(B805,'Salary sheet'!$B$6:$BW$1386,49,0)</f>
        <v>050040931731</v>
      </c>
      <c r="E805" s="620">
        <f>+VLOOKUP(B805,'Salary sheet'!$B$6:$AT$1292,45,0)</f>
        <v>8542767</v>
      </c>
      <c r="F805" s="1029" t="s">
        <v>5723</v>
      </c>
      <c r="G805" s="824" t="str">
        <f>+VLOOKUP(B805,'Salary sheet'!$B$6:$E$2281,4,0)</f>
        <v>SK2</v>
      </c>
      <c r="H805" s="607" t="str">
        <f>+VLOOKUP(B805,'Salary sheet'!$B$6:$AZ$1386,50,0)</f>
        <v>SK2</v>
      </c>
      <c r="I805" s="607" t="str">
        <f t="shared" si="36"/>
        <v>C10474NGUYEN THI SINH050040931731</v>
      </c>
      <c r="J805" s="853" t="str">
        <f>+VLOOKUP(B805,'[5]04 2025'!$B$2:$F$1371,5,0)</f>
        <v>C10474NGUYEN THI SINH050040931731</v>
      </c>
      <c r="K805" s="607">
        <f t="shared" si="35"/>
        <v>1</v>
      </c>
      <c r="P805" s="685"/>
    </row>
    <row r="806" spans="1:16" s="607" customFormat="1" ht="18" customHeight="1">
      <c r="A806" s="826">
        <f>SUBTOTAL(3,B$6:B806)</f>
        <v>801</v>
      </c>
      <c r="B806" s="824" t="s">
        <v>2438</v>
      </c>
      <c r="C806" s="824" t="str">
        <f>+VLOOKUP(B806,'Salary sheet'!$B$6:$AX$1386,48,0)</f>
        <v>NGO DOAN THUY</v>
      </c>
      <c r="D806" s="824" t="str">
        <f>+VLOOKUP(B806,'Salary sheet'!$B$6:$BW$1386,49,0)</f>
        <v>050128639362</v>
      </c>
      <c r="E806" s="620">
        <f>+VLOOKUP(B806,'Salary sheet'!$B$6:$AT$1292,45,0)</f>
        <v>8409738</v>
      </c>
      <c r="F806" s="1029" t="s">
        <v>5723</v>
      </c>
      <c r="G806" s="824" t="str">
        <f>+VLOOKUP(B806,'Salary sheet'!$B$6:$E$2281,4,0)</f>
        <v>SK2</v>
      </c>
      <c r="H806" s="607" t="str">
        <f>+VLOOKUP(B806,'Salary sheet'!$B$6:$AZ$1386,50,0)</f>
        <v>SK2</v>
      </c>
      <c r="I806" s="607" t="str">
        <f t="shared" si="36"/>
        <v>C14059NGO DOAN THUY050128639362</v>
      </c>
      <c r="J806" s="853" t="str">
        <f>+VLOOKUP(B806,'[5]04 2025'!$B$2:$F$1371,5,0)</f>
        <v>C14059NGO DOAN THUY050128639362</v>
      </c>
      <c r="K806" s="607">
        <f t="shared" si="35"/>
        <v>1</v>
      </c>
      <c r="P806" s="685"/>
    </row>
    <row r="807" spans="1:16" s="607" customFormat="1" ht="18" customHeight="1">
      <c r="A807" s="826">
        <f>SUBTOTAL(3,B$6:B807)</f>
        <v>802</v>
      </c>
      <c r="B807" s="824" t="s">
        <v>2440</v>
      </c>
      <c r="C807" s="824" t="str">
        <f>+VLOOKUP(B807,'Salary sheet'!$B$6:$AX$1386,48,0)</f>
        <v>LE THI XOAN</v>
      </c>
      <c r="D807" s="824" t="str">
        <f>+VLOOKUP(B807,'Salary sheet'!$B$6:$BW$1386,49,0)</f>
        <v>030040244294</v>
      </c>
      <c r="E807" s="620">
        <f>+VLOOKUP(B807,'Salary sheet'!$B$6:$AT$1292,45,0)</f>
        <v>9030409</v>
      </c>
      <c r="F807" s="1029" t="s">
        <v>5723</v>
      </c>
      <c r="G807" s="824" t="str">
        <f>+VLOOKUP(B807,'Salary sheet'!$B$6:$E$2281,4,0)</f>
        <v>SK2</v>
      </c>
      <c r="H807" s="607" t="str">
        <f>+VLOOKUP(B807,'Salary sheet'!$B$6:$AZ$1386,50,0)</f>
        <v>SK2</v>
      </c>
      <c r="I807" s="607" t="str">
        <f t="shared" si="36"/>
        <v>C15437LE THI XOAN030040244294</v>
      </c>
      <c r="J807" s="853" t="str">
        <f>+VLOOKUP(B807,'[5]04 2025'!$B$2:$F$1371,5,0)</f>
        <v>C15437LE THI XOAN030040244294</v>
      </c>
      <c r="K807" s="607">
        <f t="shared" ref="K807:K869" si="37">+IF(J807=I807,1,0)</f>
        <v>1</v>
      </c>
      <c r="P807" s="685"/>
    </row>
    <row r="808" spans="1:16" s="607" customFormat="1" ht="18" customHeight="1">
      <c r="A808" s="826">
        <f>SUBTOTAL(3,B$6:B808)</f>
        <v>803</v>
      </c>
      <c r="B808" s="824" t="s">
        <v>2442</v>
      </c>
      <c r="C808" s="824" t="str">
        <f>+VLOOKUP(B808,'Salary sheet'!$B$6:$AX$1386,48,0)</f>
        <v>TRINH HUU DUC</v>
      </c>
      <c r="D808" s="824" t="str">
        <f>+VLOOKUP(B808,'Salary sheet'!$B$6:$BW$1386,49,0)</f>
        <v>055405112000</v>
      </c>
      <c r="E808" s="620">
        <f>+VLOOKUP(B808,'Salary sheet'!$B$6:$AT$1292,45,0)</f>
        <v>9316623</v>
      </c>
      <c r="F808" s="1029" t="s">
        <v>5723</v>
      </c>
      <c r="G808" s="824" t="str">
        <f>+VLOOKUP(B808,'Salary sheet'!$B$6:$E$2281,4,0)</f>
        <v>SK2</v>
      </c>
      <c r="H808" s="607" t="str">
        <f>+VLOOKUP(B808,'Salary sheet'!$B$6:$AZ$1386,50,0)</f>
        <v>SK2</v>
      </c>
      <c r="I808" s="607" t="str">
        <f t="shared" si="36"/>
        <v>C16044TRINH HUU DUC055405112000</v>
      </c>
      <c r="J808" s="853" t="str">
        <f>+VLOOKUP(B808,'[5]04 2025'!$B$2:$F$1371,5,0)</f>
        <v>C16044TRINH HUU DUC055405112000</v>
      </c>
      <c r="K808" s="607">
        <f t="shared" si="37"/>
        <v>1</v>
      </c>
      <c r="P808" s="685"/>
    </row>
    <row r="809" spans="1:16" s="607" customFormat="1" ht="18" customHeight="1">
      <c r="A809" s="826">
        <f>SUBTOTAL(3,B$6:B809)</f>
        <v>804</v>
      </c>
      <c r="B809" s="824" t="s">
        <v>2444</v>
      </c>
      <c r="C809" s="824" t="str">
        <f>+VLOOKUP(B809,'Salary sheet'!$B$6:$AX$1386,48,0)</f>
        <v>HO THI THANH THOA</v>
      </c>
      <c r="D809" s="824" t="str">
        <f>+VLOOKUP(B809,'Salary sheet'!$B$6:$BW$1386,49,0)</f>
        <v>050065073681</v>
      </c>
      <c r="E809" s="620">
        <f>+VLOOKUP(B809,'Salary sheet'!$B$6:$AT$1292,45,0)</f>
        <v>15600936</v>
      </c>
      <c r="F809" s="1029" t="s">
        <v>5723</v>
      </c>
      <c r="G809" s="824" t="str">
        <f>+VLOOKUP(B809,'Salary sheet'!$B$6:$E$2281,4,0)</f>
        <v>SK2</v>
      </c>
      <c r="H809" s="607" t="str">
        <f>+VLOOKUP(B809,'Salary sheet'!$B$6:$AZ$1386,50,0)</f>
        <v>SK2</v>
      </c>
      <c r="I809" s="607" t="str">
        <f t="shared" si="36"/>
        <v>C10718HO THI THANH THOA050065073681</v>
      </c>
      <c r="J809" s="853" t="str">
        <f>+VLOOKUP(B809,'[5]04 2025'!$B$2:$F$1371,5,0)</f>
        <v>C10718HO THI THANH THOA050065073681</v>
      </c>
      <c r="K809" s="607">
        <f t="shared" si="37"/>
        <v>1</v>
      </c>
      <c r="P809" s="685"/>
    </row>
    <row r="810" spans="1:16" s="607" customFormat="1" ht="18" customHeight="1">
      <c r="A810" s="826">
        <f>SUBTOTAL(3,B$6:B810)</f>
        <v>805</v>
      </c>
      <c r="B810" s="824" t="s">
        <v>2447</v>
      </c>
      <c r="C810" s="824" t="str">
        <f>+VLOOKUP(B810,'Salary sheet'!$B$6:$AX$1386,48,0)</f>
        <v>NGO PHU CUONG</v>
      </c>
      <c r="D810" s="824" t="str">
        <f>+VLOOKUP(B810,'Salary sheet'!$B$6:$BW$1386,49,0)</f>
        <v>050118169937</v>
      </c>
      <c r="E810" s="620">
        <f>+VLOOKUP(B810,'Salary sheet'!$B$6:$AT$1292,45,0)</f>
        <v>12701165</v>
      </c>
      <c r="F810" s="1029" t="s">
        <v>5723</v>
      </c>
      <c r="G810" s="824" t="str">
        <f>+VLOOKUP(B810,'Salary sheet'!$B$6:$E$2281,4,0)</f>
        <v>SK2</v>
      </c>
      <c r="H810" s="607" t="str">
        <f>+VLOOKUP(B810,'Salary sheet'!$B$6:$AZ$1386,50,0)</f>
        <v>SK2</v>
      </c>
      <c r="I810" s="607" t="str">
        <f t="shared" si="36"/>
        <v>C12365NGO PHU CUONG050118169937</v>
      </c>
      <c r="J810" s="853" t="str">
        <f>+VLOOKUP(B810,'[5]04 2025'!$B$2:$F$1371,5,0)</f>
        <v>C12365NGO PHU CUONG050118169937</v>
      </c>
      <c r="K810" s="607">
        <f t="shared" si="37"/>
        <v>1</v>
      </c>
      <c r="P810" s="685"/>
    </row>
    <row r="811" spans="1:16" s="607" customFormat="1" ht="18" customHeight="1">
      <c r="A811" s="826">
        <f>SUBTOTAL(3,B$6:B811)</f>
        <v>806</v>
      </c>
      <c r="B811" s="824" t="s">
        <v>2449</v>
      </c>
      <c r="C811" s="824" t="str">
        <f>+VLOOKUP(B811,'Salary sheet'!$B$6:$AX$1386,48,0)</f>
        <v>NGUYEN CHAU THINH</v>
      </c>
      <c r="D811" s="824" t="str">
        <f>+VLOOKUP(B811,'Salary sheet'!$B$6:$BW$1386,49,0)</f>
        <v>050148899344</v>
      </c>
      <c r="E811" s="620">
        <f>+VLOOKUP(B811,'Salary sheet'!$B$6:$AT$1292,45,0)</f>
        <v>8521284</v>
      </c>
      <c r="F811" s="1029" t="s">
        <v>5723</v>
      </c>
      <c r="G811" s="824" t="str">
        <f>+VLOOKUP(B811,'Salary sheet'!$B$6:$E$2281,4,0)</f>
        <v>SK2</v>
      </c>
      <c r="H811" s="607" t="str">
        <f>+VLOOKUP(B811,'Salary sheet'!$B$6:$AZ$1386,50,0)</f>
        <v>SK2</v>
      </c>
      <c r="I811" s="607" t="str">
        <f t="shared" si="36"/>
        <v>C15519NGUYEN CHAU THINH050148899344</v>
      </c>
      <c r="J811" s="853" t="str">
        <f>+VLOOKUP(B811,'[5]04 2025'!$B$2:$F$1371,5,0)</f>
        <v>C15519NGUYEN CHAU THINH050148899344</v>
      </c>
      <c r="K811" s="607">
        <f t="shared" si="37"/>
        <v>1</v>
      </c>
      <c r="P811" s="685"/>
    </row>
    <row r="812" spans="1:16" s="607" customFormat="1" ht="18" customHeight="1">
      <c r="A812" s="826">
        <f>SUBTOTAL(3,B$6:B812)</f>
        <v>807</v>
      </c>
      <c r="B812" s="824" t="s">
        <v>60</v>
      </c>
      <c r="C812" s="824" t="str">
        <f>+VLOOKUP(B812,'Salary sheet'!$B$6:$AX$1386,48,0)</f>
        <v>DO THI THANH TU</v>
      </c>
      <c r="D812" s="824" t="str">
        <f>+VLOOKUP(B812,'Salary sheet'!$B$6:$BW$1386,49,0)</f>
        <v>050053264864</v>
      </c>
      <c r="E812" s="620">
        <f>+VLOOKUP(B812,'Salary sheet'!$B$6:$AT$1292,45,0)</f>
        <v>25637133</v>
      </c>
      <c r="F812" s="1029" t="s">
        <v>5723</v>
      </c>
      <c r="G812" s="824" t="str">
        <f>+VLOOKUP(B812,'Salary sheet'!$B$6:$E$2281,4,0)</f>
        <v>SK2</v>
      </c>
      <c r="H812" s="607" t="str">
        <f>+VLOOKUP(B812,'Salary sheet'!$B$6:$AZ$1386,50,0)</f>
        <v>SK2</v>
      </c>
      <c r="I812" s="607" t="str">
        <f t="shared" si="36"/>
        <v>C6347DO THI THANH TU050053264864</v>
      </c>
      <c r="J812" s="853" t="str">
        <f>+VLOOKUP(B812,'[5]04 2025'!$B$2:$F$1371,5,0)</f>
        <v>C6347DO THI THANH TU050053264864</v>
      </c>
      <c r="K812" s="607">
        <f t="shared" si="37"/>
        <v>1</v>
      </c>
      <c r="P812" s="685"/>
    </row>
    <row r="813" spans="1:16" s="607" customFormat="1" ht="18" customHeight="1">
      <c r="A813" s="826">
        <f>SUBTOTAL(3,B$6:B813)</f>
        <v>808</v>
      </c>
      <c r="B813" s="824" t="s">
        <v>2452</v>
      </c>
      <c r="C813" s="824" t="str">
        <f>+VLOOKUP(B813,'Salary sheet'!$B$6:$AX$1386,48,0)</f>
        <v>HOANG THI SEN</v>
      </c>
      <c r="D813" s="824" t="str">
        <f>+VLOOKUP(B813,'Salary sheet'!$B$6:$BW$1386,49,0)</f>
        <v>050040932371</v>
      </c>
      <c r="E813" s="620">
        <f>+VLOOKUP(B813,'Salary sheet'!$B$6:$AT$1292,45,0)</f>
        <v>17503673</v>
      </c>
      <c r="F813" s="1029" t="s">
        <v>5723</v>
      </c>
      <c r="G813" s="824" t="str">
        <f>+VLOOKUP(B813,'Salary sheet'!$B$6:$E$2281,4,0)</f>
        <v>SK2</v>
      </c>
      <c r="H813" s="607" t="str">
        <f>+VLOOKUP(B813,'Salary sheet'!$B$6:$AZ$1386,50,0)</f>
        <v>SK2</v>
      </c>
      <c r="I813" s="607" t="str">
        <f t="shared" si="36"/>
        <v>C0827HOANG THI SEN050040932371</v>
      </c>
      <c r="J813" s="853" t="str">
        <f>+VLOOKUP(B813,'[5]04 2025'!$B$2:$F$1371,5,0)</f>
        <v>C0827HOANG THI SEN050040932371</v>
      </c>
      <c r="K813" s="607">
        <f t="shared" si="37"/>
        <v>1</v>
      </c>
      <c r="P813" s="685"/>
    </row>
    <row r="814" spans="1:16" s="607" customFormat="1" ht="18" customHeight="1">
      <c r="A814" s="826">
        <f>SUBTOTAL(3,B$6:B814)</f>
        <v>809</v>
      </c>
      <c r="B814" s="824" t="s">
        <v>2454</v>
      </c>
      <c r="C814" s="824" t="str">
        <f>+VLOOKUP(B814,'Salary sheet'!$B$6:$AX$1386,48,0)</f>
        <v>DIEU THI THU</v>
      </c>
      <c r="D814" s="824" t="str">
        <f>+VLOOKUP(B814,'Salary sheet'!$B$6:$BW$1386,49,0)</f>
        <v>050091458321</v>
      </c>
      <c r="E814" s="620">
        <f>+VLOOKUP(B814,'Salary sheet'!$B$6:$AT$1292,45,0)</f>
        <v>13732581</v>
      </c>
      <c r="F814" s="1029" t="s">
        <v>5723</v>
      </c>
      <c r="G814" s="824" t="str">
        <f>+VLOOKUP(B814,'Salary sheet'!$B$6:$E$2281,4,0)</f>
        <v>SK2</v>
      </c>
      <c r="H814" s="607" t="str">
        <f>+VLOOKUP(B814,'Salary sheet'!$B$6:$AZ$1386,50,0)</f>
        <v>SK2</v>
      </c>
      <c r="I814" s="607" t="str">
        <f t="shared" si="36"/>
        <v>C12585DIEU THI THU050091458321</v>
      </c>
      <c r="J814" s="853" t="str">
        <f>+VLOOKUP(B814,'[5]04 2025'!$B$2:$F$1371,5,0)</f>
        <v>C12585DIEU THI THU050091458321</v>
      </c>
      <c r="K814" s="607">
        <f t="shared" si="37"/>
        <v>1</v>
      </c>
      <c r="P814" s="685"/>
    </row>
    <row r="815" spans="1:16" s="607" customFormat="1" ht="18" customHeight="1">
      <c r="A815" s="826">
        <f>SUBTOTAL(3,B$6:B815)</f>
        <v>810</v>
      </c>
      <c r="B815" s="824" t="s">
        <v>2456</v>
      </c>
      <c r="C815" s="824" t="str">
        <f>+VLOOKUP(B815,'Salary sheet'!$B$6:$AX$1386,48,0)</f>
        <v>PHAM NGOC KHANG</v>
      </c>
      <c r="D815" s="824" t="str">
        <f>+VLOOKUP(B815,'Salary sheet'!$B$6:$BW$1386,49,0)</f>
        <v>050080012141</v>
      </c>
      <c r="E815" s="620">
        <f>+VLOOKUP(B815,'Salary sheet'!$B$6:$AT$1292,45,0)</f>
        <v>14149924</v>
      </c>
      <c r="F815" s="1029" t="s">
        <v>5723</v>
      </c>
      <c r="G815" s="824" t="str">
        <f>+VLOOKUP(B815,'Salary sheet'!$B$6:$E$2281,4,0)</f>
        <v>SK2</v>
      </c>
      <c r="H815" s="607" t="str">
        <f>+VLOOKUP(B815,'Salary sheet'!$B$6:$AZ$1386,50,0)</f>
        <v>SK2</v>
      </c>
      <c r="I815" s="607" t="str">
        <f t="shared" si="36"/>
        <v>C13146PHAM NGOC KHANG050080012141</v>
      </c>
      <c r="J815" s="853" t="str">
        <f>+VLOOKUP(B815,'[5]04 2025'!$B$2:$F$1371,5,0)</f>
        <v>C13146PHAM NGOC KHANG050080012141</v>
      </c>
      <c r="K815" s="607">
        <f t="shared" si="37"/>
        <v>1</v>
      </c>
      <c r="P815" s="685"/>
    </row>
    <row r="816" spans="1:16" s="607" customFormat="1" ht="18" customHeight="1">
      <c r="A816" s="826">
        <f>SUBTOTAL(3,B$6:B816)</f>
        <v>811</v>
      </c>
      <c r="B816" s="824" t="s">
        <v>2458</v>
      </c>
      <c r="C816" s="824" t="str">
        <f>+VLOOKUP(B816,'Salary sheet'!$B$6:$AX$1386,48,0)</f>
        <v>HA THI THU HA</v>
      </c>
      <c r="D816" s="824" t="str">
        <f>+VLOOKUP(B816,'Salary sheet'!$B$6:$BW$1386,49,0)</f>
        <v>050091892844</v>
      </c>
      <c r="E816" s="620">
        <f>+VLOOKUP(B816,'Salary sheet'!$B$6:$AT$1292,45,0)</f>
        <v>15643146</v>
      </c>
      <c r="F816" s="1029" t="s">
        <v>5723</v>
      </c>
      <c r="G816" s="824" t="str">
        <f>+VLOOKUP(B816,'Salary sheet'!$B$6:$E$2281,4,0)</f>
        <v>SK2</v>
      </c>
      <c r="H816" s="607" t="str">
        <f>+VLOOKUP(B816,'Salary sheet'!$B$6:$AZ$1386,50,0)</f>
        <v>SK2</v>
      </c>
      <c r="I816" s="607" t="str">
        <f t="shared" si="36"/>
        <v>C14140HA THI THU HA050091892844</v>
      </c>
      <c r="J816" s="853" t="str">
        <f>+VLOOKUP(B816,'[5]04 2025'!$B$2:$F$1371,5,0)</f>
        <v>C14140HA THI THU HA050091892844</v>
      </c>
      <c r="K816" s="607">
        <f t="shared" si="37"/>
        <v>1</v>
      </c>
      <c r="P816" s="685"/>
    </row>
    <row r="817" spans="1:16" s="607" customFormat="1" ht="18" customHeight="1">
      <c r="A817" s="826">
        <f>SUBTOTAL(3,B$6:B817)</f>
        <v>812</v>
      </c>
      <c r="B817" s="824" t="s">
        <v>2460</v>
      </c>
      <c r="C817" s="824" t="str">
        <f>+VLOOKUP(B817,'Salary sheet'!$B$6:$AX$1386,48,0)</f>
        <v>VO NIEN THAO</v>
      </c>
      <c r="D817" s="824" t="str">
        <f>+VLOOKUP(B817,'Salary sheet'!$B$6:$BW$1386,49,0)</f>
        <v>050153927305</v>
      </c>
      <c r="E817" s="620">
        <f>+VLOOKUP(B817,'Salary sheet'!$B$6:$AT$1292,45,0)</f>
        <v>10594350</v>
      </c>
      <c r="F817" s="1029" t="s">
        <v>5723</v>
      </c>
      <c r="G817" s="824" t="str">
        <f>+VLOOKUP(B817,'Salary sheet'!$B$6:$E$2281,4,0)</f>
        <v>SK2</v>
      </c>
      <c r="H817" s="607" t="str">
        <f>+VLOOKUP(B817,'Salary sheet'!$B$6:$AZ$1386,50,0)</f>
        <v>SK2</v>
      </c>
      <c r="I817" s="607" t="str">
        <f t="shared" si="36"/>
        <v>C15988VO NIEN THAO050153927305</v>
      </c>
      <c r="J817" s="853" t="str">
        <f>+VLOOKUP(B817,'[5]04 2025'!$B$2:$F$1371,5,0)</f>
        <v>C15988VO NIEN THAO050153927305</v>
      </c>
      <c r="K817" s="607">
        <f t="shared" si="37"/>
        <v>1</v>
      </c>
      <c r="P817" s="685"/>
    </row>
    <row r="818" spans="1:16" s="607" customFormat="1" ht="18" customHeight="1">
      <c r="A818" s="826">
        <f>SUBTOTAL(3,B$6:B818)</f>
        <v>813</v>
      </c>
      <c r="B818" s="824" t="s">
        <v>2462</v>
      </c>
      <c r="C818" s="824" t="str">
        <f>+VLOOKUP(B818,'Salary sheet'!$B$6:$AX$1386,48,0)</f>
        <v>BUI DUY TIEN</v>
      </c>
      <c r="D818" s="824" t="str">
        <f>+VLOOKUP(B818,'Salary sheet'!$B$6:$BW$1386,49,0)</f>
        <v>060235498157</v>
      </c>
      <c r="E818" s="620">
        <f>+VLOOKUP(B818,'Salary sheet'!$B$6:$AT$1292,45,0)</f>
        <v>12351131</v>
      </c>
      <c r="F818" s="1029" t="s">
        <v>5723</v>
      </c>
      <c r="G818" s="824" t="str">
        <f>+VLOOKUP(B818,'Salary sheet'!$B$6:$E$2281,4,0)</f>
        <v>SK2</v>
      </c>
      <c r="H818" s="607" t="str">
        <f>+VLOOKUP(B818,'Salary sheet'!$B$6:$AZ$1386,50,0)</f>
        <v>SK2</v>
      </c>
      <c r="I818" s="607" t="str">
        <f t="shared" si="36"/>
        <v>C16401BUI DUY TIEN060235498157</v>
      </c>
      <c r="J818" s="853" t="str">
        <f>+VLOOKUP(B818,'[5]04 2025'!$B$2:$F$1371,5,0)</f>
        <v>C16401BUI DUY TIEN060235498157</v>
      </c>
      <c r="K818" s="607">
        <f t="shared" si="37"/>
        <v>1</v>
      </c>
      <c r="P818" s="685"/>
    </row>
    <row r="819" spans="1:16" s="607" customFormat="1" ht="18" customHeight="1">
      <c r="A819" s="826">
        <f>SUBTOTAL(3,B$6:B819)</f>
        <v>814</v>
      </c>
      <c r="B819" s="824" t="s">
        <v>2464</v>
      </c>
      <c r="C819" s="824" t="str">
        <f>+VLOOKUP(B819,'Salary sheet'!$B$6:$AX$1386,48,0)</f>
        <v>NGUYEN VAN HIEU</v>
      </c>
      <c r="D819" s="824" t="str">
        <f>+VLOOKUP(B819,'Salary sheet'!$B$6:$BW$1386,49,0)</f>
        <v>050040824674</v>
      </c>
      <c r="E819" s="620">
        <f>+VLOOKUP(B819,'Salary sheet'!$B$6:$AT$1292,45,0)</f>
        <v>10684595</v>
      </c>
      <c r="F819" s="1029" t="s">
        <v>5723</v>
      </c>
      <c r="G819" s="824" t="str">
        <f>+VLOOKUP(B819,'Salary sheet'!$B$6:$E$2281,4,0)</f>
        <v>SK2</v>
      </c>
      <c r="H819" s="607" t="str">
        <f>+VLOOKUP(B819,'Salary sheet'!$B$6:$AZ$1386,50,0)</f>
        <v>SK2</v>
      </c>
      <c r="I819" s="607" t="str">
        <f t="shared" si="36"/>
        <v>C4542NGUYEN VAN HIEU050040824674</v>
      </c>
      <c r="J819" s="853" t="str">
        <f>+VLOOKUP(B819,'[5]04 2025'!$B$2:$F$1371,5,0)</f>
        <v>C4542NGUYEN VAN HIEU050040824674</v>
      </c>
      <c r="K819" s="607">
        <f t="shared" si="37"/>
        <v>1</v>
      </c>
      <c r="P819" s="685"/>
    </row>
    <row r="820" spans="1:16" s="607" customFormat="1" ht="18" customHeight="1">
      <c r="A820" s="826">
        <f>SUBTOTAL(3,B$6:B820)</f>
        <v>815</v>
      </c>
      <c r="B820" s="824" t="s">
        <v>2465</v>
      </c>
      <c r="C820" s="824" t="str">
        <f>+VLOOKUP(B820,'Salary sheet'!$B$6:$AX$1386,48,0)</f>
        <v>LE THI LAN</v>
      </c>
      <c r="D820" s="824" t="str">
        <f>+VLOOKUP(B820,'Salary sheet'!$B$6:$BW$1386,49,0)</f>
        <v>050040851701</v>
      </c>
      <c r="E820" s="620">
        <f>+VLOOKUP(B820,'Salary sheet'!$B$6:$AT$1292,45,0)</f>
        <v>14411778</v>
      </c>
      <c r="F820" s="1029" t="s">
        <v>5723</v>
      </c>
      <c r="G820" s="824" t="str">
        <f>+VLOOKUP(B820,'Salary sheet'!$B$6:$E$2281,4,0)</f>
        <v>SK2</v>
      </c>
      <c r="H820" s="607" t="str">
        <f>+VLOOKUP(B820,'Salary sheet'!$B$6:$AZ$1386,50,0)</f>
        <v>SK2</v>
      </c>
      <c r="I820" s="607" t="str">
        <f t="shared" si="36"/>
        <v>C5000LE THI LAN050040851701</v>
      </c>
      <c r="J820" s="853" t="str">
        <f>+VLOOKUP(B820,'[5]04 2025'!$B$2:$F$1371,5,0)</f>
        <v>C5000LE THI LAN050040851701</v>
      </c>
      <c r="K820" s="607">
        <f t="shared" si="37"/>
        <v>1</v>
      </c>
      <c r="P820" s="685"/>
    </row>
    <row r="821" spans="1:16" s="607" customFormat="1" ht="18" customHeight="1">
      <c r="A821" s="826">
        <f>SUBTOTAL(3,B$6:B821)</f>
        <v>816</v>
      </c>
      <c r="B821" s="824" t="s">
        <v>2466</v>
      </c>
      <c r="C821" s="824" t="str">
        <f>+VLOOKUP(B821,'Salary sheet'!$B$6:$AX$1386,48,0)</f>
        <v>DAO THI TRAM</v>
      </c>
      <c r="D821" s="824" t="str">
        <f>+VLOOKUP(B821,'Salary sheet'!$B$6:$BW$1386,49,0)</f>
        <v>050040931055</v>
      </c>
      <c r="E821" s="620">
        <f>+VLOOKUP(B821,'Salary sheet'!$B$6:$AT$1292,45,0)</f>
        <v>17655225</v>
      </c>
      <c r="F821" s="1029" t="s">
        <v>5723</v>
      </c>
      <c r="G821" s="824" t="str">
        <f>+VLOOKUP(B821,'Salary sheet'!$B$6:$E$2281,4,0)</f>
        <v>SK2</v>
      </c>
      <c r="H821" s="607" t="str">
        <f>+VLOOKUP(B821,'Salary sheet'!$B$6:$AZ$1386,50,0)</f>
        <v>SK2</v>
      </c>
      <c r="I821" s="607" t="str">
        <f t="shared" si="36"/>
        <v>C6059DAO THI TRAM050040931055</v>
      </c>
      <c r="J821" s="853" t="str">
        <f>+VLOOKUP(B821,'[5]04 2025'!$B$2:$F$1371,5,0)</f>
        <v>C6059DAO THI TRAM050040931055</v>
      </c>
      <c r="K821" s="607">
        <f t="shared" si="37"/>
        <v>1</v>
      </c>
      <c r="P821" s="685"/>
    </row>
    <row r="822" spans="1:16" s="607" customFormat="1" ht="18" customHeight="1">
      <c r="A822" s="826">
        <f>SUBTOTAL(3,B$6:B822)</f>
        <v>817</v>
      </c>
      <c r="B822" s="824" t="s">
        <v>2468</v>
      </c>
      <c r="C822" s="824" t="str">
        <f>+VLOOKUP(B822,'Salary sheet'!$B$6:$AX$1386,48,0)</f>
        <v>LE THI NHA CA</v>
      </c>
      <c r="D822" s="824" t="str">
        <f>+VLOOKUP(B822,'Salary sheet'!$B$6:$BW$1386,49,0)</f>
        <v>050040850391</v>
      </c>
      <c r="E822" s="620">
        <f>+VLOOKUP(B822,'Salary sheet'!$B$6:$AT$1292,45,0)</f>
        <v>13936248</v>
      </c>
      <c r="F822" s="1029" t="s">
        <v>5723</v>
      </c>
      <c r="G822" s="824" t="str">
        <f>+VLOOKUP(B822,'Salary sheet'!$B$6:$E$2281,4,0)</f>
        <v>SK2</v>
      </c>
      <c r="H822" s="607" t="str">
        <f>+VLOOKUP(B822,'Salary sheet'!$B$6:$AZ$1386,50,0)</f>
        <v>SK2</v>
      </c>
      <c r="I822" s="607" t="str">
        <f t="shared" si="36"/>
        <v>C6060LE THI NHA CA050040850391</v>
      </c>
      <c r="J822" s="853" t="str">
        <f>+VLOOKUP(B822,'[5]04 2025'!$B$2:$F$1371,5,0)</f>
        <v>C6060LE THI NHA CA050040850391</v>
      </c>
      <c r="K822" s="607">
        <f t="shared" si="37"/>
        <v>1</v>
      </c>
      <c r="P822" s="685"/>
    </row>
    <row r="823" spans="1:16" s="607" customFormat="1" ht="18" customHeight="1">
      <c r="A823" s="826">
        <f>SUBTOTAL(3,B$6:B823)</f>
        <v>818</v>
      </c>
      <c r="B823" s="824" t="s">
        <v>62</v>
      </c>
      <c r="C823" s="824" t="str">
        <f>+VLOOKUP(B823,'Salary sheet'!$B$6:$AX$1386,48,0)</f>
        <v>DIEU DUNG</v>
      </c>
      <c r="D823" s="824" t="str">
        <f>+VLOOKUP(B823,'Salary sheet'!$B$6:$BW$1386,49,0)</f>
        <v>050043080234</v>
      </c>
      <c r="E823" s="620">
        <f>+VLOOKUP(B823,'Salary sheet'!$B$6:$AT$1292,45,0)</f>
        <v>28480061</v>
      </c>
      <c r="F823" s="1029" t="s">
        <v>5723</v>
      </c>
      <c r="G823" s="824" t="str">
        <f>+VLOOKUP(B823,'Salary sheet'!$B$6:$E$2281,4,0)</f>
        <v>SK2</v>
      </c>
      <c r="H823" s="607" t="str">
        <f>+VLOOKUP(B823,'Salary sheet'!$B$6:$AZ$1386,50,0)</f>
        <v>SK2</v>
      </c>
      <c r="I823" s="607" t="str">
        <f t="shared" ref="I823:I886" si="38">+CONCATENATE(B823,C823,D823)</f>
        <v>C6407DIEU DUNG050043080234</v>
      </c>
      <c r="J823" s="853" t="str">
        <f>+VLOOKUP(B823,'[5]04 2025'!$B$2:$F$1371,5,0)</f>
        <v>C6407DIEU DUNG050043080234</v>
      </c>
      <c r="K823" s="607">
        <f t="shared" si="37"/>
        <v>1</v>
      </c>
      <c r="P823" s="685"/>
    </row>
    <row r="824" spans="1:16" s="607" customFormat="1" ht="18" customHeight="1">
      <c r="A824" s="826">
        <f>SUBTOTAL(3,B$6:B824)</f>
        <v>819</v>
      </c>
      <c r="B824" s="824" t="s">
        <v>2471</v>
      </c>
      <c r="C824" s="824" t="str">
        <f>+VLOOKUP(B824,'Salary sheet'!$B$6:$AX$1386,48,0)</f>
        <v>NGUYEN THI BAO QUYEN</v>
      </c>
      <c r="D824" s="824" t="str">
        <f>+VLOOKUP(B824,'Salary sheet'!$B$6:$BW$1386,49,0)</f>
        <v>050068233183</v>
      </c>
      <c r="E824" s="620">
        <f>+VLOOKUP(B824,'Salary sheet'!$B$6:$AT$1292,45,0)</f>
        <v>11569844</v>
      </c>
      <c r="F824" s="1029" t="s">
        <v>5723</v>
      </c>
      <c r="G824" s="824" t="str">
        <f>+VLOOKUP(B824,'Salary sheet'!$B$6:$E$2281,4,0)</f>
        <v>SK2</v>
      </c>
      <c r="H824" s="607" t="str">
        <f>+VLOOKUP(B824,'Salary sheet'!$B$6:$AZ$1386,50,0)</f>
        <v>SK2</v>
      </c>
      <c r="I824" s="607" t="str">
        <f t="shared" si="38"/>
        <v>C6701NGUYEN THI BAO QUYEN050068233183</v>
      </c>
      <c r="J824" s="853" t="str">
        <f>+VLOOKUP(B824,'[5]04 2025'!$B$2:$F$1371,5,0)</f>
        <v>C6701NGUYEN THI BAO QUYEN050068233183</v>
      </c>
      <c r="K824" s="607">
        <f t="shared" si="37"/>
        <v>1</v>
      </c>
      <c r="P824" s="685"/>
    </row>
    <row r="825" spans="1:16" s="607" customFormat="1" ht="18" customHeight="1">
      <c r="A825" s="826">
        <f>SUBTOTAL(3,B$6:B825)</f>
        <v>820</v>
      </c>
      <c r="B825" s="824" t="s">
        <v>2473</v>
      </c>
      <c r="C825" s="824" t="str">
        <f>+VLOOKUP(B825,'Salary sheet'!$B$6:$AX$1386,48,0)</f>
        <v>PHAM THI HOAI</v>
      </c>
      <c r="D825" s="824" t="str">
        <f>+VLOOKUP(B825,'Salary sheet'!$B$6:$BW$1386,49,0)</f>
        <v>050100616006</v>
      </c>
      <c r="E825" s="620">
        <f>+VLOOKUP(B825,'Salary sheet'!$B$6:$AT$1292,45,0)</f>
        <v>13980673</v>
      </c>
      <c r="F825" s="1029" t="s">
        <v>5723</v>
      </c>
      <c r="G825" s="824" t="str">
        <f>+VLOOKUP(B825,'Salary sheet'!$B$6:$E$2281,4,0)</f>
        <v>SK2</v>
      </c>
      <c r="H825" s="607" t="str">
        <f>+VLOOKUP(B825,'Salary sheet'!$B$6:$AZ$1386,50,0)</f>
        <v>SK2</v>
      </c>
      <c r="I825" s="607" t="str">
        <f t="shared" si="38"/>
        <v>C7598PHAM THI HOAI050100616006</v>
      </c>
      <c r="J825" s="853" t="str">
        <f>+VLOOKUP(B825,'[5]04 2025'!$B$2:$F$1371,5,0)</f>
        <v>C7598PHAM THI HOAI050100616006</v>
      </c>
      <c r="K825" s="607">
        <f t="shared" si="37"/>
        <v>1</v>
      </c>
      <c r="P825" s="685"/>
    </row>
    <row r="826" spans="1:16" s="607" customFormat="1" ht="18" customHeight="1">
      <c r="A826" s="826">
        <f>SUBTOTAL(3,B$6:B826)</f>
        <v>821</v>
      </c>
      <c r="B826" s="824" t="s">
        <v>2475</v>
      </c>
      <c r="C826" s="824" t="str">
        <f>+VLOOKUP(B826,'Salary sheet'!$B$6:$AX$1386,48,0)</f>
        <v>NGUYEN THI MONG CAM</v>
      </c>
      <c r="D826" s="824" t="str">
        <f>+VLOOKUP(B826,'Salary sheet'!$B$6:$BW$1386,49,0)</f>
        <v>050116750292</v>
      </c>
      <c r="E826" s="620">
        <f>+VLOOKUP(B826,'Salary sheet'!$B$6:$AT$1292,45,0)</f>
        <v>9401525</v>
      </c>
      <c r="F826" s="1029" t="s">
        <v>5723</v>
      </c>
      <c r="G826" s="824" t="str">
        <f>+VLOOKUP(B826,'Salary sheet'!$B$6:$E$2281,4,0)</f>
        <v>SK2</v>
      </c>
      <c r="H826" s="607" t="str">
        <f>+VLOOKUP(B826,'Salary sheet'!$B$6:$AZ$1386,50,0)</f>
        <v>SK2</v>
      </c>
      <c r="I826" s="607" t="str">
        <f t="shared" si="38"/>
        <v>C11772NGUYEN THI MONG CAM050116750292</v>
      </c>
      <c r="J826" s="853" t="str">
        <f>+VLOOKUP(B826,'[5]04 2025'!$B$2:$F$1371,5,0)</f>
        <v>C11772NGUYEN THI MONG CAM050116750292</v>
      </c>
      <c r="K826" s="607">
        <f t="shared" si="37"/>
        <v>1</v>
      </c>
      <c r="P826" s="685"/>
    </row>
    <row r="827" spans="1:16" s="607" customFormat="1" ht="18" customHeight="1">
      <c r="A827" s="826">
        <f>SUBTOTAL(3,B$6:B827)</f>
        <v>822</v>
      </c>
      <c r="B827" s="824" t="s">
        <v>2476</v>
      </c>
      <c r="C827" s="824" t="str">
        <f>+VLOOKUP(B827,'Salary sheet'!$B$6:$AX$1386,48,0)</f>
        <v>HOANG LE MINH KHANH</v>
      </c>
      <c r="D827" s="824" t="str">
        <f>+VLOOKUP(B827,'Salary sheet'!$B$6:$BW$1386,49,0)</f>
        <v>050128179566</v>
      </c>
      <c r="E827" s="620">
        <f>+VLOOKUP(B827,'Salary sheet'!$B$6:$AT$1292,45,0)</f>
        <v>11076498</v>
      </c>
      <c r="F827" s="1029" t="s">
        <v>5723</v>
      </c>
      <c r="G827" s="824" t="str">
        <f>+VLOOKUP(B827,'Salary sheet'!$B$6:$E$2281,4,0)</f>
        <v>SK2</v>
      </c>
      <c r="H827" s="607" t="str">
        <f>+VLOOKUP(B827,'Salary sheet'!$B$6:$AZ$1386,50,0)</f>
        <v>SK2</v>
      </c>
      <c r="I827" s="607" t="str">
        <f t="shared" si="38"/>
        <v>C15125HOANG LE MINH KHANH050128179566</v>
      </c>
      <c r="J827" s="853" t="str">
        <f>+VLOOKUP(B827,'[5]04 2025'!$B$2:$F$1371,5,0)</f>
        <v>C15125HOANG LE MINH KHANH050128179566</v>
      </c>
      <c r="K827" s="607">
        <f t="shared" si="37"/>
        <v>1</v>
      </c>
      <c r="P827" s="685"/>
    </row>
    <row r="828" spans="1:16" s="607" customFormat="1" ht="18" customHeight="1">
      <c r="A828" s="826">
        <f>SUBTOTAL(3,B$6:B828)</f>
        <v>823</v>
      </c>
      <c r="B828" s="824" t="s">
        <v>2478</v>
      </c>
      <c r="C828" s="824" t="str">
        <f>+VLOOKUP(B828,'Salary sheet'!$B$6:$AX$1386,48,0)</f>
        <v>LE VAN THO</v>
      </c>
      <c r="D828" s="824" t="str">
        <f>+VLOOKUP(B828,'Salary sheet'!$B$6:$BW$1386,49,0)</f>
        <v>050087243270</v>
      </c>
      <c r="E828" s="620">
        <f>+VLOOKUP(B828,'Salary sheet'!$B$6:$AT$1292,45,0)</f>
        <v>10999388</v>
      </c>
      <c r="F828" s="1029" t="s">
        <v>5723</v>
      </c>
      <c r="G828" s="824" t="str">
        <f>+VLOOKUP(B828,'Salary sheet'!$B$6:$E$2281,4,0)</f>
        <v>SK2</v>
      </c>
      <c r="H828" s="607" t="str">
        <f>+VLOOKUP(B828,'Salary sheet'!$B$6:$AZ$1386,50,0)</f>
        <v>SK2</v>
      </c>
      <c r="I828" s="607" t="str">
        <f t="shared" si="38"/>
        <v>C7608LE VAN THO050087243270</v>
      </c>
      <c r="J828" s="853" t="str">
        <f>+VLOOKUP(B828,'[5]04 2025'!$B$2:$F$1371,5,0)</f>
        <v>C7608LE VAN THO050087243270</v>
      </c>
      <c r="K828" s="607">
        <f t="shared" si="37"/>
        <v>1</v>
      </c>
      <c r="P828" s="685"/>
    </row>
    <row r="829" spans="1:16" s="607" customFormat="1" ht="18" customHeight="1">
      <c r="A829" s="826">
        <f>SUBTOTAL(3,B$6:B829)</f>
        <v>824</v>
      </c>
      <c r="B829" s="824" t="s">
        <v>2480</v>
      </c>
      <c r="C829" s="824" t="str">
        <f>+VLOOKUP(B829,'Salary sheet'!$B$6:$AX$1386,48,0)</f>
        <v>LE THI HIEP</v>
      </c>
      <c r="D829" s="824" t="str">
        <f>+VLOOKUP(B829,'Salary sheet'!$B$6:$BW$1386,49,0)</f>
        <v>050058077302</v>
      </c>
      <c r="E829" s="620">
        <f>+VLOOKUP(B829,'Salary sheet'!$B$6:$AT$1292,45,0)</f>
        <v>12801919</v>
      </c>
      <c r="F829" s="1029" t="s">
        <v>5723</v>
      </c>
      <c r="G829" s="824" t="str">
        <f>+VLOOKUP(B829,'Salary sheet'!$B$6:$E$2281,4,0)</f>
        <v>SK2</v>
      </c>
      <c r="H829" s="607" t="str">
        <f>+VLOOKUP(B829,'Salary sheet'!$B$6:$AZ$1386,50,0)</f>
        <v>SK2</v>
      </c>
      <c r="I829" s="607" t="str">
        <f t="shared" si="38"/>
        <v>C10537LE THI HIEP050058077302</v>
      </c>
      <c r="J829" s="853" t="str">
        <f>+VLOOKUP(B829,'[5]04 2025'!$B$2:$F$1371,5,0)</f>
        <v>C10537LE THI HIEP050058077302</v>
      </c>
      <c r="K829" s="607">
        <f t="shared" si="37"/>
        <v>1</v>
      </c>
      <c r="P829" s="685"/>
    </row>
    <row r="830" spans="1:16" s="607" customFormat="1" ht="18" customHeight="1">
      <c r="A830" s="826">
        <f>SUBTOTAL(3,B$6:B830)</f>
        <v>825</v>
      </c>
      <c r="B830" s="824" t="s">
        <v>2483</v>
      </c>
      <c r="C830" s="824" t="str">
        <f>+VLOOKUP(B830,'Salary sheet'!$B$6:$AX$1386,48,0)</f>
        <v>HOANG THI THU HANG</v>
      </c>
      <c r="D830" s="824" t="str">
        <f>+VLOOKUP(B830,'Salary sheet'!$B$6:$BW$1386,49,0)</f>
        <v>050115134083</v>
      </c>
      <c r="E830" s="620">
        <f>+VLOOKUP(B830,'Salary sheet'!$B$6:$AT$1292,45,0)</f>
        <v>8946467</v>
      </c>
      <c r="F830" s="1029" t="s">
        <v>5723</v>
      </c>
      <c r="G830" s="824" t="str">
        <f>+VLOOKUP(B830,'Salary sheet'!$B$6:$E$2281,4,0)</f>
        <v>SK2</v>
      </c>
      <c r="H830" s="607" t="str">
        <f>+VLOOKUP(B830,'Salary sheet'!$B$6:$AZ$1386,50,0)</f>
        <v>SK2</v>
      </c>
      <c r="I830" s="607" t="str">
        <f t="shared" si="38"/>
        <v>C11663HOANG THI THU HANG050115134083</v>
      </c>
      <c r="J830" s="853" t="str">
        <f>+VLOOKUP(B830,'[5]04 2025'!$B$2:$F$1371,5,0)</f>
        <v>C11663HOANG THI THU HANG050115134083</v>
      </c>
      <c r="K830" s="607">
        <f t="shared" si="37"/>
        <v>1</v>
      </c>
      <c r="P830" s="685"/>
    </row>
    <row r="831" spans="1:16" s="607" customFormat="1" ht="18" customHeight="1">
      <c r="A831" s="826">
        <f>SUBTOTAL(3,B$6:B831)</f>
        <v>826</v>
      </c>
      <c r="B831" s="824" t="s">
        <v>2485</v>
      </c>
      <c r="C831" s="824" t="str">
        <f>+VLOOKUP(B831,'Salary sheet'!$B$6:$AX$1386,48,0)</f>
        <v>VU THI NGOC HUYEN</v>
      </c>
      <c r="D831" s="824" t="str">
        <f>+VLOOKUP(B831,'Salary sheet'!$B$6:$BW$1386,49,0)</f>
        <v>050095864195</v>
      </c>
      <c r="E831" s="620">
        <f>+VLOOKUP(B831,'Salary sheet'!$B$6:$AT$1292,45,0)</f>
        <v>11282438</v>
      </c>
      <c r="F831" s="1029" t="s">
        <v>5723</v>
      </c>
      <c r="G831" s="824" t="str">
        <f>+VLOOKUP(B831,'Salary sheet'!$B$6:$E$2281,4,0)</f>
        <v>SK2</v>
      </c>
      <c r="H831" s="607" t="str">
        <f>+VLOOKUP(B831,'Salary sheet'!$B$6:$AZ$1386,50,0)</f>
        <v>SK2</v>
      </c>
      <c r="I831" s="607" t="str">
        <f t="shared" si="38"/>
        <v>C13780VU THI NGOC HUYEN050095864195</v>
      </c>
      <c r="J831" s="853" t="str">
        <f>+VLOOKUP(B831,'[5]04 2025'!$B$2:$F$1371,5,0)</f>
        <v>C13780VU THI NGOC HUYEN050095864195</v>
      </c>
      <c r="K831" s="607">
        <f t="shared" si="37"/>
        <v>1</v>
      </c>
      <c r="P831" s="685"/>
    </row>
    <row r="832" spans="1:16" s="607" customFormat="1" ht="18" customHeight="1">
      <c r="A832" s="826">
        <f>SUBTOTAL(3,B$6:B832)</f>
        <v>827</v>
      </c>
      <c r="B832" s="824" t="s">
        <v>2487</v>
      </c>
      <c r="C832" s="824" t="str">
        <f>+VLOOKUP(B832,'Salary sheet'!$B$6:$AX$1386,48,0)</f>
        <v>VU THI THANH</v>
      </c>
      <c r="D832" s="824" t="str">
        <f>+VLOOKUP(B832,'Salary sheet'!$B$6:$BW$1386,49,0)</f>
        <v>050121161696</v>
      </c>
      <c r="E832" s="620">
        <f>+VLOOKUP(B832,'Salary sheet'!$B$6:$AT$1292,45,0)</f>
        <v>9819863</v>
      </c>
      <c r="F832" s="1029" t="s">
        <v>5723</v>
      </c>
      <c r="G832" s="824" t="str">
        <f>+VLOOKUP(B832,'Salary sheet'!$B$6:$E$2281,4,0)</f>
        <v>SK2</v>
      </c>
      <c r="H832" s="607" t="str">
        <f>+VLOOKUP(B832,'Salary sheet'!$B$6:$AZ$1386,50,0)</f>
        <v>SK2</v>
      </c>
      <c r="I832" s="607" t="str">
        <f t="shared" si="38"/>
        <v>C12624VU THI THANH050121161696</v>
      </c>
      <c r="J832" s="853" t="str">
        <f>+VLOOKUP(B832,'[5]04 2025'!$B$2:$F$1371,5,0)</f>
        <v>C12624VU THI THANH050121161696</v>
      </c>
      <c r="K832" s="607">
        <f t="shared" si="37"/>
        <v>1</v>
      </c>
      <c r="P832" s="685"/>
    </row>
    <row r="833" spans="1:16" s="607" customFormat="1" ht="18" customHeight="1">
      <c r="A833" s="826">
        <f>SUBTOTAL(3,B$6:B833)</f>
        <v>828</v>
      </c>
      <c r="B833" s="824" t="s">
        <v>2489</v>
      </c>
      <c r="C833" s="824" t="str">
        <f>+VLOOKUP(B833,'Salary sheet'!$B$6:$AX$1386,48,0)</f>
        <v>NGUYEN THANH LONG</v>
      </c>
      <c r="D833" s="824" t="str">
        <f>+VLOOKUP(B833,'Salary sheet'!$B$6:$BW$1386,49,0)</f>
        <v>050039646411</v>
      </c>
      <c r="E833" s="620">
        <f>+VLOOKUP(B833,'Salary sheet'!$B$6:$AT$1292,45,0)</f>
        <v>11752488</v>
      </c>
      <c r="F833" s="1029" t="s">
        <v>5723</v>
      </c>
      <c r="G833" s="824" t="str">
        <f>+VLOOKUP(B833,'Salary sheet'!$B$6:$E$2281,4,0)</f>
        <v>SK2</v>
      </c>
      <c r="H833" s="607" t="str">
        <f>+VLOOKUP(B833,'Salary sheet'!$B$6:$AZ$1386,50,0)</f>
        <v>SK2</v>
      </c>
      <c r="I833" s="607" t="str">
        <f t="shared" si="38"/>
        <v>C13257NGUYEN THANH LONG050039646411</v>
      </c>
      <c r="J833" s="853" t="str">
        <f>+VLOOKUP(B833,'[5]04 2025'!$B$2:$F$1371,5,0)</f>
        <v>C13257NGUYEN THANH LONG050039646411</v>
      </c>
      <c r="K833" s="607">
        <f t="shared" si="37"/>
        <v>1</v>
      </c>
      <c r="P833" s="685"/>
    </row>
    <row r="834" spans="1:16" s="607" customFormat="1" ht="18" customHeight="1">
      <c r="A834" s="826">
        <f>SUBTOTAL(3,B$6:B834)</f>
        <v>829</v>
      </c>
      <c r="B834" s="824" t="s">
        <v>2491</v>
      </c>
      <c r="C834" s="824" t="str">
        <f>+VLOOKUP(B834,'Salary sheet'!$B$6:$AX$1386,48,0)</f>
        <v>HONG THI THU THUY</v>
      </c>
      <c r="D834" s="824" t="str">
        <f>+VLOOKUP(B834,'Salary sheet'!$B$6:$BW$1386,49,0)</f>
        <v>050121702662</v>
      </c>
      <c r="E834" s="620">
        <f>+VLOOKUP(B834,'Salary sheet'!$B$6:$AT$1292,45,0)</f>
        <v>10270306</v>
      </c>
      <c r="F834" s="1029" t="s">
        <v>5723</v>
      </c>
      <c r="G834" s="824" t="str">
        <f>+VLOOKUP(B834,'Salary sheet'!$B$6:$E$2281,4,0)</f>
        <v>SK2</v>
      </c>
      <c r="H834" s="607" t="str">
        <f>+VLOOKUP(B834,'Salary sheet'!$B$6:$AZ$1386,50,0)</f>
        <v>SK2</v>
      </c>
      <c r="I834" s="607" t="str">
        <f t="shared" si="38"/>
        <v>C14062HONG THI THU THUY050121702662</v>
      </c>
      <c r="J834" s="853" t="str">
        <f>+VLOOKUP(B834,'[5]04 2025'!$B$2:$F$1371,5,0)</f>
        <v>C14062HONG THI THU THUY050121702662</v>
      </c>
      <c r="K834" s="607">
        <f t="shared" si="37"/>
        <v>1</v>
      </c>
      <c r="P834" s="685"/>
    </row>
    <row r="835" spans="1:16" s="607" customFormat="1" ht="18" customHeight="1">
      <c r="A835" s="826">
        <f>SUBTOTAL(3,B$6:B835)</f>
        <v>830</v>
      </c>
      <c r="B835" s="824" t="s">
        <v>2493</v>
      </c>
      <c r="C835" s="824" t="str">
        <f>+VLOOKUP(B835,'Salary sheet'!$B$6:$AX$1386,48,0)</f>
        <v>LE VAN DA</v>
      </c>
      <c r="D835" s="824" t="str">
        <f>+VLOOKUP(B835,'Salary sheet'!$B$6:$BW$1386,49,0)</f>
        <v>050097640571</v>
      </c>
      <c r="E835" s="620">
        <f>+VLOOKUP(B835,'Salary sheet'!$B$6:$AT$1292,45,0)</f>
        <v>10204492</v>
      </c>
      <c r="F835" s="1029" t="s">
        <v>5723</v>
      </c>
      <c r="G835" s="824" t="str">
        <f>+VLOOKUP(B835,'Salary sheet'!$B$6:$E$2281,4,0)</f>
        <v>SK2</v>
      </c>
      <c r="H835" s="607" t="str">
        <f>+VLOOKUP(B835,'Salary sheet'!$B$6:$AZ$1386,50,0)</f>
        <v>SK2</v>
      </c>
      <c r="I835" s="607" t="str">
        <f t="shared" si="38"/>
        <v>C14459LE VAN DA050097640571</v>
      </c>
      <c r="J835" s="853" t="str">
        <f>+VLOOKUP(B835,'[5]04 2025'!$B$2:$F$1371,5,0)</f>
        <v>C14459LE VAN DA050097640571</v>
      </c>
      <c r="K835" s="607">
        <f t="shared" si="37"/>
        <v>1</v>
      </c>
      <c r="P835" s="685"/>
    </row>
    <row r="836" spans="1:16" s="607" customFormat="1" ht="18" customHeight="1">
      <c r="A836" s="826">
        <f>SUBTOTAL(3,B$6:B836)</f>
        <v>831</v>
      </c>
      <c r="B836" s="824" t="s">
        <v>2495</v>
      </c>
      <c r="C836" s="824" t="str">
        <f>+VLOOKUP(B836,'Salary sheet'!$B$6:$AX$1386,48,0)</f>
        <v>NGUYEN DUC LUONG</v>
      </c>
      <c r="D836" s="824" t="str">
        <f>+VLOOKUP(B836,'Salary sheet'!$B$6:$BW$1386,49,0)</f>
        <v>050040934623</v>
      </c>
      <c r="E836" s="620">
        <f>+VLOOKUP(B836,'Salary sheet'!$B$6:$AT$1292,45,0)</f>
        <v>18666385</v>
      </c>
      <c r="F836" s="1029" t="s">
        <v>5723</v>
      </c>
      <c r="G836" s="824" t="str">
        <f>+VLOOKUP(B836,'Salary sheet'!$B$6:$E$2281,4,0)</f>
        <v>SK2</v>
      </c>
      <c r="H836" s="607" t="str">
        <f>+VLOOKUP(B836,'Salary sheet'!$B$6:$AZ$1386,50,0)</f>
        <v>SK2</v>
      </c>
      <c r="I836" s="607" t="str">
        <f t="shared" si="38"/>
        <v>C1462NGUYEN DUC LUONG050040934623</v>
      </c>
      <c r="J836" s="853" t="str">
        <f>+VLOOKUP(B836,'[5]04 2025'!$B$2:$F$1371,5,0)</f>
        <v>C1462NGUYEN DUC LUONG050040934623</v>
      </c>
      <c r="K836" s="607">
        <f t="shared" si="37"/>
        <v>1</v>
      </c>
      <c r="P836" s="685"/>
    </row>
    <row r="837" spans="1:16" s="607" customFormat="1" ht="18" customHeight="1">
      <c r="A837" s="826">
        <f>SUBTOTAL(3,B$6:B837)</f>
        <v>832</v>
      </c>
      <c r="B837" s="824" t="s">
        <v>2497</v>
      </c>
      <c r="C837" s="824" t="str">
        <f>+VLOOKUP(B837,'Salary sheet'!$B$6:$AX$1386,48,0)</f>
        <v>PHAM THI THANH THANH</v>
      </c>
      <c r="D837" s="824" t="str">
        <f>+VLOOKUP(B837,'Salary sheet'!$B$6:$BW$1386,49,0)</f>
        <v>050040933902</v>
      </c>
      <c r="E837" s="620">
        <f>+VLOOKUP(B837,'Salary sheet'!$B$6:$AT$1292,45,0)</f>
        <v>8942522</v>
      </c>
      <c r="F837" s="1029" t="s">
        <v>5723</v>
      </c>
      <c r="G837" s="824" t="str">
        <f>+VLOOKUP(B837,'Salary sheet'!$B$6:$E$2281,4,0)</f>
        <v>SK2</v>
      </c>
      <c r="H837" s="607" t="str">
        <f>+VLOOKUP(B837,'Salary sheet'!$B$6:$AZ$1386,50,0)</f>
        <v>SK2</v>
      </c>
      <c r="I837" s="607" t="str">
        <f t="shared" si="38"/>
        <v>C15335PHAM THI THANH THANH050040933902</v>
      </c>
      <c r="J837" s="853" t="str">
        <f>+VLOOKUP(B837,'[5]04 2025'!$B$2:$F$1371,5,0)</f>
        <v>C15335PHAM THI THANH THANH050040933902</v>
      </c>
      <c r="K837" s="607">
        <f t="shared" si="37"/>
        <v>1</v>
      </c>
      <c r="P837" s="685"/>
    </row>
    <row r="838" spans="1:16" s="607" customFormat="1" ht="18" customHeight="1">
      <c r="A838" s="826">
        <f>SUBTOTAL(3,B$6:B838)</f>
        <v>833</v>
      </c>
      <c r="B838" s="824" t="s">
        <v>2499</v>
      </c>
      <c r="C838" s="824" t="str">
        <f>+VLOOKUP(B838,'Salary sheet'!$B$6:$AX$1386,48,0)</f>
        <v>TRAN DANG HAO</v>
      </c>
      <c r="D838" s="824" t="str">
        <f>+VLOOKUP(B838,'Salary sheet'!$B$6:$BW$1386,49,0)</f>
        <v>050122741572</v>
      </c>
      <c r="E838" s="620">
        <f>+VLOOKUP(B838,'Salary sheet'!$B$6:$AT$1292,45,0)</f>
        <v>8720444</v>
      </c>
      <c r="F838" s="1029" t="s">
        <v>5723</v>
      </c>
      <c r="G838" s="824" t="str">
        <f>+VLOOKUP(B838,'Salary sheet'!$B$6:$E$2281,4,0)</f>
        <v>SK2</v>
      </c>
      <c r="H838" s="607" t="str">
        <f>+VLOOKUP(B838,'Salary sheet'!$B$6:$AZ$1386,50,0)</f>
        <v>SK2</v>
      </c>
      <c r="I838" s="607" t="str">
        <f t="shared" si="38"/>
        <v>C16177TRAN DANG HAO050122741572</v>
      </c>
      <c r="J838" s="853" t="str">
        <f>+VLOOKUP(B838,'[5]04 2025'!$B$2:$F$1371,5,0)</f>
        <v>C16177TRAN DANG HAO050122741572</v>
      </c>
      <c r="K838" s="607">
        <f t="shared" si="37"/>
        <v>1</v>
      </c>
      <c r="P838" s="685"/>
    </row>
    <row r="839" spans="1:16" s="607" customFormat="1" ht="18" customHeight="1">
      <c r="A839" s="826">
        <f>SUBTOTAL(3,B$6:B839)</f>
        <v>834</v>
      </c>
      <c r="B839" s="824" t="s">
        <v>2501</v>
      </c>
      <c r="C839" s="824" t="str">
        <f>+VLOOKUP(B839,'Salary sheet'!$B$6:$AX$1386,48,0)</f>
        <v>HO THI THANH TRUC</v>
      </c>
      <c r="D839" s="824" t="str">
        <f>+VLOOKUP(B839,'Salary sheet'!$B$6:$BW$1386,49,0)</f>
        <v>050040845450</v>
      </c>
      <c r="E839" s="620">
        <f>+VLOOKUP(B839,'Salary sheet'!$B$6:$AT$1292,45,0)</f>
        <v>10260438</v>
      </c>
      <c r="F839" s="1029" t="s">
        <v>5723</v>
      </c>
      <c r="G839" s="824" t="str">
        <f>+VLOOKUP(B839,'Salary sheet'!$B$6:$E$2281,4,0)</f>
        <v>SK2</v>
      </c>
      <c r="H839" s="607" t="str">
        <f>+VLOOKUP(B839,'Salary sheet'!$B$6:$AZ$1386,50,0)</f>
        <v>SK2</v>
      </c>
      <c r="I839" s="607" t="str">
        <f t="shared" si="38"/>
        <v>C4283HO THI THANH TRUC050040845450</v>
      </c>
      <c r="J839" s="853" t="str">
        <f>+VLOOKUP(B839,'[5]04 2025'!$B$2:$F$1371,5,0)</f>
        <v>C4283HO THI THANH TRUC050040845450</v>
      </c>
      <c r="K839" s="607">
        <f t="shared" si="37"/>
        <v>1</v>
      </c>
      <c r="P839" s="685"/>
    </row>
    <row r="840" spans="1:16" s="607" customFormat="1" ht="18" customHeight="1">
      <c r="A840" s="826">
        <f>SUBTOTAL(3,B$6:B840)</f>
        <v>835</v>
      </c>
      <c r="B840" s="824" t="s">
        <v>61</v>
      </c>
      <c r="C840" s="824" t="str">
        <f>+VLOOKUP(B840,'Salary sheet'!$B$6:$AX$1386,48,0)</f>
        <v>KIEU QUOC MINH</v>
      </c>
      <c r="D840" s="824" t="str">
        <f>+VLOOKUP(B840,'Salary sheet'!$B$6:$BW$1386,49,0)</f>
        <v>050040851728</v>
      </c>
      <c r="E840" s="620">
        <f>+VLOOKUP(B840,'Salary sheet'!$B$6:$AT$1292,45,0)</f>
        <v>27497585</v>
      </c>
      <c r="F840" s="1029" t="s">
        <v>5723</v>
      </c>
      <c r="G840" s="824" t="str">
        <f>+VLOOKUP(B840,'Salary sheet'!$B$6:$E$2281,4,0)</f>
        <v>SK2</v>
      </c>
      <c r="H840" s="607" t="str">
        <f>+VLOOKUP(B840,'Salary sheet'!$B$6:$AZ$1386,50,0)</f>
        <v>SK2</v>
      </c>
      <c r="I840" s="607" t="str">
        <f t="shared" si="38"/>
        <v>C5097KIEU QUOC MINH050040851728</v>
      </c>
      <c r="J840" s="853" t="str">
        <f>+VLOOKUP(B840,'[5]04 2025'!$B$2:$F$1371,5,0)</f>
        <v>C5097KIEU QUOC MINH050040851728</v>
      </c>
      <c r="K840" s="607">
        <f t="shared" si="37"/>
        <v>1</v>
      </c>
      <c r="P840" s="685"/>
    </row>
    <row r="841" spans="1:16" s="607" customFormat="1" ht="18" customHeight="1">
      <c r="A841" s="826">
        <f>SUBTOTAL(3,B$6:B841)</f>
        <v>836</v>
      </c>
      <c r="B841" s="824" t="s">
        <v>2504</v>
      </c>
      <c r="C841" s="824" t="str">
        <f>+VLOOKUP(B841,'Salary sheet'!$B$6:$AX$1386,48,0)</f>
        <v>PHAN VAN DOC</v>
      </c>
      <c r="D841" s="824" t="str">
        <f>+VLOOKUP(B841,'Salary sheet'!$B$6:$BW$1386,49,0)</f>
        <v>050020215507</v>
      </c>
      <c r="E841" s="620">
        <f>+VLOOKUP(B841,'Salary sheet'!$B$6:$AT$1292,45,0)</f>
        <v>11301421</v>
      </c>
      <c r="F841" s="1029" t="s">
        <v>5723</v>
      </c>
      <c r="G841" s="824" t="str">
        <f>+VLOOKUP(B841,'Salary sheet'!$B$6:$E$2281,4,0)</f>
        <v>SK2</v>
      </c>
      <c r="H841" s="607" t="str">
        <f>+VLOOKUP(B841,'Salary sheet'!$B$6:$AZ$1386,50,0)</f>
        <v>SK2</v>
      </c>
      <c r="I841" s="607" t="str">
        <f t="shared" si="38"/>
        <v>C7978PHAN VAN DOC050020215507</v>
      </c>
      <c r="J841" s="853" t="str">
        <f>+VLOOKUP(B841,'[5]04 2025'!$B$2:$F$1371,5,0)</f>
        <v>C7978PHAN VAN DOC050020215507</v>
      </c>
      <c r="K841" s="607">
        <f t="shared" si="37"/>
        <v>1</v>
      </c>
      <c r="P841" s="685"/>
    </row>
    <row r="842" spans="1:16" s="607" customFormat="1" ht="18" customHeight="1">
      <c r="A842" s="826">
        <f>SUBTOTAL(3,B$6:B842)</f>
        <v>837</v>
      </c>
      <c r="B842" s="824" t="s">
        <v>2506</v>
      </c>
      <c r="C842" s="824" t="str">
        <f>+VLOOKUP(B842,'Salary sheet'!$B$6:$AX$1386,48,0)</f>
        <v>NGUYEN DANG HOANG</v>
      </c>
      <c r="D842" s="824" t="str">
        <f>+VLOOKUP(B842,'Salary sheet'!$B$6:$BW$1386,49,0)</f>
        <v>050112507725</v>
      </c>
      <c r="E842" s="620">
        <f>+VLOOKUP(B842,'Salary sheet'!$B$6:$AT$1292,45,0)</f>
        <v>14252683</v>
      </c>
      <c r="F842" s="1029" t="s">
        <v>5723</v>
      </c>
      <c r="G842" s="824" t="str">
        <f>+VLOOKUP(B842,'Salary sheet'!$B$6:$E$2281,4,0)</f>
        <v>SK2</v>
      </c>
      <c r="H842" s="607" t="str">
        <f>+VLOOKUP(B842,'Salary sheet'!$B$6:$AZ$1386,50,0)</f>
        <v>SK2</v>
      </c>
      <c r="I842" s="607" t="str">
        <f t="shared" si="38"/>
        <v>C11457NGUYEN DANG HOANG050112507725</v>
      </c>
      <c r="J842" s="853" t="str">
        <f>+VLOOKUP(B842,'[5]04 2025'!$B$2:$F$1371,5,0)</f>
        <v>C11457NGUYEN DANG HOANG050112507725</v>
      </c>
      <c r="K842" s="607">
        <f t="shared" si="37"/>
        <v>1</v>
      </c>
      <c r="P842" s="685"/>
    </row>
    <row r="843" spans="1:16" s="607" customFormat="1" ht="18" customHeight="1">
      <c r="A843" s="826">
        <f>SUBTOTAL(3,B$6:B843)</f>
        <v>838</v>
      </c>
      <c r="B843" s="824" t="s">
        <v>2508</v>
      </c>
      <c r="C843" s="824" t="str">
        <f>+VLOOKUP(B843,'Salary sheet'!$B$6:$AX$1386,48,0)</f>
        <v>NGUYEN DINH BAO</v>
      </c>
      <c r="D843" s="824" t="str">
        <f>+VLOOKUP(B843,'Salary sheet'!$B$6:$BW$1386,49,0)</f>
        <v>050129283456</v>
      </c>
      <c r="E843" s="620">
        <f>+VLOOKUP(B843,'Salary sheet'!$B$6:$AT$1292,45,0)</f>
        <v>15011868</v>
      </c>
      <c r="F843" s="1029" t="s">
        <v>5723</v>
      </c>
      <c r="G843" s="824" t="str">
        <f>+VLOOKUP(B843,'Salary sheet'!$B$6:$E$2281,4,0)</f>
        <v>SK2</v>
      </c>
      <c r="H843" s="607" t="str">
        <f>+VLOOKUP(B843,'Salary sheet'!$B$6:$AZ$1386,50,0)</f>
        <v>SK2</v>
      </c>
      <c r="I843" s="607" t="str">
        <f t="shared" si="38"/>
        <v>C14260NGUYEN DINH BAO050129283456</v>
      </c>
      <c r="J843" s="853" t="str">
        <f>+VLOOKUP(B843,'[5]04 2025'!$B$2:$F$1371,5,0)</f>
        <v>C14260NGUYEN DINH BAO050129283456</v>
      </c>
      <c r="K843" s="607">
        <f t="shared" si="37"/>
        <v>1</v>
      </c>
      <c r="P843" s="685"/>
    </row>
    <row r="844" spans="1:16" s="607" customFormat="1" ht="18" customHeight="1">
      <c r="A844" s="826">
        <f>SUBTOTAL(3,B$6:B844)</f>
        <v>839</v>
      </c>
      <c r="B844" s="824" t="s">
        <v>2510</v>
      </c>
      <c r="C844" s="824" t="str">
        <f>+VLOOKUP(B844,'Salary sheet'!$B$6:$AX$1386,48,0)</f>
        <v>DOAN MINH TAM</v>
      </c>
      <c r="D844" s="824" t="str">
        <f>+VLOOKUP(B844,'Salary sheet'!$B$6:$BW$1386,49,0)</f>
        <v>050040831417</v>
      </c>
      <c r="E844" s="620">
        <f>+VLOOKUP(B844,'Salary sheet'!$B$6:$AT$1292,45,0)</f>
        <v>16404343</v>
      </c>
      <c r="F844" s="1029" t="s">
        <v>5723</v>
      </c>
      <c r="G844" s="824" t="str">
        <f>+VLOOKUP(B844,'Salary sheet'!$B$6:$E$2281,4,0)</f>
        <v>SK2</v>
      </c>
      <c r="H844" s="607" t="str">
        <f>+VLOOKUP(B844,'Salary sheet'!$B$6:$AZ$1386,50,0)</f>
        <v>SK2</v>
      </c>
      <c r="I844" s="607" t="str">
        <f t="shared" si="38"/>
        <v>C14422DOAN MINH TAM050040831417</v>
      </c>
      <c r="J844" s="853" t="str">
        <f>+VLOOKUP(B844,'[5]04 2025'!$B$2:$F$1371,5,0)</f>
        <v>C14422DOAN MINH TAM050040831417</v>
      </c>
      <c r="K844" s="607">
        <f t="shared" si="37"/>
        <v>1</v>
      </c>
      <c r="P844" s="685"/>
    </row>
    <row r="845" spans="1:16" s="607" customFormat="1" ht="18" customHeight="1">
      <c r="A845" s="826">
        <f>SUBTOTAL(3,B$6:B845)</f>
        <v>840</v>
      </c>
      <c r="B845" s="824" t="s">
        <v>2512</v>
      </c>
      <c r="C845" s="824" t="str">
        <f>+VLOOKUP(B845,'Salary sheet'!$B$6:$AX$1386,48,0)</f>
        <v>NGUYEN VAN PHUC</v>
      </c>
      <c r="D845" s="824" t="str">
        <f>+VLOOKUP(B845,'Salary sheet'!$B$6:$BW$1386,49,0)</f>
        <v>050140630060</v>
      </c>
      <c r="E845" s="620">
        <f>+VLOOKUP(B845,'Salary sheet'!$B$6:$AT$1292,45,0)</f>
        <v>10587467</v>
      </c>
      <c r="F845" s="1029" t="s">
        <v>5723</v>
      </c>
      <c r="G845" s="824" t="str">
        <f>+VLOOKUP(B845,'Salary sheet'!$B$6:$E$2281,4,0)</f>
        <v>SK2</v>
      </c>
      <c r="H845" s="607" t="str">
        <f>+VLOOKUP(B845,'Salary sheet'!$B$6:$AZ$1386,50,0)</f>
        <v>SK2</v>
      </c>
      <c r="I845" s="607" t="str">
        <f t="shared" si="38"/>
        <v>C16070NGUYEN VAN PHUC050140630060</v>
      </c>
      <c r="J845" s="853" t="str">
        <f>+VLOOKUP(B845,'[5]04 2025'!$B$2:$F$1371,5,0)</f>
        <v>C16070NGUYEN VAN PHUC050140630060</v>
      </c>
      <c r="K845" s="607">
        <f t="shared" si="37"/>
        <v>1</v>
      </c>
      <c r="P845" s="685"/>
    </row>
    <row r="846" spans="1:16" s="607" customFormat="1" ht="18" customHeight="1">
      <c r="A846" s="826">
        <f>SUBTOTAL(3,B$6:B846)</f>
        <v>841</v>
      </c>
      <c r="B846" s="824" t="s">
        <v>54</v>
      </c>
      <c r="C846" s="824" t="str">
        <f>+VLOOKUP(B846,'Salary sheet'!$B$6:$AX$1386,48,0)</f>
        <v>HO MANH HOANG</v>
      </c>
      <c r="D846" s="824" t="str">
        <f>+VLOOKUP(B846,'Salary sheet'!$B$6:$BW$1386,49,0)</f>
        <v>050040831654</v>
      </c>
      <c r="E846" s="620">
        <f>+VLOOKUP(B846,'Salary sheet'!$B$6:$AT$1292,45,0)</f>
        <v>18501047</v>
      </c>
      <c r="F846" s="1029" t="s">
        <v>5723</v>
      </c>
      <c r="G846" s="824" t="str">
        <f>+VLOOKUP(B846,'Salary sheet'!$B$6:$E$2281,4,0)</f>
        <v>SK2</v>
      </c>
      <c r="H846" s="607" t="str">
        <f>+VLOOKUP(B846,'Salary sheet'!$B$6:$AZ$1386,50,0)</f>
        <v>SK2</v>
      </c>
      <c r="I846" s="607" t="str">
        <f t="shared" si="38"/>
        <v>V004HO MANH HOANG050040831654</v>
      </c>
      <c r="J846" s="853" t="str">
        <f>+VLOOKUP(B846,'[5]04 2025'!$B$2:$F$1371,5,0)</f>
        <v>V004HO MANH HOANG050040831654</v>
      </c>
      <c r="K846" s="607">
        <f t="shared" si="37"/>
        <v>1</v>
      </c>
      <c r="P846" s="685"/>
    </row>
    <row r="847" spans="1:16" s="607" customFormat="1" ht="18" customHeight="1">
      <c r="A847" s="826">
        <f>SUBTOTAL(3,B$6:B847)</f>
        <v>842</v>
      </c>
      <c r="B847" s="824" t="s">
        <v>2515</v>
      </c>
      <c r="C847" s="824" t="str">
        <f>+VLOOKUP(B847,'Salary sheet'!$B$6:$AX$1386,48,0)</f>
        <v>QUAN HONG VAN</v>
      </c>
      <c r="D847" s="824" t="str">
        <f>+VLOOKUP(B847,'Salary sheet'!$B$6:$BW$1386,49,0)</f>
        <v>050117429331</v>
      </c>
      <c r="E847" s="620">
        <f>+VLOOKUP(B847,'Salary sheet'!$B$6:$AT$1292,45,0)</f>
        <v>12801919</v>
      </c>
      <c r="F847" s="1029" t="s">
        <v>5723</v>
      </c>
      <c r="G847" s="824" t="str">
        <f>+VLOOKUP(B847,'Salary sheet'!$B$6:$E$2281,4,0)</f>
        <v>SK2</v>
      </c>
      <c r="H847" s="607" t="str">
        <f>+VLOOKUP(B847,'Salary sheet'!$B$6:$AZ$1386,50,0)</f>
        <v>SK2</v>
      </c>
      <c r="I847" s="607" t="str">
        <f t="shared" si="38"/>
        <v>C12169QUAN HONG VAN050117429331</v>
      </c>
      <c r="J847" s="853" t="str">
        <f>+VLOOKUP(B847,'[5]04 2025'!$B$2:$F$1371,5,0)</f>
        <v>C12169QUAN HONG VAN050117429331</v>
      </c>
      <c r="K847" s="607">
        <f t="shared" si="37"/>
        <v>1</v>
      </c>
      <c r="P847" s="685"/>
    </row>
    <row r="848" spans="1:16" s="607" customFormat="1" ht="18" customHeight="1">
      <c r="A848" s="826">
        <f>SUBTOTAL(3,B$6:B848)</f>
        <v>843</v>
      </c>
      <c r="B848" s="824" t="s">
        <v>2517</v>
      </c>
      <c r="C848" s="824" t="str">
        <f>+VLOOKUP(B848,'Salary sheet'!$B$6:$AX$1386,48,0)</f>
        <v>NGUYEN THI LIEN</v>
      </c>
      <c r="D848" s="824" t="str">
        <f>+VLOOKUP(B848,'Salary sheet'!$B$6:$BW$1386,49,0)</f>
        <v>050044122305</v>
      </c>
      <c r="E848" s="620">
        <f>+VLOOKUP(B848,'Salary sheet'!$B$6:$AT$1292,45,0)</f>
        <v>13457525</v>
      </c>
      <c r="F848" s="1029" t="s">
        <v>5723</v>
      </c>
      <c r="G848" s="824" t="str">
        <f>+VLOOKUP(B848,'Salary sheet'!$B$6:$E$2281,4,0)</f>
        <v>SK2</v>
      </c>
      <c r="H848" s="607" t="str">
        <f>+VLOOKUP(B848,'Salary sheet'!$B$6:$AZ$1386,50,0)</f>
        <v>SK2</v>
      </c>
      <c r="I848" s="607" t="str">
        <f t="shared" si="38"/>
        <v>C15365NGUYEN THI LIEN050044122305</v>
      </c>
      <c r="J848" s="853" t="str">
        <f>+VLOOKUP(B848,'[5]04 2025'!$B$2:$F$1371,5,0)</f>
        <v>C15365NGUYEN THI LIEN050044122305</v>
      </c>
      <c r="K848" s="607">
        <f t="shared" si="37"/>
        <v>1</v>
      </c>
      <c r="P848" s="685"/>
    </row>
    <row r="849" spans="1:16" s="607" customFormat="1" ht="18" customHeight="1">
      <c r="A849" s="826">
        <f>SUBTOTAL(3,B$6:B849)</f>
        <v>844</v>
      </c>
      <c r="B849" s="824" t="s">
        <v>2518</v>
      </c>
      <c r="C849" s="824" t="str">
        <f>+VLOOKUP(B849,'Salary sheet'!$B$6:$AX$1386,48,0)</f>
        <v>VO THI THANH LOAN</v>
      </c>
      <c r="D849" s="824" t="str">
        <f>+VLOOKUP(B849,'Salary sheet'!$B$6:$BW$1386,49,0)</f>
        <v>050140211912</v>
      </c>
      <c r="E849" s="620">
        <f>+VLOOKUP(B849,'Salary sheet'!$B$6:$AT$1292,45,0)</f>
        <v>10128592</v>
      </c>
      <c r="F849" s="1029" t="s">
        <v>5723</v>
      </c>
      <c r="G849" s="824" t="str">
        <f>+VLOOKUP(B849,'Salary sheet'!$B$6:$E$2281,4,0)</f>
        <v>SK2</v>
      </c>
      <c r="H849" s="607" t="str">
        <f>+VLOOKUP(B849,'Salary sheet'!$B$6:$AZ$1386,50,0)</f>
        <v>SK2</v>
      </c>
      <c r="I849" s="607" t="str">
        <f t="shared" si="38"/>
        <v>C15446VO THI THANH LOAN050140211912</v>
      </c>
      <c r="J849" s="853" t="str">
        <f>+VLOOKUP(B849,'[5]04 2025'!$B$2:$F$1371,5,0)</f>
        <v>C15446VO THI THANH LOAN050140211912</v>
      </c>
      <c r="K849" s="607">
        <f t="shared" si="37"/>
        <v>1</v>
      </c>
      <c r="P849" s="685"/>
    </row>
    <row r="850" spans="1:16" s="607" customFormat="1" ht="18" customHeight="1">
      <c r="A850" s="826">
        <f>SUBTOTAL(3,B$6:B850)</f>
        <v>845</v>
      </c>
      <c r="B850" s="824" t="s">
        <v>2521</v>
      </c>
      <c r="C850" s="824" t="str">
        <f>+VLOOKUP(B850,'Salary sheet'!$B$6:$AX$1386,48,0)</f>
        <v>LE THI THU HOA</v>
      </c>
      <c r="D850" s="824" t="str">
        <f>+VLOOKUP(B850,'Salary sheet'!$B$6:$BW$1386,49,0)</f>
        <v>050116800321</v>
      </c>
      <c r="E850" s="620">
        <f>+VLOOKUP(B850,'Salary sheet'!$B$6:$AT$1292,45,0)</f>
        <v>9844505</v>
      </c>
      <c r="F850" s="1029" t="s">
        <v>5723</v>
      </c>
      <c r="G850" s="824" t="str">
        <f>+VLOOKUP(B850,'Salary sheet'!$B$6:$E$2281,4,0)</f>
        <v>SK2</v>
      </c>
      <c r="H850" s="607" t="str">
        <f>+VLOOKUP(B850,'Salary sheet'!$B$6:$AZ$1386,50,0)</f>
        <v>SK2</v>
      </c>
      <c r="I850" s="607" t="str">
        <f t="shared" si="38"/>
        <v>C16167LE THI THU HOA050116800321</v>
      </c>
      <c r="J850" s="853" t="str">
        <f>+VLOOKUP(B850,'[5]04 2025'!$B$2:$F$1371,5,0)</f>
        <v>C16167LE THI THU HOA050116800321</v>
      </c>
      <c r="K850" s="607">
        <f t="shared" si="37"/>
        <v>1</v>
      </c>
      <c r="P850" s="685"/>
    </row>
    <row r="851" spans="1:16" s="607" customFormat="1" ht="18" customHeight="1">
      <c r="A851" s="826">
        <f>SUBTOTAL(3,B$6:B851)</f>
        <v>846</v>
      </c>
      <c r="B851" s="824" t="s">
        <v>2523</v>
      </c>
      <c r="C851" s="824" t="str">
        <f>+VLOOKUP(B851,'Salary sheet'!$B$6:$AX$1386,48,0)</f>
        <v>NGUYEN THI LE</v>
      </c>
      <c r="D851" s="824" t="str">
        <f>+VLOOKUP(B851,'Salary sheet'!$B$6:$BW$1386,49,0)</f>
        <v>050040796611</v>
      </c>
      <c r="E851" s="620">
        <f>+VLOOKUP(B851,'Salary sheet'!$B$6:$AT$1292,45,0)</f>
        <v>24677626</v>
      </c>
      <c r="F851" s="1029" t="s">
        <v>5723</v>
      </c>
      <c r="G851" s="824" t="str">
        <f>+VLOOKUP(B851,'Salary sheet'!$B$6:$E$2281,4,0)</f>
        <v>SK2</v>
      </c>
      <c r="H851" s="607" t="str">
        <f>+VLOOKUP(B851,'Salary sheet'!$B$6:$AZ$1386,50,0)</f>
        <v>SK2</v>
      </c>
      <c r="I851" s="607" t="str">
        <f t="shared" si="38"/>
        <v>C5715NGUYEN THI LE050040796611</v>
      </c>
      <c r="J851" s="853" t="str">
        <f>+VLOOKUP(B851,'[5]04 2025'!$B$2:$F$1371,5,0)</f>
        <v>C5715NGUYEN THI LE050040796611</v>
      </c>
      <c r="K851" s="607">
        <f t="shared" si="37"/>
        <v>1</v>
      </c>
      <c r="P851" s="685"/>
    </row>
    <row r="852" spans="1:16" s="607" customFormat="1" ht="18" customHeight="1">
      <c r="A852" s="826">
        <f>SUBTOTAL(3,B$6:B852)</f>
        <v>847</v>
      </c>
      <c r="B852" s="824" t="s">
        <v>2525</v>
      </c>
      <c r="C852" s="824" t="str">
        <f>+VLOOKUP(B852,'Salary sheet'!$B$6:$AX$1386,48,0)</f>
        <v>NGUYEN THI THUY HANG</v>
      </c>
      <c r="D852" s="824" t="str">
        <f>+VLOOKUP(B852,'Salary sheet'!$B$6:$BW$1386,49,0)</f>
        <v>050090478408</v>
      </c>
      <c r="E852" s="620">
        <f>+VLOOKUP(B852,'Salary sheet'!$B$6:$AT$1292,45,0)</f>
        <v>12527660</v>
      </c>
      <c r="F852" s="1029" t="s">
        <v>5723</v>
      </c>
      <c r="G852" s="824" t="str">
        <f>+VLOOKUP(B852,'Salary sheet'!$B$6:$E$2281,4,0)</f>
        <v>SK2</v>
      </c>
      <c r="H852" s="607" t="str">
        <f>+VLOOKUP(B852,'Salary sheet'!$B$6:$AZ$1386,50,0)</f>
        <v>SK2</v>
      </c>
      <c r="I852" s="607" t="str">
        <f t="shared" si="38"/>
        <v>C7281NGUYEN THI THUY HANG050090478408</v>
      </c>
      <c r="J852" s="853" t="str">
        <f>+VLOOKUP(B852,'[5]04 2025'!$B$2:$F$1371,5,0)</f>
        <v>C7281NGUYEN THI THUY HANG050090478408</v>
      </c>
      <c r="K852" s="607">
        <f t="shared" si="37"/>
        <v>1</v>
      </c>
      <c r="P852" s="685"/>
    </row>
    <row r="853" spans="1:16" s="607" customFormat="1" ht="18" customHeight="1">
      <c r="A853" s="826">
        <f>SUBTOTAL(3,B$6:B853)</f>
        <v>848</v>
      </c>
      <c r="B853" s="824" t="s">
        <v>2527</v>
      </c>
      <c r="C853" s="824" t="str">
        <f>+VLOOKUP(B853,'Salary sheet'!$B$6:$AX$1386,48,0)</f>
        <v>NGUYEN THANH SON</v>
      </c>
      <c r="D853" s="824" t="str">
        <f>+VLOOKUP(B853,'Salary sheet'!$B$6:$BW$1386,49,0)</f>
        <v>050090476855</v>
      </c>
      <c r="E853" s="620">
        <f>+VLOOKUP(B853,'Salary sheet'!$B$6:$AT$1292,45,0)</f>
        <v>19679477</v>
      </c>
      <c r="F853" s="1029" t="s">
        <v>5723</v>
      </c>
      <c r="G853" s="824" t="str">
        <f>+VLOOKUP(B853,'Salary sheet'!$B$6:$E$2281,4,0)</f>
        <v>SK2</v>
      </c>
      <c r="H853" s="607" t="str">
        <f>+VLOOKUP(B853,'Salary sheet'!$B$6:$AZ$1386,50,0)</f>
        <v>SK2</v>
      </c>
      <c r="I853" s="607" t="str">
        <f t="shared" si="38"/>
        <v>C7293NGUYEN THANH SON050090476855</v>
      </c>
      <c r="J853" s="853" t="str">
        <f>+VLOOKUP(B853,'[5]04 2025'!$B$2:$F$1371,5,0)</f>
        <v>C7293NGUYEN THANH SON050090476855</v>
      </c>
      <c r="K853" s="607">
        <f t="shared" si="37"/>
        <v>1</v>
      </c>
      <c r="P853" s="685"/>
    </row>
    <row r="854" spans="1:16" s="607" customFormat="1" ht="18" customHeight="1">
      <c r="A854" s="826">
        <f>SUBTOTAL(3,B$6:B854)</f>
        <v>849</v>
      </c>
      <c r="B854" s="824" t="s">
        <v>2529</v>
      </c>
      <c r="C854" s="824" t="str">
        <f>+VLOOKUP(B854,'Salary sheet'!$B$6:$AX$1386,48,0)</f>
        <v>NGUYEN NGOC SON</v>
      </c>
      <c r="D854" s="824" t="str">
        <f>+VLOOKUP(B854,'Salary sheet'!$B$6:$BW$1386,49,0)</f>
        <v>050120366383</v>
      </c>
      <c r="E854" s="620">
        <f>+VLOOKUP(B854,'Salary sheet'!$B$6:$AT$1292,45,0)</f>
        <v>15044400</v>
      </c>
      <c r="F854" s="1029" t="s">
        <v>5723</v>
      </c>
      <c r="G854" s="824" t="str">
        <f>+VLOOKUP(B854,'Salary sheet'!$B$6:$E$2281,4,0)</f>
        <v>SK2</v>
      </c>
      <c r="H854" s="607" t="str">
        <f>+VLOOKUP(B854,'Salary sheet'!$B$6:$AZ$1386,50,0)</f>
        <v>SK2</v>
      </c>
      <c r="I854" s="607" t="str">
        <f t="shared" si="38"/>
        <v>C7392NGUYEN NGOC SON050120366383</v>
      </c>
      <c r="J854" s="853" t="str">
        <f>+VLOOKUP(B854,'[5]04 2025'!$B$2:$F$1371,5,0)</f>
        <v>C7392NGUYEN NGOC SON050120366383</v>
      </c>
      <c r="K854" s="607">
        <f t="shared" si="37"/>
        <v>1</v>
      </c>
      <c r="P854" s="685"/>
    </row>
    <row r="855" spans="1:16" s="607" customFormat="1" ht="18" customHeight="1">
      <c r="A855" s="826">
        <f>SUBTOTAL(3,B$6:B855)</f>
        <v>850</v>
      </c>
      <c r="B855" s="824" t="s">
        <v>2531</v>
      </c>
      <c r="C855" s="824" t="str">
        <f>+VLOOKUP(B855,'Salary sheet'!$B$6:$AX$1386,48,0)</f>
        <v>TRAN THI THU HIEN</v>
      </c>
      <c r="D855" s="824" t="str">
        <f>+VLOOKUP(B855,'Salary sheet'!$B$6:$BW$1386,49,0)</f>
        <v>050072622641</v>
      </c>
      <c r="E855" s="620">
        <f>+VLOOKUP(B855,'Salary sheet'!$B$6:$AT$1292,45,0)</f>
        <v>24239786</v>
      </c>
      <c r="F855" s="1029" t="s">
        <v>5723</v>
      </c>
      <c r="G855" s="824" t="str">
        <f>+VLOOKUP(B855,'Salary sheet'!$B$6:$E$2281,4,0)</f>
        <v>SK2</v>
      </c>
      <c r="H855" s="607" t="str">
        <f>+VLOOKUP(B855,'Salary sheet'!$B$6:$AZ$1386,50,0)</f>
        <v>SK2</v>
      </c>
      <c r="I855" s="607" t="str">
        <f t="shared" si="38"/>
        <v>C7624TRAN THI THU HIEN050072622641</v>
      </c>
      <c r="J855" s="853" t="str">
        <f>+VLOOKUP(B855,'[5]04 2025'!$B$2:$F$1371,5,0)</f>
        <v>C7624TRAN THI THU HIEN050072622641</v>
      </c>
      <c r="K855" s="607">
        <f t="shared" si="37"/>
        <v>1</v>
      </c>
      <c r="P855" s="685"/>
    </row>
    <row r="856" spans="1:16" s="607" customFormat="1" ht="18" customHeight="1">
      <c r="A856" s="826">
        <f>SUBTOTAL(3,B$6:B856)</f>
        <v>851</v>
      </c>
      <c r="B856" s="824" t="s">
        <v>2533</v>
      </c>
      <c r="C856" s="824" t="str">
        <f>+VLOOKUP(B856,'Salary sheet'!$B$6:$AX$1386,48,0)</f>
        <v>CHAU THANH TUNG</v>
      </c>
      <c r="D856" s="824" t="str">
        <f>+VLOOKUP(B856,'Salary sheet'!$B$6:$BW$1386,49,0)</f>
        <v>050118804802</v>
      </c>
      <c r="E856" s="620">
        <f>+VLOOKUP(B856,'Salary sheet'!$B$6:$AT$1292,45,0)</f>
        <v>10407528</v>
      </c>
      <c r="F856" s="1029" t="s">
        <v>5723</v>
      </c>
      <c r="G856" s="824" t="str">
        <f>+VLOOKUP(B856,'Salary sheet'!$B$6:$E$2281,4,0)</f>
        <v>SK2</v>
      </c>
      <c r="H856" s="607" t="str">
        <f>+VLOOKUP(B856,'Salary sheet'!$B$6:$AZ$1386,50,0)</f>
        <v>SK2</v>
      </c>
      <c r="I856" s="607" t="str">
        <f t="shared" si="38"/>
        <v>C14731CHAU THANH TUNG050118804802</v>
      </c>
      <c r="J856" s="853" t="str">
        <f>+VLOOKUP(B856,'[5]04 2025'!$B$2:$F$1371,5,0)</f>
        <v>C14731CHAU THANH TUNG050118804802</v>
      </c>
      <c r="K856" s="607">
        <f t="shared" si="37"/>
        <v>1</v>
      </c>
      <c r="P856" s="685"/>
    </row>
    <row r="857" spans="1:16" s="607" customFormat="1" ht="18" customHeight="1">
      <c r="A857" s="826">
        <f>SUBTOTAL(3,B$6:B857)</f>
        <v>852</v>
      </c>
      <c r="B857" s="824" t="s">
        <v>2535</v>
      </c>
      <c r="C857" s="824" t="str">
        <f>+VLOOKUP(B857,'Salary sheet'!$B$6:$AX$1386,48,0)</f>
        <v>PHAM THI KIEU OANH</v>
      </c>
      <c r="D857" s="824" t="str">
        <f>+VLOOKUP(B857,'Salary sheet'!$B$6:$BW$1386,49,0)</f>
        <v>050113753908</v>
      </c>
      <c r="E857" s="620">
        <f>+VLOOKUP(B857,'Salary sheet'!$B$6:$AT$1292,45,0)</f>
        <v>11032715</v>
      </c>
      <c r="F857" s="1029" t="s">
        <v>5723</v>
      </c>
      <c r="G857" s="824" t="str">
        <f>+VLOOKUP(B857,'Salary sheet'!$B$6:$E$2281,4,0)</f>
        <v>SK2</v>
      </c>
      <c r="H857" s="607" t="str">
        <f>+VLOOKUP(B857,'Salary sheet'!$B$6:$AZ$1386,50,0)</f>
        <v>SK2</v>
      </c>
      <c r="I857" s="607" t="str">
        <f t="shared" si="38"/>
        <v>C15075PHAM THI KIEU OANH050113753908</v>
      </c>
      <c r="J857" s="853" t="str">
        <f>+VLOOKUP(B857,'[5]04 2025'!$B$2:$F$1371,5,0)</f>
        <v>C15075PHAM THI KIEU OANH050113753908</v>
      </c>
      <c r="K857" s="607">
        <f t="shared" si="37"/>
        <v>1</v>
      </c>
      <c r="P857" s="685"/>
    </row>
    <row r="858" spans="1:16" s="607" customFormat="1" ht="18" customHeight="1">
      <c r="A858" s="826">
        <f>SUBTOTAL(3,B$6:B858)</f>
        <v>853</v>
      </c>
      <c r="B858" s="824" t="s">
        <v>2537</v>
      </c>
      <c r="C858" s="824" t="str">
        <f>+VLOOKUP(B858,'Salary sheet'!$B$6:$AX$1386,48,0)</f>
        <v>NGUYEN THI NGOC THUY</v>
      </c>
      <c r="D858" s="824" t="str">
        <f>+VLOOKUP(B858,'Salary sheet'!$B$6:$BW$1386,49,0)</f>
        <v>050158477081</v>
      </c>
      <c r="E858" s="620">
        <f>+VLOOKUP(B858,'Salary sheet'!$B$6:$AT$1292,45,0)</f>
        <v>10045619</v>
      </c>
      <c r="F858" s="1029" t="s">
        <v>5723</v>
      </c>
      <c r="G858" s="824" t="str">
        <f>+VLOOKUP(B858,'Salary sheet'!$B$6:$E$2281,4,0)</f>
        <v>SK2</v>
      </c>
      <c r="H858" s="607" t="str">
        <f>+VLOOKUP(B858,'Salary sheet'!$B$6:$AZ$1386,50,0)</f>
        <v>SK2</v>
      </c>
      <c r="I858" s="607" t="str">
        <f t="shared" si="38"/>
        <v>C16402NGUYEN THI NGOC THUY050158477081</v>
      </c>
      <c r="J858" s="853" t="str">
        <f>+VLOOKUP(B858,'[5]04 2025'!$B$2:$F$1371,5,0)</f>
        <v>C16402NGUYEN THI NGOC THUY050158477081</v>
      </c>
      <c r="K858" s="607">
        <f t="shared" si="37"/>
        <v>1</v>
      </c>
      <c r="P858" s="685"/>
    </row>
    <row r="859" spans="1:16" s="607" customFormat="1" ht="18" customHeight="1">
      <c r="A859" s="826">
        <f>SUBTOTAL(3,B$6:B859)</f>
        <v>854</v>
      </c>
      <c r="B859" s="824" t="s">
        <v>2539</v>
      </c>
      <c r="C859" s="824" t="str">
        <f>+VLOOKUP(B859,'Salary sheet'!$B$6:$AX$1386,48,0)</f>
        <v>DOAN VAN VANG</v>
      </c>
      <c r="D859" s="824" t="str">
        <f>+VLOOKUP(B859,'Salary sheet'!$B$6:$BW$1386,49,0)</f>
        <v>050087500011</v>
      </c>
      <c r="E859" s="620">
        <f>+VLOOKUP(B859,'Salary sheet'!$B$6:$AT$1292,45,0)</f>
        <v>8076090</v>
      </c>
      <c r="F859" s="1029" t="s">
        <v>5723</v>
      </c>
      <c r="G859" s="824" t="str">
        <f>+VLOOKUP(B859,'Salary sheet'!$B$6:$E$2281,4,0)</f>
        <v>SK2</v>
      </c>
      <c r="H859" s="607" t="str">
        <f>+VLOOKUP(B859,'Salary sheet'!$B$6:$AZ$1386,50,0)</f>
        <v>SK2</v>
      </c>
      <c r="I859" s="607" t="str">
        <f t="shared" si="38"/>
        <v>C16454DOAN VAN VANG050087500011</v>
      </c>
      <c r="J859" s="853" t="str">
        <f>+VLOOKUP(B859,'[5]04 2025'!$B$2:$F$1371,5,0)</f>
        <v>C16454DOAN VAN VANG050087500011</v>
      </c>
      <c r="K859" s="607">
        <f t="shared" si="37"/>
        <v>1</v>
      </c>
      <c r="P859" s="685"/>
    </row>
    <row r="860" spans="1:16" s="607" customFormat="1" ht="18" customHeight="1">
      <c r="A860" s="826">
        <f>SUBTOTAL(3,B$6:B860)</f>
        <v>855</v>
      </c>
      <c r="B860" s="824" t="s">
        <v>2541</v>
      </c>
      <c r="C860" s="824" t="str">
        <f>+VLOOKUP(B860,'Salary sheet'!$B$6:$AX$1386,48,0)</f>
        <v>VO VAN THANH</v>
      </c>
      <c r="D860" s="824" t="str">
        <f>+VLOOKUP(B860,'Salary sheet'!$B$6:$BW$1386,49,0)</f>
        <v>050083467697</v>
      </c>
      <c r="E860" s="620">
        <f>+VLOOKUP(B860,'Salary sheet'!$B$6:$AT$1292,45,0)</f>
        <v>12629229</v>
      </c>
      <c r="F860" s="1029" t="s">
        <v>5723</v>
      </c>
      <c r="G860" s="824" t="str">
        <f>+VLOOKUP(B860,'Salary sheet'!$B$6:$E$2281,4,0)</f>
        <v>SK2</v>
      </c>
      <c r="H860" s="607" t="str">
        <f>+VLOOKUP(B860,'Salary sheet'!$B$6:$AZ$1386,50,0)</f>
        <v>SK2</v>
      </c>
      <c r="I860" s="607" t="str">
        <f t="shared" si="38"/>
        <v>C7100VO VAN THANH050083467697</v>
      </c>
      <c r="J860" s="853" t="str">
        <f>+VLOOKUP(B860,'[5]04 2025'!$B$2:$F$1371,5,0)</f>
        <v>C7100VO VAN THANH050083467697</v>
      </c>
      <c r="K860" s="607">
        <f t="shared" si="37"/>
        <v>1</v>
      </c>
      <c r="P860" s="685"/>
    </row>
    <row r="861" spans="1:16" s="607" customFormat="1" ht="18" customHeight="1">
      <c r="A861" s="826">
        <f>SUBTOTAL(3,B$6:B861)</f>
        <v>856</v>
      </c>
      <c r="B861" s="824" t="s">
        <v>2543</v>
      </c>
      <c r="C861" s="824" t="str">
        <f>+VLOOKUP(B861,'Salary sheet'!$B$6:$AX$1386,48,0)</f>
        <v>NGUYEN THI THU HONG</v>
      </c>
      <c r="D861" s="824" t="str">
        <f>+VLOOKUP(B861,'Salary sheet'!$B$6:$BW$1386,49,0)</f>
        <v>050056732206</v>
      </c>
      <c r="E861" s="620">
        <f>+VLOOKUP(B861,'Salary sheet'!$B$6:$AT$1292,45,0)</f>
        <v>8540430</v>
      </c>
      <c r="F861" s="1029" t="s">
        <v>5723</v>
      </c>
      <c r="G861" s="824" t="str">
        <f>+VLOOKUP(B861,'Salary sheet'!$B$6:$E$2281,4,0)</f>
        <v>SK2</v>
      </c>
      <c r="H861" s="607" t="str">
        <f>+VLOOKUP(B861,'Salary sheet'!$B$6:$AZ$1386,50,0)</f>
        <v>SK2</v>
      </c>
      <c r="I861" s="607" t="str">
        <f t="shared" si="38"/>
        <v>C12561NGUYEN THI THU HONG050056732206</v>
      </c>
      <c r="J861" s="853" t="str">
        <f>+VLOOKUP(B861,'[5]04 2025'!$B$2:$F$1371,5,0)</f>
        <v>C12561NGUYEN THI THU HONG050056732206</v>
      </c>
      <c r="K861" s="607">
        <f t="shared" si="37"/>
        <v>1</v>
      </c>
      <c r="P861" s="685"/>
    </row>
    <row r="862" spans="1:16" s="607" customFormat="1" ht="18" customHeight="1">
      <c r="A862" s="826">
        <f>SUBTOTAL(3,B$6:B862)</f>
        <v>857</v>
      </c>
      <c r="B862" s="824" t="s">
        <v>2545</v>
      </c>
      <c r="C862" s="824" t="str">
        <f>+VLOOKUP(B862,'Salary sheet'!$B$6:$AX$1386,48,0)</f>
        <v>PHAM THI TU</v>
      </c>
      <c r="D862" s="824" t="str">
        <f>+VLOOKUP(B862,'Salary sheet'!$B$6:$BW$1386,49,0)</f>
        <v>050029026111</v>
      </c>
      <c r="E862" s="620">
        <f>+VLOOKUP(B862,'Salary sheet'!$B$6:$AT$1292,45,0)</f>
        <v>10369794</v>
      </c>
      <c r="F862" s="1029" t="s">
        <v>5723</v>
      </c>
      <c r="G862" s="824" t="str">
        <f>+VLOOKUP(B862,'Salary sheet'!$B$6:$E$2281,4,0)</f>
        <v>SK2</v>
      </c>
      <c r="H862" s="607" t="str">
        <f>+VLOOKUP(B862,'Salary sheet'!$B$6:$AZ$1386,50,0)</f>
        <v>SK2</v>
      </c>
      <c r="I862" s="607" t="str">
        <f t="shared" si="38"/>
        <v>C13254PHAM THI TU050029026111</v>
      </c>
      <c r="J862" s="853" t="str">
        <f>+VLOOKUP(B862,'[5]04 2025'!$B$2:$F$1371,5,0)</f>
        <v>C13254PHAM THI TU050029026111</v>
      </c>
      <c r="K862" s="607">
        <f t="shared" si="37"/>
        <v>1</v>
      </c>
      <c r="P862" s="685"/>
    </row>
    <row r="863" spans="1:16" s="607" customFormat="1" ht="18" customHeight="1">
      <c r="A863" s="826">
        <f>SUBTOTAL(3,B$6:B863)</f>
        <v>858</v>
      </c>
      <c r="B863" s="824" t="s">
        <v>2547</v>
      </c>
      <c r="C863" s="824" t="str">
        <f>+VLOOKUP(B863,'Salary sheet'!$B$6:$AX$1386,48,0)</f>
        <v>HO THI HOAI</v>
      </c>
      <c r="D863" s="824" t="str">
        <f>+VLOOKUP(B863,'Salary sheet'!$B$6:$BW$1386,49,0)</f>
        <v>050055353287</v>
      </c>
      <c r="E863" s="620">
        <f>+VLOOKUP(B863,'Salary sheet'!$B$6:$AT$1292,45,0)</f>
        <v>9387794</v>
      </c>
      <c r="F863" s="1029" t="s">
        <v>5723</v>
      </c>
      <c r="G863" s="824" t="str">
        <f>+VLOOKUP(B863,'Salary sheet'!$B$6:$E$2281,4,0)</f>
        <v>SK2</v>
      </c>
      <c r="H863" s="607" t="str">
        <f>+VLOOKUP(B863,'Salary sheet'!$B$6:$AZ$1386,50,0)</f>
        <v>SK2</v>
      </c>
      <c r="I863" s="607" t="str">
        <f t="shared" si="38"/>
        <v>C13256HO THI HOAI050055353287</v>
      </c>
      <c r="J863" s="853" t="str">
        <f>+VLOOKUP(B863,'[5]04 2025'!$B$2:$F$1371,5,0)</f>
        <v>C13256HO THI HOAI050055353287</v>
      </c>
      <c r="K863" s="607">
        <f t="shared" si="37"/>
        <v>1</v>
      </c>
      <c r="P863" s="685"/>
    </row>
    <row r="864" spans="1:16" s="607" customFormat="1" ht="18" customHeight="1">
      <c r="A864" s="826">
        <f>SUBTOTAL(3,B$6:B864)</f>
        <v>859</v>
      </c>
      <c r="B864" s="824" t="s">
        <v>2549</v>
      </c>
      <c r="C864" s="824" t="str">
        <f>+VLOOKUP(B864,'Salary sheet'!$B$6:$AX$1386,48,0)</f>
        <v>TRAN VAN VU</v>
      </c>
      <c r="D864" s="824" t="str">
        <f>+VLOOKUP(B864,'Salary sheet'!$B$6:$BW$1386,49,0)</f>
        <v>060153700292</v>
      </c>
      <c r="E864" s="620">
        <f>+VLOOKUP(B864,'Salary sheet'!$B$6:$AT$1292,45,0)</f>
        <v>7531324</v>
      </c>
      <c r="F864" s="1029" t="s">
        <v>5723</v>
      </c>
      <c r="G864" s="824" t="str">
        <f>+VLOOKUP(B864,'Salary sheet'!$B$6:$E$2281,4,0)</f>
        <v>SK2</v>
      </c>
      <c r="H864" s="607" t="str">
        <f>+VLOOKUP(B864,'Salary sheet'!$B$6:$AZ$1386,50,0)</f>
        <v>SK2</v>
      </c>
      <c r="I864" s="607" t="str">
        <f t="shared" si="38"/>
        <v>C16143TRAN VAN VU060153700292</v>
      </c>
      <c r="J864" s="853" t="str">
        <f>+VLOOKUP(B864,'[5]04 2025'!$B$2:$F$1371,5,0)</f>
        <v>C16143TRAN VAN VU060153700292</v>
      </c>
      <c r="K864" s="607">
        <f t="shared" si="37"/>
        <v>1</v>
      </c>
      <c r="P864" s="685"/>
    </row>
    <row r="865" spans="1:16" s="607" customFormat="1" ht="18" customHeight="1">
      <c r="A865" s="826">
        <f>SUBTOTAL(3,B$6:B865)</f>
        <v>860</v>
      </c>
      <c r="B865" s="824" t="s">
        <v>2551</v>
      </c>
      <c r="C865" s="824" t="str">
        <f>+VLOOKUP(B865,'Salary sheet'!$B$6:$AX$1386,48,0)</f>
        <v>NGUYEN THI MAI LAN</v>
      </c>
      <c r="D865" s="824" t="str">
        <f>+VLOOKUP(B865,'Salary sheet'!$B$6:$BW$1386,49,0)</f>
        <v>050040874051</v>
      </c>
      <c r="E865" s="620">
        <f>+VLOOKUP(B865,'Salary sheet'!$B$6:$AT$1292,45,0)</f>
        <v>11209359</v>
      </c>
      <c r="F865" s="1029" t="s">
        <v>5723</v>
      </c>
      <c r="G865" s="824" t="str">
        <f>+VLOOKUP(B865,'Salary sheet'!$B$6:$E$2281,4,0)</f>
        <v>SK2</v>
      </c>
      <c r="H865" s="607" t="str">
        <f>+VLOOKUP(B865,'Salary sheet'!$B$6:$AZ$1386,50,0)</f>
        <v>SK2</v>
      </c>
      <c r="I865" s="607" t="str">
        <f t="shared" si="38"/>
        <v>C4387NGUYEN THI MAI LAN050040874051</v>
      </c>
      <c r="J865" s="853" t="str">
        <f>+VLOOKUP(B865,'[5]04 2025'!$B$2:$F$1371,5,0)</f>
        <v>C4387NGUYEN THI MAI LAN050040874051</v>
      </c>
      <c r="K865" s="607">
        <f t="shared" si="37"/>
        <v>1</v>
      </c>
      <c r="P865" s="685"/>
    </row>
    <row r="866" spans="1:16" s="607" customFormat="1" ht="18" customHeight="1">
      <c r="A866" s="826">
        <f>SUBTOTAL(3,B$6:B866)</f>
        <v>861</v>
      </c>
      <c r="B866" s="824" t="s">
        <v>2553</v>
      </c>
      <c r="C866" s="824" t="str">
        <f>+VLOOKUP(B866,'Salary sheet'!$B$6:$AX$1386,48,0)</f>
        <v>LE VAN TUNG</v>
      </c>
      <c r="D866" s="824" t="str">
        <f>+VLOOKUP(B866,'Salary sheet'!$B$6:$BW$1386,49,0)</f>
        <v>050040827231</v>
      </c>
      <c r="E866" s="620">
        <f>+VLOOKUP(B866,'Salary sheet'!$B$6:$AT$1292,45,0)</f>
        <v>10390400</v>
      </c>
      <c r="F866" s="1029" t="s">
        <v>5723</v>
      </c>
      <c r="G866" s="824" t="str">
        <f>+VLOOKUP(B866,'Salary sheet'!$B$6:$E$2281,4,0)</f>
        <v>SK2</v>
      </c>
      <c r="H866" s="607" t="str">
        <f>+VLOOKUP(B866,'Salary sheet'!$B$6:$AZ$1386,50,0)</f>
        <v>SK2</v>
      </c>
      <c r="I866" s="607" t="str">
        <f t="shared" si="38"/>
        <v>C6101LE VAN TUNG050040827231</v>
      </c>
      <c r="J866" s="853" t="str">
        <f>+VLOOKUP(B866,'[5]04 2025'!$B$2:$F$1371,5,0)</f>
        <v>C6101LE VAN TUNG050040827231</v>
      </c>
      <c r="K866" s="607">
        <f t="shared" si="37"/>
        <v>1</v>
      </c>
      <c r="P866" s="685"/>
    </row>
    <row r="867" spans="1:16" s="607" customFormat="1" ht="18" customHeight="1">
      <c r="A867" s="826">
        <f>SUBTOTAL(3,B$6:B867)</f>
        <v>862</v>
      </c>
      <c r="B867" s="824" t="s">
        <v>2555</v>
      </c>
      <c r="C867" s="824" t="str">
        <f>+VLOOKUP(B867,'Salary sheet'!$B$6:$AX$1386,48,0)</f>
        <v>TRAN THI BICH</v>
      </c>
      <c r="D867" s="824" t="str">
        <f>+VLOOKUP(B867,'Salary sheet'!$B$6:$BW$1386,49,0)</f>
        <v>050043052842</v>
      </c>
      <c r="E867" s="620">
        <f>+VLOOKUP(B867,'Salary sheet'!$B$6:$AT$1292,45,0)</f>
        <v>12669169</v>
      </c>
      <c r="F867" s="1029" t="s">
        <v>5723</v>
      </c>
      <c r="G867" s="824" t="str">
        <f>+VLOOKUP(B867,'Salary sheet'!$B$6:$E$2281,4,0)</f>
        <v>SK2</v>
      </c>
      <c r="H867" s="607" t="str">
        <f>+VLOOKUP(B867,'Salary sheet'!$B$6:$AZ$1386,50,0)</f>
        <v>SK2</v>
      </c>
      <c r="I867" s="607" t="str">
        <f t="shared" si="38"/>
        <v>C6677TRAN THI BICH050043052842</v>
      </c>
      <c r="J867" s="853" t="str">
        <f>+VLOOKUP(B867,'[5]04 2025'!$B$2:$F$1371,5,0)</f>
        <v>C6677TRAN THI BICH050043052842</v>
      </c>
      <c r="K867" s="607">
        <f t="shared" si="37"/>
        <v>1</v>
      </c>
      <c r="P867" s="685"/>
    </row>
    <row r="868" spans="1:16" s="607" customFormat="1" ht="18" customHeight="1">
      <c r="A868" s="826">
        <f>SUBTOTAL(3,B$6:B868)</f>
        <v>863</v>
      </c>
      <c r="B868" s="824" t="s">
        <v>2557</v>
      </c>
      <c r="C868" s="824" t="str">
        <f>+VLOOKUP(B868,'Salary sheet'!$B$6:$AX$1386,48,0)</f>
        <v>DO QUOC BAO</v>
      </c>
      <c r="D868" s="824" t="str">
        <f>+VLOOKUP(B868,'Salary sheet'!$B$6:$BW$1386,49,0)</f>
        <v>050068121016</v>
      </c>
      <c r="E868" s="620">
        <f>+VLOOKUP(B868,'Salary sheet'!$B$6:$AT$1292,45,0)</f>
        <v>17821719</v>
      </c>
      <c r="F868" s="1029" t="s">
        <v>5723</v>
      </c>
      <c r="G868" s="824" t="str">
        <f>+VLOOKUP(B868,'Salary sheet'!$B$6:$E$2281,4,0)</f>
        <v>SK2</v>
      </c>
      <c r="H868" s="607" t="str">
        <f>+VLOOKUP(B868,'Salary sheet'!$B$6:$AZ$1386,50,0)</f>
        <v>SK2</v>
      </c>
      <c r="I868" s="607" t="str">
        <f t="shared" si="38"/>
        <v>C7743DO QUOC BAO050068121016</v>
      </c>
      <c r="J868" s="853" t="str">
        <f>+VLOOKUP(B868,'[5]04 2025'!$B$2:$F$1371,5,0)</f>
        <v>C7743DO QUOC BAO050068121016</v>
      </c>
      <c r="K868" s="607">
        <f t="shared" si="37"/>
        <v>1</v>
      </c>
      <c r="P868" s="685"/>
    </row>
    <row r="869" spans="1:16" s="607" customFormat="1" ht="18" customHeight="1">
      <c r="A869" s="826">
        <f>SUBTOTAL(3,B$6:B869)</f>
        <v>864</v>
      </c>
      <c r="B869" s="824" t="s">
        <v>59</v>
      </c>
      <c r="C869" s="824" t="str">
        <f>+VLOOKUP(B869,'Salary sheet'!$B$6:$AX$1386,48,0)</f>
        <v>ROAN VAN HOA</v>
      </c>
      <c r="D869" s="824" t="str">
        <f>+VLOOKUP(B869,'Salary sheet'!$B$6:$BW$1386,49,0)</f>
        <v>050041004387</v>
      </c>
      <c r="E869" s="620">
        <f>+VLOOKUP(B869,'Salary sheet'!$B$6:$AT$1292,45,0)</f>
        <v>34203800</v>
      </c>
      <c r="F869" s="1029" t="s">
        <v>5723</v>
      </c>
      <c r="G869" s="824" t="str">
        <f>+VLOOKUP(B869,'Salary sheet'!$B$6:$E$2281,4,0)</f>
        <v>SK2</v>
      </c>
      <c r="H869" s="607" t="str">
        <f>+VLOOKUP(B869,'Salary sheet'!$B$6:$AZ$1386,50,0)</f>
        <v>SK2</v>
      </c>
      <c r="I869" s="607" t="str">
        <f t="shared" si="38"/>
        <v>C5107ROAN VAN HOA050041004387</v>
      </c>
      <c r="J869" s="853" t="str">
        <f>+VLOOKUP(B869,'[5]04 2025'!$B$2:$F$1371,5,0)</f>
        <v>C5107ROAN VAN HOA050041004387</v>
      </c>
      <c r="K869" s="607">
        <f t="shared" si="37"/>
        <v>1</v>
      </c>
      <c r="P869" s="685"/>
    </row>
    <row r="870" spans="1:16" s="607" customFormat="1" ht="18" customHeight="1">
      <c r="A870" s="826">
        <f>SUBTOTAL(3,B$6:B870)</f>
        <v>865</v>
      </c>
      <c r="B870" s="824" t="s">
        <v>2560</v>
      </c>
      <c r="C870" s="824" t="str">
        <f>+VLOOKUP(B870,'Salary sheet'!$B$6:$AX$1386,48,0)</f>
        <v>TRAN THI THANH THAO</v>
      </c>
      <c r="D870" s="824" t="str">
        <f>+VLOOKUP(B870,'Salary sheet'!$B$6:$BW$1386,49,0)</f>
        <v>050131611584</v>
      </c>
      <c r="E870" s="620">
        <f>+VLOOKUP(B870,'Salary sheet'!$B$6:$AT$1292,45,0)</f>
        <v>8649628</v>
      </c>
      <c r="F870" s="1029" t="s">
        <v>5723</v>
      </c>
      <c r="G870" s="824" t="str">
        <f>+VLOOKUP(B870,'Salary sheet'!$B$6:$E$2281,4,0)</f>
        <v>SK2</v>
      </c>
      <c r="H870" s="607" t="str">
        <f>+VLOOKUP(B870,'Salary sheet'!$B$6:$AZ$1386,50,0)</f>
        <v>SK2</v>
      </c>
      <c r="I870" s="607" t="str">
        <f t="shared" si="38"/>
        <v>C14816TRAN THI THANH THAO050131611584</v>
      </c>
      <c r="J870" s="853" t="str">
        <f>+VLOOKUP(B870,'[5]04 2025'!$B$2:$F$1371,5,0)</f>
        <v>C14816TRAN THI THANH THAO050131611584</v>
      </c>
      <c r="K870" s="607">
        <f t="shared" ref="K870:K933" si="39">+IF(J870=I870,1,0)</f>
        <v>1</v>
      </c>
      <c r="P870" s="685"/>
    </row>
    <row r="871" spans="1:16" s="607" customFormat="1" ht="18" customHeight="1">
      <c r="A871" s="826">
        <f>SUBTOTAL(3,B$6:B871)</f>
        <v>866</v>
      </c>
      <c r="B871" s="824" t="s">
        <v>2562</v>
      </c>
      <c r="C871" s="824" t="str">
        <f>+VLOOKUP(B871,'Salary sheet'!$B$6:$AX$1386,48,0)</f>
        <v>TRAN VAN NHAT</v>
      </c>
      <c r="D871" s="824" t="str">
        <f>+VLOOKUP(B871,'Salary sheet'!$B$6:$BW$1386,49,0)</f>
        <v>050123122566</v>
      </c>
      <c r="E871" s="620">
        <f>+VLOOKUP(B871,'Salary sheet'!$B$6:$AT$1292,45,0)</f>
        <v>10334361</v>
      </c>
      <c r="F871" s="1029" t="s">
        <v>5723</v>
      </c>
      <c r="G871" s="824" t="str">
        <f>+VLOOKUP(B871,'Salary sheet'!$B$6:$E$2281,4,0)</f>
        <v>SK2</v>
      </c>
      <c r="H871" s="607" t="str">
        <f>+VLOOKUP(B871,'Salary sheet'!$B$6:$AZ$1386,50,0)</f>
        <v>SK2</v>
      </c>
      <c r="I871" s="607" t="str">
        <f t="shared" si="38"/>
        <v>C13539TRAN VAN NHAT050123122566</v>
      </c>
      <c r="J871" s="853" t="str">
        <f>+VLOOKUP(B871,'[5]04 2025'!$B$2:$F$1371,5,0)</f>
        <v>C13539TRAN VAN NHAT050123122566</v>
      </c>
      <c r="K871" s="607">
        <f t="shared" si="39"/>
        <v>1</v>
      </c>
      <c r="P871" s="685"/>
    </row>
    <row r="872" spans="1:16" s="607" customFormat="1" ht="18" customHeight="1">
      <c r="A872" s="826">
        <f>SUBTOTAL(3,B$6:B872)</f>
        <v>867</v>
      </c>
      <c r="B872" s="824" t="s">
        <v>2565</v>
      </c>
      <c r="C872" s="824" t="str">
        <f>+VLOOKUP(B872,'Salary sheet'!$B$6:$AX$1386,48,0)</f>
        <v>VU VAN DUNG</v>
      </c>
      <c r="D872" s="824" t="str">
        <f>+VLOOKUP(B872,'Salary sheet'!$B$6:$BW$1386,49,0)</f>
        <v>050054732578</v>
      </c>
      <c r="E872" s="620">
        <f>+VLOOKUP(B872,'Salary sheet'!$B$6:$AT$1292,45,0)</f>
        <v>9002054</v>
      </c>
      <c r="F872" s="1029" t="s">
        <v>5723</v>
      </c>
      <c r="G872" s="824" t="str">
        <f>+VLOOKUP(B872,'Salary sheet'!$B$6:$E$2281,4,0)</f>
        <v>SK2</v>
      </c>
      <c r="H872" s="607" t="str">
        <f>+VLOOKUP(B872,'Salary sheet'!$B$6:$AZ$1386,50,0)</f>
        <v>SK2</v>
      </c>
      <c r="I872" s="607" t="str">
        <f t="shared" si="38"/>
        <v>C15362VU VAN DUNG050054732578</v>
      </c>
      <c r="J872" s="853" t="str">
        <f>+VLOOKUP(B872,'[5]04 2025'!$B$2:$F$1371,5,0)</f>
        <v>C15362VU VAN DUNG050054732578</v>
      </c>
      <c r="K872" s="607">
        <f t="shared" si="39"/>
        <v>1</v>
      </c>
      <c r="P872" s="685"/>
    </row>
    <row r="873" spans="1:16" s="607" customFormat="1" ht="18" customHeight="1">
      <c r="A873" s="826">
        <f>SUBTOTAL(3,B$6:B873)</f>
        <v>868</v>
      </c>
      <c r="B873" s="824" t="s">
        <v>2567</v>
      </c>
      <c r="C873" s="824" t="str">
        <f>+VLOOKUP(B873,'Salary sheet'!$B$6:$AX$1386,48,0)</f>
        <v>PHAN NGOC TUYEN</v>
      </c>
      <c r="D873" s="824" t="str">
        <f>+VLOOKUP(B873,'Salary sheet'!$B$6:$BW$1386,49,0)</f>
        <v>050843043491</v>
      </c>
      <c r="E873" s="620">
        <f>+VLOOKUP(B873,'Salary sheet'!$B$6:$AT$1292,45,0)</f>
        <v>20033247</v>
      </c>
      <c r="F873" s="1029" t="s">
        <v>5723</v>
      </c>
      <c r="G873" s="824" t="str">
        <f>+VLOOKUP(B873,'Salary sheet'!$B$6:$E$2281,4,0)</f>
        <v>SK2</v>
      </c>
      <c r="H873" s="607" t="str">
        <f>+VLOOKUP(B873,'Salary sheet'!$B$6:$AZ$1386,50,0)</f>
        <v>SK2</v>
      </c>
      <c r="I873" s="607" t="str">
        <f t="shared" si="38"/>
        <v>C5851PHAN NGOC TUYEN050843043491</v>
      </c>
      <c r="J873" s="853" t="str">
        <f>+VLOOKUP(B873,'[5]04 2025'!$B$2:$F$1371,5,0)</f>
        <v>C5851PHAN NGOC TUYEN050843043491</v>
      </c>
      <c r="K873" s="607">
        <f t="shared" si="39"/>
        <v>1</v>
      </c>
      <c r="P873" s="685"/>
    </row>
    <row r="874" spans="1:16" s="607" customFormat="1" ht="18" customHeight="1">
      <c r="A874" s="826">
        <f>SUBTOTAL(3,B$6:B874)</f>
        <v>869</v>
      </c>
      <c r="B874" s="824" t="s">
        <v>2570</v>
      </c>
      <c r="C874" s="824" t="str">
        <f>+VLOOKUP(B874,'Salary sheet'!$B$6:$AX$1386,48,0)</f>
        <v>LE THI TRANG LY</v>
      </c>
      <c r="D874" s="824" t="str">
        <f>+VLOOKUP(B874,'Salary sheet'!$B$6:$BW$1386,49,0)</f>
        <v>050040966215</v>
      </c>
      <c r="E874" s="620">
        <f>+VLOOKUP(B874,'Salary sheet'!$B$6:$AT$1292,45,0)</f>
        <v>10205577</v>
      </c>
      <c r="F874" s="1029" t="s">
        <v>5723</v>
      </c>
      <c r="G874" s="824" t="str">
        <f>+VLOOKUP(B874,'Salary sheet'!$B$6:$E$2281,4,0)</f>
        <v>SK2</v>
      </c>
      <c r="H874" s="607" t="str">
        <f>+VLOOKUP(B874,'Salary sheet'!$B$6:$AZ$1386,50,0)</f>
        <v>SK2</v>
      </c>
      <c r="I874" s="607" t="str">
        <f t="shared" si="38"/>
        <v>C5887LE THI TRANG LY050040966215</v>
      </c>
      <c r="J874" s="853" t="str">
        <f>+VLOOKUP(B874,'[5]04 2025'!$B$2:$F$1371,5,0)</f>
        <v>C5887LE THI TRANG LY050040966215</v>
      </c>
      <c r="K874" s="607">
        <f t="shared" si="39"/>
        <v>1</v>
      </c>
      <c r="P874" s="685"/>
    </row>
    <row r="875" spans="1:16" s="607" customFormat="1" ht="18" customHeight="1">
      <c r="A875" s="826">
        <f>SUBTOTAL(3,B$6:B875)</f>
        <v>870</v>
      </c>
      <c r="B875" s="824" t="s">
        <v>2572</v>
      </c>
      <c r="C875" s="824" t="str">
        <f>+VLOOKUP(B875,'Salary sheet'!$B$6:$AX$1386,48,0)</f>
        <v>NGUYEN THI KIM NGAN</v>
      </c>
      <c r="D875" s="824" t="str">
        <f>+VLOOKUP(B875,'Salary sheet'!$B$6:$BW$1386,49,0)</f>
        <v>050104420521</v>
      </c>
      <c r="E875" s="620">
        <f>+VLOOKUP(B875,'Salary sheet'!$B$6:$AT$1292,45,0)</f>
        <v>12547938</v>
      </c>
      <c r="F875" s="1029" t="s">
        <v>5723</v>
      </c>
      <c r="G875" s="824" t="str">
        <f>+VLOOKUP(B875,'Salary sheet'!$B$6:$E$2281,4,0)</f>
        <v>SK2</v>
      </c>
      <c r="H875" s="607" t="str">
        <f>+VLOOKUP(B875,'Salary sheet'!$B$6:$AZ$1386,50,0)</f>
        <v>SK2</v>
      </c>
      <c r="I875" s="607" t="str">
        <f t="shared" si="38"/>
        <v>C8137NGUYEN THI KIM NGAN050104420521</v>
      </c>
      <c r="J875" s="853" t="str">
        <f>+VLOOKUP(B875,'[5]04 2025'!$B$2:$F$1371,5,0)</f>
        <v>C8137NGUYEN THI KIM NGAN050104420521</v>
      </c>
      <c r="K875" s="607">
        <f t="shared" si="39"/>
        <v>1</v>
      </c>
      <c r="P875" s="685"/>
    </row>
    <row r="876" spans="1:16" s="607" customFormat="1" ht="18" customHeight="1">
      <c r="A876" s="826">
        <f>SUBTOTAL(3,B$6:B876)</f>
        <v>871</v>
      </c>
      <c r="B876" s="824" t="s">
        <v>2575</v>
      </c>
      <c r="C876" s="824" t="str">
        <f>+VLOOKUP(B876,'Salary sheet'!$B$6:$AX$1386,48,0)</f>
        <v>TU PHONG NHA</v>
      </c>
      <c r="D876" s="824" t="str">
        <f>+VLOOKUP(B876,'Salary sheet'!$B$6:$BW$1386,49,0)</f>
        <v>050115373487</v>
      </c>
      <c r="E876" s="620">
        <f>+VLOOKUP(B876,'Salary sheet'!$B$6:$AT$1292,45,0)</f>
        <v>13341976</v>
      </c>
      <c r="F876" s="1029" t="s">
        <v>5723</v>
      </c>
      <c r="G876" s="824" t="str">
        <f>+VLOOKUP(B876,'Salary sheet'!$B$6:$E$2281,4,0)</f>
        <v>SK2</v>
      </c>
      <c r="H876" s="607" t="str">
        <f>+VLOOKUP(B876,'Salary sheet'!$B$6:$AZ$1386,50,0)</f>
        <v>SK2</v>
      </c>
      <c r="I876" s="607" t="str">
        <f t="shared" si="38"/>
        <v>C11720TU PHONG NHA050115373487</v>
      </c>
      <c r="J876" s="853" t="str">
        <f>+VLOOKUP(B876,'[5]04 2025'!$B$2:$F$1371,5,0)</f>
        <v>C11720TU PHONG NHA050115373487</v>
      </c>
      <c r="K876" s="607">
        <f t="shared" si="39"/>
        <v>1</v>
      </c>
      <c r="P876" s="685"/>
    </row>
    <row r="877" spans="1:16" s="607" customFormat="1" ht="18" customHeight="1">
      <c r="A877" s="826">
        <f>SUBTOTAL(3,B$6:B877)</f>
        <v>872</v>
      </c>
      <c r="B877" s="824" t="s">
        <v>2578</v>
      </c>
      <c r="C877" s="824" t="str">
        <f>+VLOOKUP(B877,'Salary sheet'!$B$6:$AX$1386,48,0)</f>
        <v>TRAN TRONG NGHIA</v>
      </c>
      <c r="D877" s="824" t="str">
        <f>+VLOOKUP(B877,'Salary sheet'!$B$6:$BW$1386,49,0)</f>
        <v>050116007999</v>
      </c>
      <c r="E877" s="620">
        <f>+VLOOKUP(B877,'Salary sheet'!$B$6:$AT$1292,45,0)</f>
        <v>13260757</v>
      </c>
      <c r="F877" s="1029" t="s">
        <v>5723</v>
      </c>
      <c r="G877" s="824" t="str">
        <f>+VLOOKUP(B877,'Salary sheet'!$B$6:$E$2281,4,0)</f>
        <v>SK2</v>
      </c>
      <c r="H877" s="607" t="str">
        <f>+VLOOKUP(B877,'Salary sheet'!$B$6:$AZ$1386,50,0)</f>
        <v>SK2</v>
      </c>
      <c r="I877" s="607" t="str">
        <f t="shared" si="38"/>
        <v>C11762TRAN TRONG NGHIA050116007999</v>
      </c>
      <c r="J877" s="853" t="str">
        <f>+VLOOKUP(B877,'[5]04 2025'!$B$2:$F$1371,5,0)</f>
        <v>C11762TRAN TRONG NGHIA050116007999</v>
      </c>
      <c r="K877" s="607">
        <f t="shared" si="39"/>
        <v>1</v>
      </c>
      <c r="P877" s="685"/>
    </row>
    <row r="878" spans="1:16" s="607" customFormat="1" ht="18" customHeight="1">
      <c r="A878" s="826">
        <f>SUBTOTAL(3,B$6:B878)</f>
        <v>873</v>
      </c>
      <c r="B878" s="824" t="s">
        <v>2580</v>
      </c>
      <c r="C878" s="824" t="str">
        <f>+VLOOKUP(B878,'Salary sheet'!$B$6:$AX$1386,48,0)</f>
        <v>DO THIEN TAM</v>
      </c>
      <c r="D878" s="824" t="str">
        <f>+VLOOKUP(B878,'Salary sheet'!$B$6:$BW$1386,49,0)</f>
        <v>050126082761</v>
      </c>
      <c r="E878" s="620">
        <f>+VLOOKUP(B878,'Salary sheet'!$B$6:$AT$1292,45,0)</f>
        <v>12370060</v>
      </c>
      <c r="F878" s="1029" t="s">
        <v>5723</v>
      </c>
      <c r="G878" s="824" t="str">
        <f>+VLOOKUP(B878,'Salary sheet'!$B$6:$E$2281,4,0)</f>
        <v>SK2</v>
      </c>
      <c r="H878" s="607" t="str">
        <f>+VLOOKUP(B878,'Salary sheet'!$B$6:$AZ$1386,50,0)</f>
        <v>SK2</v>
      </c>
      <c r="I878" s="607" t="str">
        <f t="shared" si="38"/>
        <v>C13252DO THIEN TAM050126082761</v>
      </c>
      <c r="J878" s="853" t="str">
        <f>+VLOOKUP(B878,'[5]04 2025'!$B$2:$F$1371,5,0)</f>
        <v>C13252DO THIEN TAM050126082761</v>
      </c>
      <c r="K878" s="607">
        <f t="shared" si="39"/>
        <v>1</v>
      </c>
      <c r="P878" s="685"/>
    </row>
    <row r="879" spans="1:16" s="607" customFormat="1" ht="18" customHeight="1">
      <c r="A879" s="826">
        <f>SUBTOTAL(3,B$6:B879)</f>
        <v>874</v>
      </c>
      <c r="B879" s="824" t="s">
        <v>2582</v>
      </c>
      <c r="C879" s="824" t="str">
        <f>+VLOOKUP(B879,'Salary sheet'!$B$6:$AX$1386,48,0)</f>
        <v>PHAM VAN HUNG</v>
      </c>
      <c r="D879" s="824" t="str">
        <f>+VLOOKUP(B879,'Salary sheet'!$B$6:$BW$1386,49,0)</f>
        <v>050134580231</v>
      </c>
      <c r="E879" s="620">
        <f>+VLOOKUP(B879,'Salary sheet'!$B$6:$AT$1292,45,0)</f>
        <v>11553148</v>
      </c>
      <c r="F879" s="1029" t="s">
        <v>5723</v>
      </c>
      <c r="G879" s="824" t="str">
        <f>+VLOOKUP(B879,'Salary sheet'!$B$6:$E$2281,4,0)</f>
        <v>SK2</v>
      </c>
      <c r="H879" s="607" t="str">
        <f>+VLOOKUP(B879,'Salary sheet'!$B$6:$AZ$1386,50,0)</f>
        <v>SK2</v>
      </c>
      <c r="I879" s="607" t="str">
        <f t="shared" si="38"/>
        <v>C14656PHAM VAN HUNG050134580231</v>
      </c>
      <c r="J879" s="853" t="str">
        <f>+VLOOKUP(B879,'[5]04 2025'!$B$2:$F$1371,5,0)</f>
        <v>C14656PHAM VAN HUNG050134580231</v>
      </c>
      <c r="K879" s="607">
        <f t="shared" si="39"/>
        <v>1</v>
      </c>
      <c r="P879" s="685"/>
    </row>
    <row r="880" spans="1:16" s="607" customFormat="1" ht="18" customHeight="1">
      <c r="A880" s="826">
        <f>SUBTOTAL(3,B$6:B880)</f>
        <v>875</v>
      </c>
      <c r="B880" s="824" t="s">
        <v>2584</v>
      </c>
      <c r="C880" s="824" t="str">
        <f>+VLOOKUP(B880,'Salary sheet'!$B$6:$AX$1386,48,0)</f>
        <v>DIEU NGHENH</v>
      </c>
      <c r="D880" s="824" t="str">
        <f>+VLOOKUP(B880,'Salary sheet'!$B$6:$BW$1386,49,0)</f>
        <v>050143384540</v>
      </c>
      <c r="E880" s="620">
        <f>+VLOOKUP(B880,'Salary sheet'!$B$6:$AT$1292,45,0)</f>
        <v>11483007</v>
      </c>
      <c r="F880" s="1029" t="s">
        <v>5723</v>
      </c>
      <c r="G880" s="824" t="str">
        <f>+VLOOKUP(B880,'Salary sheet'!$B$6:$E$2281,4,0)</f>
        <v>SK2</v>
      </c>
      <c r="H880" s="607" t="str">
        <f>+VLOOKUP(B880,'Salary sheet'!$B$6:$AZ$1386,50,0)</f>
        <v>SK2</v>
      </c>
      <c r="I880" s="607" t="str">
        <f t="shared" si="38"/>
        <v>C15376DIEU NGHENH050143384540</v>
      </c>
      <c r="J880" s="853" t="str">
        <f>+VLOOKUP(B880,'[5]04 2025'!$B$2:$F$1371,5,0)</f>
        <v>C15376DIEU NGHENH050143384540</v>
      </c>
      <c r="K880" s="607">
        <f t="shared" si="39"/>
        <v>1</v>
      </c>
      <c r="P880" s="685"/>
    </row>
    <row r="881" spans="1:16" s="607" customFormat="1" ht="18" customHeight="1">
      <c r="A881" s="826">
        <f>SUBTOTAL(3,B$6:B881)</f>
        <v>876</v>
      </c>
      <c r="B881" s="824" t="s">
        <v>2587</v>
      </c>
      <c r="C881" s="824" t="str">
        <f>+VLOOKUP(B881,'Salary sheet'!$B$6:$AX$1386,48,0)</f>
        <v>TRUONG VAN THUYET</v>
      </c>
      <c r="D881" s="824" t="str">
        <f>+VLOOKUP(B881,'Salary sheet'!$B$6:$BW$1386,49,0)</f>
        <v>050112723436</v>
      </c>
      <c r="E881" s="620">
        <f>+VLOOKUP(B881,'Salary sheet'!$B$6:$AT$1292,45,0)</f>
        <v>10940923</v>
      </c>
      <c r="F881" s="1029" t="s">
        <v>5723</v>
      </c>
      <c r="G881" s="824" t="str">
        <f>+VLOOKUP(B881,'Salary sheet'!$B$6:$E$2281,4,0)</f>
        <v>SK2</v>
      </c>
      <c r="H881" s="607" t="str">
        <f>+VLOOKUP(B881,'Salary sheet'!$B$6:$AZ$1386,50,0)</f>
        <v>SK2</v>
      </c>
      <c r="I881" s="607" t="str">
        <f t="shared" si="38"/>
        <v>C15387TRUONG VAN THUYET050112723436</v>
      </c>
      <c r="J881" s="853" t="str">
        <f>+VLOOKUP(B881,'[5]04 2025'!$B$2:$F$1371,5,0)</f>
        <v>C15387TRUONG VAN THUYET050112723436</v>
      </c>
      <c r="K881" s="607">
        <f t="shared" si="39"/>
        <v>1</v>
      </c>
      <c r="P881" s="685"/>
    </row>
    <row r="882" spans="1:16" s="607" customFormat="1" ht="18" customHeight="1">
      <c r="A882" s="826">
        <f>SUBTOTAL(3,B$6:B882)</f>
        <v>877</v>
      </c>
      <c r="B882" s="824" t="s">
        <v>2589</v>
      </c>
      <c r="C882" s="824" t="str">
        <f>+VLOOKUP(B882,'Salary sheet'!$B$6:$AX$1386,48,0)</f>
        <v>LAM BUNG</v>
      </c>
      <c r="D882" s="824" t="str">
        <f>+VLOOKUP(B882,'Salary sheet'!$B$6:$BW$1386,49,0)</f>
        <v>050068150474</v>
      </c>
      <c r="E882" s="620">
        <f>+VLOOKUP(B882,'Salary sheet'!$B$6:$AT$1292,45,0)</f>
        <v>9525080</v>
      </c>
      <c r="F882" s="1029" t="s">
        <v>5723</v>
      </c>
      <c r="G882" s="824" t="str">
        <f>+VLOOKUP(B882,'Salary sheet'!$B$6:$E$2281,4,0)</f>
        <v>SK2</v>
      </c>
      <c r="H882" s="607" t="str">
        <f>+VLOOKUP(B882,'Salary sheet'!$B$6:$AZ$1386,50,0)</f>
        <v>SK2</v>
      </c>
      <c r="I882" s="607" t="str">
        <f t="shared" si="38"/>
        <v>C16485LAM BUNG050068150474</v>
      </c>
      <c r="J882" s="853" t="str">
        <f>+VLOOKUP(B882,'[5]04 2025'!$B$2:$F$1371,5,0)</f>
        <v>C16485LAM BUNG050068150474</v>
      </c>
      <c r="K882" s="607">
        <f t="shared" si="39"/>
        <v>1</v>
      </c>
      <c r="P882" s="685"/>
    </row>
    <row r="883" spans="1:16" s="607" customFormat="1" ht="18" customHeight="1">
      <c r="A883" s="826">
        <f>SUBTOTAL(3,B$6:B883)</f>
        <v>878</v>
      </c>
      <c r="B883" s="824" t="s">
        <v>2591</v>
      </c>
      <c r="C883" s="824" t="str">
        <f>+VLOOKUP(B883,'Salary sheet'!$B$6:$AX$1386,48,0)</f>
        <v>PHAM CHUNG KIEN</v>
      </c>
      <c r="D883" s="824" t="str">
        <f>+VLOOKUP(B883,'Salary sheet'!$B$6:$BW$1386,49,0)</f>
        <v>050158900707</v>
      </c>
      <c r="E883" s="620">
        <f>+VLOOKUP(B883,'Salary sheet'!$B$6:$AT$1292,45,0)</f>
        <v>8426008</v>
      </c>
      <c r="F883" s="1029" t="s">
        <v>5723</v>
      </c>
      <c r="G883" s="824" t="str">
        <f>+VLOOKUP(B883,'Salary sheet'!$B$6:$E$2281,4,0)</f>
        <v>SK2</v>
      </c>
      <c r="H883" s="607" t="str">
        <f>+VLOOKUP(B883,'Salary sheet'!$B$6:$AZ$1386,50,0)</f>
        <v>SK2</v>
      </c>
      <c r="I883" s="607" t="str">
        <f t="shared" si="38"/>
        <v>C16555PHAM CHUNG KIEN050158900707</v>
      </c>
      <c r="J883" s="853" t="str">
        <f>+VLOOKUP(B883,'[5]04 2025'!$B$2:$F$1371,5,0)</f>
        <v>C16555PHAM CHUNG KIEN050158900707</v>
      </c>
      <c r="K883" s="607">
        <f t="shared" si="39"/>
        <v>1</v>
      </c>
      <c r="P883" s="685"/>
    </row>
    <row r="884" spans="1:16" s="607" customFormat="1" ht="18" customHeight="1">
      <c r="A884" s="826">
        <f>SUBTOTAL(3,B$6:B884)</f>
        <v>879</v>
      </c>
      <c r="B884" s="824" t="s">
        <v>5780</v>
      </c>
      <c r="C884" s="824" t="str">
        <f>+VLOOKUP(B884,'Salary sheet'!$B$6:$AX$1386,48,0)</f>
        <v>TRAN MINH TAN</v>
      </c>
      <c r="D884" s="824" t="str">
        <f>+VLOOKUP(B884,'Salary sheet'!$B$6:$BW$1386,49,0)</f>
        <v>050159267277</v>
      </c>
      <c r="E884" s="620">
        <f>+VLOOKUP(B884,'Salary sheet'!$B$6:$AT$1292,45,0)</f>
        <v>6198350</v>
      </c>
      <c r="F884" s="1029" t="s">
        <v>5723</v>
      </c>
      <c r="G884" s="824" t="str">
        <f>+VLOOKUP(B884,'Salary sheet'!$B$6:$E$2281,4,0)</f>
        <v>SK2</v>
      </c>
      <c r="H884" s="607" t="str">
        <f>+VLOOKUP(B884,'Salary sheet'!$B$6:$AZ$1386,50,0)</f>
        <v>SK2</v>
      </c>
      <c r="I884" s="607" t="str">
        <f t="shared" si="38"/>
        <v>C16601TRAN MINH TAN050159267277</v>
      </c>
      <c r="J884" s="853" t="str">
        <f>+VLOOKUP(B884,'[5]04 2025'!$B$2:$F$1371,5,0)</f>
        <v>C16601TRAN MINH TAN050159267277</v>
      </c>
      <c r="K884" s="607">
        <f t="shared" si="39"/>
        <v>1</v>
      </c>
      <c r="P884" s="685"/>
    </row>
    <row r="885" spans="1:16" s="607" customFormat="1" ht="18" customHeight="1">
      <c r="A885" s="826">
        <f>SUBTOTAL(3,B$6:B885)</f>
        <v>880</v>
      </c>
      <c r="B885" s="824" t="s">
        <v>2593</v>
      </c>
      <c r="C885" s="824" t="str">
        <f>+VLOOKUP(B885,'Salary sheet'!$B$6:$AX$1386,48,0)</f>
        <v>DANG VAN UT</v>
      </c>
      <c r="D885" s="824" t="str">
        <f>+VLOOKUP(B885,'Salary sheet'!$B$6:$BW$1386,49,0)</f>
        <v>050040832200</v>
      </c>
      <c r="E885" s="620">
        <f>+VLOOKUP(B885,'Salary sheet'!$B$6:$AT$1292,45,0)</f>
        <v>19213248</v>
      </c>
      <c r="F885" s="1029" t="s">
        <v>5723</v>
      </c>
      <c r="G885" s="824" t="str">
        <f>+VLOOKUP(B885,'Salary sheet'!$B$6:$E$2281,4,0)</f>
        <v>SK2</v>
      </c>
      <c r="H885" s="607" t="str">
        <f>+VLOOKUP(B885,'Salary sheet'!$B$6:$AZ$1386,50,0)</f>
        <v>SK2</v>
      </c>
      <c r="I885" s="607" t="str">
        <f t="shared" si="38"/>
        <v>C5138DANG VAN UT050040832200</v>
      </c>
      <c r="J885" s="853" t="str">
        <f>+VLOOKUP(B885,'[5]04 2025'!$B$2:$F$1371,5,0)</f>
        <v>C5138DANG VAN UT050040832200</v>
      </c>
      <c r="K885" s="607">
        <f t="shared" si="39"/>
        <v>1</v>
      </c>
      <c r="P885" s="685"/>
    </row>
    <row r="886" spans="1:16" s="607" customFormat="1" ht="18" customHeight="1">
      <c r="A886" s="826">
        <f>SUBTOTAL(3,B$6:B886)</f>
        <v>881</v>
      </c>
      <c r="B886" s="824" t="s">
        <v>2595</v>
      </c>
      <c r="C886" s="824" t="str">
        <f>+VLOOKUP(B886,'Salary sheet'!$B$6:$AX$1386,48,0)</f>
        <v>NGUYEN THANH HONG</v>
      </c>
      <c r="D886" s="824" t="str">
        <f>+VLOOKUP(B886,'Salary sheet'!$B$6:$BW$1386,49,0)</f>
        <v>050106514191</v>
      </c>
      <c r="E886" s="620">
        <f>+VLOOKUP(B886,'Salary sheet'!$B$6:$AT$1292,45,0)</f>
        <v>13162170</v>
      </c>
      <c r="F886" s="1029" t="s">
        <v>5723</v>
      </c>
      <c r="G886" s="824" t="str">
        <f>+VLOOKUP(B886,'Salary sheet'!$B$6:$E$2281,4,0)</f>
        <v>SK2</v>
      </c>
      <c r="H886" s="607" t="str">
        <f>+VLOOKUP(B886,'Salary sheet'!$B$6:$AZ$1386,50,0)</f>
        <v>SK2</v>
      </c>
      <c r="I886" s="607" t="str">
        <f t="shared" si="38"/>
        <v>C7889NGUYEN THANH HONG050106514191</v>
      </c>
      <c r="J886" s="853" t="str">
        <f>+VLOOKUP(B886,'[5]04 2025'!$B$2:$F$1371,5,0)</f>
        <v>C7889NGUYEN THANH HONG050106514191</v>
      </c>
      <c r="K886" s="607">
        <f t="shared" si="39"/>
        <v>1</v>
      </c>
      <c r="P886" s="685"/>
    </row>
    <row r="887" spans="1:16" s="607" customFormat="1" ht="18" customHeight="1">
      <c r="A887" s="826">
        <f>SUBTOTAL(3,B$6:B887)</f>
        <v>882</v>
      </c>
      <c r="B887" s="824" t="s">
        <v>2597</v>
      </c>
      <c r="C887" s="824" t="str">
        <f>+VLOOKUP(B887,'Salary sheet'!$B$6:$AX$1386,48,0)</f>
        <v>PHAM TRUNG THANH</v>
      </c>
      <c r="D887" s="824" t="str">
        <f>+VLOOKUP(B887,'Salary sheet'!$B$6:$BW$1386,49,0)</f>
        <v>050109986809</v>
      </c>
      <c r="E887" s="620">
        <f>+VLOOKUP(B887,'Salary sheet'!$B$6:$AT$1292,45,0)</f>
        <v>24648855</v>
      </c>
      <c r="F887" s="1029" t="s">
        <v>5723</v>
      </c>
      <c r="G887" s="824" t="str">
        <f>+VLOOKUP(B887,'Salary sheet'!$B$6:$E$2281,4,0)</f>
        <v>SK2</v>
      </c>
      <c r="H887" s="607" t="str">
        <f>+VLOOKUP(B887,'Salary sheet'!$B$6:$AZ$1386,50,0)</f>
        <v>SK2</v>
      </c>
      <c r="I887" s="607" t="str">
        <f t="shared" ref="I887:I950" si="40">+CONCATENATE(B887,C887,D887)</f>
        <v>C10864PHAM TRUNG THANH050109986809</v>
      </c>
      <c r="J887" s="853" t="str">
        <f>+VLOOKUP(B887,'[5]04 2025'!$B$2:$F$1371,5,0)</f>
        <v>C10864PHAM TRUNG THANH050109986809</v>
      </c>
      <c r="K887" s="607">
        <f t="shared" si="39"/>
        <v>1</v>
      </c>
      <c r="P887" s="685"/>
    </row>
    <row r="888" spans="1:16" s="607" customFormat="1" ht="18" customHeight="1">
      <c r="A888" s="826">
        <f>SUBTOTAL(3,B$6:B888)</f>
        <v>883</v>
      </c>
      <c r="B888" s="824" t="s">
        <v>2600</v>
      </c>
      <c r="C888" s="824" t="str">
        <f>+VLOOKUP(B888,'Salary sheet'!$B$6:$AX$1386,48,0)</f>
        <v>NGUYEN BA TAM</v>
      </c>
      <c r="D888" s="824" t="str">
        <f>+VLOOKUP(B888,'Salary sheet'!$B$6:$BW$1386,49,0)</f>
        <v>050067867715</v>
      </c>
      <c r="E888" s="620">
        <f>+VLOOKUP(B888,'Salary sheet'!$B$6:$AT$1292,45,0)</f>
        <v>20704515</v>
      </c>
      <c r="F888" s="1029" t="s">
        <v>5723</v>
      </c>
      <c r="G888" s="824" t="str">
        <f>+VLOOKUP(B888,'Salary sheet'!$B$6:$E$2281,4,0)</f>
        <v>SK2</v>
      </c>
      <c r="H888" s="607" t="str">
        <f>+VLOOKUP(B888,'Salary sheet'!$B$6:$AZ$1386,50,0)</f>
        <v>SK2</v>
      </c>
      <c r="I888" s="607" t="str">
        <f t="shared" si="40"/>
        <v>C11602NGUYEN BA TAM050067867715</v>
      </c>
      <c r="J888" s="853" t="str">
        <f>+VLOOKUP(B888,'[5]04 2025'!$B$2:$F$1371,5,0)</f>
        <v>C11602NGUYEN BA TAM050067867715</v>
      </c>
      <c r="K888" s="607">
        <f t="shared" si="39"/>
        <v>1</v>
      </c>
      <c r="P888" s="685"/>
    </row>
    <row r="889" spans="1:16" s="607" customFormat="1" ht="18" customHeight="1">
      <c r="A889" s="826">
        <f>SUBTOTAL(3,B$6:B889)</f>
        <v>884</v>
      </c>
      <c r="B889" s="824" t="s">
        <v>2603</v>
      </c>
      <c r="C889" s="824" t="str">
        <f>+VLOOKUP(B889,'Salary sheet'!$B$6:$AX$1386,48,0)</f>
        <v>TRAN THANH PHONG</v>
      </c>
      <c r="D889" s="824" t="str">
        <f>+VLOOKUP(B889,'Salary sheet'!$B$6:$BW$1386,49,0)</f>
        <v>050040849871</v>
      </c>
      <c r="E889" s="620">
        <f>+VLOOKUP(B889,'Salary sheet'!$B$6:$AT$1292,45,0)</f>
        <v>13479861</v>
      </c>
      <c r="F889" s="1029" t="s">
        <v>5723</v>
      </c>
      <c r="G889" s="824" t="str">
        <f>+VLOOKUP(B889,'Salary sheet'!$B$6:$E$2281,4,0)</f>
        <v>SK2</v>
      </c>
      <c r="H889" s="607" t="str">
        <f>+VLOOKUP(B889,'Salary sheet'!$B$6:$AZ$1386,50,0)</f>
        <v>SK2</v>
      </c>
      <c r="I889" s="607" t="str">
        <f t="shared" si="40"/>
        <v>C11690TRAN THANH PHONG050040849871</v>
      </c>
      <c r="J889" s="853" t="str">
        <f>+VLOOKUP(B889,'[5]04 2025'!$B$2:$F$1371,5,0)</f>
        <v>C11690TRAN THANH PHONG050040849871</v>
      </c>
      <c r="K889" s="607">
        <f t="shared" si="39"/>
        <v>1</v>
      </c>
      <c r="P889" s="685"/>
    </row>
    <row r="890" spans="1:16" s="607" customFormat="1" ht="18" customHeight="1">
      <c r="A890" s="826">
        <f>SUBTOTAL(3,B$6:B890)</f>
        <v>885</v>
      </c>
      <c r="B890" s="824" t="s">
        <v>2606</v>
      </c>
      <c r="C890" s="824" t="str">
        <f>+VLOOKUP(B890,'Salary sheet'!$B$6:$AX$1386,48,0)</f>
        <v>LE VAN GA</v>
      </c>
      <c r="D890" s="824" t="str">
        <f>+VLOOKUP(B890,'Salary sheet'!$B$6:$BW$1386,49,0)</f>
        <v>050116008103</v>
      </c>
      <c r="E890" s="620">
        <f>+VLOOKUP(B890,'Salary sheet'!$B$6:$AT$1292,45,0)</f>
        <v>22031927</v>
      </c>
      <c r="F890" s="1029" t="s">
        <v>5723</v>
      </c>
      <c r="G890" s="824" t="str">
        <f>+VLOOKUP(B890,'Salary sheet'!$B$6:$E$2281,4,0)</f>
        <v>SK2</v>
      </c>
      <c r="H890" s="607" t="str">
        <f>+VLOOKUP(B890,'Salary sheet'!$B$6:$AZ$1386,50,0)</f>
        <v>SK2</v>
      </c>
      <c r="I890" s="607" t="str">
        <f t="shared" si="40"/>
        <v>C11749LE VAN GA050116008103</v>
      </c>
      <c r="J890" s="853" t="str">
        <f>+VLOOKUP(B890,'[5]04 2025'!$B$2:$F$1371,5,0)</f>
        <v>C11749LE VAN GA050116008103</v>
      </c>
      <c r="K890" s="607">
        <f t="shared" si="39"/>
        <v>1</v>
      </c>
      <c r="P890" s="685"/>
    </row>
    <row r="891" spans="1:16" s="607" customFormat="1" ht="18" customHeight="1">
      <c r="A891" s="826">
        <f>SUBTOTAL(3,B$6:B891)</f>
        <v>886</v>
      </c>
      <c r="B891" s="824" t="s">
        <v>2609</v>
      </c>
      <c r="C891" s="824" t="str">
        <f>+VLOOKUP(B891,'Salary sheet'!$B$6:$AX$1386,48,0)</f>
        <v>PHAM DUC LICH</v>
      </c>
      <c r="D891" s="824" t="str">
        <f>+VLOOKUP(B891,'Salary sheet'!$B$6:$BW$1386,49,0)</f>
        <v>050116008091</v>
      </c>
      <c r="E891" s="620">
        <f>+VLOOKUP(B891,'Salary sheet'!$B$6:$AT$1292,45,0)</f>
        <v>24783992</v>
      </c>
      <c r="F891" s="1029" t="s">
        <v>5723</v>
      </c>
      <c r="G891" s="824" t="str">
        <f>+VLOOKUP(B891,'Salary sheet'!$B$6:$E$2281,4,0)</f>
        <v>SK2</v>
      </c>
      <c r="H891" s="607" t="str">
        <f>+VLOOKUP(B891,'Salary sheet'!$B$6:$AZ$1386,50,0)</f>
        <v>SK2</v>
      </c>
      <c r="I891" s="607" t="str">
        <f t="shared" si="40"/>
        <v>C11750PHAM DUC LICH050116008091</v>
      </c>
      <c r="J891" s="853" t="str">
        <f>+VLOOKUP(B891,'[5]04 2025'!$B$2:$F$1371,5,0)</f>
        <v>C11750PHAM DUC LICH050116008091</v>
      </c>
      <c r="K891" s="607">
        <f t="shared" si="39"/>
        <v>1</v>
      </c>
      <c r="P891" s="685"/>
    </row>
    <row r="892" spans="1:16" s="607" customFormat="1" ht="18" customHeight="1">
      <c r="A892" s="826">
        <f>SUBTOTAL(3,B$6:B892)</f>
        <v>887</v>
      </c>
      <c r="B892" s="824" t="s">
        <v>2611</v>
      </c>
      <c r="C892" s="824" t="str">
        <f>+VLOOKUP(B892,'Salary sheet'!$B$6:$AX$1386,48,0)</f>
        <v>LE THANH THONG</v>
      </c>
      <c r="D892" s="824" t="str">
        <f>+VLOOKUP(B892,'Salary sheet'!$B$6:$BW$1386,49,0)</f>
        <v>050117665681</v>
      </c>
      <c r="E892" s="620">
        <f>+VLOOKUP(B892,'Salary sheet'!$B$6:$AT$1292,45,0)</f>
        <v>14596806</v>
      </c>
      <c r="F892" s="1029" t="s">
        <v>5723</v>
      </c>
      <c r="G892" s="824" t="str">
        <f>+VLOOKUP(B892,'Salary sheet'!$B$6:$E$2281,4,0)</f>
        <v>SK2</v>
      </c>
      <c r="H892" s="607" t="str">
        <f>+VLOOKUP(B892,'Salary sheet'!$B$6:$AZ$1386,50,0)</f>
        <v>SK2</v>
      </c>
      <c r="I892" s="607" t="str">
        <f t="shared" si="40"/>
        <v>C12005LE THANH THONG050117665681</v>
      </c>
      <c r="J892" s="853" t="str">
        <f>+VLOOKUP(B892,'[5]04 2025'!$B$2:$F$1371,5,0)</f>
        <v>C12005LE THANH THONG050117665681</v>
      </c>
      <c r="K892" s="607">
        <f t="shared" si="39"/>
        <v>1</v>
      </c>
      <c r="P892" s="685"/>
    </row>
    <row r="893" spans="1:16" s="607" customFormat="1" ht="18" customHeight="1">
      <c r="A893" s="826">
        <f>SUBTOTAL(3,B$6:B893)</f>
        <v>888</v>
      </c>
      <c r="B893" s="824" t="s">
        <v>2613</v>
      </c>
      <c r="C893" s="824" t="str">
        <f>+VLOOKUP(B893,'Salary sheet'!$B$6:$AX$1386,48,0)</f>
        <v>HOANG VAN ANH</v>
      </c>
      <c r="D893" s="824" t="str">
        <f>+VLOOKUP(B893,'Salary sheet'!$B$6:$BW$1386,49,0)</f>
        <v>050103282508</v>
      </c>
      <c r="E893" s="620">
        <f>+VLOOKUP(B893,'Salary sheet'!$B$6:$AT$1292,45,0)</f>
        <v>16194237</v>
      </c>
      <c r="F893" s="1029" t="s">
        <v>5723</v>
      </c>
      <c r="G893" s="824" t="str">
        <f>+VLOOKUP(B893,'Salary sheet'!$B$6:$E$2281,4,0)</f>
        <v>SK2</v>
      </c>
      <c r="H893" s="607" t="str">
        <f>+VLOOKUP(B893,'Salary sheet'!$B$6:$AZ$1386,50,0)</f>
        <v>SK2</v>
      </c>
      <c r="I893" s="607" t="str">
        <f t="shared" si="40"/>
        <v>C12400HOANG VAN ANH050103282508</v>
      </c>
      <c r="J893" s="853" t="str">
        <f>+VLOOKUP(B893,'[5]04 2025'!$B$2:$F$1371,5,0)</f>
        <v>C12400HOANG VAN ANH050103282508</v>
      </c>
      <c r="K893" s="607">
        <f t="shared" si="39"/>
        <v>1</v>
      </c>
      <c r="P893" s="685"/>
    </row>
    <row r="894" spans="1:16" s="607" customFormat="1" ht="18" customHeight="1">
      <c r="A894" s="826">
        <f>SUBTOTAL(3,B$6:B894)</f>
        <v>889</v>
      </c>
      <c r="B894" s="824" t="s">
        <v>2615</v>
      </c>
      <c r="C894" s="824" t="str">
        <f>+VLOOKUP(B894,'Salary sheet'!$B$6:$AX$1386,48,0)</f>
        <v>TRUONG NGUYEN DIEM</v>
      </c>
      <c r="D894" s="824" t="str">
        <f>+VLOOKUP(B894,'Salary sheet'!$B$6:$BW$1386,49,0)</f>
        <v>050126849327</v>
      </c>
      <c r="E894" s="620">
        <f>+VLOOKUP(B894,'Salary sheet'!$B$6:$AT$1292,45,0)</f>
        <v>18765287</v>
      </c>
      <c r="F894" s="1029" t="s">
        <v>5723</v>
      </c>
      <c r="G894" s="824" t="str">
        <f>+VLOOKUP(B894,'Salary sheet'!$B$6:$E$2281,4,0)</f>
        <v>SK2</v>
      </c>
      <c r="H894" s="607" t="str">
        <f>+VLOOKUP(B894,'Salary sheet'!$B$6:$AZ$1386,50,0)</f>
        <v>SK2</v>
      </c>
      <c r="I894" s="607" t="str">
        <f t="shared" si="40"/>
        <v>C13356TRUONG NGUYEN DIEM050126849327</v>
      </c>
      <c r="J894" s="853" t="str">
        <f>+VLOOKUP(B894,'[5]04 2025'!$B$2:$F$1371,5,0)</f>
        <v>C13356TRUONG NGUYEN DIEM050126849327</v>
      </c>
      <c r="K894" s="607">
        <f t="shared" si="39"/>
        <v>1</v>
      </c>
      <c r="P894" s="685"/>
    </row>
    <row r="895" spans="1:16" s="607" customFormat="1" ht="18" customHeight="1">
      <c r="A895" s="826">
        <f>SUBTOTAL(3,B$6:B895)</f>
        <v>890</v>
      </c>
      <c r="B895" s="824" t="s">
        <v>2617</v>
      </c>
      <c r="C895" s="824" t="str">
        <f>+VLOOKUP(B895,'Salary sheet'!$B$6:$AX$1386,48,0)</f>
        <v>MAO HUNG HUNG</v>
      </c>
      <c r="D895" s="824" t="str">
        <f>+VLOOKUP(B895,'Salary sheet'!$B$6:$BW$1386,49,0)</f>
        <v>050029382937</v>
      </c>
      <c r="E895" s="620">
        <f>+VLOOKUP(B895,'Salary sheet'!$B$6:$AT$1292,45,0)</f>
        <v>16238404</v>
      </c>
      <c r="F895" s="1029" t="s">
        <v>5723</v>
      </c>
      <c r="G895" s="824" t="str">
        <f>+VLOOKUP(B895,'Salary sheet'!$B$6:$E$2281,4,0)</f>
        <v>SK2</v>
      </c>
      <c r="H895" s="607" t="str">
        <f>+VLOOKUP(B895,'Salary sheet'!$B$6:$AZ$1386,50,0)</f>
        <v>SK2</v>
      </c>
      <c r="I895" s="607" t="str">
        <f t="shared" si="40"/>
        <v>C13411MAO HUNG HUNG050029382937</v>
      </c>
      <c r="J895" s="853" t="str">
        <f>+VLOOKUP(B895,'[5]04 2025'!$B$2:$F$1371,5,0)</f>
        <v>C13411MAO HUNG HUNG050029382937</v>
      </c>
      <c r="K895" s="607">
        <f t="shared" si="39"/>
        <v>1</v>
      </c>
      <c r="P895" s="685"/>
    </row>
    <row r="896" spans="1:16" s="607" customFormat="1" ht="18" customHeight="1">
      <c r="A896" s="826">
        <f>SUBTOTAL(3,B$6:B896)</f>
        <v>891</v>
      </c>
      <c r="B896" s="824" t="s">
        <v>2619</v>
      </c>
      <c r="C896" s="824" t="str">
        <f>+VLOOKUP(B896,'Salary sheet'!$B$6:$AX$1386,48,0)</f>
        <v>NGUYEN DINH HOAI</v>
      </c>
      <c r="D896" s="824" t="str">
        <f>+VLOOKUP(B896,'Salary sheet'!$B$6:$BW$1386,49,0)</f>
        <v>050128235709</v>
      </c>
      <c r="E896" s="620">
        <f>+VLOOKUP(B896,'Salary sheet'!$B$6:$AT$1292,45,0)</f>
        <v>17373646</v>
      </c>
      <c r="F896" s="1029" t="s">
        <v>5723</v>
      </c>
      <c r="G896" s="824" t="str">
        <f>+VLOOKUP(B896,'Salary sheet'!$B$6:$E$2281,4,0)</f>
        <v>SK2</v>
      </c>
      <c r="H896" s="607" t="str">
        <f>+VLOOKUP(B896,'Salary sheet'!$B$6:$AZ$1386,50,0)</f>
        <v>SK2</v>
      </c>
      <c r="I896" s="607" t="str">
        <f t="shared" si="40"/>
        <v>C14019NGUYEN DINH HOAI050128235709</v>
      </c>
      <c r="J896" s="853" t="str">
        <f>+VLOOKUP(B896,'[5]04 2025'!$B$2:$F$1371,5,0)</f>
        <v>C14019NGUYEN DINH HOAI050128235709</v>
      </c>
      <c r="K896" s="607">
        <f t="shared" si="39"/>
        <v>1</v>
      </c>
      <c r="P896" s="685"/>
    </row>
    <row r="897" spans="1:16" s="607" customFormat="1" ht="18" customHeight="1">
      <c r="A897" s="826">
        <f>SUBTOTAL(3,B$6:B897)</f>
        <v>892</v>
      </c>
      <c r="B897" s="824" t="s">
        <v>2621</v>
      </c>
      <c r="C897" s="824" t="str">
        <f>+VLOOKUP(B897,'Salary sheet'!$B$6:$AX$1386,48,0)</f>
        <v>PHAM QUANG DUC</v>
      </c>
      <c r="D897" s="824" t="str">
        <f>+VLOOKUP(B897,'Salary sheet'!$B$6:$BW$1386,49,0)</f>
        <v>050128583545</v>
      </c>
      <c r="E897" s="620">
        <f>+VLOOKUP(B897,'Salary sheet'!$B$6:$AT$1292,45,0)</f>
        <v>12163857</v>
      </c>
      <c r="F897" s="1029" t="s">
        <v>5723</v>
      </c>
      <c r="G897" s="824" t="str">
        <f>+VLOOKUP(B897,'Salary sheet'!$B$6:$E$2281,4,0)</f>
        <v>SK2</v>
      </c>
      <c r="H897" s="607" t="str">
        <f>+VLOOKUP(B897,'Salary sheet'!$B$6:$AZ$1386,50,0)</f>
        <v>SK2</v>
      </c>
      <c r="I897" s="607" t="str">
        <f t="shared" si="40"/>
        <v>C14280PHAM QUANG DUC050128583545</v>
      </c>
      <c r="J897" s="853" t="str">
        <f>+VLOOKUP(B897,'[5]04 2025'!$B$2:$F$1371,5,0)</f>
        <v>C14280PHAM QUANG DUC050128583545</v>
      </c>
      <c r="K897" s="607">
        <f t="shared" si="39"/>
        <v>1</v>
      </c>
      <c r="P897" s="685"/>
    </row>
    <row r="898" spans="1:16" s="607" customFormat="1" ht="18" customHeight="1">
      <c r="A898" s="826">
        <f>SUBTOTAL(3,B$6:B898)</f>
        <v>893</v>
      </c>
      <c r="B898" s="824" t="s">
        <v>2623</v>
      </c>
      <c r="C898" s="824" t="str">
        <f>+VLOOKUP(B898,'Salary sheet'!$B$6:$AX$1386,48,0)</f>
        <v>NGO QUOC DUNG</v>
      </c>
      <c r="D898" s="824" t="str">
        <f>+VLOOKUP(B898,'Salary sheet'!$B$6:$BW$1386,49,0)</f>
        <v>050134580175</v>
      </c>
      <c r="E898" s="620">
        <f>+VLOOKUP(B898,'Salary sheet'!$B$6:$AT$1292,45,0)</f>
        <v>18015372</v>
      </c>
      <c r="F898" s="1029" t="s">
        <v>5723</v>
      </c>
      <c r="G898" s="824" t="str">
        <f>+VLOOKUP(B898,'Salary sheet'!$B$6:$E$2281,4,0)</f>
        <v>SK2</v>
      </c>
      <c r="H898" s="607" t="str">
        <f>+VLOOKUP(B898,'Salary sheet'!$B$6:$AZ$1386,50,0)</f>
        <v>SK2</v>
      </c>
      <c r="I898" s="607" t="str">
        <f t="shared" si="40"/>
        <v>C14476NGO QUOC DUNG050134580175</v>
      </c>
      <c r="J898" s="853" t="str">
        <f>+VLOOKUP(B898,'[5]04 2025'!$B$2:$F$1371,5,0)</f>
        <v>C14476NGO QUOC DUNG050134580175</v>
      </c>
      <c r="K898" s="607">
        <f t="shared" si="39"/>
        <v>1</v>
      </c>
      <c r="P898" s="685"/>
    </row>
    <row r="899" spans="1:16" s="607" customFormat="1" ht="18" customHeight="1">
      <c r="A899" s="826">
        <f>SUBTOTAL(3,B$6:B899)</f>
        <v>894</v>
      </c>
      <c r="B899" s="824" t="s">
        <v>2625</v>
      </c>
      <c r="C899" s="824" t="str">
        <f>+VLOOKUP(B899,'Salary sheet'!$B$6:$AX$1386,48,0)</f>
        <v>DUONG THAI TAN</v>
      </c>
      <c r="D899" s="824" t="str">
        <f>+VLOOKUP(B899,'Salary sheet'!$B$6:$BW$1386,49,0)</f>
        <v>050020202952</v>
      </c>
      <c r="E899" s="620">
        <f>+VLOOKUP(B899,'Salary sheet'!$B$6:$AT$1292,45,0)</f>
        <v>15397052</v>
      </c>
      <c r="F899" s="1029" t="s">
        <v>5723</v>
      </c>
      <c r="G899" s="824" t="str">
        <f>+VLOOKUP(B899,'Salary sheet'!$B$6:$E$2281,4,0)</f>
        <v>SK2</v>
      </c>
      <c r="H899" s="607" t="str">
        <f>+VLOOKUP(B899,'Salary sheet'!$B$6:$AZ$1386,50,0)</f>
        <v>SK2</v>
      </c>
      <c r="I899" s="607" t="str">
        <f t="shared" si="40"/>
        <v>C14699DUONG THAI TAN050020202952</v>
      </c>
      <c r="J899" s="853" t="str">
        <f>+VLOOKUP(B899,'[5]04 2025'!$B$2:$F$1371,5,0)</f>
        <v>C14699DUONG THAI TAN050020202952</v>
      </c>
      <c r="K899" s="607">
        <f t="shared" si="39"/>
        <v>1</v>
      </c>
      <c r="P899" s="685"/>
    </row>
    <row r="900" spans="1:16" s="607" customFormat="1" ht="18" customHeight="1">
      <c r="A900" s="826">
        <f>SUBTOTAL(3,B$6:B900)</f>
        <v>895</v>
      </c>
      <c r="B900" s="824" t="s">
        <v>2627</v>
      </c>
      <c r="C900" s="824" t="str">
        <f>+VLOOKUP(B900,'Salary sheet'!$B$6:$AX$1386,48,0)</f>
        <v>HOANG VAN THANH</v>
      </c>
      <c r="D900" s="824" t="str">
        <f>+VLOOKUP(B900,'Salary sheet'!$B$6:$BW$1386,49,0)</f>
        <v>050143873517</v>
      </c>
      <c r="E900" s="620">
        <f>+VLOOKUP(B900,'Salary sheet'!$B$6:$AT$1292,45,0)</f>
        <v>14896561</v>
      </c>
      <c r="F900" s="1029" t="s">
        <v>5723</v>
      </c>
      <c r="G900" s="824" t="str">
        <f>+VLOOKUP(B900,'Salary sheet'!$B$6:$E$2281,4,0)</f>
        <v>SK2</v>
      </c>
      <c r="H900" s="607" t="str">
        <f>+VLOOKUP(B900,'Salary sheet'!$B$6:$AZ$1386,50,0)</f>
        <v>SK2</v>
      </c>
      <c r="I900" s="607" t="str">
        <f t="shared" si="40"/>
        <v>C15423HOANG VAN THANH050143873517</v>
      </c>
      <c r="J900" s="853" t="str">
        <f>+VLOOKUP(B900,'[5]04 2025'!$B$2:$F$1371,5,0)</f>
        <v>C15423HOANG VAN THANH050143873517</v>
      </c>
      <c r="K900" s="607">
        <f t="shared" si="39"/>
        <v>1</v>
      </c>
      <c r="P900" s="685"/>
    </row>
    <row r="901" spans="1:16" s="607" customFormat="1" ht="18" customHeight="1">
      <c r="A901" s="826">
        <f>SUBTOTAL(3,B$6:B901)</f>
        <v>896</v>
      </c>
      <c r="B901" s="824" t="s">
        <v>2629</v>
      </c>
      <c r="C901" s="824" t="str">
        <f>+VLOOKUP(B901,'Salary sheet'!$B$6:$AX$1386,48,0)</f>
        <v>PHAN TRONG TIEN</v>
      </c>
      <c r="D901" s="824" t="str">
        <f>+VLOOKUP(B901,'Salary sheet'!$B$6:$BW$1386,49,0)</f>
        <v>050069199272</v>
      </c>
      <c r="E901" s="620">
        <f>+VLOOKUP(B901,'Salary sheet'!$B$6:$AT$1292,45,0)</f>
        <v>12464360</v>
      </c>
      <c r="F901" s="1029" t="s">
        <v>5723</v>
      </c>
      <c r="G901" s="824" t="str">
        <f>+VLOOKUP(B901,'Salary sheet'!$B$6:$E$2281,4,0)</f>
        <v>SK2</v>
      </c>
      <c r="H901" s="607" t="str">
        <f>+VLOOKUP(B901,'Salary sheet'!$B$6:$AZ$1386,50,0)</f>
        <v>SK2</v>
      </c>
      <c r="I901" s="607" t="str">
        <f t="shared" si="40"/>
        <v>C15435PHAN TRONG TIEN050069199272</v>
      </c>
      <c r="J901" s="853" t="str">
        <f>+VLOOKUP(B901,'[5]04 2025'!$B$2:$F$1371,5,0)</f>
        <v>C15435PHAN TRONG TIEN050069199272</v>
      </c>
      <c r="K901" s="607">
        <f t="shared" si="39"/>
        <v>1</v>
      </c>
      <c r="P901" s="685"/>
    </row>
    <row r="902" spans="1:16" s="607" customFormat="1" ht="18" customHeight="1">
      <c r="A902" s="826">
        <f>SUBTOTAL(3,B$6:B902)</f>
        <v>897</v>
      </c>
      <c r="B902" s="824" t="s">
        <v>2631</v>
      </c>
      <c r="C902" s="824" t="str">
        <f>+VLOOKUP(B902,'Salary sheet'!$B$6:$AX$1386,48,0)</f>
        <v>LE VAN CUONG</v>
      </c>
      <c r="D902" s="824" t="str">
        <f>+VLOOKUP(B902,'Salary sheet'!$B$6:$BW$1386,49,0)</f>
        <v>050109202328</v>
      </c>
      <c r="E902" s="620">
        <f>+VLOOKUP(B902,'Salary sheet'!$B$6:$AT$1292,45,0)</f>
        <v>21283777</v>
      </c>
      <c r="F902" s="1029" t="s">
        <v>5723</v>
      </c>
      <c r="G902" s="824" t="str">
        <f>+VLOOKUP(B902,'Salary sheet'!$B$6:$E$2281,4,0)</f>
        <v>SK2</v>
      </c>
      <c r="H902" s="607" t="str">
        <f>+VLOOKUP(B902,'Salary sheet'!$B$6:$AZ$1386,50,0)</f>
        <v>SK2</v>
      </c>
      <c r="I902" s="607" t="str">
        <f t="shared" si="40"/>
        <v>C15789LE VAN CUONG050109202328</v>
      </c>
      <c r="J902" s="853" t="str">
        <f>+VLOOKUP(B902,'[5]04 2025'!$B$2:$F$1371,5,0)</f>
        <v>C15789LE VAN CUONG050109202328</v>
      </c>
      <c r="K902" s="607">
        <f t="shared" si="39"/>
        <v>1</v>
      </c>
      <c r="P902" s="685"/>
    </row>
    <row r="903" spans="1:16" s="607" customFormat="1" ht="18" customHeight="1">
      <c r="A903" s="826">
        <f>SUBTOTAL(3,B$6:B903)</f>
        <v>898</v>
      </c>
      <c r="B903" s="824" t="s">
        <v>2633</v>
      </c>
      <c r="C903" s="824" t="str">
        <f>+VLOOKUP(B903,'Salary sheet'!$B$6:$AX$1386,48,0)</f>
        <v>LE MINH HIEU</v>
      </c>
      <c r="D903" s="824" t="str">
        <f>+VLOOKUP(B903,'Salary sheet'!$B$6:$BW$1386,49,0)</f>
        <v>050143994772</v>
      </c>
      <c r="E903" s="620">
        <f>+VLOOKUP(B903,'Salary sheet'!$B$6:$AT$1292,45,0)</f>
        <v>8796183</v>
      </c>
      <c r="F903" s="1029" t="s">
        <v>5723</v>
      </c>
      <c r="G903" s="824" t="str">
        <f>+VLOOKUP(B903,'Salary sheet'!$B$6:$E$2281,4,0)</f>
        <v>SK2</v>
      </c>
      <c r="H903" s="607" t="str">
        <f>+VLOOKUP(B903,'Salary sheet'!$B$6:$AZ$1386,50,0)</f>
        <v>SK2</v>
      </c>
      <c r="I903" s="607" t="str">
        <f t="shared" si="40"/>
        <v>C15968LE MINH HIEU050143994772</v>
      </c>
      <c r="J903" s="853" t="str">
        <f>+VLOOKUP(B903,'[5]04 2025'!$B$2:$F$1371,5,0)</f>
        <v>C15968LE MINH HIEU050143994772</v>
      </c>
      <c r="K903" s="607">
        <f t="shared" si="39"/>
        <v>1</v>
      </c>
      <c r="P903" s="685"/>
    </row>
    <row r="904" spans="1:16" s="607" customFormat="1" ht="18" customHeight="1">
      <c r="A904" s="826">
        <f>SUBTOTAL(3,B$6:B904)</f>
        <v>899</v>
      </c>
      <c r="B904" s="824" t="s">
        <v>2635</v>
      </c>
      <c r="C904" s="824" t="str">
        <f>+VLOOKUP(B904,'Salary sheet'!$B$6:$AX$1386,48,0)</f>
        <v>TUONG VAN LAM</v>
      </c>
      <c r="D904" s="824" t="str">
        <f>+VLOOKUP(B904,'Salary sheet'!$B$6:$BW$1386,49,0)</f>
        <v>050144848443</v>
      </c>
      <c r="E904" s="620">
        <f>+VLOOKUP(B904,'Salary sheet'!$B$6:$AT$1292,45,0)</f>
        <v>9718108</v>
      </c>
      <c r="F904" s="1029" t="s">
        <v>5723</v>
      </c>
      <c r="G904" s="824" t="str">
        <f>+VLOOKUP(B904,'Salary sheet'!$B$6:$E$2281,4,0)</f>
        <v>SK2</v>
      </c>
      <c r="H904" s="607" t="str">
        <f>+VLOOKUP(B904,'Salary sheet'!$B$6:$AZ$1386,50,0)</f>
        <v>SK2</v>
      </c>
      <c r="I904" s="607" t="str">
        <f t="shared" si="40"/>
        <v>C16069TUONG VAN LAM050144848443</v>
      </c>
      <c r="J904" s="853" t="str">
        <f>+VLOOKUP(B904,'[5]04 2025'!$B$2:$F$1371,5,0)</f>
        <v>C16069TUONG VAN LAM050144848443</v>
      </c>
      <c r="K904" s="607">
        <f t="shared" si="39"/>
        <v>1</v>
      </c>
      <c r="P904" s="685"/>
    </row>
    <row r="905" spans="1:16" s="607" customFormat="1" ht="18" customHeight="1">
      <c r="A905" s="826">
        <f>SUBTOTAL(3,B$6:B905)</f>
        <v>900</v>
      </c>
      <c r="B905" s="824" t="s">
        <v>2637</v>
      </c>
      <c r="C905" s="824" t="str">
        <f>+VLOOKUP(B905,'Salary sheet'!$B$6:$AX$1386,48,0)</f>
        <v>NGUYEN HOANG LINH</v>
      </c>
      <c r="D905" s="824" t="str">
        <f>+VLOOKUP(B905,'Salary sheet'!$B$6:$BW$1386,49,0)</f>
        <v>060215057723</v>
      </c>
      <c r="E905" s="620">
        <f>+VLOOKUP(B905,'Salary sheet'!$B$6:$AT$1292,45,0)</f>
        <v>14891684</v>
      </c>
      <c r="F905" s="1029" t="s">
        <v>5723</v>
      </c>
      <c r="G905" s="824" t="str">
        <f>+VLOOKUP(B905,'Salary sheet'!$B$6:$E$2281,4,0)</f>
        <v>SK2</v>
      </c>
      <c r="H905" s="607" t="str">
        <f>+VLOOKUP(B905,'Salary sheet'!$B$6:$AZ$1386,50,0)</f>
        <v>SK2</v>
      </c>
      <c r="I905" s="607" t="str">
        <f t="shared" si="40"/>
        <v>C16100NGUYEN HOANG LINH060215057723</v>
      </c>
      <c r="J905" s="853" t="str">
        <f>+VLOOKUP(B905,'[5]04 2025'!$B$2:$F$1371,5,0)</f>
        <v>C16100NGUYEN HOANG LINH060215057723</v>
      </c>
      <c r="K905" s="607">
        <f t="shared" si="39"/>
        <v>1</v>
      </c>
      <c r="P905" s="685"/>
    </row>
    <row r="906" spans="1:16" s="607" customFormat="1" ht="18" customHeight="1">
      <c r="A906" s="826">
        <f>SUBTOTAL(3,B$6:B906)</f>
        <v>901</v>
      </c>
      <c r="B906" s="824" t="s">
        <v>2639</v>
      </c>
      <c r="C906" s="824" t="str">
        <f>+VLOOKUP(B906,'Salary sheet'!$B$6:$AX$1386,48,0)</f>
        <v>LE VAN LINH</v>
      </c>
      <c r="D906" s="824" t="str">
        <f>+VLOOKUP(B906,'Salary sheet'!$B$6:$BW$1386,49,0)</f>
        <v>050120046801</v>
      </c>
      <c r="E906" s="620">
        <f>+VLOOKUP(B906,'Salary sheet'!$B$6:$AT$1292,45,0)</f>
        <v>17051417</v>
      </c>
      <c r="F906" s="1029" t="s">
        <v>5723</v>
      </c>
      <c r="G906" s="824" t="str">
        <f>+VLOOKUP(B906,'Salary sheet'!$B$6:$E$2281,4,0)</f>
        <v>SK2</v>
      </c>
      <c r="H906" s="607" t="str">
        <f>+VLOOKUP(B906,'Salary sheet'!$B$6:$AZ$1386,50,0)</f>
        <v>SK2</v>
      </c>
      <c r="I906" s="607" t="str">
        <f t="shared" si="40"/>
        <v>C16101LE VAN LINH050120046801</v>
      </c>
      <c r="J906" s="853" t="str">
        <f>+VLOOKUP(B906,'[5]04 2025'!$B$2:$F$1371,5,0)</f>
        <v>C16101LE VAN LINH050120046801</v>
      </c>
      <c r="K906" s="607">
        <f t="shared" si="39"/>
        <v>1</v>
      </c>
      <c r="P906" s="685"/>
    </row>
    <row r="907" spans="1:16" s="607" customFormat="1" ht="18" customHeight="1">
      <c r="A907" s="826">
        <f>SUBTOTAL(3,B$6:B907)</f>
        <v>902</v>
      </c>
      <c r="B907" s="824" t="s">
        <v>2641</v>
      </c>
      <c r="C907" s="824" t="str">
        <f>+VLOOKUP(B907,'Salary sheet'!$B$6:$AX$1386,48,0)</f>
        <v>LAM VAN PHOI DAN</v>
      </c>
      <c r="D907" s="824" t="str">
        <f>+VLOOKUP(B907,'Salary sheet'!$B$6:$BW$1386,49,0)</f>
        <v>050155600052</v>
      </c>
      <c r="E907" s="620">
        <f>+VLOOKUP(B907,'Salary sheet'!$B$6:$AT$1292,45,0)</f>
        <v>16934346</v>
      </c>
      <c r="F907" s="1029" t="s">
        <v>5723</v>
      </c>
      <c r="G907" s="824" t="str">
        <f>+VLOOKUP(B907,'Salary sheet'!$B$6:$E$2281,4,0)</f>
        <v>SK2</v>
      </c>
      <c r="H907" s="607" t="str">
        <f>+VLOOKUP(B907,'Salary sheet'!$B$6:$AZ$1386,50,0)</f>
        <v>SK2</v>
      </c>
      <c r="I907" s="607" t="str">
        <f t="shared" si="40"/>
        <v>C16106LAM VAN PHOI DAN050155600052</v>
      </c>
      <c r="J907" s="853" t="str">
        <f>+VLOOKUP(B907,'[5]04 2025'!$B$2:$F$1371,5,0)</f>
        <v>C16106LAM VAN PHOI DAN050155600052</v>
      </c>
      <c r="K907" s="607">
        <f t="shared" si="39"/>
        <v>1</v>
      </c>
      <c r="P907" s="685"/>
    </row>
    <row r="908" spans="1:16" s="607" customFormat="1" ht="18" customHeight="1">
      <c r="A908" s="826">
        <f>SUBTOTAL(3,B$6:B908)</f>
        <v>903</v>
      </c>
      <c r="B908" s="824" t="s">
        <v>2643</v>
      </c>
      <c r="C908" s="824" t="str">
        <f>+VLOOKUP(B908,'Salary sheet'!$B$6:$AX$1386,48,0)</f>
        <v>NGUYEN VAN DUOC</v>
      </c>
      <c r="D908" s="824" t="str">
        <f>+VLOOKUP(B908,'Salary sheet'!$B$6:$BW$1386,49,0)</f>
        <v>050155601547</v>
      </c>
      <c r="E908" s="620">
        <f>+VLOOKUP(B908,'Salary sheet'!$B$6:$AT$1292,45,0)</f>
        <v>17259839</v>
      </c>
      <c r="F908" s="1029" t="s">
        <v>5723</v>
      </c>
      <c r="G908" s="824" t="str">
        <f>+VLOOKUP(B908,'Salary sheet'!$B$6:$E$2281,4,0)</f>
        <v>SK2</v>
      </c>
      <c r="H908" s="607" t="str">
        <f>+VLOOKUP(B908,'Salary sheet'!$B$6:$AZ$1386,50,0)</f>
        <v>SK2</v>
      </c>
      <c r="I908" s="607" t="str">
        <f t="shared" si="40"/>
        <v>C16107NGUYEN VAN DUOC050155601547</v>
      </c>
      <c r="J908" s="853" t="str">
        <f>+VLOOKUP(B908,'[5]04 2025'!$B$2:$F$1371,5,0)</f>
        <v>C16107NGUYEN VAN DUOC050155601547</v>
      </c>
      <c r="K908" s="607">
        <f t="shared" si="39"/>
        <v>1</v>
      </c>
      <c r="P908" s="685"/>
    </row>
    <row r="909" spans="1:16" s="607" customFormat="1" ht="18" customHeight="1">
      <c r="A909" s="826">
        <f>SUBTOTAL(3,B$6:B909)</f>
        <v>904</v>
      </c>
      <c r="B909" s="824" t="s">
        <v>2645</v>
      </c>
      <c r="C909" s="824" t="str">
        <f>+VLOOKUP(B909,'Salary sheet'!$B$6:$AX$1386,48,0)</f>
        <v>NGUYEN MINH TOAN</v>
      </c>
      <c r="D909" s="824" t="str">
        <f>+VLOOKUP(B909,'Salary sheet'!$B$6:$BW$1386,49,0)</f>
        <v>050118663370</v>
      </c>
      <c r="E909" s="620">
        <f>+VLOOKUP(B909,'Salary sheet'!$B$6:$AT$1292,45,0)</f>
        <v>16001079</v>
      </c>
      <c r="F909" s="1029" t="s">
        <v>5723</v>
      </c>
      <c r="G909" s="824" t="str">
        <f>+VLOOKUP(B909,'Salary sheet'!$B$6:$E$2281,4,0)</f>
        <v>SK2</v>
      </c>
      <c r="H909" s="607" t="str">
        <f>+VLOOKUP(B909,'Salary sheet'!$B$6:$AZ$1386,50,0)</f>
        <v>SK2</v>
      </c>
      <c r="I909" s="607" t="str">
        <f t="shared" si="40"/>
        <v>C16388NGUYEN MINH TOAN050118663370</v>
      </c>
      <c r="J909" s="853" t="str">
        <f>+VLOOKUP(B909,'[5]04 2025'!$B$2:$F$1371,5,0)</f>
        <v>C16388NGUYEN MINH TOAN050118663370</v>
      </c>
      <c r="K909" s="607">
        <f t="shared" si="39"/>
        <v>1</v>
      </c>
      <c r="P909" s="685"/>
    </row>
    <row r="910" spans="1:16" s="607" customFormat="1" ht="18" customHeight="1">
      <c r="A910" s="826">
        <f>SUBTOTAL(3,B$6:B910)</f>
        <v>905</v>
      </c>
      <c r="B910" s="824" t="s">
        <v>2647</v>
      </c>
      <c r="C910" s="824" t="str">
        <f>+VLOOKUP(B910,'Salary sheet'!$B$6:$AX$1386,48,0)</f>
        <v>HO HOAI DUONG</v>
      </c>
      <c r="D910" s="824" t="str">
        <f>+VLOOKUP(B910,'Salary sheet'!$B$6:$BW$1386,49,0)</f>
        <v>050107310069</v>
      </c>
      <c r="E910" s="620">
        <f>+VLOOKUP(B910,'Salary sheet'!$B$6:$AT$1292,45,0)</f>
        <v>21692478</v>
      </c>
      <c r="F910" s="1029" t="s">
        <v>5723</v>
      </c>
      <c r="G910" s="824" t="str">
        <f>+VLOOKUP(B910,'Salary sheet'!$B$6:$E$2281,4,0)</f>
        <v>SK2</v>
      </c>
      <c r="H910" s="607" t="str">
        <f>+VLOOKUP(B910,'Salary sheet'!$B$6:$AZ$1386,50,0)</f>
        <v>SK2</v>
      </c>
      <c r="I910" s="607" t="str">
        <f t="shared" si="40"/>
        <v>C16508HO HOAI DUONG050107310069</v>
      </c>
      <c r="J910" s="853" t="str">
        <f>+VLOOKUP(B910,'[5]04 2025'!$B$2:$F$1371,5,0)</f>
        <v>C16508HO HOAI DUONG050107310069</v>
      </c>
      <c r="K910" s="607">
        <f t="shared" si="39"/>
        <v>1</v>
      </c>
      <c r="P910" s="685"/>
    </row>
    <row r="911" spans="1:16" s="607" customFormat="1" ht="18" customHeight="1">
      <c r="A911" s="826">
        <f>SUBTOTAL(3,B$6:B911)</f>
        <v>906</v>
      </c>
      <c r="B911" s="824" t="s">
        <v>2649</v>
      </c>
      <c r="C911" s="824" t="str">
        <f>+VLOOKUP(B911,'Salary sheet'!$B$6:$AX$1386,48,0)</f>
        <v>NGO VAN LICH</v>
      </c>
      <c r="D911" s="824" t="str">
        <f>+VLOOKUP(B911,'Salary sheet'!$B$6:$BW$1386,49,0)</f>
        <v>050040832464</v>
      </c>
      <c r="E911" s="620">
        <f>+VLOOKUP(B911,'Salary sheet'!$B$6:$AT$1292,45,0)</f>
        <v>20351348</v>
      </c>
      <c r="F911" s="1029" t="s">
        <v>5723</v>
      </c>
      <c r="G911" s="824" t="str">
        <f>+VLOOKUP(B911,'Salary sheet'!$B$6:$E$2281,4,0)</f>
        <v>SK2</v>
      </c>
      <c r="H911" s="607" t="str">
        <f>+VLOOKUP(B911,'Salary sheet'!$B$6:$AZ$1386,50,0)</f>
        <v>SK2</v>
      </c>
      <c r="I911" s="607" t="str">
        <f t="shared" si="40"/>
        <v>C4464NGO VAN LICH050040832464</v>
      </c>
      <c r="J911" s="853" t="str">
        <f>+VLOOKUP(B911,'[5]04 2025'!$B$2:$F$1371,5,0)</f>
        <v>C4464NGO VAN LICH050040832464</v>
      </c>
      <c r="K911" s="607">
        <f t="shared" si="39"/>
        <v>1</v>
      </c>
      <c r="P911" s="685"/>
    </row>
    <row r="912" spans="1:16" s="607" customFormat="1" ht="18" customHeight="1">
      <c r="A912" s="826">
        <f>SUBTOTAL(3,B$6:B912)</f>
        <v>907</v>
      </c>
      <c r="B912" s="824" t="s">
        <v>2651</v>
      </c>
      <c r="C912" s="824" t="str">
        <f>+VLOOKUP(B912,'Salary sheet'!$B$6:$AX$1386,48,0)</f>
        <v>HO NAM KHANH</v>
      </c>
      <c r="D912" s="824" t="str">
        <f>+VLOOKUP(B912,'Salary sheet'!$B$6:$BW$1386,49,0)</f>
        <v>050040852031</v>
      </c>
      <c r="E912" s="620">
        <f>+VLOOKUP(B912,'Salary sheet'!$B$6:$AT$1292,45,0)</f>
        <v>15816967</v>
      </c>
      <c r="F912" s="1029" t="s">
        <v>5723</v>
      </c>
      <c r="G912" s="824" t="str">
        <f>+VLOOKUP(B912,'Salary sheet'!$B$6:$E$2281,4,0)</f>
        <v>SK2</v>
      </c>
      <c r="H912" s="607" t="str">
        <f>+VLOOKUP(B912,'Salary sheet'!$B$6:$AZ$1386,50,0)</f>
        <v>SK2</v>
      </c>
      <c r="I912" s="607" t="str">
        <f t="shared" si="40"/>
        <v>C5597HO NAM KHANH050040852031</v>
      </c>
      <c r="J912" s="853" t="str">
        <f>+VLOOKUP(B912,'[5]04 2025'!$B$2:$F$1371,5,0)</f>
        <v>C5597HO NAM KHANH050040852031</v>
      </c>
      <c r="K912" s="607">
        <f t="shared" si="39"/>
        <v>1</v>
      </c>
      <c r="P912" s="685"/>
    </row>
    <row r="913" spans="1:16" s="607" customFormat="1" ht="18" customHeight="1">
      <c r="A913" s="826">
        <f>SUBTOTAL(3,B$6:B913)</f>
        <v>908</v>
      </c>
      <c r="B913" s="824" t="s">
        <v>2653</v>
      </c>
      <c r="C913" s="824" t="str">
        <f>+VLOOKUP(B913,'Salary sheet'!$B$6:$AX$1386,48,0)</f>
        <v>NGUYEN TRONG HAI</v>
      </c>
      <c r="D913" s="824" t="str">
        <f>+VLOOKUP(B913,'Salary sheet'!$B$6:$BW$1386,49,0)</f>
        <v>050081198656</v>
      </c>
      <c r="E913" s="620">
        <f>+VLOOKUP(B913,'Salary sheet'!$B$6:$AT$1292,45,0)</f>
        <v>24501483</v>
      </c>
      <c r="F913" s="1029" t="s">
        <v>5723</v>
      </c>
      <c r="G913" s="824" t="str">
        <f>+VLOOKUP(B913,'Salary sheet'!$B$6:$E$2281,4,0)</f>
        <v>SK2</v>
      </c>
      <c r="H913" s="607" t="str">
        <f>+VLOOKUP(B913,'Salary sheet'!$B$6:$AZ$1386,50,0)</f>
        <v>SK2</v>
      </c>
      <c r="I913" s="607" t="str">
        <f t="shared" si="40"/>
        <v>C7025NGUYEN TRONG HAI050081198656</v>
      </c>
      <c r="J913" s="853" t="str">
        <f>+VLOOKUP(B913,'[5]04 2025'!$B$2:$F$1371,5,0)</f>
        <v>C7025NGUYEN TRONG HAI050081198656</v>
      </c>
      <c r="K913" s="607">
        <f t="shared" si="39"/>
        <v>1</v>
      </c>
      <c r="P913" s="685"/>
    </row>
    <row r="914" spans="1:16" s="607" customFormat="1" ht="18" customHeight="1">
      <c r="A914" s="826">
        <f>SUBTOTAL(3,B$6:B914)</f>
        <v>909</v>
      </c>
      <c r="B914" s="824" t="s">
        <v>2655</v>
      </c>
      <c r="C914" s="824" t="str">
        <f>+VLOOKUP(B914,'Salary sheet'!$B$6:$AX$1386,48,0)</f>
        <v>MAO HUNG HIEP</v>
      </c>
      <c r="D914" s="824" t="str">
        <f>+VLOOKUP(B914,'Salary sheet'!$B$6:$BW$1386,49,0)</f>
        <v>050100024672</v>
      </c>
      <c r="E914" s="620">
        <f>+VLOOKUP(B914,'Salary sheet'!$B$6:$AT$1292,45,0)</f>
        <v>23532371</v>
      </c>
      <c r="F914" s="1029" t="s">
        <v>5723</v>
      </c>
      <c r="G914" s="824" t="str">
        <f>+VLOOKUP(B914,'Salary sheet'!$B$6:$E$2281,4,0)</f>
        <v>SK2</v>
      </c>
      <c r="H914" s="607" t="str">
        <f>+VLOOKUP(B914,'Salary sheet'!$B$6:$AZ$1386,50,0)</f>
        <v>SK2</v>
      </c>
      <c r="I914" s="607" t="str">
        <f t="shared" si="40"/>
        <v>C7448MAO HUNG HIEP050100024672</v>
      </c>
      <c r="J914" s="853" t="str">
        <f>+VLOOKUP(B914,'[5]04 2025'!$B$2:$F$1371,5,0)</f>
        <v>C7448MAO HUNG HIEP050100024672</v>
      </c>
      <c r="K914" s="607">
        <f t="shared" si="39"/>
        <v>1</v>
      </c>
      <c r="P914" s="685"/>
    </row>
    <row r="915" spans="1:16" s="607" customFormat="1" ht="18" customHeight="1">
      <c r="A915" s="826">
        <f>SUBTOTAL(3,B$6:B915)</f>
        <v>910</v>
      </c>
      <c r="B915" s="824" t="s">
        <v>2657</v>
      </c>
      <c r="C915" s="824" t="str">
        <f>+VLOOKUP(B915,'Salary sheet'!$B$6:$AX$1386,48,0)</f>
        <v>NGUYEN VAN THANH</v>
      </c>
      <c r="D915" s="824" t="str">
        <f>+VLOOKUP(B915,'Salary sheet'!$B$6:$BW$1386,49,0)</f>
        <v>050095670706</v>
      </c>
      <c r="E915" s="620">
        <f>+VLOOKUP(B915,'Salary sheet'!$B$6:$AT$1292,45,0)</f>
        <v>18298002</v>
      </c>
      <c r="F915" s="1029" t="s">
        <v>5723</v>
      </c>
      <c r="G915" s="824" t="str">
        <f>+VLOOKUP(B915,'Salary sheet'!$B$6:$E$2281,4,0)</f>
        <v>SK2</v>
      </c>
      <c r="H915" s="607" t="str">
        <f>+VLOOKUP(B915,'Salary sheet'!$B$6:$AZ$1386,50,0)</f>
        <v>SK2</v>
      </c>
      <c r="I915" s="607" t="str">
        <f t="shared" si="40"/>
        <v>C7451NGUYEN VAN THANH050095670706</v>
      </c>
      <c r="J915" s="853" t="str">
        <f>+VLOOKUP(B915,'[5]04 2025'!$B$2:$F$1371,5,0)</f>
        <v>C7451NGUYEN VAN THANH050095670706</v>
      </c>
      <c r="K915" s="607">
        <f t="shared" si="39"/>
        <v>1</v>
      </c>
      <c r="P915" s="685"/>
    </row>
    <row r="916" spans="1:16" s="607" customFormat="1" ht="18" customHeight="1">
      <c r="A916" s="826">
        <f>SUBTOTAL(3,B$6:B916)</f>
        <v>911</v>
      </c>
      <c r="B916" s="824" t="s">
        <v>2659</v>
      </c>
      <c r="C916" s="824" t="str">
        <f>+VLOOKUP(B916,'Salary sheet'!$B$6:$AX$1386,48,0)</f>
        <v>PHAM THE DONG</v>
      </c>
      <c r="D916" s="824" t="str">
        <f>+VLOOKUP(B916,'Salary sheet'!$B$6:$BW$1386,49,0)</f>
        <v>050099761048</v>
      </c>
      <c r="E916" s="620">
        <f>+VLOOKUP(B916,'Salary sheet'!$B$6:$AT$1292,45,0)</f>
        <v>29509545</v>
      </c>
      <c r="F916" s="1029" t="s">
        <v>5723</v>
      </c>
      <c r="G916" s="824" t="str">
        <f>+VLOOKUP(B916,'Salary sheet'!$B$6:$E$2281,4,0)</f>
        <v>SK2</v>
      </c>
      <c r="H916" s="607" t="str">
        <f>+VLOOKUP(B916,'Salary sheet'!$B$6:$AZ$1386,50,0)</f>
        <v>SK2</v>
      </c>
      <c r="I916" s="607" t="str">
        <f t="shared" si="40"/>
        <v>C7642PHAM THE DONG050099761048</v>
      </c>
      <c r="J916" s="853" t="str">
        <f>+VLOOKUP(B916,'[5]04 2025'!$B$2:$F$1371,5,0)</f>
        <v>C7642PHAM THE DONG050099761048</v>
      </c>
      <c r="K916" s="607">
        <f t="shared" si="39"/>
        <v>1</v>
      </c>
      <c r="P916" s="685"/>
    </row>
    <row r="917" spans="1:16" s="607" customFormat="1" ht="18" customHeight="1">
      <c r="A917" s="826">
        <f>SUBTOTAL(3,B$6:B917)</f>
        <v>912</v>
      </c>
      <c r="B917" s="824" t="s">
        <v>2661</v>
      </c>
      <c r="C917" s="824" t="str">
        <f>+VLOOKUP(B917,'Salary sheet'!$B$6:$AX$1386,48,0)</f>
        <v>NGUYEN CONG TRU</v>
      </c>
      <c r="D917" s="824" t="str">
        <f>+VLOOKUP(B917,'Salary sheet'!$B$6:$BW$1386,49,0)</f>
        <v>050106514175</v>
      </c>
      <c r="E917" s="620">
        <f>+VLOOKUP(B917,'Salary sheet'!$B$6:$AT$1292,45,0)</f>
        <v>19218999</v>
      </c>
      <c r="F917" s="1029" t="s">
        <v>5723</v>
      </c>
      <c r="G917" s="824" t="str">
        <f>+VLOOKUP(B917,'Salary sheet'!$B$6:$E$2281,4,0)</f>
        <v>SK2</v>
      </c>
      <c r="H917" s="607" t="str">
        <f>+VLOOKUP(B917,'Salary sheet'!$B$6:$AZ$1386,50,0)</f>
        <v>SK2</v>
      </c>
      <c r="I917" s="607" t="str">
        <f t="shared" si="40"/>
        <v>C7956NGUYEN CONG TRU050106514175</v>
      </c>
      <c r="J917" s="853" t="str">
        <f>+VLOOKUP(B917,'[5]04 2025'!$B$2:$F$1371,5,0)</f>
        <v>C7956NGUYEN CONG TRU050106514175</v>
      </c>
      <c r="K917" s="607">
        <f t="shared" si="39"/>
        <v>1</v>
      </c>
      <c r="P917" s="685"/>
    </row>
    <row r="918" spans="1:16" s="607" customFormat="1" ht="18" customHeight="1">
      <c r="A918" s="826">
        <f>SUBTOTAL(3,B$6:B918)</f>
        <v>913</v>
      </c>
      <c r="B918" s="824" t="s">
        <v>2663</v>
      </c>
      <c r="C918" s="824" t="str">
        <f>+VLOOKUP(B918,'Salary sheet'!$B$6:$AX$1386,48,0)</f>
        <v>LE ANH SU</v>
      </c>
      <c r="D918" s="824" t="str">
        <f>+VLOOKUP(B918,'Salary sheet'!$B$6:$BW$1386,49,0)</f>
        <v>050108371533</v>
      </c>
      <c r="E918" s="620">
        <f>+VLOOKUP(B918,'Salary sheet'!$B$6:$AT$1292,45,0)</f>
        <v>23422336</v>
      </c>
      <c r="F918" s="1029" t="s">
        <v>5723</v>
      </c>
      <c r="G918" s="824" t="str">
        <f>+VLOOKUP(B918,'Salary sheet'!$B$6:$E$2281,4,0)</f>
        <v>SK2</v>
      </c>
      <c r="H918" s="607" t="str">
        <f>+VLOOKUP(B918,'Salary sheet'!$B$6:$AZ$1386,50,0)</f>
        <v>SK2</v>
      </c>
      <c r="I918" s="607" t="str">
        <f t="shared" si="40"/>
        <v>C8101LE ANH SU050108371533</v>
      </c>
      <c r="J918" s="853" t="str">
        <f>+VLOOKUP(B918,'[5]04 2025'!$B$2:$F$1371,5,0)</f>
        <v>C8101LE ANH SU050108371533</v>
      </c>
      <c r="K918" s="607">
        <f t="shared" si="39"/>
        <v>1</v>
      </c>
      <c r="P918" s="685"/>
    </row>
    <row r="919" spans="1:16" s="607" customFormat="1" ht="18" customHeight="1">
      <c r="A919" s="826">
        <f>SUBTOTAL(3,B$6:B919)</f>
        <v>914</v>
      </c>
      <c r="B919" s="824" t="s">
        <v>2665</v>
      </c>
      <c r="C919" s="824" t="str">
        <f>+VLOOKUP(B919,'Salary sheet'!$B$6:$AX$1386,48,0)</f>
        <v>LE VU DUONG</v>
      </c>
      <c r="D919" s="824" t="str">
        <f>+VLOOKUP(B919,'Salary sheet'!$B$6:$BW$1386,49,0)</f>
        <v>050106514183</v>
      </c>
      <c r="E919" s="620">
        <f>+VLOOKUP(B919,'Salary sheet'!$B$6:$AT$1292,45,0)</f>
        <v>19880281</v>
      </c>
      <c r="F919" s="1029" t="s">
        <v>5723</v>
      </c>
      <c r="G919" s="824" t="str">
        <f>+VLOOKUP(B919,'Salary sheet'!$B$6:$E$2281,4,0)</f>
        <v>SK2</v>
      </c>
      <c r="H919" s="607" t="str">
        <f>+VLOOKUP(B919,'Salary sheet'!$B$6:$AZ$1386,50,0)</f>
        <v>SK2</v>
      </c>
      <c r="I919" s="607" t="str">
        <f t="shared" si="40"/>
        <v>C8436LE VU DUONG050106514183</v>
      </c>
      <c r="J919" s="853" t="str">
        <f>+VLOOKUP(B919,'[5]04 2025'!$B$2:$F$1371,5,0)</f>
        <v>C8436LE VU DUONG050106514183</v>
      </c>
      <c r="K919" s="607">
        <f t="shared" si="39"/>
        <v>1</v>
      </c>
      <c r="P919" s="685"/>
    </row>
    <row r="920" spans="1:16" s="607" customFormat="1" ht="18" customHeight="1">
      <c r="A920" s="826">
        <f>SUBTOTAL(3,B$6:B920)</f>
        <v>915</v>
      </c>
      <c r="B920" s="824" t="s">
        <v>2667</v>
      </c>
      <c r="C920" s="824" t="str">
        <f>+VLOOKUP(B920,'Salary sheet'!$B$6:$AX$1386,48,0)</f>
        <v>NGUYEN VAN LANH</v>
      </c>
      <c r="D920" s="824" t="str">
        <f>+VLOOKUP(B920,'Salary sheet'!$B$6:$BW$1386,49,0)</f>
        <v>050107263958</v>
      </c>
      <c r="E920" s="620">
        <f>+VLOOKUP(B920,'Salary sheet'!$B$6:$AT$1292,45,0)</f>
        <v>19589285</v>
      </c>
      <c r="F920" s="1029" t="s">
        <v>5723</v>
      </c>
      <c r="G920" s="824" t="str">
        <f>+VLOOKUP(B920,'Salary sheet'!$B$6:$E$2281,4,0)</f>
        <v>SK2</v>
      </c>
      <c r="H920" s="607" t="str">
        <f>+VLOOKUP(B920,'Salary sheet'!$B$6:$AZ$1386,50,0)</f>
        <v>SK2</v>
      </c>
      <c r="I920" s="607" t="str">
        <f t="shared" si="40"/>
        <v>C10790NGUYEN VAN LANH050107263958</v>
      </c>
      <c r="J920" s="853" t="str">
        <f>+VLOOKUP(B920,'[5]04 2025'!$B$2:$F$1371,5,0)</f>
        <v>C10790NGUYEN VAN LANH050107263958</v>
      </c>
      <c r="K920" s="607">
        <f t="shared" si="39"/>
        <v>1</v>
      </c>
      <c r="P920" s="685"/>
    </row>
    <row r="921" spans="1:16" s="607" customFormat="1" ht="18" customHeight="1">
      <c r="A921" s="826">
        <f>SUBTOTAL(3,B$6:B921)</f>
        <v>916</v>
      </c>
      <c r="B921" s="824" t="s">
        <v>398</v>
      </c>
      <c r="C921" s="824" t="str">
        <f>+VLOOKUP(B921,'Salary sheet'!$B$6:$AX$1386,48,0)</f>
        <v>DO VAN THAI</v>
      </c>
      <c r="D921" s="824" t="str">
        <f>+VLOOKUP(B921,'Salary sheet'!$B$6:$BW$1386,49,0)</f>
        <v>050050582962</v>
      </c>
      <c r="E921" s="620">
        <f>+VLOOKUP(B921,'Salary sheet'!$B$6:$AT$1292,45,0)</f>
        <v>30243016</v>
      </c>
      <c r="F921" s="1029" t="s">
        <v>5723</v>
      </c>
      <c r="G921" s="824" t="str">
        <f>+VLOOKUP(B921,'Salary sheet'!$B$6:$E$2281,4,0)</f>
        <v>SK2</v>
      </c>
      <c r="H921" s="607" t="str">
        <f>+VLOOKUP(B921,'Salary sheet'!$B$6:$AZ$1386,50,0)</f>
        <v>SK2</v>
      </c>
      <c r="I921" s="607" t="str">
        <f t="shared" si="40"/>
        <v>C6332DO VAN THAI050050582962</v>
      </c>
      <c r="J921" s="853" t="str">
        <f>+VLOOKUP(B921,'[5]04 2025'!$B$2:$F$1371,5,0)</f>
        <v>C6332DO VAN THAI050050582962</v>
      </c>
      <c r="K921" s="607">
        <f t="shared" si="39"/>
        <v>1</v>
      </c>
      <c r="P921" s="685"/>
    </row>
    <row r="922" spans="1:16" s="607" customFormat="1" ht="18" customHeight="1">
      <c r="A922" s="826">
        <f>SUBTOTAL(3,B$6:B922)</f>
        <v>917</v>
      </c>
      <c r="B922" s="824" t="s">
        <v>2670</v>
      </c>
      <c r="C922" s="824" t="str">
        <f>+VLOOKUP(B922,'Salary sheet'!$B$6:$AX$1386,48,0)</f>
        <v>TRAN TAN DAT</v>
      </c>
      <c r="D922" s="824" t="str">
        <f>+VLOOKUP(B922,'Salary sheet'!$B$6:$BW$1386,49,0)</f>
        <v>050105128425</v>
      </c>
      <c r="E922" s="620">
        <f>+VLOOKUP(B922,'Salary sheet'!$B$6:$AT$1292,45,0)</f>
        <v>11333273</v>
      </c>
      <c r="F922" s="1029" t="s">
        <v>5723</v>
      </c>
      <c r="G922" s="824" t="str">
        <f>+VLOOKUP(B922,'Salary sheet'!$B$6:$E$2281,4,0)</f>
        <v>SK2</v>
      </c>
      <c r="H922" s="607" t="str">
        <f>+VLOOKUP(B922,'Salary sheet'!$B$6:$AZ$1386,50,0)</f>
        <v>SK2</v>
      </c>
      <c r="I922" s="607" t="str">
        <f t="shared" si="40"/>
        <v>C10564TRAN TAN DAT050105128425</v>
      </c>
      <c r="J922" s="853" t="str">
        <f>+VLOOKUP(B922,'[5]04 2025'!$B$2:$F$1371,5,0)</f>
        <v>C10564TRAN TAN DAT050105128425</v>
      </c>
      <c r="K922" s="607">
        <f t="shared" si="39"/>
        <v>1</v>
      </c>
      <c r="P922" s="685"/>
    </row>
    <row r="923" spans="1:16" s="607" customFormat="1" ht="18" customHeight="1">
      <c r="A923" s="826">
        <f>SUBTOTAL(3,B$6:B923)</f>
        <v>918</v>
      </c>
      <c r="B923" s="824" t="s">
        <v>2672</v>
      </c>
      <c r="C923" s="824" t="str">
        <f>+VLOOKUP(B923,'Salary sheet'!$B$6:$AX$1386,48,0)</f>
        <v>NGUYEN TRONG CHIEU</v>
      </c>
      <c r="D923" s="824" t="str">
        <f>+VLOOKUP(B923,'Salary sheet'!$B$6:$BW$1386,49,0)</f>
        <v>050121173473</v>
      </c>
      <c r="E923" s="620">
        <f>+VLOOKUP(B923,'Salary sheet'!$B$6:$AT$1292,45,0)</f>
        <v>10434462</v>
      </c>
      <c r="F923" s="1029" t="s">
        <v>5723</v>
      </c>
      <c r="G923" s="824" t="str">
        <f>+VLOOKUP(B923,'Salary sheet'!$B$6:$E$2281,4,0)</f>
        <v>SK2</v>
      </c>
      <c r="H923" s="607" t="str">
        <f>+VLOOKUP(B923,'Salary sheet'!$B$6:$AZ$1386,50,0)</f>
        <v>SK2</v>
      </c>
      <c r="I923" s="607" t="str">
        <f t="shared" si="40"/>
        <v>C12577NGUYEN TRONG CHIEU050121173473</v>
      </c>
      <c r="J923" s="853" t="str">
        <f>+VLOOKUP(B923,'[5]04 2025'!$B$2:$F$1371,5,0)</f>
        <v>C12577NGUYEN TRONG CHIEU050121173473</v>
      </c>
      <c r="K923" s="607">
        <f t="shared" si="39"/>
        <v>1</v>
      </c>
      <c r="P923" s="685"/>
    </row>
    <row r="924" spans="1:16" s="607" customFormat="1" ht="18" customHeight="1">
      <c r="A924" s="826">
        <f>SUBTOTAL(3,B$6:B924)</f>
        <v>919</v>
      </c>
      <c r="B924" s="824" t="s">
        <v>2674</v>
      </c>
      <c r="C924" s="824" t="str">
        <f>+VLOOKUP(B924,'Salary sheet'!$B$6:$AX$1386,48,0)</f>
        <v>LE VAN NHI</v>
      </c>
      <c r="D924" s="824" t="str">
        <f>+VLOOKUP(B924,'Salary sheet'!$B$6:$BW$1386,49,0)</f>
        <v>050069293491</v>
      </c>
      <c r="E924" s="620">
        <f>+VLOOKUP(B924,'Salary sheet'!$B$6:$AT$1292,45,0)</f>
        <v>11527437</v>
      </c>
      <c r="F924" s="1029" t="s">
        <v>5723</v>
      </c>
      <c r="G924" s="824" t="str">
        <f>+VLOOKUP(B924,'Salary sheet'!$B$6:$E$2281,4,0)</f>
        <v>SK2</v>
      </c>
      <c r="H924" s="607" t="str">
        <f>+VLOOKUP(B924,'Salary sheet'!$B$6:$AZ$1386,50,0)</f>
        <v>SK2</v>
      </c>
      <c r="I924" s="607" t="str">
        <f t="shared" si="40"/>
        <v>C13229LE VAN NHI050069293491</v>
      </c>
      <c r="J924" s="853" t="str">
        <f>+VLOOKUP(B924,'[5]04 2025'!$B$2:$F$1371,5,0)</f>
        <v>C13229LE VAN NHI050069293491</v>
      </c>
      <c r="K924" s="607">
        <f t="shared" si="39"/>
        <v>1</v>
      </c>
      <c r="P924" s="685"/>
    </row>
    <row r="925" spans="1:16" s="607" customFormat="1" ht="18" customHeight="1">
      <c r="A925" s="826">
        <f>SUBTOTAL(3,B$6:B925)</f>
        <v>920</v>
      </c>
      <c r="B925" s="824" t="s">
        <v>2676</v>
      </c>
      <c r="C925" s="824" t="str">
        <f>+VLOOKUP(B925,'Salary sheet'!$B$6:$AX$1386,48,0)</f>
        <v>DUONG QUANG HUY</v>
      </c>
      <c r="D925" s="824" t="str">
        <f>+VLOOKUP(B925,'Salary sheet'!$B$6:$BW$1386,49,0)</f>
        <v>050126191097</v>
      </c>
      <c r="E925" s="620">
        <f>+VLOOKUP(B925,'Salary sheet'!$B$6:$AT$1292,45,0)</f>
        <v>10628631</v>
      </c>
      <c r="F925" s="1029" t="s">
        <v>5723</v>
      </c>
      <c r="G925" s="824" t="str">
        <f>+VLOOKUP(B925,'Salary sheet'!$B$6:$E$2281,4,0)</f>
        <v>SK2</v>
      </c>
      <c r="H925" s="607" t="str">
        <f>+VLOOKUP(B925,'Salary sheet'!$B$6:$AZ$1386,50,0)</f>
        <v>SK2</v>
      </c>
      <c r="I925" s="607" t="str">
        <f t="shared" si="40"/>
        <v>C13835DUONG QUANG HUY050126191097</v>
      </c>
      <c r="J925" s="853" t="str">
        <f>+VLOOKUP(B925,'[5]04 2025'!$B$2:$F$1371,5,0)</f>
        <v>C13835DUONG QUANG HUY050126191097</v>
      </c>
      <c r="K925" s="607">
        <f t="shared" si="39"/>
        <v>1</v>
      </c>
      <c r="P925" s="685"/>
    </row>
    <row r="926" spans="1:16" s="607" customFormat="1" ht="18" customHeight="1">
      <c r="A926" s="826">
        <f>SUBTOTAL(3,B$6:B926)</f>
        <v>921</v>
      </c>
      <c r="B926" s="824" t="s">
        <v>2678</v>
      </c>
      <c r="C926" s="824" t="str">
        <f>+VLOOKUP(B926,'Salary sheet'!$B$6:$AX$1386,48,0)</f>
        <v>LA HONG THI</v>
      </c>
      <c r="D926" s="824" t="str">
        <f>+VLOOKUP(B926,'Salary sheet'!$B$6:$BW$1386,49,0)</f>
        <v>050114198452</v>
      </c>
      <c r="E926" s="620">
        <f>+VLOOKUP(B926,'Salary sheet'!$B$6:$AT$1292,45,0)</f>
        <v>10068680</v>
      </c>
      <c r="F926" s="1029" t="s">
        <v>5723</v>
      </c>
      <c r="G926" s="824" t="str">
        <f>+VLOOKUP(B926,'Salary sheet'!$B$6:$E$2281,4,0)</f>
        <v>SK2</v>
      </c>
      <c r="H926" s="607" t="str">
        <f>+VLOOKUP(B926,'Salary sheet'!$B$6:$AZ$1386,50,0)</f>
        <v>SK2</v>
      </c>
      <c r="I926" s="607" t="str">
        <f t="shared" si="40"/>
        <v>C15392LA HONG THI050114198452</v>
      </c>
      <c r="J926" s="853" t="str">
        <f>+VLOOKUP(B926,'[5]04 2025'!$B$2:$F$1371,5,0)</f>
        <v>C15392LA HONG THI050114198452</v>
      </c>
      <c r="K926" s="607">
        <f t="shared" si="39"/>
        <v>1</v>
      </c>
      <c r="P926" s="685"/>
    </row>
    <row r="927" spans="1:16" s="607" customFormat="1" ht="18" customHeight="1">
      <c r="A927" s="826">
        <f>SUBTOTAL(3,B$6:B927)</f>
        <v>922</v>
      </c>
      <c r="B927" s="824" t="s">
        <v>2681</v>
      </c>
      <c r="C927" s="824" t="str">
        <f>+VLOOKUP(B927,'Salary sheet'!$B$6:$AX$1386,48,0)</f>
        <v>HUYNH VAN HAU</v>
      </c>
      <c r="D927" s="824" t="str">
        <f>+VLOOKUP(B927,'Salary sheet'!$B$6:$BW$1386,49,0)</f>
        <v>050090128237</v>
      </c>
      <c r="E927" s="620">
        <f>+VLOOKUP(B927,'Salary sheet'!$B$6:$AT$1292,45,0)</f>
        <v>4506988</v>
      </c>
      <c r="F927" s="1029" t="s">
        <v>5723</v>
      </c>
      <c r="G927" s="824" t="str">
        <f>+VLOOKUP(B927,'Salary sheet'!$B$6:$E$2281,4,0)</f>
        <v>SK2</v>
      </c>
      <c r="H927" s="607" t="str">
        <f>+VLOOKUP(B927,'Salary sheet'!$B$6:$AZ$1386,50,0)</f>
        <v>SK2</v>
      </c>
      <c r="I927" s="607" t="str">
        <f t="shared" si="40"/>
        <v>C15588HUYNH VAN HAU050090128237</v>
      </c>
      <c r="J927" s="853" t="str">
        <f>+VLOOKUP(B927,'[5]04 2025'!$B$2:$F$1371,5,0)</f>
        <v>C15588HUYNH VAN HAU050090128237</v>
      </c>
      <c r="K927" s="607">
        <f t="shared" si="39"/>
        <v>1</v>
      </c>
      <c r="P927" s="685"/>
    </row>
    <row r="928" spans="1:16" s="607" customFormat="1" ht="18" customHeight="1">
      <c r="A928" s="826">
        <f>SUBTOTAL(3,B$6:B928)</f>
        <v>923</v>
      </c>
      <c r="B928" s="824" t="s">
        <v>2684</v>
      </c>
      <c r="C928" s="824" t="str">
        <f>+VLOOKUP(B928,'Salary sheet'!$B$6:$AX$1386,48,0)</f>
        <v>PHAN QUANG HUY</v>
      </c>
      <c r="D928" s="824" t="str">
        <f>+VLOOKUP(B928,'Salary sheet'!$B$6:$BW$1386,49,0)</f>
        <v>050153709741</v>
      </c>
      <c r="E928" s="620">
        <f>+VLOOKUP(B928,'Salary sheet'!$B$6:$AT$1292,45,0)</f>
        <v>7734436</v>
      </c>
      <c r="F928" s="1029" t="s">
        <v>5723</v>
      </c>
      <c r="G928" s="824" t="str">
        <f>+VLOOKUP(B928,'Salary sheet'!$B$6:$E$2281,4,0)</f>
        <v>SK2</v>
      </c>
      <c r="H928" s="607" t="str">
        <f>+VLOOKUP(B928,'Salary sheet'!$B$6:$AZ$1386,50,0)</f>
        <v>SK2</v>
      </c>
      <c r="I928" s="607" t="str">
        <f t="shared" si="40"/>
        <v>C15989PHAN QUANG HUY050153709741</v>
      </c>
      <c r="J928" s="853" t="str">
        <f>+VLOOKUP(B928,'[5]04 2025'!$B$2:$F$1371,5,0)</f>
        <v>C15989PHAN QUANG HUY050153709741</v>
      </c>
      <c r="K928" s="607">
        <f t="shared" si="39"/>
        <v>1</v>
      </c>
      <c r="P928" s="685"/>
    </row>
    <row r="929" spans="1:16" s="607" customFormat="1" ht="18" customHeight="1">
      <c r="A929" s="826">
        <f>SUBTOTAL(3,B$6:B929)</f>
        <v>924</v>
      </c>
      <c r="B929" s="824" t="s">
        <v>2686</v>
      </c>
      <c r="C929" s="824" t="str">
        <f>+VLOOKUP(B929,'Salary sheet'!$B$6:$AX$1386,48,0)</f>
        <v>THANG VAN TET</v>
      </c>
      <c r="D929" s="824" t="str">
        <f>+VLOOKUP(B929,'Salary sheet'!$B$6:$BW$1386,49,0)</f>
        <v>050136474501</v>
      </c>
      <c r="E929" s="620">
        <f>+VLOOKUP(B929,'Salary sheet'!$B$6:$AT$1292,45,0)</f>
        <v>9301026</v>
      </c>
      <c r="F929" s="1029" t="s">
        <v>5723</v>
      </c>
      <c r="G929" s="824" t="str">
        <f>+VLOOKUP(B929,'Salary sheet'!$B$6:$E$2281,4,0)</f>
        <v>SK2</v>
      </c>
      <c r="H929" s="607" t="str">
        <f>+VLOOKUP(B929,'Salary sheet'!$B$6:$AZ$1386,50,0)</f>
        <v>SK2</v>
      </c>
      <c r="I929" s="607" t="str">
        <f t="shared" si="40"/>
        <v>C16037THANG VAN TET050136474501</v>
      </c>
      <c r="J929" s="853" t="str">
        <f>+VLOOKUP(B929,'[5]04 2025'!$B$2:$F$1371,5,0)</f>
        <v>C16037THANG VAN TET050136474501</v>
      </c>
      <c r="K929" s="607">
        <f t="shared" si="39"/>
        <v>1</v>
      </c>
      <c r="P929" s="685"/>
    </row>
    <row r="930" spans="1:16" s="607" customFormat="1" ht="18" customHeight="1">
      <c r="A930" s="826">
        <f>SUBTOTAL(3,B$6:B930)</f>
        <v>925</v>
      </c>
      <c r="B930" s="824" t="s">
        <v>2688</v>
      </c>
      <c r="C930" s="824" t="str">
        <f>+VLOOKUP(B930,'Salary sheet'!$B$6:$AX$1386,48,0)</f>
        <v>LE GIANG VI KHANH</v>
      </c>
      <c r="D930" s="824" t="str">
        <f>+VLOOKUP(B930,'Salary sheet'!$B$6:$BW$1386,49,0)</f>
        <v>050154488100</v>
      </c>
      <c r="E930" s="620">
        <f>+VLOOKUP(B930,'Salary sheet'!$B$6:$AT$1292,45,0)</f>
        <v>7493744</v>
      </c>
      <c r="F930" s="1029" t="s">
        <v>5723</v>
      </c>
      <c r="G930" s="824" t="str">
        <f>+VLOOKUP(B930,'Salary sheet'!$B$6:$E$2281,4,0)</f>
        <v>SK2</v>
      </c>
      <c r="H930" s="607" t="str">
        <f>+VLOOKUP(B930,'Salary sheet'!$B$6:$AZ$1386,50,0)</f>
        <v>SK2</v>
      </c>
      <c r="I930" s="607" t="str">
        <f t="shared" si="40"/>
        <v>C16053LE GIANG VI KHANH050154488100</v>
      </c>
      <c r="J930" s="853" t="str">
        <f>+VLOOKUP(B930,'[5]04 2025'!$B$2:$F$1371,5,0)</f>
        <v>C16053LE GIANG VI KHANH050154488100</v>
      </c>
      <c r="K930" s="607">
        <f t="shared" si="39"/>
        <v>1</v>
      </c>
      <c r="P930" s="685"/>
    </row>
    <row r="931" spans="1:16" s="607" customFormat="1" ht="18" customHeight="1">
      <c r="A931" s="826">
        <f>SUBTOTAL(3,B$6:B931)</f>
        <v>926</v>
      </c>
      <c r="B931" s="824" t="s">
        <v>2690</v>
      </c>
      <c r="C931" s="824" t="str">
        <f>+VLOOKUP(B931,'Salary sheet'!$B$6:$AX$1386,48,0)</f>
        <v>TRAN NGOC KHANH</v>
      </c>
      <c r="D931" s="824" t="str">
        <f>+VLOOKUP(B931,'Salary sheet'!$B$6:$BW$1386,49,0)</f>
        <v>050081246065</v>
      </c>
      <c r="E931" s="620">
        <f>+VLOOKUP(B931,'Salary sheet'!$B$6:$AT$1292,45,0)</f>
        <v>8190065</v>
      </c>
      <c r="F931" s="1029" t="s">
        <v>5723</v>
      </c>
      <c r="G931" s="824" t="str">
        <f>+VLOOKUP(B931,'Salary sheet'!$B$6:$E$2281,4,0)</f>
        <v>SK2</v>
      </c>
      <c r="H931" s="607" t="str">
        <f>+VLOOKUP(B931,'Salary sheet'!$B$6:$AZ$1386,50,0)</f>
        <v>SK2</v>
      </c>
      <c r="I931" s="607" t="str">
        <f t="shared" si="40"/>
        <v>C16405TRAN NGOC KHANH050081246065</v>
      </c>
      <c r="J931" s="853" t="str">
        <f>+VLOOKUP(B931,'[5]04 2025'!$B$2:$F$1371,5,0)</f>
        <v>C16405TRAN NGOC KHANH050081246065</v>
      </c>
      <c r="K931" s="607">
        <f t="shared" si="39"/>
        <v>1</v>
      </c>
      <c r="P931" s="685"/>
    </row>
    <row r="932" spans="1:16" s="607" customFormat="1" ht="18" customHeight="1">
      <c r="A932" s="826">
        <f>SUBTOTAL(3,B$6:B932)</f>
        <v>927</v>
      </c>
      <c r="B932" s="824" t="s">
        <v>2693</v>
      </c>
      <c r="C932" s="824" t="str">
        <f>+VLOOKUP(B932,'Salary sheet'!$B$6:$AX$1386,48,0)</f>
        <v>LE CHI LINH</v>
      </c>
      <c r="D932" s="824" t="str">
        <f>+VLOOKUP(B932,'Salary sheet'!$B$6:$BW$1386,49,0)</f>
        <v>050153210321</v>
      </c>
      <c r="E932" s="620">
        <f>+VLOOKUP(B932,'Salary sheet'!$B$6:$AT$1292,45,0)</f>
        <v>7700872</v>
      </c>
      <c r="F932" s="1029" t="s">
        <v>5723</v>
      </c>
      <c r="G932" s="824" t="str">
        <f>+VLOOKUP(B932,'Salary sheet'!$B$6:$E$2281,4,0)</f>
        <v>SK2</v>
      </c>
      <c r="H932" s="607" t="str">
        <f>+VLOOKUP(B932,'Salary sheet'!$B$6:$AZ$1386,50,0)</f>
        <v>SK2</v>
      </c>
      <c r="I932" s="607" t="str">
        <f t="shared" si="40"/>
        <v>C16406LE CHI LINH050153210321</v>
      </c>
      <c r="J932" s="853" t="str">
        <f>+VLOOKUP(B932,'[5]04 2025'!$B$2:$F$1371,5,0)</f>
        <v>C16406LE CHI LINH050153210321</v>
      </c>
      <c r="K932" s="607">
        <f t="shared" si="39"/>
        <v>1</v>
      </c>
      <c r="P932" s="685"/>
    </row>
    <row r="933" spans="1:16" s="607" customFormat="1" ht="18" customHeight="1">
      <c r="A933" s="826">
        <f>SUBTOTAL(3,B$6:B933)</f>
        <v>928</v>
      </c>
      <c r="B933" s="824" t="s">
        <v>2695</v>
      </c>
      <c r="C933" s="824" t="str">
        <f>+VLOOKUP(B933,'Salary sheet'!$B$6:$AX$1386,48,0)</f>
        <v>NGUYEN CHI CUONG</v>
      </c>
      <c r="D933" s="824" t="str">
        <f>+VLOOKUP(B933,'Salary sheet'!$B$6:$BW$1386,49,0)</f>
        <v>050941375118</v>
      </c>
      <c r="E933" s="620">
        <f>+VLOOKUP(B933,'Salary sheet'!$B$6:$AT$1292,45,0)</f>
        <v>7716112</v>
      </c>
      <c r="F933" s="1029" t="s">
        <v>5723</v>
      </c>
      <c r="G933" s="824" t="str">
        <f>+VLOOKUP(B933,'Salary sheet'!$B$6:$E$2281,4,0)</f>
        <v>SK2</v>
      </c>
      <c r="H933" s="607" t="str">
        <f>+VLOOKUP(B933,'Salary sheet'!$B$6:$AZ$1386,50,0)</f>
        <v>SK2</v>
      </c>
      <c r="I933" s="607" t="str">
        <f t="shared" si="40"/>
        <v>C16444NGUYEN CHI CUONG050941375118</v>
      </c>
      <c r="J933" s="853" t="str">
        <f>+VLOOKUP(B933,'[5]04 2025'!$B$2:$F$1371,5,0)</f>
        <v>C16444NGUYEN CHI CUONG050941375118</v>
      </c>
      <c r="K933" s="607">
        <f t="shared" si="39"/>
        <v>1</v>
      </c>
      <c r="P933" s="685"/>
    </row>
    <row r="934" spans="1:16" s="607" customFormat="1" ht="18" customHeight="1">
      <c r="A934" s="826">
        <f>SUBTOTAL(3,B$6:B934)</f>
        <v>929</v>
      </c>
      <c r="B934" s="824" t="s">
        <v>2697</v>
      </c>
      <c r="C934" s="824" t="str">
        <f>+VLOOKUP(B934,'Salary sheet'!$B$6:$AX$1386,48,0)</f>
        <v>KIEU QUOC TUAN</v>
      </c>
      <c r="D934" s="824" t="str">
        <f>+VLOOKUP(B934,'Salary sheet'!$B$6:$BW$1386,49,0)</f>
        <v>050053004560</v>
      </c>
      <c r="E934" s="620">
        <f>+VLOOKUP(B934,'Salary sheet'!$B$6:$AT$1292,45,0)</f>
        <v>12680013</v>
      </c>
      <c r="F934" s="1029" t="s">
        <v>5723</v>
      </c>
      <c r="G934" s="824" t="str">
        <f>+VLOOKUP(B934,'Salary sheet'!$B$6:$E$2281,4,0)</f>
        <v>SK2</v>
      </c>
      <c r="H934" s="607" t="str">
        <f>+VLOOKUP(B934,'Salary sheet'!$B$6:$AZ$1386,50,0)</f>
        <v>SK2</v>
      </c>
      <c r="I934" s="607" t="str">
        <f t="shared" si="40"/>
        <v>C6333KIEU QUOC TUAN050053004560</v>
      </c>
      <c r="J934" s="853" t="str">
        <f>+VLOOKUP(B934,'[5]04 2025'!$B$2:$F$1371,5,0)</f>
        <v>C6333KIEU QUOC TUAN050053004560</v>
      </c>
      <c r="K934" s="607">
        <f t="shared" ref="K934:K997" si="41">+IF(J934=I934,1,0)</f>
        <v>1</v>
      </c>
      <c r="P934" s="685"/>
    </row>
    <row r="935" spans="1:16" s="607" customFormat="1" ht="18" customHeight="1">
      <c r="A935" s="826">
        <f>SUBTOTAL(3,B$6:B935)</f>
        <v>930</v>
      </c>
      <c r="B935" s="824" t="s">
        <v>2699</v>
      </c>
      <c r="C935" s="824" t="str">
        <f>+VLOOKUP(B935,'Salary sheet'!$B$6:$AX$1386,48,0)</f>
        <v>CAO DINH KHANH</v>
      </c>
      <c r="D935" s="824" t="str">
        <f>+VLOOKUP(B935,'Salary sheet'!$B$6:$BW$1386,49,0)</f>
        <v>050087500761</v>
      </c>
      <c r="E935" s="620">
        <f>+VLOOKUP(B935,'Salary sheet'!$B$6:$AT$1292,45,0)</f>
        <v>9491473</v>
      </c>
      <c r="F935" s="1029" t="s">
        <v>5723</v>
      </c>
      <c r="G935" s="824" t="str">
        <f>+VLOOKUP(B935,'Salary sheet'!$B$6:$E$2281,4,0)</f>
        <v>SK2</v>
      </c>
      <c r="H935" s="607" t="str">
        <f>+VLOOKUP(B935,'Salary sheet'!$B$6:$AZ$1386,50,0)</f>
        <v>SK2</v>
      </c>
      <c r="I935" s="607" t="str">
        <f t="shared" si="40"/>
        <v>C7189CAO DINH KHANH050087500761</v>
      </c>
      <c r="J935" s="853" t="str">
        <f>+VLOOKUP(B935,'[5]04 2025'!$B$2:$F$1371,5,0)</f>
        <v>C7189CAO DINH KHANH050087500761</v>
      </c>
      <c r="K935" s="607">
        <f t="shared" si="41"/>
        <v>1</v>
      </c>
      <c r="P935" s="685"/>
    </row>
    <row r="936" spans="1:16" s="607" customFormat="1" ht="18" customHeight="1">
      <c r="A936" s="826">
        <f>SUBTOTAL(3,B$6:B936)</f>
        <v>931</v>
      </c>
      <c r="B936" s="824" t="s">
        <v>2701</v>
      </c>
      <c r="C936" s="824" t="str">
        <f>+VLOOKUP(B936,'Salary sheet'!$B$6:$AX$1386,48,0)</f>
        <v>NGUYEN NGOC THANG</v>
      </c>
      <c r="D936" s="824" t="str">
        <f>+VLOOKUP(B936,'Salary sheet'!$B$6:$BW$1386,49,0)</f>
        <v>050049872922</v>
      </c>
      <c r="E936" s="620">
        <f>+VLOOKUP(B936,'Salary sheet'!$B$6:$AT$1292,45,0)</f>
        <v>10604160</v>
      </c>
      <c r="F936" s="1029" t="s">
        <v>5723</v>
      </c>
      <c r="G936" s="824" t="str">
        <f>+VLOOKUP(B936,'Salary sheet'!$B$6:$E$2281,4,0)</f>
        <v>SK2</v>
      </c>
      <c r="H936" s="607" t="str">
        <f>+VLOOKUP(B936,'Salary sheet'!$B$6:$AZ$1386,50,0)</f>
        <v>SK2</v>
      </c>
      <c r="I936" s="607" t="str">
        <f t="shared" si="40"/>
        <v>C7966NGUYEN NGOC THANG050049872922</v>
      </c>
      <c r="J936" s="853" t="str">
        <f>+VLOOKUP(B936,'[5]04 2025'!$B$2:$F$1371,5,0)</f>
        <v>C7966NGUYEN NGOC THANG050049872922</v>
      </c>
      <c r="K936" s="607">
        <f t="shared" si="41"/>
        <v>1</v>
      </c>
      <c r="P936" s="685"/>
    </row>
    <row r="937" spans="1:16" s="607" customFormat="1" ht="18" customHeight="1">
      <c r="A937" s="826">
        <f>SUBTOTAL(3,B$6:B937)</f>
        <v>932</v>
      </c>
      <c r="B937" s="824" t="s">
        <v>2703</v>
      </c>
      <c r="C937" s="824" t="str">
        <f>+VLOOKUP(B937,'Salary sheet'!$B$6:$AX$1386,48,0)</f>
        <v>PHAM HOANG VU</v>
      </c>
      <c r="D937" s="824" t="str">
        <f>+VLOOKUP(B937,'Salary sheet'!$B$6:$BW$1386,49,0)</f>
        <v>050091850467</v>
      </c>
      <c r="E937" s="620">
        <f>+VLOOKUP(B937,'Salary sheet'!$B$6:$AT$1292,45,0)</f>
        <v>10807698</v>
      </c>
      <c r="F937" s="1029" t="s">
        <v>5723</v>
      </c>
      <c r="G937" s="824" t="str">
        <f>+VLOOKUP(B937,'Salary sheet'!$B$6:$E$2281,4,0)</f>
        <v>SK2</v>
      </c>
      <c r="H937" s="607" t="str">
        <f>+VLOOKUP(B937,'Salary sheet'!$B$6:$AZ$1386,50,0)</f>
        <v>SK2</v>
      </c>
      <c r="I937" s="607" t="str">
        <f t="shared" si="40"/>
        <v>C12498PHAM HOANG VU050091850467</v>
      </c>
      <c r="J937" s="853" t="str">
        <f>+VLOOKUP(B937,'[5]04 2025'!$B$2:$F$1371,5,0)</f>
        <v>C12498PHAM HOANG VU050091850467</v>
      </c>
      <c r="K937" s="607">
        <f t="shared" si="41"/>
        <v>1</v>
      </c>
      <c r="P937" s="685"/>
    </row>
    <row r="938" spans="1:16" s="607" customFormat="1" ht="18" customHeight="1">
      <c r="A938" s="826">
        <f>SUBTOTAL(3,B$6:B938)</f>
        <v>933</v>
      </c>
      <c r="B938" s="824" t="s">
        <v>2705</v>
      </c>
      <c r="C938" s="824" t="str">
        <f>+VLOOKUP(B938,'Salary sheet'!$B$6:$AX$1386,48,0)</f>
        <v>MAI THANH HAI</v>
      </c>
      <c r="D938" s="824" t="str">
        <f>+VLOOKUP(B938,'Salary sheet'!$B$6:$BW$1386,49,0)</f>
        <v>050121373405</v>
      </c>
      <c r="E938" s="620">
        <f>+VLOOKUP(B938,'Salary sheet'!$B$6:$AT$1292,45,0)</f>
        <v>9241844</v>
      </c>
      <c r="F938" s="1029" t="s">
        <v>5723</v>
      </c>
      <c r="G938" s="824" t="str">
        <f>+VLOOKUP(B938,'Salary sheet'!$B$6:$E$2281,4,0)</f>
        <v>SK2</v>
      </c>
      <c r="H938" s="607" t="str">
        <f>+VLOOKUP(B938,'Salary sheet'!$B$6:$AZ$1386,50,0)</f>
        <v>SK2</v>
      </c>
      <c r="I938" s="607" t="str">
        <f t="shared" si="40"/>
        <v>C12505MAI THANH HAI050121373405</v>
      </c>
      <c r="J938" s="853" t="str">
        <f>+VLOOKUP(B938,'[5]04 2025'!$B$2:$F$1371,5,0)</f>
        <v>C12505MAI THANH HAI050121373405</v>
      </c>
      <c r="K938" s="607">
        <f t="shared" si="41"/>
        <v>1</v>
      </c>
      <c r="P938" s="685"/>
    </row>
    <row r="939" spans="1:16" s="607" customFormat="1" ht="18" customHeight="1">
      <c r="A939" s="826">
        <f>SUBTOTAL(3,B$6:B939)</f>
        <v>934</v>
      </c>
      <c r="B939" s="824" t="s">
        <v>2707</v>
      </c>
      <c r="C939" s="824" t="str">
        <f>+VLOOKUP(B939,'Salary sheet'!$B$6:$AX$1386,48,0)</f>
        <v>VO MINH KHANG</v>
      </c>
      <c r="D939" s="824" t="str">
        <f>+VLOOKUP(B939,'Salary sheet'!$B$6:$BW$1386,49,0)</f>
        <v>050112146714</v>
      </c>
      <c r="E939" s="620">
        <f>+VLOOKUP(B939,'Salary sheet'!$B$6:$AT$1292,45,0)</f>
        <v>10995884</v>
      </c>
      <c r="F939" s="1029" t="s">
        <v>5723</v>
      </c>
      <c r="G939" s="824" t="str">
        <f>+VLOOKUP(B939,'Salary sheet'!$B$6:$E$2281,4,0)</f>
        <v>SK2</v>
      </c>
      <c r="H939" s="607" t="str">
        <f>+VLOOKUP(B939,'Salary sheet'!$B$6:$AZ$1386,50,0)</f>
        <v>SK2</v>
      </c>
      <c r="I939" s="607" t="str">
        <f t="shared" si="40"/>
        <v>C13310VO MINH KHANG050112146714</v>
      </c>
      <c r="J939" s="853" t="str">
        <f>+VLOOKUP(B939,'[5]04 2025'!$B$2:$F$1371,5,0)</f>
        <v>C13310VO MINH KHANG050112146714</v>
      </c>
      <c r="K939" s="607">
        <f t="shared" si="41"/>
        <v>1</v>
      </c>
      <c r="P939" s="685"/>
    </row>
    <row r="940" spans="1:16" s="607" customFormat="1" ht="18" customHeight="1">
      <c r="A940" s="826">
        <f>SUBTOTAL(3,B$6:B940)</f>
        <v>935</v>
      </c>
      <c r="B940" s="824" t="s">
        <v>2709</v>
      </c>
      <c r="C940" s="824" t="str">
        <f>+VLOOKUP(B940,'Salary sheet'!$B$6:$AX$1386,48,0)</f>
        <v>MAI LONG HAI</v>
      </c>
      <c r="D940" s="824" t="str">
        <f>+VLOOKUP(B940,'Salary sheet'!$B$6:$BW$1386,49,0)</f>
        <v>050110058850</v>
      </c>
      <c r="E940" s="620">
        <f>+VLOOKUP(B940,'Salary sheet'!$B$6:$AT$1292,45,0)</f>
        <v>9798984</v>
      </c>
      <c r="F940" s="1029" t="s">
        <v>5723</v>
      </c>
      <c r="G940" s="824" t="str">
        <f>+VLOOKUP(B940,'Salary sheet'!$B$6:$E$2281,4,0)</f>
        <v>SK2</v>
      </c>
      <c r="H940" s="607" t="str">
        <f>+VLOOKUP(B940,'Salary sheet'!$B$6:$AZ$1386,50,0)</f>
        <v>SK2</v>
      </c>
      <c r="I940" s="607" t="str">
        <f t="shared" si="40"/>
        <v>C13311MAI LONG HAI050110058850</v>
      </c>
      <c r="J940" s="853" t="str">
        <f>+VLOOKUP(B940,'[5]04 2025'!$B$2:$F$1371,5,0)</f>
        <v>C13311MAI LONG HAI050110058850</v>
      </c>
      <c r="K940" s="607">
        <f t="shared" si="41"/>
        <v>1</v>
      </c>
      <c r="P940" s="685"/>
    </row>
    <row r="941" spans="1:16" s="607" customFormat="1" ht="18" customHeight="1">
      <c r="A941" s="826">
        <f>SUBTOTAL(3,B$6:B941)</f>
        <v>936</v>
      </c>
      <c r="B941" s="824" t="s">
        <v>2711</v>
      </c>
      <c r="C941" s="824" t="str">
        <f>+VLOOKUP(B941,'Salary sheet'!$B$6:$AX$1386,48,0)</f>
        <v>NGUYEN NGOC PHUOC</v>
      </c>
      <c r="D941" s="824" t="str">
        <f>+VLOOKUP(B941,'Salary sheet'!$B$6:$BW$1386,49,0)</f>
        <v>050060898380</v>
      </c>
      <c r="E941" s="620">
        <f>+VLOOKUP(B941,'Salary sheet'!$B$6:$AT$1292,45,0)</f>
        <v>8833142</v>
      </c>
      <c r="F941" s="1029" t="s">
        <v>5723</v>
      </c>
      <c r="G941" s="824" t="str">
        <f>+VLOOKUP(B941,'Salary sheet'!$B$6:$E$2281,4,0)</f>
        <v>SK2</v>
      </c>
      <c r="H941" s="607" t="str">
        <f>+VLOOKUP(B941,'Salary sheet'!$B$6:$AZ$1386,50,0)</f>
        <v>SK2</v>
      </c>
      <c r="I941" s="607" t="str">
        <f t="shared" si="40"/>
        <v>C15087NGUYEN NGOC PHUOC050060898380</v>
      </c>
      <c r="J941" s="853" t="str">
        <f>+VLOOKUP(B941,'[5]04 2025'!$B$2:$F$1371,5,0)</f>
        <v>C15087NGUYEN NGOC PHUOC050060898380</v>
      </c>
      <c r="K941" s="607">
        <f t="shared" si="41"/>
        <v>1</v>
      </c>
      <c r="P941" s="685"/>
    </row>
    <row r="942" spans="1:16" s="607" customFormat="1" ht="18" customHeight="1">
      <c r="A942" s="826">
        <f>SUBTOTAL(3,B$6:B942)</f>
        <v>937</v>
      </c>
      <c r="B942" s="824" t="s">
        <v>2713</v>
      </c>
      <c r="C942" s="824" t="str">
        <f>+VLOOKUP(B942,'Salary sheet'!$B$6:$AX$1386,48,0)</f>
        <v>NGUYEN NGOC LIEN</v>
      </c>
      <c r="D942" s="824" t="str">
        <f>+VLOOKUP(B942,'Salary sheet'!$B$6:$BW$1386,49,0)</f>
        <v>050143681774</v>
      </c>
      <c r="E942" s="620">
        <f>+VLOOKUP(B942,'Salary sheet'!$B$6:$AT$1292,45,0)</f>
        <v>9965460</v>
      </c>
      <c r="F942" s="1029" t="s">
        <v>5723</v>
      </c>
      <c r="G942" s="824" t="str">
        <f>+VLOOKUP(B942,'Salary sheet'!$B$6:$E$2281,4,0)</f>
        <v>SK2</v>
      </c>
      <c r="H942" s="607" t="str">
        <f>+VLOOKUP(B942,'Salary sheet'!$B$6:$AZ$1386,50,0)</f>
        <v>SK2</v>
      </c>
      <c r="I942" s="607" t="str">
        <f t="shared" si="40"/>
        <v>C15405NGUYEN NGOC LIEN050143681774</v>
      </c>
      <c r="J942" s="853" t="str">
        <f>+VLOOKUP(B942,'[5]04 2025'!$B$2:$F$1371,5,0)</f>
        <v>C15405NGUYEN NGOC LIEN050143681774</v>
      </c>
      <c r="K942" s="607">
        <f t="shared" si="41"/>
        <v>1</v>
      </c>
      <c r="P942" s="685"/>
    </row>
    <row r="943" spans="1:16" s="607" customFormat="1" ht="18" customHeight="1">
      <c r="A943" s="826">
        <f>SUBTOTAL(3,B$6:B943)</f>
        <v>938</v>
      </c>
      <c r="B943" s="824" t="s">
        <v>2715</v>
      </c>
      <c r="C943" s="824" t="str">
        <f>+VLOOKUP(B943,'Salary sheet'!$B$6:$AX$1386,48,0)</f>
        <v>DIEU DUNG</v>
      </c>
      <c r="D943" s="824" t="str">
        <f>+VLOOKUP(B943,'Salary sheet'!$B$6:$BW$1386,49,0)</f>
        <v>050151356254</v>
      </c>
      <c r="E943" s="620">
        <f>+VLOOKUP(B943,'Salary sheet'!$B$6:$AT$1292,45,0)</f>
        <v>8179698</v>
      </c>
      <c r="F943" s="1029" t="s">
        <v>5723</v>
      </c>
      <c r="G943" s="824" t="str">
        <f>+VLOOKUP(B943,'Salary sheet'!$B$6:$E$2281,4,0)</f>
        <v>SK2</v>
      </c>
      <c r="H943" s="607" t="str">
        <f>+VLOOKUP(B943,'Salary sheet'!$B$6:$AZ$1386,50,0)</f>
        <v>SK2</v>
      </c>
      <c r="I943" s="607" t="str">
        <f t="shared" si="40"/>
        <v>C15608DIEU DUNG050151356254</v>
      </c>
      <c r="J943" s="853" t="str">
        <f>+VLOOKUP(B943,'[5]04 2025'!$B$2:$F$1371,5,0)</f>
        <v>C15608DIEU DUNG050151356254</v>
      </c>
      <c r="K943" s="607">
        <f t="shared" si="41"/>
        <v>1</v>
      </c>
      <c r="P943" s="685"/>
    </row>
    <row r="944" spans="1:16" s="607" customFormat="1" ht="18" customHeight="1">
      <c r="A944" s="826">
        <f>SUBTOTAL(3,B$6:B944)</f>
        <v>939</v>
      </c>
      <c r="B944" s="824" t="s">
        <v>2716</v>
      </c>
      <c r="C944" s="824" t="str">
        <f>+VLOOKUP(B944,'Salary sheet'!$B$6:$AX$1386,48,0)</f>
        <v>SIU E SAI</v>
      </c>
      <c r="D944" s="824" t="str">
        <f>+VLOOKUP(B944,'Salary sheet'!$B$6:$BW$1386,49,0)</f>
        <v>050081796911</v>
      </c>
      <c r="E944" s="620">
        <f>+VLOOKUP(B944,'Salary sheet'!$B$6:$AT$1292,45,0)</f>
        <v>8595217</v>
      </c>
      <c r="F944" s="1029" t="s">
        <v>5723</v>
      </c>
      <c r="G944" s="824" t="str">
        <f>+VLOOKUP(B944,'Salary sheet'!$B$6:$E$2281,4,0)</f>
        <v>SK2</v>
      </c>
      <c r="H944" s="607" t="str">
        <f>+VLOOKUP(B944,'Salary sheet'!$B$6:$AZ$1386,50,0)</f>
        <v>SK2</v>
      </c>
      <c r="I944" s="607" t="str">
        <f t="shared" si="40"/>
        <v>C15665SIU E SAI050081796911</v>
      </c>
      <c r="J944" s="853" t="str">
        <f>+VLOOKUP(B944,'[5]04 2025'!$B$2:$F$1371,5,0)</f>
        <v>C15665SIU E SAI050081796911</v>
      </c>
      <c r="K944" s="607">
        <f t="shared" si="41"/>
        <v>1</v>
      </c>
      <c r="P944" s="685"/>
    </row>
    <row r="945" spans="1:16" s="607" customFormat="1" ht="18" customHeight="1">
      <c r="A945" s="826">
        <f>SUBTOTAL(3,B$6:B945)</f>
        <v>940</v>
      </c>
      <c r="B945" s="824" t="s">
        <v>2718</v>
      </c>
      <c r="C945" s="824" t="str">
        <f>+VLOOKUP(B945,'Salary sheet'!$B$6:$AX$1386,48,0)</f>
        <v>PHAN ANH DUC</v>
      </c>
      <c r="D945" s="824" t="str">
        <f>+VLOOKUP(B945,'Salary sheet'!$B$6:$BW$1386,49,0)</f>
        <v>050156047225</v>
      </c>
      <c r="E945" s="620">
        <f>+VLOOKUP(B945,'Salary sheet'!$B$6:$AT$1292,45,0)</f>
        <v>7614742</v>
      </c>
      <c r="F945" s="1029" t="s">
        <v>5723</v>
      </c>
      <c r="G945" s="824" t="str">
        <f>+VLOOKUP(B945,'Salary sheet'!$B$6:$E$2281,4,0)</f>
        <v>SK2</v>
      </c>
      <c r="H945" s="607" t="str">
        <f>+VLOOKUP(B945,'Salary sheet'!$B$6:$AZ$1386,50,0)</f>
        <v>SK2</v>
      </c>
      <c r="I945" s="607" t="str">
        <f t="shared" si="40"/>
        <v>C16272PHAN ANH DUC050156047225</v>
      </c>
      <c r="J945" s="853" t="str">
        <f>+VLOOKUP(B945,'[5]04 2025'!$B$2:$F$1371,5,0)</f>
        <v>C16272PHAN ANH DUC050156047225</v>
      </c>
      <c r="K945" s="607">
        <f t="shared" si="41"/>
        <v>1</v>
      </c>
      <c r="P945" s="685"/>
    </row>
    <row r="946" spans="1:16" s="607" customFormat="1" ht="18" customHeight="1">
      <c r="A946" s="826">
        <f>SUBTOTAL(3,B$6:B946)</f>
        <v>941</v>
      </c>
      <c r="B946" s="824" t="s">
        <v>2720</v>
      </c>
      <c r="C946" s="824" t="str">
        <f>+VLOOKUP(B946,'Salary sheet'!$B$6:$AX$1386,48,0)</f>
        <v>CAO MINH NHUT</v>
      </c>
      <c r="D946" s="824" t="str">
        <f>+VLOOKUP(B946,'Salary sheet'!$B$6:$BW$1386,49,0)</f>
        <v>050136196542</v>
      </c>
      <c r="E946" s="620">
        <f>+VLOOKUP(B946,'Salary sheet'!$B$6:$AT$1292,45,0)</f>
        <v>9081693</v>
      </c>
      <c r="F946" s="1029" t="s">
        <v>5723</v>
      </c>
      <c r="G946" s="824" t="str">
        <f>+VLOOKUP(B946,'Salary sheet'!$B$6:$E$2281,4,0)</f>
        <v>SK2</v>
      </c>
      <c r="H946" s="607" t="str">
        <f>+VLOOKUP(B946,'Salary sheet'!$B$6:$AZ$1386,50,0)</f>
        <v>SK2</v>
      </c>
      <c r="I946" s="607" t="str">
        <f t="shared" si="40"/>
        <v>C16407CAO MINH NHUT050136196542</v>
      </c>
      <c r="J946" s="853" t="str">
        <f>+VLOOKUP(B946,'[5]04 2025'!$B$2:$F$1371,5,0)</f>
        <v>C16407CAO MINH NHUT050136196542</v>
      </c>
      <c r="K946" s="607">
        <f t="shared" si="41"/>
        <v>1</v>
      </c>
      <c r="P946" s="685"/>
    </row>
    <row r="947" spans="1:16" s="607" customFormat="1" ht="18" customHeight="1">
      <c r="A947" s="826">
        <f>SUBTOTAL(3,B$6:B947)</f>
        <v>942</v>
      </c>
      <c r="B947" s="824" t="s">
        <v>2723</v>
      </c>
      <c r="C947" s="824" t="str">
        <f>+VLOOKUP(B947,'Salary sheet'!$B$6:$AX$1386,48,0)</f>
        <v>NGUYEN DUY BAO</v>
      </c>
      <c r="D947" s="824" t="str">
        <f>+VLOOKUP(B947,'Salary sheet'!$B$6:$BW$1386,49,0)</f>
        <v>050135409992</v>
      </c>
      <c r="E947" s="620">
        <f>+VLOOKUP(B947,'Salary sheet'!$B$6:$AT$1292,45,0)</f>
        <v>9215440</v>
      </c>
      <c r="F947" s="1029" t="s">
        <v>5723</v>
      </c>
      <c r="G947" s="824" t="str">
        <f>+VLOOKUP(B947,'Salary sheet'!$B$6:$E$2281,4,0)</f>
        <v>SK2</v>
      </c>
      <c r="H947" s="607" t="str">
        <f>+VLOOKUP(B947,'Salary sheet'!$B$6:$AZ$1386,50,0)</f>
        <v>SK2</v>
      </c>
      <c r="I947" s="607" t="str">
        <f t="shared" si="40"/>
        <v>C16415NGUYEN DUY BAO050135409992</v>
      </c>
      <c r="J947" s="853" t="str">
        <f>+VLOOKUP(B947,'[5]04 2025'!$B$2:$F$1371,5,0)</f>
        <v>C16415NGUYEN DUY BAO050135409992</v>
      </c>
      <c r="K947" s="607">
        <f t="shared" si="41"/>
        <v>1</v>
      </c>
      <c r="P947" s="685"/>
    </row>
    <row r="948" spans="1:16" s="607" customFormat="1" ht="18" customHeight="1">
      <c r="A948" s="826">
        <f>SUBTOTAL(3,B$6:B948)</f>
        <v>943</v>
      </c>
      <c r="B948" s="824" t="s">
        <v>2725</v>
      </c>
      <c r="C948" s="824" t="str">
        <f>+VLOOKUP(B948,'Salary sheet'!$B$6:$AX$1386,48,0)</f>
        <v>NGUYEN CONG DANH</v>
      </c>
      <c r="D948" s="824" t="str">
        <f>+VLOOKUP(B948,'Salary sheet'!$B$6:$BW$1386,49,0)</f>
        <v>050096742379</v>
      </c>
      <c r="E948" s="620">
        <f>+VLOOKUP(B948,'Salary sheet'!$B$6:$AT$1292,45,0)</f>
        <v>8792750</v>
      </c>
      <c r="F948" s="1029" t="s">
        <v>5723</v>
      </c>
      <c r="G948" s="824" t="str">
        <f>+VLOOKUP(B948,'Salary sheet'!$B$6:$E$2281,4,0)</f>
        <v>SK2</v>
      </c>
      <c r="H948" s="607" t="str">
        <f>+VLOOKUP(B948,'Salary sheet'!$B$6:$AZ$1386,50,0)</f>
        <v>SK2</v>
      </c>
      <c r="I948" s="607" t="str">
        <f t="shared" si="40"/>
        <v>C16439NGUYEN CONG DANH050096742379</v>
      </c>
      <c r="J948" s="853" t="str">
        <f>+VLOOKUP(B948,'[5]04 2025'!$B$2:$F$1371,5,0)</f>
        <v>C16439NGUYEN CONG DANH050096742379</v>
      </c>
      <c r="K948" s="607">
        <f t="shared" si="41"/>
        <v>1</v>
      </c>
      <c r="P948" s="685"/>
    </row>
    <row r="949" spans="1:16" s="607" customFormat="1" ht="18" customHeight="1">
      <c r="A949" s="826">
        <f>SUBTOTAL(3,B$6:B949)</f>
        <v>944</v>
      </c>
      <c r="B949" s="824" t="s">
        <v>2727</v>
      </c>
      <c r="C949" s="824" t="str">
        <f>+VLOOKUP(B949,'Salary sheet'!$B$6:$AX$1386,48,0)</f>
        <v>NGUYEN THANH MINH NGHIA</v>
      </c>
      <c r="D949" s="824" t="str">
        <f>+VLOOKUP(B949,'Salary sheet'!$B$6:$BW$1386,49,0)</f>
        <v>050158693647</v>
      </c>
      <c r="E949" s="620">
        <f>+VLOOKUP(B949,'Salary sheet'!$B$6:$AT$1292,45,0)</f>
        <v>8415685</v>
      </c>
      <c r="F949" s="1029" t="s">
        <v>5723</v>
      </c>
      <c r="G949" s="824" t="str">
        <f>+VLOOKUP(B949,'Salary sheet'!$B$6:$E$2281,4,0)</f>
        <v>SK2</v>
      </c>
      <c r="H949" s="607" t="str">
        <f>+VLOOKUP(B949,'Salary sheet'!$B$6:$AZ$1386,50,0)</f>
        <v>SK2</v>
      </c>
      <c r="I949" s="607" t="str">
        <f t="shared" si="40"/>
        <v>C16443NGUYEN THANH MINH NGHIA050158693647</v>
      </c>
      <c r="J949" s="853" t="str">
        <f>+VLOOKUP(B949,'[5]04 2025'!$B$2:$F$1371,5,0)</f>
        <v>C16443NGUYEN THANH MINH NGHIA050158693647</v>
      </c>
      <c r="K949" s="607">
        <f t="shared" si="41"/>
        <v>1</v>
      </c>
      <c r="P949" s="685"/>
    </row>
    <row r="950" spans="1:16" s="607" customFormat="1" ht="18" customHeight="1">
      <c r="A950" s="826">
        <f>SUBTOTAL(3,B$6:B950)</f>
        <v>945</v>
      </c>
      <c r="B950" s="824" t="s">
        <v>2729</v>
      </c>
      <c r="C950" s="824" t="str">
        <f>+VLOOKUP(B950,'Salary sheet'!$B$6:$AX$1386,48,0)</f>
        <v>HOANG THANH DO</v>
      </c>
      <c r="D950" s="824" t="str">
        <f>+VLOOKUP(B950,'Salary sheet'!$B$6:$BW$1386,49,0)</f>
        <v>050067092780</v>
      </c>
      <c r="E950" s="620">
        <f>+VLOOKUP(B950,'Salary sheet'!$B$6:$AT$1292,45,0)</f>
        <v>12818162</v>
      </c>
      <c r="F950" s="1029" t="s">
        <v>5723</v>
      </c>
      <c r="G950" s="824" t="str">
        <f>+VLOOKUP(B950,'Salary sheet'!$B$6:$E$2281,4,0)</f>
        <v>SK2</v>
      </c>
      <c r="H950" s="607" t="str">
        <f>+VLOOKUP(B950,'Salary sheet'!$B$6:$AZ$1386,50,0)</f>
        <v>SK2</v>
      </c>
      <c r="I950" s="607" t="str">
        <f t="shared" si="40"/>
        <v>C8922HOANG THANH DO050067092780</v>
      </c>
      <c r="J950" s="853" t="str">
        <f>+VLOOKUP(B950,'[5]04 2025'!$B$2:$F$1371,5,0)</f>
        <v>C8922HOANG THANH DO050067092780</v>
      </c>
      <c r="K950" s="607">
        <f t="shared" si="41"/>
        <v>1</v>
      </c>
      <c r="P950" s="685"/>
    </row>
    <row r="951" spans="1:16" s="607" customFormat="1" ht="18" customHeight="1">
      <c r="A951" s="826">
        <f>SUBTOTAL(3,B$6:B951)</f>
        <v>946</v>
      </c>
      <c r="B951" s="824" t="s">
        <v>2731</v>
      </c>
      <c r="C951" s="824" t="str">
        <f>+VLOOKUP(B951,'Salary sheet'!$B$6:$AX$1386,48,0)</f>
        <v>NGUYEN VAN LINH</v>
      </c>
      <c r="D951" s="824" t="str">
        <f>+VLOOKUP(B951,'Salary sheet'!$B$6:$BW$1386,49,0)</f>
        <v>050061079804</v>
      </c>
      <c r="E951" s="620">
        <f>+VLOOKUP(B951,'Salary sheet'!$B$6:$AT$1292,45,0)</f>
        <v>10414924</v>
      </c>
      <c r="F951" s="1029" t="s">
        <v>5723</v>
      </c>
      <c r="G951" s="824" t="str">
        <f>+VLOOKUP(B951,'Salary sheet'!$B$6:$E$2281,4,0)</f>
        <v>SK2</v>
      </c>
      <c r="H951" s="607" t="str">
        <f>+VLOOKUP(B951,'Salary sheet'!$B$6:$AZ$1386,50,0)</f>
        <v>SK2</v>
      </c>
      <c r="I951" s="607" t="str">
        <f t="shared" ref="I951:I1014" si="42">+CONCATENATE(B951,C951,D951)</f>
        <v>C11481NGUYEN VAN LINH050061079804</v>
      </c>
      <c r="J951" s="853" t="str">
        <f>+VLOOKUP(B951,'[5]04 2025'!$B$2:$F$1371,5,0)</f>
        <v>C11481NGUYEN VAN LINH050061079804</v>
      </c>
      <c r="K951" s="607">
        <f t="shared" si="41"/>
        <v>1</v>
      </c>
      <c r="P951" s="685"/>
    </row>
    <row r="952" spans="1:16" s="607" customFormat="1" ht="18" customHeight="1">
      <c r="A952" s="826">
        <f>SUBTOTAL(3,B$6:B952)</f>
        <v>947</v>
      </c>
      <c r="B952" s="824" t="s">
        <v>2732</v>
      </c>
      <c r="C952" s="824" t="str">
        <f>+VLOOKUP(B952,'Salary sheet'!$B$6:$AX$1386,48,0)</f>
        <v>TRAN XUAN HUNG</v>
      </c>
      <c r="D952" s="824" t="str">
        <f>+VLOOKUP(B952,'Salary sheet'!$B$6:$BW$1386,49,0)</f>
        <v>050078137174</v>
      </c>
      <c r="E952" s="620">
        <f>+VLOOKUP(B952,'Salary sheet'!$B$6:$AT$1292,45,0)</f>
        <v>10192320</v>
      </c>
      <c r="F952" s="1029" t="s">
        <v>5723</v>
      </c>
      <c r="G952" s="824" t="str">
        <f>+VLOOKUP(B952,'Salary sheet'!$B$6:$E$2281,4,0)</f>
        <v>SK2</v>
      </c>
      <c r="H952" s="607" t="str">
        <f>+VLOOKUP(B952,'Salary sheet'!$B$6:$AZ$1386,50,0)</f>
        <v>SK2</v>
      </c>
      <c r="I952" s="607" t="str">
        <f t="shared" si="42"/>
        <v>C11649TRAN XUAN HUNG050078137174</v>
      </c>
      <c r="J952" s="853" t="str">
        <f>+VLOOKUP(B952,'[5]04 2025'!$B$2:$F$1371,5,0)</f>
        <v>C11649TRAN XUAN HUNG050078137174</v>
      </c>
      <c r="K952" s="607">
        <f t="shared" si="41"/>
        <v>1</v>
      </c>
      <c r="P952" s="685"/>
    </row>
    <row r="953" spans="1:16" s="607" customFormat="1" ht="18" customHeight="1">
      <c r="A953" s="826">
        <f>SUBTOTAL(3,B$6:B953)</f>
        <v>948</v>
      </c>
      <c r="B953" s="824" t="s">
        <v>2734</v>
      </c>
      <c r="C953" s="824" t="str">
        <f>+VLOOKUP(B953,'Salary sheet'!$B$6:$AX$1386,48,0)</f>
        <v>NGUYEN NHAT DUY</v>
      </c>
      <c r="D953" s="824" t="str">
        <f>+VLOOKUP(B953,'Salary sheet'!$B$6:$BW$1386,49,0)</f>
        <v>050095670935</v>
      </c>
      <c r="E953" s="620">
        <f>+VLOOKUP(B953,'Salary sheet'!$B$6:$AT$1292,45,0)</f>
        <v>10056133</v>
      </c>
      <c r="F953" s="1029" t="s">
        <v>5723</v>
      </c>
      <c r="G953" s="824" t="str">
        <f>+VLOOKUP(B953,'Salary sheet'!$B$6:$E$2281,4,0)</f>
        <v>SK2</v>
      </c>
      <c r="H953" s="607" t="str">
        <f>+VLOOKUP(B953,'Salary sheet'!$B$6:$AZ$1386,50,0)</f>
        <v>SK2</v>
      </c>
      <c r="I953" s="607" t="str">
        <f t="shared" si="42"/>
        <v>C12340NGUYEN NHAT DUY050095670935</v>
      </c>
      <c r="J953" s="853" t="str">
        <f>+VLOOKUP(B953,'[5]04 2025'!$B$2:$F$1371,5,0)</f>
        <v>C12340NGUYEN NHAT DUY050095670935</v>
      </c>
      <c r="K953" s="607">
        <f t="shared" si="41"/>
        <v>1</v>
      </c>
      <c r="P953" s="685"/>
    </row>
    <row r="954" spans="1:16" s="607" customFormat="1" ht="18" customHeight="1">
      <c r="A954" s="826">
        <f>SUBTOTAL(3,B$6:B954)</f>
        <v>949</v>
      </c>
      <c r="B954" s="824" t="s">
        <v>2736</v>
      </c>
      <c r="C954" s="824" t="str">
        <f>+VLOOKUP(B954,'Salary sheet'!$B$6:$AX$1386,48,0)</f>
        <v>VU VAN TU</v>
      </c>
      <c r="D954" s="824" t="str">
        <f>+VLOOKUP(B954,'Salary sheet'!$B$6:$BW$1386,49,0)</f>
        <v>050089016824</v>
      </c>
      <c r="E954" s="620">
        <f>+VLOOKUP(B954,'Salary sheet'!$B$6:$AT$1292,45,0)</f>
        <v>10685983</v>
      </c>
      <c r="F954" s="1029" t="s">
        <v>5723</v>
      </c>
      <c r="G954" s="824" t="str">
        <f>+VLOOKUP(B954,'Salary sheet'!$B$6:$E$2281,4,0)</f>
        <v>SK2</v>
      </c>
      <c r="H954" s="607" t="str">
        <f>+VLOOKUP(B954,'Salary sheet'!$B$6:$AZ$1386,50,0)</f>
        <v>SK2</v>
      </c>
      <c r="I954" s="607" t="str">
        <f t="shared" si="42"/>
        <v>C13303VU VAN TU050089016824</v>
      </c>
      <c r="J954" s="853" t="str">
        <f>+VLOOKUP(B954,'[5]04 2025'!$B$2:$F$1371,5,0)</f>
        <v>C13303VU VAN TU050089016824</v>
      </c>
      <c r="K954" s="607">
        <f t="shared" si="41"/>
        <v>1</v>
      </c>
      <c r="P954" s="685"/>
    </row>
    <row r="955" spans="1:16" s="607" customFormat="1" ht="18" customHeight="1">
      <c r="A955" s="826">
        <f>SUBTOTAL(3,B$6:B955)</f>
        <v>950</v>
      </c>
      <c r="B955" s="824" t="s">
        <v>2738</v>
      </c>
      <c r="C955" s="824" t="str">
        <f>+VLOOKUP(B955,'Salary sheet'!$B$6:$AX$1386,48,0)</f>
        <v>DIEU NHAT</v>
      </c>
      <c r="D955" s="824" t="str">
        <f>+VLOOKUP(B955,'Salary sheet'!$B$6:$BW$1386,49,0)</f>
        <v>050111253916</v>
      </c>
      <c r="E955" s="620">
        <f>+VLOOKUP(B955,'Salary sheet'!$B$6:$AT$1292,45,0)</f>
        <v>9379577</v>
      </c>
      <c r="F955" s="1029" t="s">
        <v>5723</v>
      </c>
      <c r="G955" s="824" t="str">
        <f>+VLOOKUP(B955,'Salary sheet'!$B$6:$E$2281,4,0)</f>
        <v>SK2</v>
      </c>
      <c r="H955" s="607" t="str">
        <f>+VLOOKUP(B955,'Salary sheet'!$B$6:$AZ$1386,50,0)</f>
        <v>SK2</v>
      </c>
      <c r="I955" s="607" t="str">
        <f t="shared" si="42"/>
        <v>C15585DIEU NHAT050111253916</v>
      </c>
      <c r="J955" s="853" t="str">
        <f>+VLOOKUP(B955,'[5]04 2025'!$B$2:$F$1371,5,0)</f>
        <v>C15585DIEU NHAT050111253916</v>
      </c>
      <c r="K955" s="607">
        <f t="shared" si="41"/>
        <v>1</v>
      </c>
      <c r="P955" s="685"/>
    </row>
    <row r="956" spans="1:16" s="607" customFormat="1" ht="18" customHeight="1">
      <c r="A956" s="826">
        <f>SUBTOTAL(3,B$6:B956)</f>
        <v>951</v>
      </c>
      <c r="B956" s="824" t="s">
        <v>2740</v>
      </c>
      <c r="C956" s="824" t="str">
        <f>+VLOOKUP(B956,'Salary sheet'!$B$6:$AX$1386,48,0)</f>
        <v>TRINH VAN THANG</v>
      </c>
      <c r="D956" s="824" t="str">
        <f>+VLOOKUP(B956,'Salary sheet'!$B$6:$BW$1386,49,0)</f>
        <v>050152670920</v>
      </c>
      <c r="E956" s="620">
        <f>+VLOOKUP(B956,'Salary sheet'!$B$6:$AT$1292,45,0)</f>
        <v>9516251</v>
      </c>
      <c r="F956" s="1029" t="s">
        <v>5723</v>
      </c>
      <c r="G956" s="824" t="str">
        <f>+VLOOKUP(B956,'Salary sheet'!$B$6:$E$2281,4,0)</f>
        <v>SK2</v>
      </c>
      <c r="H956" s="607" t="str">
        <f>+VLOOKUP(B956,'Salary sheet'!$B$6:$AZ$1386,50,0)</f>
        <v>SK2</v>
      </c>
      <c r="I956" s="607" t="str">
        <f t="shared" si="42"/>
        <v>C15791TRINH VAN THANG050152670920</v>
      </c>
      <c r="J956" s="853" t="str">
        <f>+VLOOKUP(B956,'[5]04 2025'!$B$2:$F$1371,5,0)</f>
        <v>C15791TRINH VAN THANG050152670920</v>
      </c>
      <c r="K956" s="607">
        <f t="shared" si="41"/>
        <v>1</v>
      </c>
      <c r="P956" s="685"/>
    </row>
    <row r="957" spans="1:16" s="607" customFormat="1" ht="18" customHeight="1">
      <c r="A957" s="826">
        <f>SUBTOTAL(3,B$6:B957)</f>
        <v>952</v>
      </c>
      <c r="B957" s="824" t="s">
        <v>2742</v>
      </c>
      <c r="C957" s="824" t="str">
        <f>+VLOOKUP(B957,'Salary sheet'!$B$6:$AX$1386,48,0)</f>
        <v>PHAM ANH TUNG</v>
      </c>
      <c r="D957" s="824" t="str">
        <f>+VLOOKUP(B957,'Salary sheet'!$B$6:$BW$1386,49,0)</f>
        <v>050110471014</v>
      </c>
      <c r="E957" s="620">
        <f>+VLOOKUP(B957,'Salary sheet'!$B$6:$AT$1292,45,0)</f>
        <v>8218395</v>
      </c>
      <c r="F957" s="1029" t="s">
        <v>5723</v>
      </c>
      <c r="G957" s="824" t="str">
        <f>+VLOOKUP(B957,'Salary sheet'!$B$6:$E$2281,4,0)</f>
        <v>SK2</v>
      </c>
      <c r="H957" s="607" t="str">
        <f>+VLOOKUP(B957,'Salary sheet'!$B$6:$AZ$1386,50,0)</f>
        <v>SK2</v>
      </c>
      <c r="I957" s="607" t="str">
        <f t="shared" si="42"/>
        <v>C15990PHAM ANH TUNG050110471014</v>
      </c>
      <c r="J957" s="853" t="str">
        <f>+VLOOKUP(B957,'[5]04 2025'!$B$2:$F$1371,5,0)</f>
        <v>C15990PHAM ANH TUNG050110471014</v>
      </c>
      <c r="K957" s="607">
        <f t="shared" si="41"/>
        <v>1</v>
      </c>
      <c r="P957" s="685"/>
    </row>
    <row r="958" spans="1:16" s="607" customFormat="1" ht="18" customHeight="1">
      <c r="A958" s="826">
        <f>SUBTOTAL(3,B$6:B958)</f>
        <v>953</v>
      </c>
      <c r="B958" s="824" t="s">
        <v>2744</v>
      </c>
      <c r="C958" s="824" t="str">
        <f>+VLOOKUP(B958,'Salary sheet'!$B$6:$AX$1386,48,0)</f>
        <v>THANG QUYEN ANH</v>
      </c>
      <c r="D958" s="824" t="str">
        <f>+VLOOKUP(B958,'Salary sheet'!$B$6:$BW$1386,49,0)</f>
        <v>050158172736</v>
      </c>
      <c r="E958" s="620">
        <f>+VLOOKUP(B958,'Salary sheet'!$B$6:$AT$1292,45,0)</f>
        <v>8237940</v>
      </c>
      <c r="F958" s="1029" t="s">
        <v>5723</v>
      </c>
      <c r="G958" s="824" t="str">
        <f>+VLOOKUP(B958,'Salary sheet'!$B$6:$E$2281,4,0)</f>
        <v>SK2</v>
      </c>
      <c r="H958" s="607" t="str">
        <f>+VLOOKUP(B958,'Salary sheet'!$B$6:$AZ$1386,50,0)</f>
        <v>SK2</v>
      </c>
      <c r="I958" s="607" t="str">
        <f t="shared" si="42"/>
        <v>C16404THANG QUYEN ANH050158172736</v>
      </c>
      <c r="J958" s="853" t="str">
        <f>+VLOOKUP(B958,'[5]04 2025'!$B$2:$F$1371,5,0)</f>
        <v>C16404THANG QUYEN ANH050158172736</v>
      </c>
      <c r="K958" s="607">
        <f t="shared" si="41"/>
        <v>1</v>
      </c>
      <c r="P958" s="685"/>
    </row>
    <row r="959" spans="1:16" s="607" customFormat="1" ht="18" customHeight="1">
      <c r="A959" s="826">
        <f>SUBTOTAL(3,B$6:B959)</f>
        <v>954</v>
      </c>
      <c r="B959" s="824" t="s">
        <v>2746</v>
      </c>
      <c r="C959" s="824" t="str">
        <f>+VLOOKUP(B959,'Salary sheet'!$B$6:$AX$1386,48,0)</f>
        <v>MAI PHI THE</v>
      </c>
      <c r="D959" s="824" t="str">
        <f>+VLOOKUP(B959,'Salary sheet'!$B$6:$BW$1386,49,0)</f>
        <v>050040934364</v>
      </c>
      <c r="E959" s="620">
        <f>+VLOOKUP(B959,'Salary sheet'!$B$6:$AT$1292,45,0)</f>
        <v>11606960</v>
      </c>
      <c r="F959" s="1029" t="s">
        <v>5723</v>
      </c>
      <c r="G959" s="824" t="str">
        <f>+VLOOKUP(B959,'Salary sheet'!$B$6:$E$2281,4,0)</f>
        <v>SK2</v>
      </c>
      <c r="H959" s="607" t="str">
        <f>+VLOOKUP(B959,'Salary sheet'!$B$6:$AZ$1386,50,0)</f>
        <v>SK2</v>
      </c>
      <c r="I959" s="607" t="str">
        <f t="shared" si="42"/>
        <v>C3746MAI PHI THE050040934364</v>
      </c>
      <c r="J959" s="853" t="str">
        <f>+VLOOKUP(B959,'[5]04 2025'!$B$2:$F$1371,5,0)</f>
        <v>C3746MAI PHI THE050040934364</v>
      </c>
      <c r="K959" s="607">
        <f t="shared" si="41"/>
        <v>1</v>
      </c>
      <c r="P959" s="685"/>
    </row>
    <row r="960" spans="1:16" s="607" customFormat="1" ht="18" customHeight="1">
      <c r="A960" s="826">
        <f>SUBTOTAL(3,B$6:B960)</f>
        <v>955</v>
      </c>
      <c r="B960" s="824" t="s">
        <v>1175</v>
      </c>
      <c r="C960" s="824" t="str">
        <f>+VLOOKUP(B960,'Salary sheet'!$B$6:$AX$1386,48,0)</f>
        <v>VU THI KHUYEN</v>
      </c>
      <c r="D960" s="824" t="str">
        <f>+VLOOKUP(B960,'Salary sheet'!$B$6:$BW$1386,49,0)</f>
        <v>050040795313</v>
      </c>
      <c r="E960" s="620">
        <f>+VLOOKUP(B960,'Salary sheet'!$B$6:$AT$1292,45,0)</f>
        <v>8704332</v>
      </c>
      <c r="F960" s="1029" t="s">
        <v>5723</v>
      </c>
      <c r="G960" s="824" t="str">
        <f>+VLOOKUP(B960,'Salary sheet'!$B$6:$E$2281,4,0)</f>
        <v>SK2</v>
      </c>
      <c r="H960" s="607" t="str">
        <f>+VLOOKUP(B960,'Salary sheet'!$B$6:$AZ$1386,50,0)</f>
        <v>SK2</v>
      </c>
      <c r="I960" s="607" t="str">
        <f t="shared" si="42"/>
        <v>C3320VU THI KHUYEN050040795313</v>
      </c>
      <c r="J960" s="853" t="str">
        <f>+VLOOKUP(B960,'[5]04 2025'!$B$2:$F$1371,5,0)</f>
        <v>C3320VU THI KHUYEN050040795313</v>
      </c>
      <c r="K960" s="607">
        <f t="shared" si="41"/>
        <v>1</v>
      </c>
      <c r="P960" s="685"/>
    </row>
    <row r="961" spans="1:16" s="607" customFormat="1" ht="18" customHeight="1">
      <c r="A961" s="826">
        <f>SUBTOTAL(3,B$6:B961)</f>
        <v>956</v>
      </c>
      <c r="B961" s="824" t="s">
        <v>1181</v>
      </c>
      <c r="C961" s="824" t="str">
        <f>+VLOOKUP(B961,'Salary sheet'!$B$6:$AX$1386,48,0)</f>
        <v>BUI MAI NGOC PHUONG</v>
      </c>
      <c r="D961" s="824" t="str">
        <f>+VLOOKUP(B961,'Salary sheet'!$B$6:$BW$1386,49,0)</f>
        <v>050068237731</v>
      </c>
      <c r="E961" s="620">
        <f>+VLOOKUP(B961,'Salary sheet'!$B$6:$AT$1292,45,0)</f>
        <v>9410182</v>
      </c>
      <c r="F961" s="1029" t="s">
        <v>5723</v>
      </c>
      <c r="G961" s="824" t="str">
        <f>+VLOOKUP(B961,'Salary sheet'!$B$6:$E$2281,4,0)</f>
        <v>SK2</v>
      </c>
      <c r="H961" s="607" t="str">
        <f>+VLOOKUP(B961,'Salary sheet'!$B$6:$AZ$1386,50,0)</f>
        <v>SK2</v>
      </c>
      <c r="I961" s="607" t="str">
        <f t="shared" si="42"/>
        <v>C4552BUI MAI NGOC PHUONG050068237731</v>
      </c>
      <c r="J961" s="853" t="str">
        <f>+VLOOKUP(B961,'[5]04 2025'!$B$2:$F$1371,5,0)</f>
        <v>C4552BUI MAI NGOC PHUONG050068237731</v>
      </c>
      <c r="K961" s="607">
        <f t="shared" si="41"/>
        <v>1</v>
      </c>
      <c r="P961" s="685"/>
    </row>
    <row r="962" spans="1:16" s="607" customFormat="1" ht="18" customHeight="1">
      <c r="A962" s="826">
        <f>SUBTOTAL(3,B$6:B962)</f>
        <v>957</v>
      </c>
      <c r="B962" s="824" t="s">
        <v>1183</v>
      </c>
      <c r="C962" s="824" t="str">
        <f>+VLOOKUP(B962,'Salary sheet'!$B$6:$AX$1386,48,0)</f>
        <v>THAN THI TIENG</v>
      </c>
      <c r="D962" s="824" t="str">
        <f>+VLOOKUP(B962,'Salary sheet'!$B$6:$BW$1386,49,0)</f>
        <v>050040795402</v>
      </c>
      <c r="E962" s="620">
        <f>+VLOOKUP(B962,'Salary sheet'!$B$6:$AT$1292,45,0)</f>
        <v>8717217</v>
      </c>
      <c r="F962" s="1029" t="s">
        <v>5723</v>
      </c>
      <c r="G962" s="824" t="str">
        <f>+VLOOKUP(B962,'Salary sheet'!$B$6:$E$2281,4,0)</f>
        <v>SK2</v>
      </c>
      <c r="H962" s="607" t="str">
        <f>+VLOOKUP(B962,'Salary sheet'!$B$6:$AZ$1386,50,0)</f>
        <v>SK2</v>
      </c>
      <c r="I962" s="607" t="str">
        <f t="shared" si="42"/>
        <v>C4662THAN THI TIENG050040795402</v>
      </c>
      <c r="J962" s="853" t="str">
        <f>+VLOOKUP(B962,'[5]04 2025'!$B$2:$F$1371,5,0)</f>
        <v>C4662THAN THI TIENG050040795402</v>
      </c>
      <c r="K962" s="607">
        <f t="shared" si="41"/>
        <v>1</v>
      </c>
      <c r="P962" s="685"/>
    </row>
    <row r="963" spans="1:16" s="607" customFormat="1" ht="18" customHeight="1">
      <c r="A963" s="826">
        <f>SUBTOTAL(3,B$6:B963)</f>
        <v>958</v>
      </c>
      <c r="B963" s="824" t="s">
        <v>1187</v>
      </c>
      <c r="C963" s="824" t="str">
        <f>+VLOOKUP(B963,'Salary sheet'!$B$6:$AX$1386,48,0)</f>
        <v>TRAN THI LAN</v>
      </c>
      <c r="D963" s="824" t="str">
        <f>+VLOOKUP(B963,'Salary sheet'!$B$6:$BW$1386,49,0)</f>
        <v>050053265062</v>
      </c>
      <c r="E963" s="620">
        <f>+VLOOKUP(B963,'Salary sheet'!$B$6:$AT$1292,45,0)</f>
        <v>8875875</v>
      </c>
      <c r="F963" s="1029" t="s">
        <v>5723</v>
      </c>
      <c r="G963" s="824" t="str">
        <f>+VLOOKUP(B963,'Salary sheet'!$B$6:$E$2281,4,0)</f>
        <v>SK2</v>
      </c>
      <c r="H963" s="607" t="str">
        <f>+VLOOKUP(B963,'Salary sheet'!$B$6:$AZ$1386,50,0)</f>
        <v>SK2</v>
      </c>
      <c r="I963" s="607" t="str">
        <f t="shared" si="42"/>
        <v>C5314TRAN THI LAN050053265062</v>
      </c>
      <c r="J963" s="853" t="str">
        <f>+VLOOKUP(B963,'[5]04 2025'!$B$2:$F$1371,5,0)</f>
        <v>C5314TRAN THI LAN050053265062</v>
      </c>
      <c r="K963" s="607">
        <f t="shared" si="41"/>
        <v>1</v>
      </c>
      <c r="P963" s="685"/>
    </row>
    <row r="964" spans="1:16" s="607" customFormat="1" ht="18" customHeight="1">
      <c r="A964" s="826">
        <f>SUBTOTAL(3,B$6:B964)</f>
        <v>959</v>
      </c>
      <c r="B964" s="824" t="s">
        <v>1192</v>
      </c>
      <c r="C964" s="824" t="str">
        <f>+VLOOKUP(B964,'Salary sheet'!$B$6:$AX$1386,48,0)</f>
        <v>TRAN THI MY CHAU</v>
      </c>
      <c r="D964" s="824" t="str">
        <f>+VLOOKUP(B964,'Salary sheet'!$B$6:$BW$1386,49,0)</f>
        <v>050040787833</v>
      </c>
      <c r="E964" s="620">
        <f>+VLOOKUP(B964,'Salary sheet'!$B$6:$AT$1292,45,0)</f>
        <v>8256951</v>
      </c>
      <c r="F964" s="1029" t="s">
        <v>5723</v>
      </c>
      <c r="G964" s="824" t="str">
        <f>+VLOOKUP(B964,'Salary sheet'!$B$6:$E$2281,4,0)</f>
        <v>SK2</v>
      </c>
      <c r="H964" s="607" t="str">
        <f>+VLOOKUP(B964,'Salary sheet'!$B$6:$AZ$1386,50,0)</f>
        <v>SK2</v>
      </c>
      <c r="I964" s="607" t="str">
        <f t="shared" si="42"/>
        <v>C5950TRAN THI MY CHAU050040787833</v>
      </c>
      <c r="J964" s="853" t="str">
        <f>+VLOOKUP(B964,'[5]04 2025'!$B$2:$F$1371,5,0)</f>
        <v>C5950TRAN THI MY CHAU050040787833</v>
      </c>
      <c r="K964" s="607">
        <f t="shared" si="41"/>
        <v>1</v>
      </c>
      <c r="P964" s="685"/>
    </row>
    <row r="965" spans="1:16" s="607" customFormat="1" ht="18" customHeight="1">
      <c r="A965" s="826">
        <f>SUBTOTAL(3,B$6:B965)</f>
        <v>960</v>
      </c>
      <c r="B965" s="824" t="s">
        <v>1196</v>
      </c>
      <c r="C965" s="824" t="str">
        <f>+VLOOKUP(B965,'Salary sheet'!$B$6:$AX$1386,48,0)</f>
        <v>NGUYEN VAN HAI</v>
      </c>
      <c r="D965" s="824" t="str">
        <f>+VLOOKUP(B965,'Salary sheet'!$B$6:$BW$1386,49,0)</f>
        <v>050062362720</v>
      </c>
      <c r="E965" s="620">
        <f>+VLOOKUP(B965,'Salary sheet'!$B$6:$AT$1292,45,0)</f>
        <v>10954328</v>
      </c>
      <c r="F965" s="1029" t="s">
        <v>5723</v>
      </c>
      <c r="G965" s="824" t="str">
        <f>+VLOOKUP(B965,'Salary sheet'!$B$6:$E$2281,4,0)</f>
        <v>SK2</v>
      </c>
      <c r="H965" s="607" t="str">
        <f>+VLOOKUP(B965,'Salary sheet'!$B$6:$AZ$1386,50,0)</f>
        <v>SK2</v>
      </c>
      <c r="I965" s="607" t="str">
        <f t="shared" si="42"/>
        <v>C6615NGUYEN VAN HAI050062362720</v>
      </c>
      <c r="J965" s="853" t="str">
        <f>+VLOOKUP(B965,'[5]04 2025'!$B$2:$F$1371,5,0)</f>
        <v>C6615NGUYEN VAN HAI050062362720</v>
      </c>
      <c r="K965" s="607">
        <f t="shared" si="41"/>
        <v>1</v>
      </c>
      <c r="P965" s="685"/>
    </row>
    <row r="966" spans="1:16" s="607" customFormat="1" ht="18" customHeight="1">
      <c r="A966" s="826">
        <f>SUBTOTAL(3,B$6:B966)</f>
        <v>961</v>
      </c>
      <c r="B966" s="824" t="s">
        <v>2749</v>
      </c>
      <c r="C966" s="824" t="str">
        <f>+VLOOKUP(B966,'Salary sheet'!$B$6:$AX$1386,48,0)</f>
        <v>NGO VAN HIEU</v>
      </c>
      <c r="D966" s="824" t="str">
        <f>+VLOOKUP(B966,'Salary sheet'!$B$6:$BW$1386,49,0)</f>
        <v>050089711255</v>
      </c>
      <c r="E966" s="620">
        <f>+VLOOKUP(B966,'Salary sheet'!$B$6:$AT$1292,45,0)</f>
        <v>8996335</v>
      </c>
      <c r="F966" s="1029" t="s">
        <v>5723</v>
      </c>
      <c r="G966" s="824" t="str">
        <f>+VLOOKUP(B966,'Salary sheet'!$B$6:$E$2281,4,0)</f>
        <v>SK2</v>
      </c>
      <c r="H966" s="607" t="str">
        <f>+VLOOKUP(B966,'Salary sheet'!$B$6:$AZ$1386,50,0)</f>
        <v>SK2</v>
      </c>
      <c r="I966" s="607" t="str">
        <f t="shared" si="42"/>
        <v>C11501NGO VAN HIEU050089711255</v>
      </c>
      <c r="J966" s="853" t="str">
        <f>+VLOOKUP(B966,'[5]04 2025'!$B$2:$F$1371,5,0)</f>
        <v>C11501NGO VAN HIEU050089711255</v>
      </c>
      <c r="K966" s="607">
        <f t="shared" si="41"/>
        <v>1</v>
      </c>
      <c r="P966" s="685"/>
    </row>
    <row r="967" spans="1:16" s="607" customFormat="1" ht="18" customHeight="1">
      <c r="A967" s="826">
        <f>SUBTOTAL(3,B$6:B967)</f>
        <v>962</v>
      </c>
      <c r="B967" s="824" t="s">
        <v>2751</v>
      </c>
      <c r="C967" s="824" t="str">
        <f>+VLOOKUP(B967,'Salary sheet'!$B$6:$AX$1386,48,0)</f>
        <v>DIEU SON</v>
      </c>
      <c r="D967" s="824" t="str">
        <f>+VLOOKUP(B967,'Salary sheet'!$B$6:$BW$1386,49,0)</f>
        <v>050116653319</v>
      </c>
      <c r="E967" s="620">
        <f>+VLOOKUP(B967,'Salary sheet'!$B$6:$AT$1292,45,0)</f>
        <v>9067009</v>
      </c>
      <c r="F967" s="1029" t="s">
        <v>5723</v>
      </c>
      <c r="G967" s="824" t="str">
        <f>+VLOOKUP(B967,'Salary sheet'!$B$6:$E$2281,4,0)</f>
        <v>SK2</v>
      </c>
      <c r="H967" s="607" t="str">
        <f>+VLOOKUP(B967,'Salary sheet'!$B$6:$AZ$1386,50,0)</f>
        <v>SK2</v>
      </c>
      <c r="I967" s="607" t="str">
        <f t="shared" si="42"/>
        <v>C11969DIEU SON050116653319</v>
      </c>
      <c r="J967" s="853" t="str">
        <f>+VLOOKUP(B967,'[5]04 2025'!$B$2:$F$1371,5,0)</f>
        <v>C11969DIEU SON050116653319</v>
      </c>
      <c r="K967" s="607">
        <f t="shared" si="41"/>
        <v>1</v>
      </c>
      <c r="P967" s="685"/>
    </row>
    <row r="968" spans="1:16" s="607" customFormat="1" ht="18" customHeight="1">
      <c r="A968" s="826">
        <f>SUBTOTAL(3,B$6:B968)</f>
        <v>963</v>
      </c>
      <c r="B968" s="824" t="s">
        <v>2752</v>
      </c>
      <c r="C968" s="824" t="str">
        <f>+VLOOKUP(B968,'Salary sheet'!$B$6:$AX$1386,48,0)</f>
        <v>PHAM THANH PHONG</v>
      </c>
      <c r="D968" s="824" t="str">
        <f>+VLOOKUP(B968,'Salary sheet'!$B$6:$BW$1386,49,0)</f>
        <v>050143384559</v>
      </c>
      <c r="E968" s="620">
        <f>+VLOOKUP(B968,'Salary sheet'!$B$6:$AT$1292,45,0)</f>
        <v>9676120</v>
      </c>
      <c r="F968" s="1029" t="s">
        <v>5723</v>
      </c>
      <c r="G968" s="824" t="str">
        <f>+VLOOKUP(B968,'Salary sheet'!$B$6:$E$2281,4,0)</f>
        <v>SK2</v>
      </c>
      <c r="H968" s="607" t="str">
        <f>+VLOOKUP(B968,'Salary sheet'!$B$6:$AZ$1386,50,0)</f>
        <v>SK2</v>
      </c>
      <c r="I968" s="607" t="str">
        <f t="shared" si="42"/>
        <v>C15393PHAM THANH PHONG050143384559</v>
      </c>
      <c r="J968" s="853" t="str">
        <f>+VLOOKUP(B968,'[5]04 2025'!$B$2:$F$1371,5,0)</f>
        <v>C15393PHAM THANH PHONG050143384559</v>
      </c>
      <c r="K968" s="607">
        <f t="shared" si="41"/>
        <v>1</v>
      </c>
      <c r="P968" s="685"/>
    </row>
    <row r="969" spans="1:16" s="607" customFormat="1" ht="18" customHeight="1">
      <c r="A969" s="826">
        <f>SUBTOTAL(3,B$6:B969)</f>
        <v>964</v>
      </c>
      <c r="B969" s="824" t="s">
        <v>2754</v>
      </c>
      <c r="C969" s="824" t="str">
        <f>+VLOOKUP(B969,'Salary sheet'!$B$6:$AX$1386,48,0)</f>
        <v>PHAM NHU KHANH</v>
      </c>
      <c r="D969" s="824" t="str">
        <f>+VLOOKUP(B969,'Salary sheet'!$B$6:$BW$1386,49,0)</f>
        <v>050126802861</v>
      </c>
      <c r="E969" s="620">
        <f>+VLOOKUP(B969,'Salary sheet'!$B$6:$AT$1292,45,0)</f>
        <v>8838172</v>
      </c>
      <c r="F969" s="1029" t="s">
        <v>5723</v>
      </c>
      <c r="G969" s="824" t="str">
        <f>+VLOOKUP(B969,'Salary sheet'!$B$6:$E$2281,4,0)</f>
        <v>SK2</v>
      </c>
      <c r="H969" s="607" t="str">
        <f>+VLOOKUP(B969,'Salary sheet'!$B$6:$AZ$1386,50,0)</f>
        <v>SK2</v>
      </c>
      <c r="I969" s="607" t="str">
        <f t="shared" si="42"/>
        <v>C15590PHAM NHU KHANH050126802861</v>
      </c>
      <c r="J969" s="853" t="str">
        <f>+VLOOKUP(B969,'[5]04 2025'!$B$2:$F$1371,5,0)</f>
        <v>C15590PHAM NHU KHANH050126802861</v>
      </c>
      <c r="K969" s="607">
        <f t="shared" si="41"/>
        <v>1</v>
      </c>
      <c r="P969" s="685"/>
    </row>
    <row r="970" spans="1:16" s="607" customFormat="1" ht="18" customHeight="1">
      <c r="A970" s="826">
        <f>SUBTOTAL(3,B$6:B970)</f>
        <v>965</v>
      </c>
      <c r="B970" s="824" t="s">
        <v>2756</v>
      </c>
      <c r="C970" s="824" t="str">
        <f>+VLOOKUP(B970,'Salary sheet'!$B$6:$AX$1386,48,0)</f>
        <v>NGUYEN QUOC THANG</v>
      </c>
      <c r="D970" s="824" t="str">
        <f>+VLOOKUP(B970,'Salary sheet'!$B$6:$BW$1386,49,0)</f>
        <v>050020225227</v>
      </c>
      <c r="E970" s="620">
        <f>+VLOOKUP(B970,'Salary sheet'!$B$6:$AT$1292,45,0)</f>
        <v>8269547</v>
      </c>
      <c r="F970" s="1029" t="s">
        <v>5723</v>
      </c>
      <c r="G970" s="824" t="str">
        <f>+VLOOKUP(B970,'Salary sheet'!$B$6:$E$2281,4,0)</f>
        <v>SK2</v>
      </c>
      <c r="H970" s="607" t="str">
        <f>+VLOOKUP(B970,'Salary sheet'!$B$6:$AZ$1386,50,0)</f>
        <v>SK2</v>
      </c>
      <c r="I970" s="607" t="str">
        <f t="shared" si="42"/>
        <v>C15792NGUYEN QUOC THANG050020225227</v>
      </c>
      <c r="J970" s="853" t="str">
        <f>+VLOOKUP(B970,'[5]04 2025'!$B$2:$F$1371,5,0)</f>
        <v>C15792NGUYEN QUOC THANG050020225227</v>
      </c>
      <c r="K970" s="607">
        <f t="shared" si="41"/>
        <v>1</v>
      </c>
      <c r="P970" s="685"/>
    </row>
    <row r="971" spans="1:16" s="607" customFormat="1" ht="18" customHeight="1">
      <c r="A971" s="826">
        <f>SUBTOTAL(3,B$6:B971)</f>
        <v>966</v>
      </c>
      <c r="B971" s="824" t="s">
        <v>2758</v>
      </c>
      <c r="C971" s="824" t="str">
        <f>+VLOOKUP(B971,'Salary sheet'!$B$6:$AX$1386,48,0)</f>
        <v>LAM TRANG</v>
      </c>
      <c r="D971" s="824" t="str">
        <f>+VLOOKUP(B971,'Salary sheet'!$B$6:$BW$1386,49,0)</f>
        <v>050153391456</v>
      </c>
      <c r="E971" s="620">
        <f>+VLOOKUP(B971,'Salary sheet'!$B$6:$AT$1292,45,0)</f>
        <v>6104193</v>
      </c>
      <c r="F971" s="1029" t="s">
        <v>5723</v>
      </c>
      <c r="G971" s="824" t="str">
        <f>+VLOOKUP(B971,'Salary sheet'!$B$6:$E$2281,4,0)</f>
        <v>SK2</v>
      </c>
      <c r="H971" s="607" t="str">
        <f>+VLOOKUP(B971,'Salary sheet'!$B$6:$AZ$1386,50,0)</f>
        <v>SK2</v>
      </c>
      <c r="I971" s="607" t="str">
        <f t="shared" si="42"/>
        <v>C15871LAM TRANG050153391456</v>
      </c>
      <c r="J971" s="853" t="str">
        <f>+VLOOKUP(B971,'[5]04 2025'!$B$2:$F$1371,5,0)</f>
        <v>C15871LAM TRANG050153391456</v>
      </c>
      <c r="K971" s="607">
        <f t="shared" si="41"/>
        <v>1</v>
      </c>
      <c r="P971" s="685"/>
    </row>
    <row r="972" spans="1:16" s="607" customFormat="1" ht="18" customHeight="1">
      <c r="A972" s="826">
        <f>SUBTOTAL(3,B$6:B972)</f>
        <v>967</v>
      </c>
      <c r="B972" s="824" t="s">
        <v>2760</v>
      </c>
      <c r="C972" s="824" t="str">
        <f>+VLOOKUP(B972,'Salary sheet'!$B$6:$AX$1386,48,0)</f>
        <v>LUU KY MINH</v>
      </c>
      <c r="D972" s="824" t="str">
        <f>+VLOOKUP(B972,'Salary sheet'!$B$6:$BW$1386,49,0)</f>
        <v>050137325230</v>
      </c>
      <c r="E972" s="620">
        <f>+VLOOKUP(B972,'Salary sheet'!$B$6:$AT$1292,45,0)</f>
        <v>5104937</v>
      </c>
      <c r="F972" s="1029" t="s">
        <v>5723</v>
      </c>
      <c r="G972" s="824" t="str">
        <f>+VLOOKUP(B972,'Salary sheet'!$B$6:$E$2281,4,0)</f>
        <v>SK2</v>
      </c>
      <c r="H972" s="607" t="str">
        <f>+VLOOKUP(B972,'Salary sheet'!$B$6:$AZ$1386,50,0)</f>
        <v>SK2</v>
      </c>
      <c r="I972" s="607" t="str">
        <f t="shared" si="42"/>
        <v>C15980LUU KY MINH050137325230</v>
      </c>
      <c r="J972" s="853" t="str">
        <f>+VLOOKUP(B972,'[5]04 2025'!$B$2:$F$1371,5,0)</f>
        <v>C15980LUU KY MINH050137325230</v>
      </c>
      <c r="K972" s="607">
        <f t="shared" si="41"/>
        <v>1</v>
      </c>
      <c r="P972" s="685"/>
    </row>
    <row r="973" spans="1:16" s="607" customFormat="1" ht="18" customHeight="1">
      <c r="A973" s="826">
        <f>SUBTOTAL(3,B$6:B973)</f>
        <v>968</v>
      </c>
      <c r="B973" s="824" t="s">
        <v>2762</v>
      </c>
      <c r="C973" s="824" t="str">
        <f>+VLOOKUP(B973,'Salary sheet'!$B$6:$AX$1386,48,0)</f>
        <v>NGUYEN VAN MINH</v>
      </c>
      <c r="D973" s="824" t="str">
        <f>+VLOOKUP(B973,'Salary sheet'!$B$6:$BW$1386,49,0)</f>
        <v>070942918689</v>
      </c>
      <c r="E973" s="620">
        <f>+VLOOKUP(B973,'Salary sheet'!$B$6:$AT$1292,45,0)</f>
        <v>8403400</v>
      </c>
      <c r="F973" s="1029" t="s">
        <v>5723</v>
      </c>
      <c r="G973" s="824" t="str">
        <f>+VLOOKUP(B973,'Salary sheet'!$B$6:$E$2281,4,0)</f>
        <v>SK2</v>
      </c>
      <c r="H973" s="607" t="str">
        <f>+VLOOKUP(B973,'Salary sheet'!$B$6:$AZ$1386,50,0)</f>
        <v>SK2</v>
      </c>
      <c r="I973" s="607" t="str">
        <f t="shared" si="42"/>
        <v>C16474NGUYEN VAN MINH070942918689</v>
      </c>
      <c r="J973" s="853" t="str">
        <f>+VLOOKUP(B973,'[5]04 2025'!$B$2:$F$1371,5,0)</f>
        <v>C16474NGUYEN VAN MINH070942918689</v>
      </c>
      <c r="K973" s="607">
        <f t="shared" si="41"/>
        <v>1</v>
      </c>
      <c r="P973" s="685"/>
    </row>
    <row r="974" spans="1:16" s="607" customFormat="1" ht="18" customHeight="1">
      <c r="A974" s="826">
        <f>SUBTOTAL(3,B$6:B974)</f>
        <v>969</v>
      </c>
      <c r="B974" s="824" t="s">
        <v>2764</v>
      </c>
      <c r="C974" s="824" t="str">
        <f>+VLOOKUP(B974,'Salary sheet'!$B$6:$AX$1386,48,0)</f>
        <v>NGO VAN DU</v>
      </c>
      <c r="D974" s="824" t="str">
        <f>+VLOOKUP(B974,'Salary sheet'!$B$6:$BW$1386,49,0)</f>
        <v>050111430141</v>
      </c>
      <c r="E974" s="620">
        <f>+VLOOKUP(B974,'Salary sheet'!$B$6:$AT$1292,45,0)</f>
        <v>8452288</v>
      </c>
      <c r="F974" s="1029" t="s">
        <v>5723</v>
      </c>
      <c r="G974" s="824" t="str">
        <f>+VLOOKUP(B974,'Salary sheet'!$B$6:$E$2281,4,0)</f>
        <v>SK2</v>
      </c>
      <c r="H974" s="607" t="str">
        <f>+VLOOKUP(B974,'Salary sheet'!$B$6:$AZ$1386,50,0)</f>
        <v>SK2</v>
      </c>
      <c r="I974" s="607" t="str">
        <f t="shared" si="42"/>
        <v>C16475NGO VAN DU050111430141</v>
      </c>
      <c r="J974" s="853" t="str">
        <f>+VLOOKUP(B974,'[5]04 2025'!$B$2:$F$1371,5,0)</f>
        <v>C16475NGO VAN DU050111430141</v>
      </c>
      <c r="K974" s="607">
        <f t="shared" si="41"/>
        <v>1</v>
      </c>
      <c r="P974" s="685"/>
    </row>
    <row r="975" spans="1:16" s="607" customFormat="1" ht="18" customHeight="1">
      <c r="A975" s="826">
        <f>SUBTOTAL(3,B$6:B975)</f>
        <v>970</v>
      </c>
      <c r="B975" s="824" t="s">
        <v>2766</v>
      </c>
      <c r="C975" s="824" t="str">
        <f>+VLOOKUP(B975,'Salary sheet'!$B$6:$AX$1386,48,0)</f>
        <v>DIEU NGOC</v>
      </c>
      <c r="D975" s="824" t="str">
        <f>+VLOOKUP(B975,'Salary sheet'!$B$6:$BW$1386,49,0)</f>
        <v>050072037739</v>
      </c>
      <c r="E975" s="620">
        <f>+VLOOKUP(B975,'Salary sheet'!$B$6:$AT$1292,45,0)</f>
        <v>7882212</v>
      </c>
      <c r="F975" s="1029" t="s">
        <v>5723</v>
      </c>
      <c r="G975" s="824" t="str">
        <f>+VLOOKUP(B975,'Salary sheet'!$B$6:$E$2281,4,0)</f>
        <v>SK2</v>
      </c>
      <c r="H975" s="607" t="str">
        <f>+VLOOKUP(B975,'Salary sheet'!$B$6:$AZ$1386,50,0)</f>
        <v>SK2</v>
      </c>
      <c r="I975" s="607" t="str">
        <f t="shared" si="42"/>
        <v>C16498DIEU NGOC050072037739</v>
      </c>
      <c r="J975" s="853" t="str">
        <f>+VLOOKUP(B975,'[5]04 2025'!$B$2:$F$1371,5,0)</f>
        <v>C16498DIEU NGOC050072037739</v>
      </c>
      <c r="K975" s="607">
        <f t="shared" si="41"/>
        <v>1</v>
      </c>
      <c r="P975" s="685"/>
    </row>
    <row r="976" spans="1:16" s="607" customFormat="1" ht="18" customHeight="1">
      <c r="A976" s="826">
        <f>SUBTOTAL(3,B$6:B976)</f>
        <v>971</v>
      </c>
      <c r="B976" s="824" t="s">
        <v>2768</v>
      </c>
      <c r="C976" s="824" t="str">
        <f>+VLOOKUP(B976,'Salary sheet'!$B$6:$AX$1386,48,0)</f>
        <v>NGUYEN ANH KIET</v>
      </c>
      <c r="D976" s="824" t="str">
        <f>+VLOOKUP(B976,'Salary sheet'!$B$6:$BW$1386,49,0)</f>
        <v>050158616707</v>
      </c>
      <c r="E976" s="620">
        <f>+VLOOKUP(B976,'Salary sheet'!$B$6:$AT$1292,45,0)</f>
        <v>7791143</v>
      </c>
      <c r="F976" s="1029" t="s">
        <v>5723</v>
      </c>
      <c r="G976" s="824" t="str">
        <f>+VLOOKUP(B976,'Salary sheet'!$B$6:$E$2281,4,0)</f>
        <v>SK2</v>
      </c>
      <c r="H976" s="607" t="str">
        <f>+VLOOKUP(B976,'Salary sheet'!$B$6:$AZ$1386,50,0)</f>
        <v>SK2</v>
      </c>
      <c r="I976" s="607" t="str">
        <f t="shared" si="42"/>
        <v>C16507NGUYEN ANH KIET050158616707</v>
      </c>
      <c r="J976" s="853" t="str">
        <f>+VLOOKUP(B976,'[5]04 2025'!$B$2:$F$1371,5,0)</f>
        <v>C16507NGUYEN ANH KIET050158616707</v>
      </c>
      <c r="K976" s="607">
        <f t="shared" si="41"/>
        <v>1</v>
      </c>
      <c r="P976" s="685"/>
    </row>
    <row r="977" spans="1:16" s="607" customFormat="1" ht="18" customHeight="1">
      <c r="A977" s="826">
        <f>SUBTOTAL(3,B$6:B977)</f>
        <v>972</v>
      </c>
      <c r="B977" s="824" t="s">
        <v>2770</v>
      </c>
      <c r="C977" s="824" t="str">
        <f>+VLOOKUP(B977,'Salary sheet'!$B$6:$AX$1386,48,0)</f>
        <v>VO THI THANH KIEU</v>
      </c>
      <c r="D977" s="824" t="str">
        <f>+VLOOKUP(B977,'Salary sheet'!$B$6:$BW$1386,49,0)</f>
        <v>050068231091</v>
      </c>
      <c r="E977" s="620">
        <f>+VLOOKUP(B977,'Salary sheet'!$B$6:$AT$1292,45,0)</f>
        <v>14604590</v>
      </c>
      <c r="F977" s="1029" t="s">
        <v>5723</v>
      </c>
      <c r="G977" s="824" t="str">
        <f>+VLOOKUP(B977,'Salary sheet'!$B$6:$E$2281,4,0)</f>
        <v>SK2</v>
      </c>
      <c r="H977" s="607" t="str">
        <f>+VLOOKUP(B977,'Salary sheet'!$B$6:$AZ$1386,50,0)</f>
        <v>SK2</v>
      </c>
      <c r="I977" s="607" t="str">
        <f t="shared" si="42"/>
        <v>C3442VO THI THANH KIEU050068231091</v>
      </c>
      <c r="J977" s="853" t="str">
        <f>+VLOOKUP(B977,'[5]04 2025'!$B$2:$F$1371,5,0)</f>
        <v>C3442VO THI THANH KIEU050068231091</v>
      </c>
      <c r="K977" s="607">
        <f t="shared" si="41"/>
        <v>1</v>
      </c>
      <c r="P977" s="685"/>
    </row>
    <row r="978" spans="1:16" s="607" customFormat="1" ht="18" customHeight="1">
      <c r="A978" s="826">
        <f>SUBTOTAL(3,B$6:B978)</f>
        <v>973</v>
      </c>
      <c r="B978" s="824" t="s">
        <v>2772</v>
      </c>
      <c r="C978" s="824" t="str">
        <f>+VLOOKUP(B978,'Salary sheet'!$B$6:$AX$1386,48,0)</f>
        <v>NGUYEN CHI TAM</v>
      </c>
      <c r="D978" s="824" t="str">
        <f>+VLOOKUP(B978,'Salary sheet'!$B$6:$BW$1386,49,0)</f>
        <v>050068231245</v>
      </c>
      <c r="E978" s="620">
        <f>+VLOOKUP(B978,'Salary sheet'!$B$6:$AT$1292,45,0)</f>
        <v>19501848</v>
      </c>
      <c r="F978" s="1029" t="s">
        <v>5723</v>
      </c>
      <c r="G978" s="824" t="str">
        <f>+VLOOKUP(B978,'Salary sheet'!$B$6:$E$2281,4,0)</f>
        <v>SK2</v>
      </c>
      <c r="H978" s="607" t="str">
        <f>+VLOOKUP(B978,'Salary sheet'!$B$6:$AZ$1386,50,0)</f>
        <v>SK2</v>
      </c>
      <c r="I978" s="607" t="str">
        <f t="shared" si="42"/>
        <v>C3459NGUYEN CHI TAM050068231245</v>
      </c>
      <c r="J978" s="853" t="str">
        <f>+VLOOKUP(B978,'[5]04 2025'!$B$2:$F$1371,5,0)</f>
        <v>C3459NGUYEN CHI TAM050068231245</v>
      </c>
      <c r="K978" s="607">
        <f t="shared" si="41"/>
        <v>1</v>
      </c>
      <c r="P978" s="685"/>
    </row>
    <row r="979" spans="1:16" s="607" customFormat="1" ht="18" customHeight="1">
      <c r="A979" s="826">
        <f>SUBTOTAL(3,B$6:B979)</f>
        <v>974</v>
      </c>
      <c r="B979" s="824" t="s">
        <v>2774</v>
      </c>
      <c r="C979" s="824" t="str">
        <f>+VLOOKUP(B979,'Salary sheet'!$B$6:$AX$1386,48,0)</f>
        <v>NGUYEN DANG QUOC</v>
      </c>
      <c r="D979" s="824" t="str">
        <f>+VLOOKUP(B979,'Salary sheet'!$B$6:$BW$1386,49,0)</f>
        <v>050040998699</v>
      </c>
      <c r="E979" s="620">
        <f>+VLOOKUP(B979,'Salary sheet'!$B$6:$AT$1292,45,0)</f>
        <v>11474848</v>
      </c>
      <c r="F979" s="1029" t="s">
        <v>5723</v>
      </c>
      <c r="G979" s="824" t="str">
        <f>+VLOOKUP(B979,'Salary sheet'!$B$6:$E$2281,4,0)</f>
        <v>SK2</v>
      </c>
      <c r="H979" s="607" t="str">
        <f>+VLOOKUP(B979,'Salary sheet'!$B$6:$AZ$1386,50,0)</f>
        <v>SK2</v>
      </c>
      <c r="I979" s="607" t="str">
        <f t="shared" si="42"/>
        <v>C6071NGUYEN DANG QUOC050040998699</v>
      </c>
      <c r="J979" s="853" t="str">
        <f>+VLOOKUP(B979,'[5]04 2025'!$B$2:$F$1371,5,0)</f>
        <v>C6071NGUYEN DANG QUOC050040998699</v>
      </c>
      <c r="K979" s="607">
        <f t="shared" si="41"/>
        <v>1</v>
      </c>
      <c r="P979" s="685"/>
    </row>
    <row r="980" spans="1:16" s="607" customFormat="1" ht="18" customHeight="1">
      <c r="A980" s="826">
        <f>SUBTOTAL(3,B$6:B980)</f>
        <v>975</v>
      </c>
      <c r="B980" s="824" t="s">
        <v>2776</v>
      </c>
      <c r="C980" s="824" t="str">
        <f>+VLOOKUP(B980,'Salary sheet'!$B$6:$AX$1386,48,0)</f>
        <v>DOAN CHI CONG</v>
      </c>
      <c r="D980" s="824" t="str">
        <f>+VLOOKUP(B980,'Salary sheet'!$B$6:$BW$1386,49,0)</f>
        <v>050081198664</v>
      </c>
      <c r="E980" s="620">
        <f>+VLOOKUP(B980,'Salary sheet'!$B$6:$AT$1292,45,0)</f>
        <v>9628412</v>
      </c>
      <c r="F980" s="1029" t="s">
        <v>5723</v>
      </c>
      <c r="G980" s="824" t="str">
        <f>+VLOOKUP(B980,'Salary sheet'!$B$6:$E$2281,4,0)</f>
        <v>SK2</v>
      </c>
      <c r="H980" s="607" t="str">
        <f>+VLOOKUP(B980,'Salary sheet'!$B$6:$AZ$1386,50,0)</f>
        <v>SK2</v>
      </c>
      <c r="I980" s="607" t="str">
        <f t="shared" si="42"/>
        <v>C7032DOAN CHI CONG050081198664</v>
      </c>
      <c r="J980" s="853" t="str">
        <f>+VLOOKUP(B980,'[5]04 2025'!$B$2:$F$1371,5,0)</f>
        <v>C7032DOAN CHI CONG050081198664</v>
      </c>
      <c r="K980" s="607">
        <f t="shared" si="41"/>
        <v>1</v>
      </c>
      <c r="P980" s="685"/>
    </row>
    <row r="981" spans="1:16" s="607" customFormat="1" ht="18" customHeight="1">
      <c r="A981" s="826">
        <f>SUBTOTAL(3,B$6:B981)</f>
        <v>976</v>
      </c>
      <c r="B981" s="824" t="s">
        <v>2778</v>
      </c>
      <c r="C981" s="824" t="str">
        <f>+VLOOKUP(B981,'Salary sheet'!$B$6:$AX$1386,48,0)</f>
        <v>NGUYEN VAN BE SAU</v>
      </c>
      <c r="D981" s="824" t="str">
        <f>+VLOOKUP(B981,'Salary sheet'!$B$6:$BW$1386,49,0)</f>
        <v>050064979830</v>
      </c>
      <c r="E981" s="620">
        <f>+VLOOKUP(B981,'Salary sheet'!$B$6:$AT$1292,45,0)</f>
        <v>9613415</v>
      </c>
      <c r="F981" s="1029" t="s">
        <v>5723</v>
      </c>
      <c r="G981" s="824" t="str">
        <f>+VLOOKUP(B981,'Salary sheet'!$B$6:$E$2281,4,0)</f>
        <v>SK2</v>
      </c>
      <c r="H981" s="607" t="str">
        <f>+VLOOKUP(B981,'Salary sheet'!$B$6:$AZ$1386,50,0)</f>
        <v>SK2</v>
      </c>
      <c r="I981" s="607" t="str">
        <f t="shared" si="42"/>
        <v>C7232NGUYEN VAN BE SAU050064979830</v>
      </c>
      <c r="J981" s="853" t="str">
        <f>+VLOOKUP(B981,'[5]04 2025'!$B$2:$F$1371,5,0)</f>
        <v>C7232NGUYEN VAN BE SAU050064979830</v>
      </c>
      <c r="K981" s="607">
        <f t="shared" si="41"/>
        <v>1</v>
      </c>
      <c r="P981" s="685"/>
    </row>
    <row r="982" spans="1:16" s="607" customFormat="1" ht="18" customHeight="1">
      <c r="A982" s="826">
        <f>SUBTOTAL(3,B$6:B982)</f>
        <v>977</v>
      </c>
      <c r="B982" s="824" t="s">
        <v>2780</v>
      </c>
      <c r="C982" s="824" t="str">
        <f>+VLOOKUP(B982,'Salary sheet'!$B$6:$AX$1386,48,0)</f>
        <v>NGUYEN HOANG KHAI</v>
      </c>
      <c r="D982" s="824" t="str">
        <f>+VLOOKUP(B982,'Salary sheet'!$B$6:$BW$1386,49,0)</f>
        <v>050095313148</v>
      </c>
      <c r="E982" s="620">
        <f>+VLOOKUP(B982,'Salary sheet'!$B$6:$AT$1292,45,0)</f>
        <v>10947899</v>
      </c>
      <c r="F982" s="1029" t="s">
        <v>5723</v>
      </c>
      <c r="G982" s="824" t="str">
        <f>+VLOOKUP(B982,'Salary sheet'!$B$6:$E$2281,4,0)</f>
        <v>SK2</v>
      </c>
      <c r="H982" s="607" t="str">
        <f>+VLOOKUP(B982,'Salary sheet'!$B$6:$AZ$1386,50,0)</f>
        <v>SK2</v>
      </c>
      <c r="I982" s="607" t="str">
        <f t="shared" si="42"/>
        <v>C7395NGUYEN HOANG KHAI050095313148</v>
      </c>
      <c r="J982" s="853" t="str">
        <f>+VLOOKUP(B982,'[5]04 2025'!$B$2:$F$1371,5,0)</f>
        <v>C7395NGUYEN HOANG KHAI050095313148</v>
      </c>
      <c r="K982" s="607">
        <f t="shared" si="41"/>
        <v>1</v>
      </c>
      <c r="P982" s="685"/>
    </row>
    <row r="983" spans="1:16" s="607" customFormat="1" ht="18" customHeight="1">
      <c r="A983" s="826">
        <f>SUBTOTAL(3,B$6:B983)</f>
        <v>978</v>
      </c>
      <c r="B983" s="824" t="s">
        <v>2782</v>
      </c>
      <c r="C983" s="824" t="str">
        <f>+VLOOKUP(B983,'Salary sheet'!$B$6:$AX$1386,48,0)</f>
        <v>PHAN QUOC TOI</v>
      </c>
      <c r="D983" s="824" t="str">
        <f>+VLOOKUP(B983,'Salary sheet'!$B$6:$BW$1386,49,0)</f>
        <v>050040968617</v>
      </c>
      <c r="E983" s="620">
        <f>+VLOOKUP(B983,'Salary sheet'!$B$6:$AT$1292,45,0)</f>
        <v>11001464</v>
      </c>
      <c r="F983" s="1029" t="s">
        <v>5723</v>
      </c>
      <c r="G983" s="824" t="str">
        <f>+VLOOKUP(B983,'Salary sheet'!$B$6:$E$2281,4,0)</f>
        <v>SK2</v>
      </c>
      <c r="H983" s="607" t="str">
        <f>+VLOOKUP(B983,'Salary sheet'!$B$6:$AZ$1386,50,0)</f>
        <v>SK2</v>
      </c>
      <c r="I983" s="607" t="str">
        <f t="shared" si="42"/>
        <v>C7563PHAN QUOC TOI050040968617</v>
      </c>
      <c r="J983" s="853" t="str">
        <f>+VLOOKUP(B983,'[5]04 2025'!$B$2:$F$1371,5,0)</f>
        <v>C7563PHAN QUOC TOI050040968617</v>
      </c>
      <c r="K983" s="607">
        <f t="shared" si="41"/>
        <v>1</v>
      </c>
      <c r="P983" s="685"/>
    </row>
    <row r="984" spans="1:16" s="607" customFormat="1" ht="18" customHeight="1">
      <c r="A984" s="826">
        <f>SUBTOTAL(3,B$6:B984)</f>
        <v>979</v>
      </c>
      <c r="B984" s="824" t="s">
        <v>2784</v>
      </c>
      <c r="C984" s="824" t="str">
        <f>+VLOOKUP(B984,'Salary sheet'!$B$6:$AX$1386,48,0)</f>
        <v>NGUYEN HUU TRUNG</v>
      </c>
      <c r="D984" s="824" t="str">
        <f>+VLOOKUP(B984,'Salary sheet'!$B$6:$BW$1386,49,0)</f>
        <v>050099885065</v>
      </c>
      <c r="E984" s="620">
        <f>+VLOOKUP(B984,'Salary sheet'!$B$6:$AT$1292,45,0)</f>
        <v>10122551</v>
      </c>
      <c r="F984" s="1029" t="s">
        <v>5723</v>
      </c>
      <c r="G984" s="824" t="str">
        <f>+VLOOKUP(B984,'Salary sheet'!$B$6:$E$2281,4,0)</f>
        <v>SK2</v>
      </c>
      <c r="H984" s="607" t="str">
        <f>+VLOOKUP(B984,'Salary sheet'!$B$6:$AZ$1386,50,0)</f>
        <v>SK2</v>
      </c>
      <c r="I984" s="607" t="str">
        <f t="shared" si="42"/>
        <v>C7587NGUYEN HUU TRUNG050099885065</v>
      </c>
      <c r="J984" s="853" t="str">
        <f>+VLOOKUP(B984,'[5]04 2025'!$B$2:$F$1371,5,0)</f>
        <v>C7587NGUYEN HUU TRUNG050099885065</v>
      </c>
      <c r="K984" s="607">
        <f t="shared" si="41"/>
        <v>1</v>
      </c>
      <c r="P984" s="685"/>
    </row>
    <row r="985" spans="1:16" s="607" customFormat="1" ht="18" customHeight="1">
      <c r="A985" s="826">
        <f>SUBTOTAL(3,B$6:B985)</f>
        <v>980</v>
      </c>
      <c r="B985" s="824" t="s">
        <v>2786</v>
      </c>
      <c r="C985" s="824" t="str">
        <f>+VLOOKUP(B985,'Salary sheet'!$B$6:$AX$1386,48,0)</f>
        <v>TRAN THI THUY HANG</v>
      </c>
      <c r="D985" s="824" t="str">
        <f>+VLOOKUP(B985,'Salary sheet'!$B$6:$BW$1386,49,0)</f>
        <v>050094553811</v>
      </c>
      <c r="E985" s="620">
        <f>+VLOOKUP(B985,'Salary sheet'!$B$6:$AT$1292,45,0)</f>
        <v>10515125</v>
      </c>
      <c r="F985" s="1029" t="s">
        <v>5723</v>
      </c>
      <c r="G985" s="824" t="str">
        <f>+VLOOKUP(B985,'Salary sheet'!$B$6:$E$2281,4,0)</f>
        <v>SK2</v>
      </c>
      <c r="H985" s="607" t="str">
        <f>+VLOOKUP(B985,'Salary sheet'!$B$6:$AZ$1386,50,0)</f>
        <v>SK2</v>
      </c>
      <c r="I985" s="607" t="str">
        <f t="shared" si="42"/>
        <v>C11502TRAN THI THUY HANG050094553811</v>
      </c>
      <c r="J985" s="853" t="str">
        <f>+VLOOKUP(B985,'[5]04 2025'!$B$2:$F$1371,5,0)</f>
        <v>C11502TRAN THI THUY HANG050094553811</v>
      </c>
      <c r="K985" s="607">
        <f t="shared" si="41"/>
        <v>1</v>
      </c>
      <c r="P985" s="685"/>
    </row>
    <row r="986" spans="1:16" s="607" customFormat="1" ht="18" customHeight="1">
      <c r="A986" s="826">
        <f>SUBTOTAL(3,B$6:B986)</f>
        <v>981</v>
      </c>
      <c r="B986" s="824" t="s">
        <v>2788</v>
      </c>
      <c r="C986" s="824" t="str">
        <f>+VLOOKUP(B986,'Salary sheet'!$B$6:$AX$1386,48,0)</f>
        <v>PHAM THI THU THANH</v>
      </c>
      <c r="D986" s="824" t="str">
        <f>+VLOOKUP(B986,'Salary sheet'!$B$6:$BW$1386,49,0)</f>
        <v>050148655143</v>
      </c>
      <c r="E986" s="620">
        <f>+VLOOKUP(B986,'Salary sheet'!$B$6:$AT$1292,45,0)</f>
        <v>7747273</v>
      </c>
      <c r="F986" s="1029" t="s">
        <v>5723</v>
      </c>
      <c r="G986" s="824" t="str">
        <f>+VLOOKUP(B986,'Salary sheet'!$B$6:$E$2281,4,0)</f>
        <v>SK2</v>
      </c>
      <c r="H986" s="607" t="str">
        <f>+VLOOKUP(B986,'Salary sheet'!$B$6:$AZ$1386,50,0)</f>
        <v>SK2</v>
      </c>
      <c r="I986" s="607" t="str">
        <f t="shared" si="42"/>
        <v>C16531PHAM THI THU THANH050148655143</v>
      </c>
      <c r="J986" s="853" t="str">
        <f>+VLOOKUP(B986,'[5]04 2025'!$B$2:$F$1371,5,0)</f>
        <v>C16531PHAM THI THU THANH050148655143</v>
      </c>
      <c r="K986" s="607">
        <f t="shared" si="41"/>
        <v>1</v>
      </c>
      <c r="P986" s="685"/>
    </row>
    <row r="987" spans="1:16" s="607" customFormat="1" ht="18" customHeight="1">
      <c r="A987" s="826">
        <f>SUBTOTAL(3,B$6:B987)</f>
        <v>982</v>
      </c>
      <c r="B987" s="824" t="s">
        <v>5783</v>
      </c>
      <c r="C987" s="824" t="str">
        <f>+VLOOKUP(B987,'Salary sheet'!$B$6:$AX$1386,48,0)</f>
        <v>NGO THI NGOC TRAM</v>
      </c>
      <c r="D987" s="824" t="str">
        <f>+VLOOKUP(B987,'Salary sheet'!$B$6:$BW$1386,49,0)</f>
        <v>050155133950</v>
      </c>
      <c r="E987" s="620">
        <f>+VLOOKUP(B987,'Salary sheet'!$B$6:$AT$1292,45,0)</f>
        <v>2809403</v>
      </c>
      <c r="F987" s="1029" t="s">
        <v>5723</v>
      </c>
      <c r="G987" s="824" t="str">
        <f>+VLOOKUP(B987,'Salary sheet'!$B$6:$E$2281,4,0)</f>
        <v>SK2</v>
      </c>
      <c r="H987" s="607" t="str">
        <f>+VLOOKUP(B987,'Salary sheet'!$B$6:$AZ$1386,50,0)</f>
        <v>SK2</v>
      </c>
      <c r="I987" s="607" t="str">
        <f t="shared" si="42"/>
        <v>C16613NGO THI NGOC TRAM050155133950</v>
      </c>
      <c r="J987" s="853" t="str">
        <f>+VLOOKUP(B987,'[5]04 2025'!$B$2:$F$1371,5,0)</f>
        <v>C16613NGO THI NGOC TRAM050155133950</v>
      </c>
      <c r="K987" s="607">
        <f t="shared" si="41"/>
        <v>1</v>
      </c>
      <c r="P987" s="685"/>
    </row>
    <row r="988" spans="1:16" s="607" customFormat="1" ht="18" customHeight="1">
      <c r="A988" s="826">
        <f>SUBTOTAL(3,B$6:B988)</f>
        <v>983</v>
      </c>
      <c r="B988" s="824" t="s">
        <v>2790</v>
      </c>
      <c r="C988" s="824" t="str">
        <f>+VLOOKUP(B988,'Salary sheet'!$B$6:$AX$1386,48,0)</f>
        <v>NGUYEN THI LY</v>
      </c>
      <c r="D988" s="824" t="str">
        <f>+VLOOKUP(B988,'Salary sheet'!$B$6:$BW$1386,49,0)</f>
        <v>050040901814</v>
      </c>
      <c r="E988" s="620">
        <f>+VLOOKUP(B988,'Salary sheet'!$B$6:$AT$1292,45,0)</f>
        <v>10542478</v>
      </c>
      <c r="F988" s="1029" t="s">
        <v>5723</v>
      </c>
      <c r="G988" s="824" t="str">
        <f>+VLOOKUP(B988,'Salary sheet'!$B$6:$E$2281,4,0)</f>
        <v>SK2</v>
      </c>
      <c r="H988" s="607" t="str">
        <f>+VLOOKUP(B988,'Salary sheet'!$B$6:$AZ$1386,50,0)</f>
        <v>SK2</v>
      </c>
      <c r="I988" s="607" t="str">
        <f t="shared" si="42"/>
        <v>C4673NGUYEN THI LY050040901814</v>
      </c>
      <c r="J988" s="853" t="str">
        <f>+VLOOKUP(B988,'[5]04 2025'!$B$2:$F$1371,5,0)</f>
        <v>C4673NGUYEN THI LY050040901814</v>
      </c>
      <c r="K988" s="607">
        <f t="shared" si="41"/>
        <v>1</v>
      </c>
      <c r="P988" s="685"/>
    </row>
    <row r="989" spans="1:16" s="607" customFormat="1" ht="18" customHeight="1">
      <c r="A989" s="826">
        <f>SUBTOTAL(3,B$6:B989)</f>
        <v>984</v>
      </c>
      <c r="B989" s="824" t="s">
        <v>2791</v>
      </c>
      <c r="C989" s="824" t="str">
        <f>+VLOOKUP(B989,'Salary sheet'!$B$6:$AX$1386,48,0)</f>
        <v>VU XUAN HIEU</v>
      </c>
      <c r="D989" s="824" t="str">
        <f>+VLOOKUP(B989,'Salary sheet'!$B$6:$BW$1386,49,0)</f>
        <v>050070926935</v>
      </c>
      <c r="E989" s="620">
        <f>+VLOOKUP(B989,'Salary sheet'!$B$6:$AT$1292,45,0)</f>
        <v>12354057</v>
      </c>
      <c r="F989" s="1029" t="s">
        <v>5723</v>
      </c>
      <c r="G989" s="824" t="str">
        <f>+VLOOKUP(B989,'Salary sheet'!$B$6:$E$2281,4,0)</f>
        <v>SK2</v>
      </c>
      <c r="H989" s="607" t="str">
        <f>+VLOOKUP(B989,'Salary sheet'!$B$6:$AZ$1386,50,0)</f>
        <v>SK2</v>
      </c>
      <c r="I989" s="607" t="str">
        <f t="shared" si="42"/>
        <v>C0445VU XUAN HIEU050070926935</v>
      </c>
      <c r="J989" s="853" t="str">
        <f>+VLOOKUP(B989,'[5]04 2025'!$B$2:$F$1371,5,0)</f>
        <v>C0445VU XUAN HIEU050070926935</v>
      </c>
      <c r="K989" s="607">
        <f t="shared" si="41"/>
        <v>1</v>
      </c>
      <c r="P989" s="685"/>
    </row>
    <row r="990" spans="1:16" s="607" customFormat="1" ht="18" customHeight="1">
      <c r="A990" s="826">
        <f>SUBTOTAL(3,B$6:B990)</f>
        <v>985</v>
      </c>
      <c r="B990" s="824" t="s">
        <v>2793</v>
      </c>
      <c r="C990" s="824" t="str">
        <f>+VLOOKUP(B990,'Salary sheet'!$B$6:$AX$1386,48,0)</f>
        <v>DIEU SON</v>
      </c>
      <c r="D990" s="824" t="str">
        <f>+VLOOKUP(B990,'Salary sheet'!$B$6:$BW$1386,49,0)</f>
        <v>050087500125</v>
      </c>
      <c r="E990" s="620">
        <f>+VLOOKUP(B990,'Salary sheet'!$B$6:$AT$1292,45,0)</f>
        <v>11886013</v>
      </c>
      <c r="F990" s="1029" t="s">
        <v>5723</v>
      </c>
      <c r="G990" s="824" t="str">
        <f>+VLOOKUP(B990,'Salary sheet'!$B$6:$E$2281,4,0)</f>
        <v>SK2</v>
      </c>
      <c r="H990" s="607" t="str">
        <f>+VLOOKUP(B990,'Salary sheet'!$B$6:$AZ$1386,50,0)</f>
        <v>SK2</v>
      </c>
      <c r="I990" s="607" t="str">
        <f t="shared" si="42"/>
        <v>C12381DIEU SON050087500125</v>
      </c>
      <c r="J990" s="853" t="str">
        <f>+VLOOKUP(B990,'[5]04 2025'!$B$2:$F$1371,5,0)</f>
        <v>C12381DIEU SON050087500125</v>
      </c>
      <c r="K990" s="607">
        <f t="shared" si="41"/>
        <v>1</v>
      </c>
      <c r="P990" s="685"/>
    </row>
    <row r="991" spans="1:16" s="607" customFormat="1" ht="18" customHeight="1">
      <c r="A991" s="826">
        <f>SUBTOTAL(3,B$6:B991)</f>
        <v>986</v>
      </c>
      <c r="B991" s="824" t="s">
        <v>2794</v>
      </c>
      <c r="C991" s="824" t="str">
        <f>+VLOOKUP(B991,'Salary sheet'!$B$6:$AX$1386,48,0)</f>
        <v>VO HUNG LONG</v>
      </c>
      <c r="D991" s="824" t="str">
        <f>+VLOOKUP(B991,'Salary sheet'!$B$6:$BW$1386,49,0)</f>
        <v>050123329837</v>
      </c>
      <c r="E991" s="620">
        <f>+VLOOKUP(B991,'Salary sheet'!$B$6:$AT$1292,45,0)</f>
        <v>9212023</v>
      </c>
      <c r="F991" s="1029" t="s">
        <v>5723</v>
      </c>
      <c r="G991" s="824" t="str">
        <f>+VLOOKUP(B991,'Salary sheet'!$B$6:$E$2281,4,0)</f>
        <v>SK2</v>
      </c>
      <c r="H991" s="607" t="str">
        <f>+VLOOKUP(B991,'Salary sheet'!$B$6:$AZ$1386,50,0)</f>
        <v>SK2</v>
      </c>
      <c r="I991" s="607" t="str">
        <f t="shared" si="42"/>
        <v>C13451VO HUNG LONG050123329837</v>
      </c>
      <c r="J991" s="853" t="str">
        <f>+VLOOKUP(B991,'[5]04 2025'!$B$2:$F$1371,5,0)</f>
        <v>C13451VO HUNG LONG050123329837</v>
      </c>
      <c r="K991" s="607">
        <f t="shared" si="41"/>
        <v>1</v>
      </c>
      <c r="P991" s="685"/>
    </row>
    <row r="992" spans="1:16" s="607" customFormat="1" ht="18" customHeight="1">
      <c r="A992" s="826">
        <f>SUBTOTAL(3,B$6:B992)</f>
        <v>987</v>
      </c>
      <c r="B992" s="824" t="s">
        <v>2796</v>
      </c>
      <c r="C992" s="824" t="str">
        <f>+VLOOKUP(B992,'Salary sheet'!$B$6:$AX$1386,48,0)</f>
        <v>NGUYEN VAN SINH</v>
      </c>
      <c r="D992" s="824" t="str">
        <f>+VLOOKUP(B992,'Salary sheet'!$B$6:$BW$1386,49,0)</f>
        <v>050097633281</v>
      </c>
      <c r="E992" s="620">
        <f>+VLOOKUP(B992,'Salary sheet'!$B$6:$AT$1292,45,0)</f>
        <v>11045326</v>
      </c>
      <c r="F992" s="1029" t="s">
        <v>5723</v>
      </c>
      <c r="G992" s="824" t="str">
        <f>+VLOOKUP(B992,'Salary sheet'!$B$6:$E$2281,4,0)</f>
        <v>SK2</v>
      </c>
      <c r="H992" s="607" t="str">
        <f>+VLOOKUP(B992,'Salary sheet'!$B$6:$AZ$1386,50,0)</f>
        <v>SK2</v>
      </c>
      <c r="I992" s="607" t="str">
        <f t="shared" si="42"/>
        <v>C13486NGUYEN VAN SINH050097633281</v>
      </c>
      <c r="J992" s="853" t="str">
        <f>+VLOOKUP(B992,'[5]04 2025'!$B$2:$F$1371,5,0)</f>
        <v>C13486NGUYEN VAN SINH050097633281</v>
      </c>
      <c r="K992" s="607">
        <f t="shared" si="41"/>
        <v>1</v>
      </c>
      <c r="P992" s="685"/>
    </row>
    <row r="993" spans="1:16" s="607" customFormat="1" ht="18" customHeight="1">
      <c r="A993" s="826">
        <f>SUBTOTAL(3,B$6:B993)</f>
        <v>988</v>
      </c>
      <c r="B993" s="824" t="s">
        <v>2798</v>
      </c>
      <c r="C993" s="824" t="str">
        <f>+VLOOKUP(B993,'Salary sheet'!$B$6:$AX$1386,48,0)</f>
        <v>PHAM THANH SONG</v>
      </c>
      <c r="D993" s="824" t="str">
        <f>+VLOOKUP(B993,'Salary sheet'!$B$6:$BW$1386,49,0)</f>
        <v>050120388832</v>
      </c>
      <c r="E993" s="620">
        <f>+VLOOKUP(B993,'Salary sheet'!$B$6:$AT$1292,45,0)</f>
        <v>11027923</v>
      </c>
      <c r="F993" s="1029" t="s">
        <v>5723</v>
      </c>
      <c r="G993" s="824" t="str">
        <f>+VLOOKUP(B993,'Salary sheet'!$B$6:$E$2281,4,0)</f>
        <v>SK2</v>
      </c>
      <c r="H993" s="607" t="str">
        <f>+VLOOKUP(B993,'Salary sheet'!$B$6:$AZ$1386,50,0)</f>
        <v>SK2</v>
      </c>
      <c r="I993" s="607" t="str">
        <f t="shared" si="42"/>
        <v>C13890PHAM THANH SONG050120388832</v>
      </c>
      <c r="J993" s="853" t="str">
        <f>+VLOOKUP(B993,'[5]04 2025'!$B$2:$F$1371,5,0)</f>
        <v>C13890PHAM THANH SONG050120388832</v>
      </c>
      <c r="K993" s="607">
        <f t="shared" si="41"/>
        <v>1</v>
      </c>
      <c r="P993" s="685"/>
    </row>
    <row r="994" spans="1:16" s="607" customFormat="1" ht="18" customHeight="1">
      <c r="A994" s="826">
        <f>SUBTOTAL(3,B$6:B994)</f>
        <v>989</v>
      </c>
      <c r="B994" s="824" t="s">
        <v>2800</v>
      </c>
      <c r="C994" s="824" t="str">
        <f>+VLOOKUP(B994,'Salary sheet'!$B$6:$AX$1386,48,0)</f>
        <v>DIEU PHUNG</v>
      </c>
      <c r="D994" s="824" t="str">
        <f>+VLOOKUP(B994,'Salary sheet'!$B$6:$BW$1386,49,0)</f>
        <v>050126708820</v>
      </c>
      <c r="E994" s="620">
        <f>+VLOOKUP(B994,'Salary sheet'!$B$6:$AT$1292,45,0)</f>
        <v>11824284</v>
      </c>
      <c r="F994" s="1029" t="s">
        <v>5723</v>
      </c>
      <c r="G994" s="824" t="str">
        <f>+VLOOKUP(B994,'Salary sheet'!$B$6:$E$2281,4,0)</f>
        <v>SK2</v>
      </c>
      <c r="H994" s="607" t="str">
        <f>+VLOOKUP(B994,'Salary sheet'!$B$6:$AZ$1386,50,0)</f>
        <v>SK2</v>
      </c>
      <c r="I994" s="607" t="str">
        <f t="shared" si="42"/>
        <v>C14218DIEU PHUNG050126708820</v>
      </c>
      <c r="J994" s="853" t="str">
        <f>+VLOOKUP(B994,'[5]04 2025'!$B$2:$F$1371,5,0)</f>
        <v>C14218DIEU PHUNG050126708820</v>
      </c>
      <c r="K994" s="607">
        <f t="shared" si="41"/>
        <v>1</v>
      </c>
      <c r="P994" s="685"/>
    </row>
    <row r="995" spans="1:16" s="607" customFormat="1" ht="18" customHeight="1">
      <c r="A995" s="826">
        <f>SUBTOTAL(3,B$6:B995)</f>
        <v>990</v>
      </c>
      <c r="B995" s="824" t="s">
        <v>2802</v>
      </c>
      <c r="C995" s="824" t="str">
        <f>+VLOOKUP(B995,'Salary sheet'!$B$6:$AX$1386,48,0)</f>
        <v>NGUYEN VAN BAO</v>
      </c>
      <c r="D995" s="824" t="str">
        <f>+VLOOKUP(B995,'Salary sheet'!$B$6:$BW$1386,49,0)</f>
        <v>050109388316</v>
      </c>
      <c r="E995" s="620">
        <f>+VLOOKUP(B995,'Salary sheet'!$B$6:$AT$1292,45,0)</f>
        <v>11365410</v>
      </c>
      <c r="F995" s="1029" t="s">
        <v>5723</v>
      </c>
      <c r="G995" s="824" t="str">
        <f>+VLOOKUP(B995,'Salary sheet'!$B$6:$E$2281,4,0)</f>
        <v>SK2</v>
      </c>
      <c r="H995" s="607" t="str">
        <f>+VLOOKUP(B995,'Salary sheet'!$B$6:$AZ$1386,50,0)</f>
        <v>SK2</v>
      </c>
      <c r="I995" s="607" t="str">
        <f t="shared" si="42"/>
        <v>C14967NGUYEN VAN BAO050109388316</v>
      </c>
      <c r="J995" s="853" t="str">
        <f>+VLOOKUP(B995,'[5]04 2025'!$B$2:$F$1371,5,0)</f>
        <v>C14967NGUYEN VAN BAO050109388316</v>
      </c>
      <c r="K995" s="607">
        <f t="shared" si="41"/>
        <v>1</v>
      </c>
      <c r="P995" s="685"/>
    </row>
    <row r="996" spans="1:16" s="607" customFormat="1" ht="18" customHeight="1">
      <c r="A996" s="826">
        <f>SUBTOTAL(3,B$6:B996)</f>
        <v>991</v>
      </c>
      <c r="B996" s="824" t="s">
        <v>2804</v>
      </c>
      <c r="C996" s="824" t="str">
        <f>+VLOOKUP(B996,'Salary sheet'!$B$6:$AX$1386,48,0)</f>
        <v>KIEU NGOC TUAN</v>
      </c>
      <c r="D996" s="824" t="str">
        <f>+VLOOKUP(B996,'Salary sheet'!$B$6:$BW$1386,49,0)</f>
        <v>050148228350</v>
      </c>
      <c r="E996" s="620">
        <f>+VLOOKUP(B996,'Salary sheet'!$B$6:$AT$1292,45,0)</f>
        <v>9519255</v>
      </c>
      <c r="F996" s="1029" t="s">
        <v>5723</v>
      </c>
      <c r="G996" s="824" t="str">
        <f>+VLOOKUP(B996,'Salary sheet'!$B$6:$E$2281,4,0)</f>
        <v>SK2</v>
      </c>
      <c r="H996" s="607" t="str">
        <f>+VLOOKUP(B996,'Salary sheet'!$B$6:$AZ$1386,50,0)</f>
        <v>SK2</v>
      </c>
      <c r="I996" s="607" t="str">
        <f t="shared" si="42"/>
        <v>C15682KIEU NGOC TUAN050148228350</v>
      </c>
      <c r="J996" s="853" t="str">
        <f>+VLOOKUP(B996,'[5]04 2025'!$B$2:$F$1371,5,0)</f>
        <v>C15682KIEU NGOC TUAN050148228350</v>
      </c>
      <c r="K996" s="607">
        <f t="shared" si="41"/>
        <v>1</v>
      </c>
      <c r="P996" s="685"/>
    </row>
    <row r="997" spans="1:16" s="607" customFormat="1" ht="18" customHeight="1">
      <c r="A997" s="826">
        <f>SUBTOTAL(3,B$6:B997)</f>
        <v>992</v>
      </c>
      <c r="B997" s="824" t="s">
        <v>2806</v>
      </c>
      <c r="C997" s="824" t="str">
        <f>+VLOOKUP(B997,'Salary sheet'!$B$6:$AX$1386,48,0)</f>
        <v>HUYNH HUU DUC</v>
      </c>
      <c r="D997" s="824" t="str">
        <f>+VLOOKUP(B997,'Salary sheet'!$B$6:$BW$1386,49,0)</f>
        <v>050116211227</v>
      </c>
      <c r="E997" s="620">
        <f>+VLOOKUP(B997,'Salary sheet'!$B$6:$AT$1292,45,0)</f>
        <v>9428550</v>
      </c>
      <c r="F997" s="1029" t="s">
        <v>5723</v>
      </c>
      <c r="G997" s="824" t="str">
        <f>+VLOOKUP(B997,'Salary sheet'!$B$6:$E$2281,4,0)</f>
        <v>SK2</v>
      </c>
      <c r="H997" s="607" t="str">
        <f>+VLOOKUP(B997,'Salary sheet'!$B$6:$AZ$1386,50,0)</f>
        <v>SK2</v>
      </c>
      <c r="I997" s="607" t="str">
        <f t="shared" si="42"/>
        <v>C15717HUYNH HUU DUC050116211227</v>
      </c>
      <c r="J997" s="853" t="str">
        <f>+VLOOKUP(B997,'[5]04 2025'!$B$2:$F$1371,5,0)</f>
        <v>C15717HUYNH HUU DUC050116211227</v>
      </c>
      <c r="K997" s="607">
        <f t="shared" si="41"/>
        <v>1</v>
      </c>
      <c r="P997" s="685"/>
    </row>
    <row r="998" spans="1:16" s="607" customFormat="1" ht="18" customHeight="1">
      <c r="A998" s="826">
        <f>SUBTOTAL(3,B$6:B998)</f>
        <v>993</v>
      </c>
      <c r="B998" s="824" t="s">
        <v>1985</v>
      </c>
      <c r="C998" s="824" t="str">
        <f>+VLOOKUP(B998,'Salary sheet'!$B$6:$AX$1386,48,0)</f>
        <v>BUI ANH KHANG</v>
      </c>
      <c r="D998" s="824" t="str">
        <f>+VLOOKUP(B998,'Salary sheet'!$B$6:$BW$1386,49,0)</f>
        <v>050151558981</v>
      </c>
      <c r="E998" s="620">
        <f>+VLOOKUP(B998,'Salary sheet'!$B$6:$AT$1292,45,0)</f>
        <v>7279090</v>
      </c>
      <c r="F998" s="1029" t="s">
        <v>5723</v>
      </c>
      <c r="G998" s="824" t="str">
        <f>+VLOOKUP(B998,'Salary sheet'!$B$6:$E$2281,4,0)</f>
        <v>SK2</v>
      </c>
      <c r="H998" s="607" t="str">
        <f>+VLOOKUP(B998,'Salary sheet'!$B$6:$AZ$1386,50,0)</f>
        <v>SK2</v>
      </c>
      <c r="I998" s="607" t="str">
        <f t="shared" si="42"/>
        <v>C16564BUI ANH KHANG050151558981</v>
      </c>
      <c r="J998" s="853" t="str">
        <f>+VLOOKUP(B998,'[5]04 2025'!$B$2:$F$1371,5,0)</f>
        <v>C16564BUI ANH KHANG050151558981</v>
      </c>
      <c r="K998" s="607">
        <f t="shared" ref="K998:K1061" si="43">+IF(J998=I998,1,0)</f>
        <v>1</v>
      </c>
      <c r="P998" s="685"/>
    </row>
    <row r="999" spans="1:16" s="607" customFormat="1" ht="18" customHeight="1">
      <c r="A999" s="826">
        <f>SUBTOTAL(3,B$6:B999)</f>
        <v>994</v>
      </c>
      <c r="B999" s="824" t="s">
        <v>5787</v>
      </c>
      <c r="C999" s="824" t="str">
        <f>+VLOOKUP(B999,'Salary sheet'!$B$6:$AX$1386,48,0)</f>
        <v>VO VAN THI</v>
      </c>
      <c r="D999" s="824" t="str">
        <f>+VLOOKUP(B999,'Salary sheet'!$B$6:$BW$1386,49,0)</f>
        <v>050154605506</v>
      </c>
      <c r="E999" s="620">
        <f>+VLOOKUP(B999,'Salary sheet'!$B$6:$AT$1292,45,0)</f>
        <v>3158346</v>
      </c>
      <c r="F999" s="1029" t="s">
        <v>5723</v>
      </c>
      <c r="G999" s="824" t="str">
        <f>+VLOOKUP(B999,'Salary sheet'!$B$6:$E$2281,4,0)</f>
        <v>SK2</v>
      </c>
      <c r="H999" s="607" t="str">
        <f>+VLOOKUP(B999,'Salary sheet'!$B$6:$AZ$1386,50,0)</f>
        <v>SK2</v>
      </c>
      <c r="I999" s="607" t="str">
        <f t="shared" si="42"/>
        <v>C16615VO VAN THI050154605506</v>
      </c>
      <c r="J999" s="853" t="str">
        <f>+VLOOKUP(B999,'[5]04 2025'!$B$2:$F$1371,5,0)</f>
        <v>C16615VO VAN THI050154605506</v>
      </c>
      <c r="K999" s="607">
        <f t="shared" si="43"/>
        <v>1</v>
      </c>
      <c r="P999" s="685"/>
    </row>
    <row r="1000" spans="1:16" s="607" customFormat="1" ht="18" customHeight="1">
      <c r="A1000" s="826">
        <f>SUBTOTAL(3,B$6:B1000)</f>
        <v>995</v>
      </c>
      <c r="B1000" s="824" t="s">
        <v>2808</v>
      </c>
      <c r="C1000" s="824" t="str">
        <f>+VLOOKUP(B1000,'Salary sheet'!$B$6:$AX$1386,48,0)</f>
        <v>HUYNH MINH TAM</v>
      </c>
      <c r="D1000" s="824" t="str">
        <f>+VLOOKUP(B1000,'Salary sheet'!$B$6:$BW$1386,49,0)</f>
        <v>050068237499</v>
      </c>
      <c r="E1000" s="620">
        <f>+VLOOKUP(B1000,'Salary sheet'!$B$6:$AT$1292,45,0)</f>
        <v>16008418</v>
      </c>
      <c r="F1000" s="1029" t="s">
        <v>5723</v>
      </c>
      <c r="G1000" s="824" t="str">
        <f>+VLOOKUP(B1000,'Salary sheet'!$B$6:$E$2281,4,0)</f>
        <v>SK2</v>
      </c>
      <c r="H1000" s="607" t="str">
        <f>+VLOOKUP(B1000,'Salary sheet'!$B$6:$AZ$1386,50,0)</f>
        <v>SK2</v>
      </c>
      <c r="I1000" s="607" t="str">
        <f t="shared" si="42"/>
        <v>C4549HUYNH MINH TAM050068237499</v>
      </c>
      <c r="J1000" s="853" t="str">
        <f>+VLOOKUP(B1000,'[5]04 2025'!$B$2:$F$1371,5,0)</f>
        <v>C4549HUYNH MINH TAM050068237499</v>
      </c>
      <c r="K1000" s="607">
        <f t="shared" si="43"/>
        <v>1</v>
      </c>
      <c r="P1000" s="685"/>
    </row>
    <row r="1001" spans="1:16" s="607" customFormat="1" ht="18" customHeight="1">
      <c r="A1001" s="826">
        <f>SUBTOTAL(3,B$6:B1001)</f>
        <v>996</v>
      </c>
      <c r="B1001" s="824" t="s">
        <v>2810</v>
      </c>
      <c r="C1001" s="824" t="str">
        <f>+VLOOKUP(B1001,'Salary sheet'!$B$6:$AX$1386,48,0)</f>
        <v>HO MINH LUAN</v>
      </c>
      <c r="D1001" s="824" t="str">
        <f>+VLOOKUP(B1001,'Salary sheet'!$B$6:$BW$1386,49,0)</f>
        <v>050086552687</v>
      </c>
      <c r="E1001" s="620">
        <f>+VLOOKUP(B1001,'Salary sheet'!$B$6:$AT$1292,45,0)</f>
        <v>12848984</v>
      </c>
      <c r="F1001" s="1029" t="s">
        <v>5723</v>
      </c>
      <c r="G1001" s="824" t="str">
        <f>+VLOOKUP(B1001,'Salary sheet'!$B$6:$E$2281,4,0)</f>
        <v>SK2</v>
      </c>
      <c r="H1001" s="607" t="str">
        <f>+VLOOKUP(B1001,'Salary sheet'!$B$6:$AZ$1386,50,0)</f>
        <v>SK2</v>
      </c>
      <c r="I1001" s="607" t="str">
        <f t="shared" si="42"/>
        <v>C7148HO MINH LUAN050086552687</v>
      </c>
      <c r="J1001" s="853" t="str">
        <f>+VLOOKUP(B1001,'[5]04 2025'!$B$2:$F$1371,5,0)</f>
        <v>C7148HO MINH LUAN050086552687</v>
      </c>
      <c r="K1001" s="607">
        <f t="shared" si="43"/>
        <v>1</v>
      </c>
      <c r="P1001" s="685"/>
    </row>
    <row r="1002" spans="1:16" s="607" customFormat="1" ht="18" customHeight="1">
      <c r="A1002" s="826">
        <f>SUBTOTAL(3,B$6:B1002)</f>
        <v>997</v>
      </c>
      <c r="B1002" s="824" t="s">
        <v>2812</v>
      </c>
      <c r="C1002" s="824" t="str">
        <f>+VLOOKUP(B1002,'Salary sheet'!$B$6:$AX$1386,48,0)</f>
        <v>TRAN VAN NGHIA</v>
      </c>
      <c r="D1002" s="824" t="str">
        <f>+VLOOKUP(B1002,'Salary sheet'!$B$6:$BW$1386,49,0)</f>
        <v>050066936896</v>
      </c>
      <c r="E1002" s="620">
        <f>+VLOOKUP(B1002,'Salary sheet'!$B$6:$AT$1292,45,0)</f>
        <v>12820009</v>
      </c>
      <c r="F1002" s="1029" t="s">
        <v>5723</v>
      </c>
      <c r="G1002" s="824" t="str">
        <f>+VLOOKUP(B1002,'Salary sheet'!$B$6:$E$2281,4,0)</f>
        <v>SK2</v>
      </c>
      <c r="H1002" s="607" t="str">
        <f>+VLOOKUP(B1002,'Salary sheet'!$B$6:$AZ$1386,50,0)</f>
        <v>SK2</v>
      </c>
      <c r="I1002" s="607" t="str">
        <f t="shared" si="42"/>
        <v>C7388TRAN VAN NGHIA050066936896</v>
      </c>
      <c r="J1002" s="853" t="str">
        <f>+VLOOKUP(B1002,'[5]04 2025'!$B$2:$F$1371,5,0)</f>
        <v>C7388TRAN VAN NGHIA050066936896</v>
      </c>
      <c r="K1002" s="607">
        <f t="shared" si="43"/>
        <v>1</v>
      </c>
      <c r="P1002" s="685"/>
    </row>
    <row r="1003" spans="1:16" s="607" customFormat="1" ht="18" customHeight="1">
      <c r="A1003" s="826">
        <f>SUBTOTAL(3,B$6:B1003)</f>
        <v>998</v>
      </c>
      <c r="B1003" s="824" t="s">
        <v>2814</v>
      </c>
      <c r="C1003" s="824" t="str">
        <f>+VLOOKUP(B1003,'Salary sheet'!$B$6:$AX$1386,48,0)</f>
        <v>THACH QUI</v>
      </c>
      <c r="D1003" s="824" t="str">
        <f>+VLOOKUP(B1003,'Salary sheet'!$B$6:$BW$1386,49,0)</f>
        <v>050103659921</v>
      </c>
      <c r="E1003" s="620">
        <f>+VLOOKUP(B1003,'Salary sheet'!$B$6:$AT$1292,45,0)</f>
        <v>12349538</v>
      </c>
      <c r="F1003" s="1029" t="s">
        <v>5723</v>
      </c>
      <c r="G1003" s="824" t="str">
        <f>+VLOOKUP(B1003,'Salary sheet'!$B$6:$E$2281,4,0)</f>
        <v>SK2</v>
      </c>
      <c r="H1003" s="607" t="str">
        <f>+VLOOKUP(B1003,'Salary sheet'!$B$6:$AZ$1386,50,0)</f>
        <v>SK2</v>
      </c>
      <c r="I1003" s="607" t="str">
        <f t="shared" si="42"/>
        <v>C7822THACH QUI050103659921</v>
      </c>
      <c r="J1003" s="853" t="str">
        <f>+VLOOKUP(B1003,'[5]04 2025'!$B$2:$F$1371,5,0)</f>
        <v>C7822THACH QUI050103659921</v>
      </c>
      <c r="K1003" s="607">
        <f t="shared" si="43"/>
        <v>1</v>
      </c>
      <c r="P1003" s="685"/>
    </row>
    <row r="1004" spans="1:16" s="607" customFormat="1" ht="18" customHeight="1">
      <c r="A1004" s="826">
        <f>SUBTOTAL(3,B$6:B1004)</f>
        <v>999</v>
      </c>
      <c r="B1004" s="824" t="s">
        <v>55</v>
      </c>
      <c r="C1004" s="824" t="str">
        <f>+VLOOKUP(B1004,'Salary sheet'!$B$6:$AX$1386,48,0)</f>
        <v>PHAN TUAN KHANH</v>
      </c>
      <c r="D1004" s="824" t="str">
        <f>+VLOOKUP(B1004,'Salary sheet'!$B$6:$BW$1386,49,0)</f>
        <v>050040818488</v>
      </c>
      <c r="E1004" s="620">
        <f>+VLOOKUP(B1004,'Salary sheet'!$B$6:$AT$1292,45,0)</f>
        <v>26722210</v>
      </c>
      <c r="F1004" s="1029" t="s">
        <v>5723</v>
      </c>
      <c r="G1004" s="824" t="str">
        <f>+VLOOKUP(B1004,'Salary sheet'!$B$6:$E$2281,4,0)</f>
        <v>SK2</v>
      </c>
      <c r="H1004" s="607" t="str">
        <f>+VLOOKUP(B1004,'Salary sheet'!$B$6:$AZ$1386,50,0)</f>
        <v>SK2</v>
      </c>
      <c r="I1004" s="607" t="str">
        <f t="shared" si="42"/>
        <v>C0020PHAN TUAN KHANH050040818488</v>
      </c>
      <c r="J1004" s="853" t="str">
        <f>+VLOOKUP(B1004,'[5]04 2025'!$B$2:$F$1371,5,0)</f>
        <v>C0020PHAN TUAN KHANH050040818488</v>
      </c>
      <c r="K1004" s="607">
        <f t="shared" si="43"/>
        <v>1</v>
      </c>
      <c r="P1004" s="685"/>
    </row>
    <row r="1005" spans="1:16" s="607" customFormat="1" ht="18" customHeight="1">
      <c r="A1005" s="826">
        <f>SUBTOTAL(3,B$6:B1005)</f>
        <v>1000</v>
      </c>
      <c r="B1005" s="824" t="s">
        <v>2816</v>
      </c>
      <c r="C1005" s="824" t="str">
        <f>+VLOOKUP(B1005,'Salary sheet'!$B$6:$AX$1386,48,0)</f>
        <v>HOANG VAN PHUC</v>
      </c>
      <c r="D1005" s="824" t="str">
        <f>+VLOOKUP(B1005,'Salary sheet'!$B$6:$BW$1386,49,0)</f>
        <v>050040872271</v>
      </c>
      <c r="E1005" s="620">
        <f>+VLOOKUP(B1005,'Salary sheet'!$B$6:$AT$1292,45,0)</f>
        <v>23224694</v>
      </c>
      <c r="F1005" s="1029" t="s">
        <v>5723</v>
      </c>
      <c r="G1005" s="824" t="str">
        <f>+VLOOKUP(B1005,'Salary sheet'!$B$6:$E$2281,4,0)</f>
        <v>SK2</v>
      </c>
      <c r="H1005" s="607" t="str">
        <f>+VLOOKUP(B1005,'Salary sheet'!$B$6:$AZ$1386,50,0)</f>
        <v>SK2</v>
      </c>
      <c r="I1005" s="607" t="str">
        <f t="shared" si="42"/>
        <v>C5371HOANG VAN PHUC050040872271</v>
      </c>
      <c r="J1005" s="853" t="str">
        <f>+VLOOKUP(B1005,'[5]04 2025'!$B$2:$F$1371,5,0)</f>
        <v>C5371HOANG VAN PHUC050040872271</v>
      </c>
      <c r="K1005" s="607">
        <f t="shared" si="43"/>
        <v>1</v>
      </c>
      <c r="P1005" s="685"/>
    </row>
    <row r="1006" spans="1:16" s="607" customFormat="1" ht="18" customHeight="1">
      <c r="A1006" s="826">
        <f>SUBTOTAL(3,B$6:B1006)</f>
        <v>1001</v>
      </c>
      <c r="B1006" s="824" t="s">
        <v>2818</v>
      </c>
      <c r="C1006" s="824" t="str">
        <f>+VLOOKUP(B1006,'Salary sheet'!$B$6:$AX$1386,48,0)</f>
        <v>HOANG THI THAO</v>
      </c>
      <c r="D1006" s="824" t="str">
        <f>+VLOOKUP(B1006,'Salary sheet'!$B$6:$BW$1386,49,0)</f>
        <v>050040932566</v>
      </c>
      <c r="E1006" s="620">
        <f>+VLOOKUP(B1006,'Salary sheet'!$B$6:$AT$1292,45,0)</f>
        <v>15708362</v>
      </c>
      <c r="F1006" s="1029" t="s">
        <v>5723</v>
      </c>
      <c r="G1006" s="824" t="str">
        <f>+VLOOKUP(B1006,'Salary sheet'!$B$6:$E$2281,4,0)</f>
        <v>SK2</v>
      </c>
      <c r="H1006" s="607" t="str">
        <f>+VLOOKUP(B1006,'Salary sheet'!$B$6:$AZ$1386,50,0)</f>
        <v>SK2</v>
      </c>
      <c r="I1006" s="607" t="str">
        <f t="shared" si="42"/>
        <v>C5551HOANG THI THAO050040932566</v>
      </c>
      <c r="J1006" s="853" t="str">
        <f>+VLOOKUP(B1006,'[5]04 2025'!$B$2:$F$1371,5,0)</f>
        <v>C5551HOANG THI THAO050040932566</v>
      </c>
      <c r="K1006" s="607">
        <f t="shared" si="43"/>
        <v>1</v>
      </c>
      <c r="P1006" s="685"/>
    </row>
    <row r="1007" spans="1:16" s="607" customFormat="1" ht="18" customHeight="1">
      <c r="A1007" s="826">
        <f>SUBTOTAL(3,B$6:B1007)</f>
        <v>1002</v>
      </c>
      <c r="B1007" s="824" t="s">
        <v>2820</v>
      </c>
      <c r="C1007" s="824" t="str">
        <f>+VLOOKUP(B1007,'Salary sheet'!$B$6:$AX$1386,48,0)</f>
        <v>VO THI LIEN</v>
      </c>
      <c r="D1007" s="824" t="str">
        <f>+VLOOKUP(B1007,'Salary sheet'!$B$6:$BW$1386,49,0)</f>
        <v>050136331121</v>
      </c>
      <c r="E1007" s="620">
        <f>+VLOOKUP(B1007,'Salary sheet'!$B$6:$AT$1292,45,0)</f>
        <v>7498907</v>
      </c>
      <c r="F1007" s="1029" t="s">
        <v>5723</v>
      </c>
      <c r="G1007" s="824" t="str">
        <f>+VLOOKUP(B1007,'Salary sheet'!$B$6:$E$2281,4,0)</f>
        <v>SK2</v>
      </c>
      <c r="H1007" s="607" t="str">
        <f>+VLOOKUP(B1007,'Salary sheet'!$B$6:$AZ$1386,50,0)</f>
        <v>SK2</v>
      </c>
      <c r="I1007" s="607" t="str">
        <f t="shared" si="42"/>
        <v>C14773VO THI LIEN050136331121</v>
      </c>
      <c r="J1007" s="853" t="str">
        <f>+VLOOKUP(B1007,'[5]04 2025'!$B$2:$F$1371,5,0)</f>
        <v>C14773VO THI LIEN050136331121</v>
      </c>
      <c r="K1007" s="607">
        <f t="shared" si="43"/>
        <v>1</v>
      </c>
      <c r="P1007" s="685"/>
    </row>
    <row r="1008" spans="1:16" s="607" customFormat="1" ht="18" customHeight="1">
      <c r="A1008" s="826">
        <f>SUBTOTAL(3,B$6:B1008)</f>
        <v>1003</v>
      </c>
      <c r="B1008" s="824" t="s">
        <v>2822</v>
      </c>
      <c r="C1008" s="824" t="str">
        <f>+VLOOKUP(B1008,'Salary sheet'!$B$6:$AX$1386,48,0)</f>
        <v>NGUYEN THI HOAI LAN</v>
      </c>
      <c r="D1008" s="824" t="str">
        <f>+VLOOKUP(B1008,'Salary sheet'!$B$6:$BW$1386,49,0)</f>
        <v>050143320003</v>
      </c>
      <c r="E1008" s="620">
        <f>+VLOOKUP(B1008,'Salary sheet'!$B$6:$AT$1292,45,0)</f>
        <v>10348121</v>
      </c>
      <c r="F1008" s="1029" t="s">
        <v>5723</v>
      </c>
      <c r="G1008" s="824" t="str">
        <f>+VLOOKUP(B1008,'Salary sheet'!$B$6:$E$2281,4,0)</f>
        <v>SK2</v>
      </c>
      <c r="H1008" s="607" t="str">
        <f>+VLOOKUP(B1008,'Salary sheet'!$B$6:$AZ$1386,50,0)</f>
        <v>SK2</v>
      </c>
      <c r="I1008" s="607" t="str">
        <f t="shared" si="42"/>
        <v>C15383NGUYEN THI HOAI LAN050143320003</v>
      </c>
      <c r="J1008" s="853" t="str">
        <f>+VLOOKUP(B1008,'[5]04 2025'!$B$2:$F$1371,5,0)</f>
        <v>C15383NGUYEN THI HOAI LAN050143320003</v>
      </c>
      <c r="K1008" s="607">
        <f t="shared" si="43"/>
        <v>1</v>
      </c>
      <c r="P1008" s="685"/>
    </row>
    <row r="1009" spans="1:16" s="607" customFormat="1" ht="18" customHeight="1">
      <c r="A1009" s="826">
        <f>SUBTOTAL(3,B$6:B1009)</f>
        <v>1004</v>
      </c>
      <c r="B1009" s="824" t="s">
        <v>2824</v>
      </c>
      <c r="C1009" s="824" t="str">
        <f>+VLOOKUP(B1009,'Salary sheet'!$B$6:$AX$1386,48,0)</f>
        <v>NGUYEN THI PHUONG MAI</v>
      </c>
      <c r="D1009" s="824" t="str">
        <f>+VLOOKUP(B1009,'Salary sheet'!$B$6:$BW$1386,49,0)</f>
        <v>050131184368</v>
      </c>
      <c r="E1009" s="620">
        <f>+VLOOKUP(B1009,'Salary sheet'!$B$6:$AT$1292,45,0)</f>
        <v>4868438</v>
      </c>
      <c r="F1009" s="1029" t="s">
        <v>5723</v>
      </c>
      <c r="G1009" s="824" t="str">
        <f>+VLOOKUP(B1009,'Salary sheet'!$B$6:$E$2281,4,0)</f>
        <v>SK2</v>
      </c>
      <c r="H1009" s="607" t="str">
        <f>+VLOOKUP(B1009,'Salary sheet'!$B$6:$AZ$1386,50,0)</f>
        <v>SK2</v>
      </c>
      <c r="I1009" s="607" t="str">
        <f t="shared" si="42"/>
        <v>C15905NGUYEN THI PHUONG MAI050131184368</v>
      </c>
      <c r="J1009" s="853" t="str">
        <f>+VLOOKUP(B1009,'[5]04 2025'!$B$2:$F$1371,5,0)</f>
        <v>C15905NGUYEN THI PHUONG MAI050131184368</v>
      </c>
      <c r="K1009" s="607">
        <f t="shared" si="43"/>
        <v>1</v>
      </c>
      <c r="P1009" s="685"/>
    </row>
    <row r="1010" spans="1:16" s="607" customFormat="1" ht="18" customHeight="1">
      <c r="A1010" s="826">
        <f>SUBTOTAL(3,B$6:B1010)</f>
        <v>1005</v>
      </c>
      <c r="B1010" s="824" t="s">
        <v>2826</v>
      </c>
      <c r="C1010" s="824" t="str">
        <f>+VLOOKUP(B1010,'Salary sheet'!$B$6:$AX$1386,48,0)</f>
        <v>TRAN THI LOAN</v>
      </c>
      <c r="D1010" s="824" t="str">
        <f>+VLOOKUP(B1010,'Salary sheet'!$B$6:$BW$1386,49,0)</f>
        <v>050040901849</v>
      </c>
      <c r="E1010" s="620">
        <f>+VLOOKUP(B1010,'Salary sheet'!$B$6:$AT$1292,45,0)</f>
        <v>10598927</v>
      </c>
      <c r="F1010" s="1029" t="s">
        <v>5723</v>
      </c>
      <c r="G1010" s="824" t="str">
        <f>+VLOOKUP(B1010,'Salary sheet'!$B$6:$E$2281,4,0)</f>
        <v>SK2</v>
      </c>
      <c r="H1010" s="607" t="str">
        <f>+VLOOKUP(B1010,'Salary sheet'!$B$6:$AZ$1386,50,0)</f>
        <v>SK2</v>
      </c>
      <c r="I1010" s="607" t="str">
        <f t="shared" si="42"/>
        <v>C8126TRAN THI LOAN050040901849</v>
      </c>
      <c r="J1010" s="853" t="str">
        <f>+VLOOKUP(B1010,'[5]04 2025'!$B$2:$F$1371,5,0)</f>
        <v>C8126TRAN THI LOAN050040901849</v>
      </c>
      <c r="K1010" s="607">
        <f t="shared" si="43"/>
        <v>1</v>
      </c>
      <c r="P1010" s="685"/>
    </row>
    <row r="1011" spans="1:16" s="607" customFormat="1" ht="18" customHeight="1">
      <c r="A1011" s="826">
        <f>SUBTOTAL(3,B$6:B1011)</f>
        <v>1006</v>
      </c>
      <c r="B1011" s="824" t="s">
        <v>2828</v>
      </c>
      <c r="C1011" s="824" t="str">
        <f>+VLOOKUP(B1011,'Salary sheet'!$B$6:$AX$1386,48,0)</f>
        <v>NGUYEN THI THANH DUNG</v>
      </c>
      <c r="D1011" s="824" t="str">
        <f>+VLOOKUP(B1011,'Salary sheet'!$B$6:$BW$1386,49,0)</f>
        <v>050040931977</v>
      </c>
      <c r="E1011" s="620">
        <f>+VLOOKUP(B1011,'Salary sheet'!$B$6:$AT$1292,45,0)</f>
        <v>10899945</v>
      </c>
      <c r="F1011" s="1029" t="s">
        <v>5723</v>
      </c>
      <c r="G1011" s="824" t="str">
        <f>+VLOOKUP(B1011,'Salary sheet'!$B$6:$E$2281,4,0)</f>
        <v>SK2</v>
      </c>
      <c r="H1011" s="607" t="str">
        <f>+VLOOKUP(B1011,'Salary sheet'!$B$6:$AZ$1386,50,0)</f>
        <v>SK2</v>
      </c>
      <c r="I1011" s="607" t="str">
        <f t="shared" si="42"/>
        <v>C0102NGUYEN THI THANH DUNG050040931977</v>
      </c>
      <c r="J1011" s="853" t="str">
        <f>+VLOOKUP(B1011,'[5]04 2025'!$B$2:$F$1371,5,0)</f>
        <v>C0102NGUYEN THI THANH DUNG050040931977</v>
      </c>
      <c r="K1011" s="607">
        <f t="shared" si="43"/>
        <v>1</v>
      </c>
      <c r="P1011" s="685"/>
    </row>
    <row r="1012" spans="1:16" s="607" customFormat="1" ht="18" customHeight="1">
      <c r="A1012" s="826">
        <f>SUBTOTAL(3,B$6:B1012)</f>
        <v>1007</v>
      </c>
      <c r="B1012" s="824" t="s">
        <v>2830</v>
      </c>
      <c r="C1012" s="824" t="str">
        <f>+VLOOKUP(B1012,'Salary sheet'!$B$6:$AX$1386,48,0)</f>
        <v>LA HONG NHI</v>
      </c>
      <c r="D1012" s="824" t="str">
        <f>+VLOOKUP(B1012,'Salary sheet'!$B$6:$BW$1386,49,0)</f>
        <v>050121917545</v>
      </c>
      <c r="E1012" s="620">
        <f>+VLOOKUP(B1012,'Salary sheet'!$B$6:$AT$1292,45,0)</f>
        <v>8843034</v>
      </c>
      <c r="F1012" s="1029" t="s">
        <v>5723</v>
      </c>
      <c r="G1012" s="824" t="str">
        <f>+VLOOKUP(B1012,'Salary sheet'!$B$6:$E$2281,4,0)</f>
        <v>SK2</v>
      </c>
      <c r="H1012" s="607" t="str">
        <f>+VLOOKUP(B1012,'Salary sheet'!$B$6:$AZ$1386,50,0)</f>
        <v>SK2</v>
      </c>
      <c r="I1012" s="607" t="str">
        <f t="shared" si="42"/>
        <v>C12851LA HONG NHI050121917545</v>
      </c>
      <c r="J1012" s="853" t="str">
        <f>+VLOOKUP(B1012,'[5]04 2025'!$B$2:$F$1371,5,0)</f>
        <v>C12851LA HONG NHI050121917545</v>
      </c>
      <c r="K1012" s="607">
        <f t="shared" si="43"/>
        <v>1</v>
      </c>
      <c r="P1012" s="685"/>
    </row>
    <row r="1013" spans="1:16" s="607" customFormat="1" ht="18" customHeight="1">
      <c r="A1013" s="826">
        <f>SUBTOTAL(3,B$6:B1013)</f>
        <v>1008</v>
      </c>
      <c r="B1013" s="824" t="s">
        <v>2832</v>
      </c>
      <c r="C1013" s="824" t="str">
        <f>+VLOOKUP(B1013,'Salary sheet'!$B$6:$AX$1386,48,0)</f>
        <v>THI LY</v>
      </c>
      <c r="D1013" s="824" t="str">
        <f>+VLOOKUP(B1013,'Salary sheet'!$B$6:$BW$1386,49,0)</f>
        <v>050040931756</v>
      </c>
      <c r="E1013" s="620">
        <f>+VLOOKUP(B1013,'Salary sheet'!$B$6:$AT$1292,45,0)</f>
        <v>10820290</v>
      </c>
      <c r="F1013" s="1029" t="s">
        <v>5723</v>
      </c>
      <c r="G1013" s="824" t="str">
        <f>+VLOOKUP(B1013,'Salary sheet'!$B$6:$E$2281,4,0)</f>
        <v>SK2</v>
      </c>
      <c r="H1013" s="607" t="str">
        <f>+VLOOKUP(B1013,'Salary sheet'!$B$6:$AZ$1386,50,0)</f>
        <v>SK2</v>
      </c>
      <c r="I1013" s="607" t="str">
        <f t="shared" si="42"/>
        <v>C1459THI LY050040931756</v>
      </c>
      <c r="J1013" s="853" t="str">
        <f>+VLOOKUP(B1013,'[5]04 2025'!$B$2:$F$1371,5,0)</f>
        <v>C1459THI LY050040931756</v>
      </c>
      <c r="K1013" s="607">
        <f t="shared" si="43"/>
        <v>1</v>
      </c>
      <c r="P1013" s="685"/>
    </row>
    <row r="1014" spans="1:16" s="607" customFormat="1" ht="18" customHeight="1">
      <c r="A1014" s="826">
        <f>SUBTOTAL(3,B$6:B1014)</f>
        <v>1009</v>
      </c>
      <c r="B1014" s="824" t="s">
        <v>2834</v>
      </c>
      <c r="C1014" s="824" t="str">
        <f>+VLOOKUP(B1014,'Salary sheet'!$B$6:$AX$1386,48,0)</f>
        <v>TRAN THI PHUONG</v>
      </c>
      <c r="D1014" s="824" t="str">
        <f>+VLOOKUP(B1014,'Salary sheet'!$B$6:$BW$1386,49,0)</f>
        <v>050020204297</v>
      </c>
      <c r="E1014" s="620">
        <f>+VLOOKUP(B1014,'Salary sheet'!$B$6:$AT$1292,45,0)</f>
        <v>10004454</v>
      </c>
      <c r="F1014" s="1029" t="s">
        <v>5723</v>
      </c>
      <c r="G1014" s="824" t="str">
        <f>+VLOOKUP(B1014,'Salary sheet'!$B$6:$E$2281,4,0)</f>
        <v>SK2</v>
      </c>
      <c r="H1014" s="607" t="str">
        <f>+VLOOKUP(B1014,'Salary sheet'!$B$6:$AZ$1386,50,0)</f>
        <v>SK2</v>
      </c>
      <c r="I1014" s="607" t="str">
        <f t="shared" si="42"/>
        <v>C14698TRAN THI PHUONG050020204297</v>
      </c>
      <c r="J1014" s="853" t="str">
        <f>+VLOOKUP(B1014,'[5]04 2025'!$B$2:$F$1371,5,0)</f>
        <v>C14698TRAN THI PHUONG050020204297</v>
      </c>
      <c r="K1014" s="607">
        <f t="shared" si="43"/>
        <v>1</v>
      </c>
      <c r="P1014" s="685"/>
    </row>
    <row r="1015" spans="1:16" s="607" customFormat="1" ht="18" customHeight="1">
      <c r="A1015" s="826">
        <f>SUBTOTAL(3,B$6:B1015)</f>
        <v>1010</v>
      </c>
      <c r="B1015" s="824" t="s">
        <v>2836</v>
      </c>
      <c r="C1015" s="824" t="str">
        <f>+VLOOKUP(B1015,'Salary sheet'!$B$6:$AX$1386,48,0)</f>
        <v>LE THI HIEP</v>
      </c>
      <c r="D1015" s="824" t="str">
        <f>+VLOOKUP(B1015,'Salary sheet'!$B$6:$BW$1386,49,0)</f>
        <v>050040931497</v>
      </c>
      <c r="E1015" s="620">
        <f>+VLOOKUP(B1015,'Salary sheet'!$B$6:$AT$1292,45,0)</f>
        <v>10654855</v>
      </c>
      <c r="F1015" s="1029" t="s">
        <v>5723</v>
      </c>
      <c r="G1015" s="824" t="str">
        <f>+VLOOKUP(B1015,'Salary sheet'!$B$6:$E$2281,4,0)</f>
        <v>SK2</v>
      </c>
      <c r="H1015" s="607" t="str">
        <f>+VLOOKUP(B1015,'Salary sheet'!$B$6:$AZ$1386,50,0)</f>
        <v>SK2</v>
      </c>
      <c r="I1015" s="607" t="str">
        <f t="shared" ref="I1015:I1078" si="44">+CONCATENATE(B1015,C1015,D1015)</f>
        <v>C1475LE THI HIEP050040931497</v>
      </c>
      <c r="J1015" s="853" t="str">
        <f>+VLOOKUP(B1015,'[5]04 2025'!$B$2:$F$1371,5,0)</f>
        <v>C1475LE THI HIEP050040931497</v>
      </c>
      <c r="K1015" s="607">
        <f t="shared" si="43"/>
        <v>1</v>
      </c>
      <c r="P1015" s="685"/>
    </row>
    <row r="1016" spans="1:16" s="607" customFormat="1" ht="18" customHeight="1">
      <c r="A1016" s="826">
        <f>SUBTOTAL(3,B$6:B1016)</f>
        <v>1011</v>
      </c>
      <c r="B1016" s="824" t="s">
        <v>2837</v>
      </c>
      <c r="C1016" s="824" t="str">
        <f>+VLOOKUP(B1016,'Salary sheet'!$B$6:$AX$1386,48,0)</f>
        <v>DUONG DUY KHANH</v>
      </c>
      <c r="D1016" s="824" t="str">
        <f>+VLOOKUP(B1016,'Salary sheet'!$B$6:$BW$1386,49,0)</f>
        <v>050158172787</v>
      </c>
      <c r="E1016" s="620">
        <f>+VLOOKUP(B1016,'Salary sheet'!$B$6:$AT$1292,45,0)</f>
        <v>8817390</v>
      </c>
      <c r="F1016" s="1029" t="s">
        <v>5723</v>
      </c>
      <c r="G1016" s="824" t="str">
        <f>+VLOOKUP(B1016,'Salary sheet'!$B$6:$E$2281,4,0)</f>
        <v>SK2</v>
      </c>
      <c r="H1016" s="607" t="str">
        <f>+VLOOKUP(B1016,'Salary sheet'!$B$6:$AZ$1386,50,0)</f>
        <v>SK2</v>
      </c>
      <c r="I1016" s="607" t="str">
        <f t="shared" si="44"/>
        <v>C16408DUONG DUY KHANH050158172787</v>
      </c>
      <c r="J1016" s="853" t="str">
        <f>+VLOOKUP(B1016,'[5]04 2025'!$B$2:$F$1371,5,0)</f>
        <v>C16408DUONG DUY KHANH050158172787</v>
      </c>
      <c r="K1016" s="607">
        <f t="shared" si="43"/>
        <v>1</v>
      </c>
      <c r="P1016" s="685"/>
    </row>
    <row r="1017" spans="1:16" s="607" customFormat="1" ht="18" customHeight="1">
      <c r="A1017" s="826">
        <f>SUBTOTAL(3,B$6:B1017)</f>
        <v>1012</v>
      </c>
      <c r="B1017" s="824" t="s">
        <v>2839</v>
      </c>
      <c r="C1017" s="824" t="str">
        <f>+VLOOKUP(B1017,'Salary sheet'!$B$6:$AX$1386,48,0)</f>
        <v>VU THI HONG NHUNG</v>
      </c>
      <c r="D1017" s="824" t="str">
        <f>+VLOOKUP(B1017,'Salary sheet'!$B$6:$BW$1386,49,0)</f>
        <v>050117176735</v>
      </c>
      <c r="E1017" s="620">
        <f>+VLOOKUP(B1017,'Salary sheet'!$B$6:$AT$1292,45,0)</f>
        <v>7815208</v>
      </c>
      <c r="F1017" s="1029" t="s">
        <v>5723</v>
      </c>
      <c r="G1017" s="824" t="str">
        <f>+VLOOKUP(B1017,'Salary sheet'!$B$6:$E$2281,4,0)</f>
        <v>SK2</v>
      </c>
      <c r="H1017" s="607" t="str">
        <f>+VLOOKUP(B1017,'Salary sheet'!$B$6:$AZ$1386,50,0)</f>
        <v>SK2</v>
      </c>
      <c r="I1017" s="607" t="str">
        <f t="shared" si="44"/>
        <v>C16556VU THI HONG NHUNG050117176735</v>
      </c>
      <c r="J1017" s="853" t="str">
        <f>+VLOOKUP(B1017,'[5]04 2025'!$B$2:$F$1371,5,0)</f>
        <v>C16556VU THI HONG NHUNG050117176735</v>
      </c>
      <c r="K1017" s="607">
        <f t="shared" si="43"/>
        <v>1</v>
      </c>
      <c r="P1017" s="685"/>
    </row>
    <row r="1018" spans="1:16" s="607" customFormat="1" ht="18" customHeight="1">
      <c r="A1018" s="826">
        <f>SUBTOTAL(3,B$6:B1018)</f>
        <v>1013</v>
      </c>
      <c r="B1018" s="824" t="s">
        <v>2840</v>
      </c>
      <c r="C1018" s="824" t="str">
        <f>+VLOOKUP(B1018,'Salary sheet'!$B$6:$AX$1386,48,0)</f>
        <v>DUONG THI NGA</v>
      </c>
      <c r="D1018" s="824" t="str">
        <f>+VLOOKUP(B1018,'Salary sheet'!$B$6:$BW$1386,49,0)</f>
        <v>050040931241</v>
      </c>
      <c r="E1018" s="620">
        <f>+VLOOKUP(B1018,'Salary sheet'!$B$6:$AT$1292,45,0)</f>
        <v>11221679</v>
      </c>
      <c r="F1018" s="1029" t="s">
        <v>5723</v>
      </c>
      <c r="G1018" s="824" t="str">
        <f>+VLOOKUP(B1018,'Salary sheet'!$B$6:$E$2281,4,0)</f>
        <v>SK2</v>
      </c>
      <c r="H1018" s="607" t="str">
        <f>+VLOOKUP(B1018,'Salary sheet'!$B$6:$AZ$1386,50,0)</f>
        <v>SK2</v>
      </c>
      <c r="I1018" s="607" t="str">
        <f t="shared" si="44"/>
        <v>C3651DUONG THI NGA050040931241</v>
      </c>
      <c r="J1018" s="853" t="str">
        <f>+VLOOKUP(B1018,'[5]04 2025'!$B$2:$F$1371,5,0)</f>
        <v>C3651DUONG THI NGA050040931241</v>
      </c>
      <c r="K1018" s="607">
        <f t="shared" si="43"/>
        <v>1</v>
      </c>
      <c r="P1018" s="685"/>
    </row>
    <row r="1019" spans="1:16" s="607" customFormat="1" ht="18" customHeight="1">
      <c r="A1019" s="826">
        <f>SUBTOTAL(3,B$6:B1019)</f>
        <v>1014</v>
      </c>
      <c r="B1019" s="824" t="s">
        <v>2842</v>
      </c>
      <c r="C1019" s="824" t="str">
        <f>+VLOOKUP(B1019,'Salary sheet'!$B$6:$AX$1386,48,0)</f>
        <v>PHAM THI THANH BINH</v>
      </c>
      <c r="D1019" s="824" t="str">
        <f>+VLOOKUP(B1019,'Salary sheet'!$B$6:$BW$1386,49,0)</f>
        <v>050040935867</v>
      </c>
      <c r="E1019" s="620">
        <f>+VLOOKUP(B1019,'Salary sheet'!$B$6:$AT$1292,45,0)</f>
        <v>12437974</v>
      </c>
      <c r="F1019" s="1029" t="s">
        <v>5723</v>
      </c>
      <c r="G1019" s="824" t="str">
        <f>+VLOOKUP(B1019,'Salary sheet'!$B$6:$E$2281,4,0)</f>
        <v>SK2</v>
      </c>
      <c r="H1019" s="607" t="str">
        <f>+VLOOKUP(B1019,'Salary sheet'!$B$6:$AZ$1386,50,0)</f>
        <v>SK2</v>
      </c>
      <c r="I1019" s="607" t="str">
        <f t="shared" si="44"/>
        <v>C5353PHAM THI THANH BINH050040935867</v>
      </c>
      <c r="J1019" s="853" t="str">
        <f>+VLOOKUP(B1019,'[5]04 2025'!$B$2:$F$1371,5,0)</f>
        <v>C5353PHAM THI THANH BINH050040935867</v>
      </c>
      <c r="K1019" s="607">
        <f t="shared" si="43"/>
        <v>1</v>
      </c>
      <c r="P1019" s="685"/>
    </row>
    <row r="1020" spans="1:16" s="607" customFormat="1" ht="18" customHeight="1">
      <c r="A1020" s="826">
        <f>SUBTOTAL(3,B$6:B1020)</f>
        <v>1015</v>
      </c>
      <c r="B1020" s="824" t="s">
        <v>2844</v>
      </c>
      <c r="C1020" s="824" t="str">
        <f>+VLOOKUP(B1020,'Salary sheet'!$B$6:$AX$1386,48,0)</f>
        <v>NGUYEN THI MAI</v>
      </c>
      <c r="D1020" s="824" t="str">
        <f>+VLOOKUP(B1020,'Salary sheet'!$B$6:$BW$1386,49,0)</f>
        <v>050031161107</v>
      </c>
      <c r="E1020" s="620">
        <f>+VLOOKUP(B1020,'Salary sheet'!$B$6:$AT$1292,45,0)</f>
        <v>10054511</v>
      </c>
      <c r="F1020" s="1029" t="s">
        <v>5723</v>
      </c>
      <c r="G1020" s="824" t="str">
        <f>+VLOOKUP(B1020,'Salary sheet'!$B$6:$E$2281,4,0)</f>
        <v>SK2</v>
      </c>
      <c r="H1020" s="607" t="str">
        <f>+VLOOKUP(B1020,'Salary sheet'!$B$6:$AZ$1386,50,0)</f>
        <v>SK2</v>
      </c>
      <c r="I1020" s="607" t="str">
        <f t="shared" si="44"/>
        <v>C6720NGUYEN THI MAI050031161107</v>
      </c>
      <c r="J1020" s="853" t="str">
        <f>+VLOOKUP(B1020,'[5]04 2025'!$B$2:$F$1371,5,0)</f>
        <v>C6720NGUYEN THI MAI050031161107</v>
      </c>
      <c r="K1020" s="607">
        <f t="shared" si="43"/>
        <v>1</v>
      </c>
      <c r="P1020" s="685"/>
    </row>
    <row r="1021" spans="1:16" s="607" customFormat="1" ht="18" customHeight="1">
      <c r="A1021" s="826">
        <f>SUBTOTAL(3,B$6:B1021)</f>
        <v>1016</v>
      </c>
      <c r="B1021" s="824" t="s">
        <v>2846</v>
      </c>
      <c r="C1021" s="824" t="str">
        <f>+VLOOKUP(B1021,'Salary sheet'!$B$6:$AX$1386,48,0)</f>
        <v>NGUYEN THI MINH PHUONG</v>
      </c>
      <c r="D1021" s="824" t="str">
        <f>+VLOOKUP(B1021,'Salary sheet'!$B$6:$BW$1386,49,0)</f>
        <v>050075311866</v>
      </c>
      <c r="E1021" s="620">
        <f>+VLOOKUP(B1021,'Salary sheet'!$B$6:$AT$1292,45,0)</f>
        <v>10461695</v>
      </c>
      <c r="F1021" s="1029" t="s">
        <v>5723</v>
      </c>
      <c r="G1021" s="824" t="str">
        <f>+VLOOKUP(B1021,'Salary sheet'!$B$6:$E$2281,4,0)</f>
        <v>SK2</v>
      </c>
      <c r="H1021" s="607" t="str">
        <f>+VLOOKUP(B1021,'Salary sheet'!$B$6:$AZ$1386,50,0)</f>
        <v>SK2</v>
      </c>
      <c r="I1021" s="607" t="str">
        <f t="shared" si="44"/>
        <v>C7973NGUYEN THI MINH PHUONG050075311866</v>
      </c>
      <c r="J1021" s="853" t="str">
        <f>+VLOOKUP(B1021,'[5]04 2025'!$B$2:$F$1371,5,0)</f>
        <v>C7973NGUYEN THI MINH PHUONG050075311866</v>
      </c>
      <c r="K1021" s="607">
        <f t="shared" si="43"/>
        <v>1</v>
      </c>
      <c r="P1021" s="685"/>
    </row>
    <row r="1022" spans="1:16" s="607" customFormat="1" ht="18" customHeight="1">
      <c r="A1022" s="826">
        <f>SUBTOTAL(3,B$6:B1022)</f>
        <v>1017</v>
      </c>
      <c r="B1022" s="824" t="s">
        <v>2848</v>
      </c>
      <c r="C1022" s="824" t="str">
        <f>+VLOOKUP(B1022,'Salary sheet'!$B$6:$AX$1386,48,0)</f>
        <v>TRUONG THI MO</v>
      </c>
      <c r="D1022" s="824" t="str">
        <f>+VLOOKUP(B1022,'Salary sheet'!$B$6:$BW$1386,49,0)</f>
        <v>050040874353</v>
      </c>
      <c r="E1022" s="620">
        <f>+VLOOKUP(B1022,'Salary sheet'!$B$6:$AT$1292,45,0)</f>
        <v>12428396</v>
      </c>
      <c r="F1022" s="1029" t="s">
        <v>5723</v>
      </c>
      <c r="G1022" s="824" t="str">
        <f>+VLOOKUP(B1022,'Salary sheet'!$B$6:$E$2281,4,0)</f>
        <v>SK2</v>
      </c>
      <c r="H1022" s="607" t="str">
        <f>+VLOOKUP(B1022,'Salary sheet'!$B$6:$AZ$1386,50,0)</f>
        <v>SK2</v>
      </c>
      <c r="I1022" s="607" t="str">
        <f t="shared" si="44"/>
        <v>C0808TRUONG THI MO050040874353</v>
      </c>
      <c r="J1022" s="853" t="str">
        <f>+VLOOKUP(B1022,'[5]04 2025'!$B$2:$F$1371,5,0)</f>
        <v>C0808TRUONG THI MO050040874353</v>
      </c>
      <c r="K1022" s="607">
        <f t="shared" si="43"/>
        <v>1</v>
      </c>
      <c r="P1022" s="685"/>
    </row>
    <row r="1023" spans="1:16" s="607" customFormat="1" ht="18" customHeight="1">
      <c r="A1023" s="826">
        <f>SUBTOTAL(3,B$6:B1023)</f>
        <v>1018</v>
      </c>
      <c r="B1023" s="824" t="s">
        <v>2850</v>
      </c>
      <c r="C1023" s="824" t="str">
        <f>+VLOOKUP(B1023,'Salary sheet'!$B$6:$AX$1386,48,0)</f>
        <v>DIEU QUAN</v>
      </c>
      <c r="D1023" s="824" t="str">
        <f>+VLOOKUP(B1023,'Salary sheet'!$B$6:$BW$1386,49,0)</f>
        <v>050105127275</v>
      </c>
      <c r="E1023" s="620">
        <f>+VLOOKUP(B1023,'Salary sheet'!$B$6:$AT$1292,45,0)</f>
        <v>10375912</v>
      </c>
      <c r="F1023" s="1029" t="s">
        <v>5723</v>
      </c>
      <c r="G1023" s="824" t="str">
        <f>+VLOOKUP(B1023,'Salary sheet'!$B$6:$E$2281,4,0)</f>
        <v>SK2</v>
      </c>
      <c r="H1023" s="607" t="str">
        <f>+VLOOKUP(B1023,'Salary sheet'!$B$6:$AZ$1386,50,0)</f>
        <v>SK2</v>
      </c>
      <c r="I1023" s="607" t="str">
        <f t="shared" si="44"/>
        <v>C10951DIEU QUAN050105127275</v>
      </c>
      <c r="J1023" s="853" t="str">
        <f>+VLOOKUP(B1023,'[5]04 2025'!$B$2:$F$1371,5,0)</f>
        <v>C10951DIEU QUAN050105127275</v>
      </c>
      <c r="K1023" s="607">
        <f t="shared" si="43"/>
        <v>1</v>
      </c>
      <c r="P1023" s="685"/>
    </row>
    <row r="1024" spans="1:16" s="607" customFormat="1" ht="18" customHeight="1">
      <c r="A1024" s="826">
        <f>SUBTOTAL(3,B$6:B1024)</f>
        <v>1019</v>
      </c>
      <c r="B1024" s="824" t="s">
        <v>2852</v>
      </c>
      <c r="C1024" s="824" t="str">
        <f>+VLOOKUP(B1024,'Salary sheet'!$B$6:$AX$1386,48,0)</f>
        <v>TRINH THI MAI HUYEN</v>
      </c>
      <c r="D1024" s="824" t="str">
        <f>+VLOOKUP(B1024,'Salary sheet'!$B$6:$BW$1386,49,0)</f>
        <v>050113185276</v>
      </c>
      <c r="E1024" s="620">
        <f>+VLOOKUP(B1024,'Salary sheet'!$B$6:$AT$1292,45,0)</f>
        <v>7411190</v>
      </c>
      <c r="F1024" s="1029" t="s">
        <v>5723</v>
      </c>
      <c r="G1024" s="824" t="str">
        <f>+VLOOKUP(B1024,'Salary sheet'!$B$6:$E$2281,4,0)</f>
        <v>SK2</v>
      </c>
      <c r="H1024" s="607" t="str">
        <f>+VLOOKUP(B1024,'Salary sheet'!$B$6:$AZ$1386,50,0)</f>
        <v>SK2</v>
      </c>
      <c r="I1024" s="607" t="str">
        <f t="shared" si="44"/>
        <v>C11527TRINH THI MAI HUYEN050113185276</v>
      </c>
      <c r="J1024" s="853" t="str">
        <f>+VLOOKUP(B1024,'[5]04 2025'!$B$2:$F$1371,5,0)</f>
        <v>C11527TRINH THI MAI HUYEN050113185276</v>
      </c>
      <c r="K1024" s="607">
        <f t="shared" si="43"/>
        <v>1</v>
      </c>
      <c r="P1024" s="685"/>
    </row>
    <row r="1025" spans="1:16" s="607" customFormat="1" ht="18" customHeight="1">
      <c r="A1025" s="826">
        <f>SUBTOTAL(3,B$6:B1025)</f>
        <v>1020</v>
      </c>
      <c r="B1025" s="824" t="s">
        <v>2854</v>
      </c>
      <c r="C1025" s="824" t="str">
        <f>+VLOOKUP(B1025,'Salary sheet'!$B$6:$AX$1386,48,0)</f>
        <v>DIEU DOM</v>
      </c>
      <c r="D1025" s="824" t="str">
        <f>+VLOOKUP(B1025,'Salary sheet'!$B$6:$BW$1386,49,0)</f>
        <v>050117703931</v>
      </c>
      <c r="E1025" s="620">
        <f>+VLOOKUP(B1025,'Salary sheet'!$B$6:$AT$1292,45,0)</f>
        <v>10290231</v>
      </c>
      <c r="F1025" s="1029" t="s">
        <v>5723</v>
      </c>
      <c r="G1025" s="824" t="str">
        <f>+VLOOKUP(B1025,'Salary sheet'!$B$6:$E$2281,4,0)</f>
        <v>SK2</v>
      </c>
      <c r="H1025" s="607" t="str">
        <f>+VLOOKUP(B1025,'Salary sheet'!$B$6:$AZ$1386,50,0)</f>
        <v>SK2</v>
      </c>
      <c r="I1025" s="607" t="str">
        <f t="shared" si="44"/>
        <v>C11983DIEU DOM050117703931</v>
      </c>
      <c r="J1025" s="853" t="str">
        <f>+VLOOKUP(B1025,'[5]04 2025'!$B$2:$F$1371,5,0)</f>
        <v>C11983DIEU DOM050117703931</v>
      </c>
      <c r="K1025" s="607">
        <f t="shared" si="43"/>
        <v>1</v>
      </c>
      <c r="P1025" s="685"/>
    </row>
    <row r="1026" spans="1:16" s="607" customFormat="1" ht="18" customHeight="1">
      <c r="A1026" s="826">
        <f>SUBTOTAL(3,B$6:B1026)</f>
        <v>1021</v>
      </c>
      <c r="B1026" s="824" t="s">
        <v>2856</v>
      </c>
      <c r="C1026" s="824" t="str">
        <f>+VLOOKUP(B1026,'Salary sheet'!$B$6:$AX$1386,48,0)</f>
        <v>DIEU KHOE</v>
      </c>
      <c r="D1026" s="824" t="str">
        <f>+VLOOKUP(B1026,'Salary sheet'!$B$6:$BW$1386,49,0)</f>
        <v>050073697767</v>
      </c>
      <c r="E1026" s="620">
        <f>+VLOOKUP(B1026,'Salary sheet'!$B$6:$AT$1292,45,0)</f>
        <v>7982702</v>
      </c>
      <c r="F1026" s="1029" t="s">
        <v>5723</v>
      </c>
      <c r="G1026" s="824" t="str">
        <f>+VLOOKUP(B1026,'Salary sheet'!$B$6:$E$2281,4,0)</f>
        <v>SK2</v>
      </c>
      <c r="H1026" s="607" t="str">
        <f>+VLOOKUP(B1026,'Salary sheet'!$B$6:$AZ$1386,50,0)</f>
        <v>SK2</v>
      </c>
      <c r="I1026" s="607" t="str">
        <f t="shared" si="44"/>
        <v>C16416DIEU KHOE050073697767</v>
      </c>
      <c r="J1026" s="853" t="str">
        <f>+VLOOKUP(B1026,'[5]04 2025'!$B$2:$F$1371,5,0)</f>
        <v>C16416DIEU KHOE050073697767</v>
      </c>
      <c r="K1026" s="607">
        <f t="shared" si="43"/>
        <v>1</v>
      </c>
      <c r="P1026" s="685"/>
    </row>
    <row r="1027" spans="1:16" s="607" customFormat="1" ht="18" customHeight="1">
      <c r="A1027" s="826">
        <f>SUBTOTAL(3,B$6:B1027)</f>
        <v>1022</v>
      </c>
      <c r="B1027" s="824" t="s">
        <v>2858</v>
      </c>
      <c r="C1027" s="824" t="str">
        <f>+VLOOKUP(B1027,'Salary sheet'!$B$6:$AX$1386,48,0)</f>
        <v>HUYNH NGOC HUYEN TRAN</v>
      </c>
      <c r="D1027" s="824" t="str">
        <f>+VLOOKUP(B1027,'Salary sheet'!$B$6:$BW$1386,49,0)</f>
        <v>050158790790</v>
      </c>
      <c r="E1027" s="620">
        <f>+VLOOKUP(B1027,'Salary sheet'!$B$6:$AT$1292,45,0)</f>
        <v>7995122</v>
      </c>
      <c r="F1027" s="1029" t="s">
        <v>5723</v>
      </c>
      <c r="G1027" s="824" t="str">
        <f>+VLOOKUP(B1027,'Salary sheet'!$B$6:$E$2281,4,0)</f>
        <v>SK2</v>
      </c>
      <c r="H1027" s="607" t="str">
        <f>+VLOOKUP(B1027,'Salary sheet'!$B$6:$AZ$1386,50,0)</f>
        <v>SK2</v>
      </c>
      <c r="I1027" s="607" t="str">
        <f t="shared" si="44"/>
        <v>C16548HUYNH NGOC HUYEN TRAN050158790790</v>
      </c>
      <c r="J1027" s="853" t="str">
        <f>+VLOOKUP(B1027,'[5]04 2025'!$B$2:$F$1371,5,0)</f>
        <v>C16548HUYNH NGOC HUYEN TRAN050158790790</v>
      </c>
      <c r="K1027" s="607">
        <f t="shared" si="43"/>
        <v>1</v>
      </c>
      <c r="P1027" s="685"/>
    </row>
    <row r="1028" spans="1:16" s="607" customFormat="1" ht="18" customHeight="1">
      <c r="A1028" s="826">
        <f>SUBTOTAL(3,B$6:B1028)</f>
        <v>1023</v>
      </c>
      <c r="B1028" s="824" t="s">
        <v>2860</v>
      </c>
      <c r="C1028" s="824" t="str">
        <f>+VLOOKUP(B1028,'Salary sheet'!$B$6:$AX$1386,48,0)</f>
        <v>MAI VAN TIEN</v>
      </c>
      <c r="D1028" s="824" t="str">
        <f>+VLOOKUP(B1028,'Salary sheet'!$B$6:$BW$1386,49,0)</f>
        <v>050040874191</v>
      </c>
      <c r="E1028" s="620">
        <f>+VLOOKUP(B1028,'Salary sheet'!$B$6:$AT$1292,45,0)</f>
        <v>10095165</v>
      </c>
      <c r="F1028" s="1029" t="s">
        <v>5723</v>
      </c>
      <c r="G1028" s="824" t="str">
        <f>+VLOOKUP(B1028,'Salary sheet'!$B$6:$E$2281,4,0)</f>
        <v>SK2</v>
      </c>
      <c r="H1028" s="607" t="str">
        <f>+VLOOKUP(B1028,'Salary sheet'!$B$6:$AZ$1386,50,0)</f>
        <v>SK2</v>
      </c>
      <c r="I1028" s="607" t="str">
        <f t="shared" si="44"/>
        <v>C3349MAI VAN TIEN050040874191</v>
      </c>
      <c r="J1028" s="853" t="str">
        <f>+VLOOKUP(B1028,'[5]04 2025'!$B$2:$F$1371,5,0)</f>
        <v>C3349MAI VAN TIEN050040874191</v>
      </c>
      <c r="K1028" s="607">
        <f t="shared" si="43"/>
        <v>1</v>
      </c>
      <c r="P1028" s="685"/>
    </row>
    <row r="1029" spans="1:16" s="607" customFormat="1" ht="18" customHeight="1">
      <c r="A1029" s="826">
        <f>SUBTOTAL(3,B$6:B1029)</f>
        <v>1024</v>
      </c>
      <c r="B1029" s="824" t="s">
        <v>2862</v>
      </c>
      <c r="C1029" s="824" t="str">
        <f>+VLOOKUP(B1029,'Salary sheet'!$B$6:$AX$1386,48,0)</f>
        <v>NGUYEN THI TUYET NHUNG</v>
      </c>
      <c r="D1029" s="824" t="str">
        <f>+VLOOKUP(B1029,'Salary sheet'!$B$6:$BW$1386,49,0)</f>
        <v>050041743171</v>
      </c>
      <c r="E1029" s="620">
        <f>+VLOOKUP(B1029,'Salary sheet'!$B$6:$AT$1292,45,0)</f>
        <v>10066527</v>
      </c>
      <c r="F1029" s="1029" t="s">
        <v>5723</v>
      </c>
      <c r="G1029" s="824" t="str">
        <f>+VLOOKUP(B1029,'Salary sheet'!$B$6:$E$2281,4,0)</f>
        <v>SK2</v>
      </c>
      <c r="H1029" s="607" t="str">
        <f>+VLOOKUP(B1029,'Salary sheet'!$B$6:$AZ$1386,50,0)</f>
        <v>SK2</v>
      </c>
      <c r="I1029" s="607" t="str">
        <f t="shared" si="44"/>
        <v>C6212NGUYEN THI TUYET NHUNG050041743171</v>
      </c>
      <c r="J1029" s="853" t="str">
        <f>+VLOOKUP(B1029,'[5]04 2025'!$B$2:$F$1371,5,0)</f>
        <v>C6212NGUYEN THI TUYET NHUNG050041743171</v>
      </c>
      <c r="K1029" s="607">
        <f t="shared" si="43"/>
        <v>1</v>
      </c>
      <c r="P1029" s="685"/>
    </row>
    <row r="1030" spans="1:16" s="607" customFormat="1" ht="18" customHeight="1">
      <c r="A1030" s="826">
        <f>SUBTOTAL(3,B$6:B1030)</f>
        <v>1025</v>
      </c>
      <c r="B1030" s="824" t="s">
        <v>2864</v>
      </c>
      <c r="C1030" s="824" t="str">
        <f>+VLOOKUP(B1030,'Salary sheet'!$B$6:$AX$1386,48,0)</f>
        <v>BUI QUANG THIEN</v>
      </c>
      <c r="D1030" s="824" t="str">
        <f>+VLOOKUP(B1030,'Salary sheet'!$B$6:$BW$1386,49,0)</f>
        <v>050089025394</v>
      </c>
      <c r="E1030" s="620">
        <f>+VLOOKUP(B1030,'Salary sheet'!$B$6:$AT$1292,45,0)</f>
        <v>9604554</v>
      </c>
      <c r="F1030" s="1029" t="s">
        <v>5723</v>
      </c>
      <c r="G1030" s="824" t="str">
        <f>+VLOOKUP(B1030,'Salary sheet'!$B$6:$E$2281,4,0)</f>
        <v>SK2</v>
      </c>
      <c r="H1030" s="607" t="str">
        <f>+VLOOKUP(B1030,'Salary sheet'!$B$6:$AZ$1386,50,0)</f>
        <v>SK2</v>
      </c>
      <c r="I1030" s="607" t="str">
        <f t="shared" si="44"/>
        <v>C7912BUI QUANG THIEN050089025394</v>
      </c>
      <c r="J1030" s="853" t="str">
        <f>+VLOOKUP(B1030,'[5]04 2025'!$B$2:$F$1371,5,0)</f>
        <v>C7912BUI QUANG THIEN050089025394</v>
      </c>
      <c r="K1030" s="607">
        <f t="shared" si="43"/>
        <v>1</v>
      </c>
      <c r="P1030" s="685"/>
    </row>
    <row r="1031" spans="1:16" s="607" customFormat="1" ht="18" customHeight="1">
      <c r="A1031" s="826">
        <f>SUBTOTAL(3,B$6:B1031)</f>
        <v>1026</v>
      </c>
      <c r="B1031" s="824" t="s">
        <v>2866</v>
      </c>
      <c r="C1031" s="824" t="str">
        <f>+VLOOKUP(B1031,'Salary sheet'!$B$6:$AX$1386,48,0)</f>
        <v>NGUYEN TRUONG CHINH</v>
      </c>
      <c r="D1031" s="824" t="str">
        <f>+VLOOKUP(B1031,'Salary sheet'!$B$6:$BW$1386,49,0)</f>
        <v>050103659751</v>
      </c>
      <c r="E1031" s="620">
        <f>+VLOOKUP(B1031,'Salary sheet'!$B$6:$AT$1292,45,0)</f>
        <v>10343460</v>
      </c>
      <c r="F1031" s="1029" t="s">
        <v>5723</v>
      </c>
      <c r="G1031" s="824" t="str">
        <f>+VLOOKUP(B1031,'Salary sheet'!$B$6:$E$2281,4,0)</f>
        <v>SK2</v>
      </c>
      <c r="H1031" s="607" t="str">
        <f>+VLOOKUP(B1031,'Salary sheet'!$B$6:$AZ$1386,50,0)</f>
        <v>SK2</v>
      </c>
      <c r="I1031" s="607" t="str">
        <f t="shared" si="44"/>
        <v>C8061NGUYEN TRUONG CHINH050103659751</v>
      </c>
      <c r="J1031" s="853" t="str">
        <f>+VLOOKUP(B1031,'[5]04 2025'!$B$2:$F$1371,5,0)</f>
        <v>C8061NGUYEN TRUONG CHINH050103659751</v>
      </c>
      <c r="K1031" s="607">
        <f t="shared" si="43"/>
        <v>1</v>
      </c>
      <c r="P1031" s="685"/>
    </row>
    <row r="1032" spans="1:16" s="607" customFormat="1" ht="18" customHeight="1">
      <c r="A1032" s="826">
        <f>SUBTOTAL(3,B$6:B1032)</f>
        <v>1027</v>
      </c>
      <c r="B1032" s="824" t="s">
        <v>2868</v>
      </c>
      <c r="C1032" s="824" t="str">
        <f>+VLOOKUP(B1032,'Salary sheet'!$B$6:$AX$1386,48,0)</f>
        <v>DIEU TANG</v>
      </c>
      <c r="D1032" s="824" t="str">
        <f>+VLOOKUP(B1032,'Salary sheet'!$B$6:$BW$1386,49,0)</f>
        <v>050120836088</v>
      </c>
      <c r="E1032" s="620">
        <f>+VLOOKUP(B1032,'Salary sheet'!$B$6:$AT$1292,45,0)</f>
        <v>8504373</v>
      </c>
      <c r="F1032" s="1029" t="s">
        <v>5723</v>
      </c>
      <c r="G1032" s="824" t="str">
        <f>+VLOOKUP(B1032,'Salary sheet'!$B$6:$E$2281,4,0)</f>
        <v>SK2</v>
      </c>
      <c r="H1032" s="607" t="str">
        <f>+VLOOKUP(B1032,'Salary sheet'!$B$6:$AZ$1386,50,0)</f>
        <v>SK2</v>
      </c>
      <c r="I1032" s="607" t="str">
        <f t="shared" si="44"/>
        <v>C12410DIEU TANG050120836088</v>
      </c>
      <c r="J1032" s="853" t="str">
        <f>+VLOOKUP(B1032,'[5]04 2025'!$B$2:$F$1371,5,0)</f>
        <v>C12410DIEU TANG050120836088</v>
      </c>
      <c r="K1032" s="607">
        <f t="shared" si="43"/>
        <v>1</v>
      </c>
      <c r="P1032" s="685"/>
    </row>
    <row r="1033" spans="1:16" s="607" customFormat="1" ht="18" customHeight="1">
      <c r="A1033" s="826">
        <f>SUBTOTAL(3,B$6:B1033)</f>
        <v>1028</v>
      </c>
      <c r="B1033" s="824" t="s">
        <v>2870</v>
      </c>
      <c r="C1033" s="824" t="str">
        <f>+VLOOKUP(B1033,'Salary sheet'!$B$6:$AX$1386,48,0)</f>
        <v>MAI VAN HOANG</v>
      </c>
      <c r="D1033" s="824" t="str">
        <f>+VLOOKUP(B1033,'Salary sheet'!$B$6:$BW$1386,49,0)</f>
        <v>050071912067</v>
      </c>
      <c r="E1033" s="620">
        <f>+VLOOKUP(B1033,'Salary sheet'!$B$6:$AT$1292,45,0)</f>
        <v>11810477</v>
      </c>
      <c r="F1033" s="1029" t="s">
        <v>5723</v>
      </c>
      <c r="G1033" s="824" t="str">
        <f>+VLOOKUP(B1033,'Salary sheet'!$B$6:$E$2281,4,0)</f>
        <v>SK2</v>
      </c>
      <c r="H1033" s="607" t="str">
        <f>+VLOOKUP(B1033,'Salary sheet'!$B$6:$AZ$1386,50,0)</f>
        <v>SK2</v>
      </c>
      <c r="I1033" s="607" t="str">
        <f t="shared" si="44"/>
        <v>C12427MAI VAN HOANG050071912067</v>
      </c>
      <c r="J1033" s="853" t="str">
        <f>+VLOOKUP(B1033,'[5]04 2025'!$B$2:$F$1371,5,0)</f>
        <v>C12427MAI VAN HOANG050071912067</v>
      </c>
      <c r="K1033" s="607">
        <f t="shared" si="43"/>
        <v>1</v>
      </c>
      <c r="P1033" s="685"/>
    </row>
    <row r="1034" spans="1:16" s="607" customFormat="1" ht="18" customHeight="1">
      <c r="A1034" s="826">
        <f>SUBTOTAL(3,B$6:B1034)</f>
        <v>1029</v>
      </c>
      <c r="B1034" s="824" t="s">
        <v>2872</v>
      </c>
      <c r="C1034" s="824" t="str">
        <f>+VLOOKUP(B1034,'Salary sheet'!$B$6:$AX$1386,48,0)</f>
        <v>BUI VAN TAN</v>
      </c>
      <c r="D1034" s="824" t="str">
        <f>+VLOOKUP(B1034,'Salary sheet'!$B$6:$BW$1386,49,0)</f>
        <v>050086670205</v>
      </c>
      <c r="E1034" s="620">
        <f>+VLOOKUP(B1034,'Salary sheet'!$B$6:$AT$1292,45,0)</f>
        <v>11235970</v>
      </c>
      <c r="F1034" s="1029" t="s">
        <v>5723</v>
      </c>
      <c r="G1034" s="824" t="str">
        <f>+VLOOKUP(B1034,'Salary sheet'!$B$6:$E$2281,4,0)</f>
        <v>SK2</v>
      </c>
      <c r="H1034" s="607" t="str">
        <f>+VLOOKUP(B1034,'Salary sheet'!$B$6:$AZ$1386,50,0)</f>
        <v>SK2</v>
      </c>
      <c r="I1034" s="607" t="str">
        <f t="shared" si="44"/>
        <v>C13230BUI VAN TAN050086670205</v>
      </c>
      <c r="J1034" s="853" t="str">
        <f>+VLOOKUP(B1034,'[5]04 2025'!$B$2:$F$1371,5,0)</f>
        <v>C13230BUI VAN TAN050086670205</v>
      </c>
      <c r="K1034" s="607">
        <f t="shared" si="43"/>
        <v>1</v>
      </c>
      <c r="P1034" s="685"/>
    </row>
    <row r="1035" spans="1:16" s="607" customFormat="1" ht="18" customHeight="1">
      <c r="A1035" s="826">
        <f>SUBTOTAL(3,B$6:B1035)</f>
        <v>1030</v>
      </c>
      <c r="B1035" s="824" t="s">
        <v>2874</v>
      </c>
      <c r="C1035" s="824" t="str">
        <f>+VLOOKUP(B1035,'Salary sheet'!$B$6:$AX$1386,48,0)</f>
        <v>LE DUC TRONG</v>
      </c>
      <c r="D1035" s="824" t="str">
        <f>+VLOOKUP(B1035,'Salary sheet'!$B$6:$BW$1386,49,0)</f>
        <v>050127546972</v>
      </c>
      <c r="E1035" s="620">
        <f>+VLOOKUP(B1035,'Salary sheet'!$B$6:$AT$1292,45,0)</f>
        <v>11278939</v>
      </c>
      <c r="F1035" s="1029" t="s">
        <v>5723</v>
      </c>
      <c r="G1035" s="824" t="str">
        <f>+VLOOKUP(B1035,'Salary sheet'!$B$6:$E$2281,4,0)</f>
        <v>SK2</v>
      </c>
      <c r="H1035" s="607" t="str">
        <f>+VLOOKUP(B1035,'Salary sheet'!$B$6:$AZ$1386,50,0)</f>
        <v>SK2</v>
      </c>
      <c r="I1035" s="607" t="str">
        <f t="shared" si="44"/>
        <v>C13747LE DUC TRONG050127546972</v>
      </c>
      <c r="J1035" s="853" t="str">
        <f>+VLOOKUP(B1035,'[5]04 2025'!$B$2:$F$1371,5,0)</f>
        <v>C13747LE DUC TRONG050127546972</v>
      </c>
      <c r="K1035" s="607">
        <f t="shared" si="43"/>
        <v>1</v>
      </c>
      <c r="P1035" s="685"/>
    </row>
    <row r="1036" spans="1:16" s="607" customFormat="1" ht="18" customHeight="1">
      <c r="A1036" s="826">
        <f>SUBTOTAL(3,B$6:B1036)</f>
        <v>1031</v>
      </c>
      <c r="B1036" s="824" t="s">
        <v>2876</v>
      </c>
      <c r="C1036" s="824" t="str">
        <f>+VLOOKUP(B1036,'Salary sheet'!$B$6:$AX$1386,48,0)</f>
        <v>NGUYEN HONG PHUC</v>
      </c>
      <c r="D1036" s="824" t="str">
        <f>+VLOOKUP(B1036,'Salary sheet'!$B$6:$BW$1386,49,0)</f>
        <v>050134580167</v>
      </c>
      <c r="E1036" s="620">
        <f>+VLOOKUP(B1036,'Salary sheet'!$B$6:$AT$1292,45,0)</f>
        <v>10718269</v>
      </c>
      <c r="F1036" s="1029" t="s">
        <v>5723</v>
      </c>
      <c r="G1036" s="824" t="str">
        <f>+VLOOKUP(B1036,'Salary sheet'!$B$6:$E$2281,4,0)</f>
        <v>SK2</v>
      </c>
      <c r="H1036" s="607" t="str">
        <f>+VLOOKUP(B1036,'Salary sheet'!$B$6:$AZ$1386,50,0)</f>
        <v>SK2</v>
      </c>
      <c r="I1036" s="607" t="str">
        <f t="shared" si="44"/>
        <v>C14536NGUYEN HONG PHUC050134580167</v>
      </c>
      <c r="J1036" s="853" t="str">
        <f>+VLOOKUP(B1036,'[5]04 2025'!$B$2:$F$1371,5,0)</f>
        <v>C14536NGUYEN HONG PHUC050134580167</v>
      </c>
      <c r="K1036" s="607">
        <f t="shared" si="43"/>
        <v>1</v>
      </c>
      <c r="P1036" s="685"/>
    </row>
    <row r="1037" spans="1:16" s="607" customFormat="1" ht="18" customHeight="1">
      <c r="A1037" s="826">
        <f>SUBTOTAL(3,B$6:B1037)</f>
        <v>1032</v>
      </c>
      <c r="B1037" s="824" t="s">
        <v>2878</v>
      </c>
      <c r="C1037" s="824" t="str">
        <f>+VLOOKUP(B1037,'Salary sheet'!$B$6:$AX$1386,48,0)</f>
        <v>NGUYEN HOANG QUAN</v>
      </c>
      <c r="D1037" s="824" t="str">
        <f>+VLOOKUP(B1037,'Salary sheet'!$B$6:$BW$1386,49,0)</f>
        <v>050135319977</v>
      </c>
      <c r="E1037" s="620">
        <f>+VLOOKUP(B1037,'Salary sheet'!$B$6:$AT$1292,45,0)</f>
        <v>10197750</v>
      </c>
      <c r="F1037" s="1029" t="s">
        <v>5723</v>
      </c>
      <c r="G1037" s="824" t="str">
        <f>+VLOOKUP(B1037,'Salary sheet'!$B$6:$E$2281,4,0)</f>
        <v>SK2</v>
      </c>
      <c r="H1037" s="607" t="str">
        <f>+VLOOKUP(B1037,'Salary sheet'!$B$6:$AZ$1386,50,0)</f>
        <v>SK2</v>
      </c>
      <c r="I1037" s="607" t="str">
        <f t="shared" si="44"/>
        <v>C14725NGUYEN HOANG QUAN050135319977</v>
      </c>
      <c r="J1037" s="853" t="str">
        <f>+VLOOKUP(B1037,'[5]04 2025'!$B$2:$F$1371,5,0)</f>
        <v>C14725NGUYEN HOANG QUAN050135319977</v>
      </c>
      <c r="K1037" s="607">
        <f t="shared" si="43"/>
        <v>1</v>
      </c>
      <c r="P1037" s="685"/>
    </row>
    <row r="1038" spans="1:16" s="607" customFormat="1" ht="18" customHeight="1">
      <c r="A1038" s="826">
        <f>SUBTOTAL(3,B$6:B1038)</f>
        <v>1033</v>
      </c>
      <c r="B1038" s="824" t="s">
        <v>2880</v>
      </c>
      <c r="C1038" s="824" t="str">
        <f>+VLOOKUP(B1038,'Salary sheet'!$B$6:$AX$1386,48,0)</f>
        <v>LE DUC SY</v>
      </c>
      <c r="D1038" s="824" t="str">
        <f>+VLOOKUP(B1038,'Salary sheet'!$B$6:$BW$1386,49,0)</f>
        <v>050072092942</v>
      </c>
      <c r="E1038" s="620">
        <f>+VLOOKUP(B1038,'Salary sheet'!$B$6:$AT$1292,45,0)</f>
        <v>10959924</v>
      </c>
      <c r="F1038" s="1029" t="s">
        <v>5723</v>
      </c>
      <c r="G1038" s="824" t="str">
        <f>+VLOOKUP(B1038,'Salary sheet'!$B$6:$E$2281,4,0)</f>
        <v>SK2</v>
      </c>
      <c r="H1038" s="607" t="str">
        <f>+VLOOKUP(B1038,'Salary sheet'!$B$6:$AZ$1386,50,0)</f>
        <v>SK2</v>
      </c>
      <c r="I1038" s="607" t="str">
        <f t="shared" si="44"/>
        <v>C14770LE DUC SY050072092942</v>
      </c>
      <c r="J1038" s="853" t="str">
        <f>+VLOOKUP(B1038,'[5]04 2025'!$B$2:$F$1371,5,0)</f>
        <v>C14770LE DUC SY050072092942</v>
      </c>
      <c r="K1038" s="607">
        <f t="shared" si="43"/>
        <v>1</v>
      </c>
      <c r="P1038" s="685"/>
    </row>
    <row r="1039" spans="1:16" s="607" customFormat="1" ht="18" customHeight="1">
      <c r="A1039" s="826">
        <f>SUBTOTAL(3,B$6:B1039)</f>
        <v>1034</v>
      </c>
      <c r="B1039" s="824" t="s">
        <v>2882</v>
      </c>
      <c r="C1039" s="824" t="str">
        <f>+VLOOKUP(B1039,'Salary sheet'!$B$6:$AX$1386,48,0)</f>
        <v>TRAN MINH HIEU</v>
      </c>
      <c r="D1039" s="824" t="str">
        <f>+VLOOKUP(B1039,'Salary sheet'!$B$6:$BW$1386,49,0)</f>
        <v>050089024622</v>
      </c>
      <c r="E1039" s="620">
        <f>+VLOOKUP(B1039,'Salary sheet'!$B$6:$AT$1292,45,0)</f>
        <v>7949048</v>
      </c>
      <c r="F1039" s="1029" t="s">
        <v>5723</v>
      </c>
      <c r="G1039" s="824" t="str">
        <f>+VLOOKUP(B1039,'Salary sheet'!$B$6:$E$2281,4,0)</f>
        <v>SK2</v>
      </c>
      <c r="H1039" s="607" t="str">
        <f>+VLOOKUP(B1039,'Salary sheet'!$B$6:$AZ$1386,50,0)</f>
        <v>SK2</v>
      </c>
      <c r="I1039" s="607" t="str">
        <f t="shared" si="44"/>
        <v>C16530TRAN MINH HIEU050089024622</v>
      </c>
      <c r="J1039" s="853" t="str">
        <f>+VLOOKUP(B1039,'[5]04 2025'!$B$2:$F$1371,5,0)</f>
        <v>C16530TRAN MINH HIEU050089024622</v>
      </c>
      <c r="K1039" s="607">
        <f t="shared" si="43"/>
        <v>1</v>
      </c>
      <c r="P1039" s="685"/>
    </row>
    <row r="1040" spans="1:16" s="607" customFormat="1" ht="18" customHeight="1">
      <c r="A1040" s="826">
        <f>SUBTOTAL(3,B$6:B1040)</f>
        <v>1035</v>
      </c>
      <c r="B1040" s="824" t="s">
        <v>2884</v>
      </c>
      <c r="C1040" s="824" t="str">
        <f>+VLOOKUP(B1040,'Salary sheet'!$B$6:$AX$1386,48,0)</f>
        <v>HUYNH VAN TINH</v>
      </c>
      <c r="D1040" s="824" t="str">
        <f>+VLOOKUP(B1040,'Salary sheet'!$B$6:$BW$1386,49,0)</f>
        <v>050040869066</v>
      </c>
      <c r="E1040" s="620">
        <f>+VLOOKUP(B1040,'Salary sheet'!$B$6:$AT$1292,45,0)</f>
        <v>12334962</v>
      </c>
      <c r="F1040" s="1029" t="s">
        <v>5723</v>
      </c>
      <c r="G1040" s="824" t="str">
        <f>+VLOOKUP(B1040,'Salary sheet'!$B$6:$E$2281,4,0)</f>
        <v>SK2</v>
      </c>
      <c r="H1040" s="607" t="str">
        <f>+VLOOKUP(B1040,'Salary sheet'!$B$6:$AZ$1386,50,0)</f>
        <v>SK2</v>
      </c>
      <c r="I1040" s="607" t="str">
        <f t="shared" si="44"/>
        <v>C5424HUYNH VAN TINH050040869066</v>
      </c>
      <c r="J1040" s="853" t="str">
        <f>+VLOOKUP(B1040,'[5]04 2025'!$B$2:$F$1371,5,0)</f>
        <v>C5424HUYNH VAN TINH050040869066</v>
      </c>
      <c r="K1040" s="607">
        <f t="shared" si="43"/>
        <v>1</v>
      </c>
      <c r="P1040" s="685"/>
    </row>
    <row r="1041" spans="1:16" s="607" customFormat="1" ht="18" customHeight="1">
      <c r="A1041" s="826">
        <f>SUBTOTAL(3,B$6:B1041)</f>
        <v>1036</v>
      </c>
      <c r="B1041" s="824" t="s">
        <v>2886</v>
      </c>
      <c r="C1041" s="824" t="str">
        <f>+VLOOKUP(B1041,'Salary sheet'!$B$6:$AX$1386,48,0)</f>
        <v>LE DUC ANH</v>
      </c>
      <c r="D1041" s="824" t="str">
        <f>+VLOOKUP(B1041,'Salary sheet'!$B$6:$BW$1386,49,0)</f>
        <v>050093355048</v>
      </c>
      <c r="E1041" s="620">
        <f>+VLOOKUP(B1041,'Salary sheet'!$B$6:$AT$1292,45,0)</f>
        <v>13402517</v>
      </c>
      <c r="F1041" s="1029" t="s">
        <v>5723</v>
      </c>
      <c r="G1041" s="824" t="str">
        <f>+VLOOKUP(B1041,'Salary sheet'!$B$6:$E$2281,4,0)</f>
        <v>SK2</v>
      </c>
      <c r="H1041" s="607" t="str">
        <f>+VLOOKUP(B1041,'Salary sheet'!$B$6:$AZ$1386,50,0)</f>
        <v>SK2</v>
      </c>
      <c r="I1041" s="607" t="str">
        <f t="shared" si="44"/>
        <v>C7380LE DUC ANH050093355048</v>
      </c>
      <c r="J1041" s="853" t="str">
        <f>+VLOOKUP(B1041,'[5]04 2025'!$B$2:$F$1371,5,0)</f>
        <v>C7380LE DUC ANH050093355048</v>
      </c>
      <c r="K1041" s="607">
        <f t="shared" si="43"/>
        <v>1</v>
      </c>
      <c r="P1041" s="685"/>
    </row>
    <row r="1042" spans="1:16" s="607" customFormat="1" ht="18" customHeight="1">
      <c r="A1042" s="826">
        <f>SUBTOTAL(3,B$6:B1042)</f>
        <v>1037</v>
      </c>
      <c r="B1042" s="824" t="s">
        <v>2888</v>
      </c>
      <c r="C1042" s="824" t="str">
        <f>+VLOOKUP(B1042,'Salary sheet'!$B$6:$AX$1386,48,0)</f>
        <v>PHAM VAN VU</v>
      </c>
      <c r="D1042" s="824" t="str">
        <f>+VLOOKUP(B1042,'Salary sheet'!$B$6:$BW$1386,49,0)</f>
        <v>050106970219</v>
      </c>
      <c r="E1042" s="620">
        <f>+VLOOKUP(B1042,'Salary sheet'!$B$6:$AT$1292,45,0)</f>
        <v>11900356</v>
      </c>
      <c r="F1042" s="1029" t="s">
        <v>5723</v>
      </c>
      <c r="G1042" s="824" t="str">
        <f>+VLOOKUP(B1042,'Salary sheet'!$B$6:$E$2281,4,0)</f>
        <v>SK2</v>
      </c>
      <c r="H1042" s="607" t="str">
        <f>+VLOOKUP(B1042,'Salary sheet'!$B$6:$AZ$1386,50,0)</f>
        <v>SK2</v>
      </c>
      <c r="I1042" s="607" t="str">
        <f t="shared" si="44"/>
        <v>C10967PHAM VAN VU050106970219</v>
      </c>
      <c r="J1042" s="853" t="str">
        <f>+VLOOKUP(B1042,'[5]04 2025'!$B$2:$F$1371,5,0)</f>
        <v>C10967PHAM VAN VU050106970219</v>
      </c>
      <c r="K1042" s="607">
        <f t="shared" si="43"/>
        <v>1</v>
      </c>
      <c r="P1042" s="685"/>
    </row>
    <row r="1043" spans="1:16" s="607" customFormat="1" ht="18" customHeight="1">
      <c r="A1043" s="826">
        <f>SUBTOTAL(3,B$6:B1043)</f>
        <v>1038</v>
      </c>
      <c r="B1043" s="824" t="s">
        <v>2890</v>
      </c>
      <c r="C1043" s="824" t="str">
        <f>+VLOOKUP(B1043,'Salary sheet'!$B$6:$AX$1386,48,0)</f>
        <v>TRUONG DINH TAM</v>
      </c>
      <c r="D1043" s="824" t="str">
        <f>+VLOOKUP(B1043,'Salary sheet'!$B$6:$BW$1386,49,0)</f>
        <v>050119422318</v>
      </c>
      <c r="E1043" s="620">
        <f>+VLOOKUP(B1043,'Salary sheet'!$B$6:$AT$1292,45,0)</f>
        <v>11266720</v>
      </c>
      <c r="F1043" s="1029" t="s">
        <v>5723</v>
      </c>
      <c r="G1043" s="824" t="str">
        <f>+VLOOKUP(B1043,'Salary sheet'!$B$6:$E$2281,4,0)</f>
        <v>SK2</v>
      </c>
      <c r="H1043" s="607" t="str">
        <f>+VLOOKUP(B1043,'Salary sheet'!$B$6:$AZ$1386,50,0)</f>
        <v>SK2</v>
      </c>
      <c r="I1043" s="607" t="str">
        <f t="shared" si="44"/>
        <v>C12378TRUONG DINH TAM050119422318</v>
      </c>
      <c r="J1043" s="853" t="str">
        <f>+VLOOKUP(B1043,'[5]04 2025'!$B$2:$F$1371,5,0)</f>
        <v>C12378TRUONG DINH TAM050119422318</v>
      </c>
      <c r="K1043" s="607">
        <f t="shared" si="43"/>
        <v>1</v>
      </c>
      <c r="P1043" s="685"/>
    </row>
    <row r="1044" spans="1:16" s="607" customFormat="1" ht="18" customHeight="1">
      <c r="A1044" s="826">
        <f>SUBTOTAL(3,B$6:B1044)</f>
        <v>1039</v>
      </c>
      <c r="B1044" s="824" t="s">
        <v>2892</v>
      </c>
      <c r="C1044" s="824" t="str">
        <f>+VLOOKUP(B1044,'Salary sheet'!$B$6:$AX$1386,48,0)</f>
        <v>NGUYEN BA HAI</v>
      </c>
      <c r="D1044" s="824" t="str">
        <f>+VLOOKUP(B1044,'Salary sheet'!$B$6:$BW$1386,49,0)</f>
        <v>050083934309</v>
      </c>
      <c r="E1044" s="620">
        <f>+VLOOKUP(B1044,'Salary sheet'!$B$6:$AT$1292,45,0)</f>
        <v>11583510</v>
      </c>
      <c r="F1044" s="1029" t="s">
        <v>5723</v>
      </c>
      <c r="G1044" s="824" t="str">
        <f>+VLOOKUP(B1044,'Salary sheet'!$B$6:$E$2281,4,0)</f>
        <v>SK2</v>
      </c>
      <c r="H1044" s="607" t="str">
        <f>+VLOOKUP(B1044,'Salary sheet'!$B$6:$AZ$1386,50,0)</f>
        <v>SK2</v>
      </c>
      <c r="I1044" s="607" t="str">
        <f t="shared" si="44"/>
        <v>C12584NGUYEN BA HAI050083934309</v>
      </c>
      <c r="J1044" s="853" t="str">
        <f>+VLOOKUP(B1044,'[5]04 2025'!$B$2:$F$1371,5,0)</f>
        <v>C12584NGUYEN BA HAI050083934309</v>
      </c>
      <c r="K1044" s="607">
        <f t="shared" si="43"/>
        <v>1</v>
      </c>
      <c r="P1044" s="685"/>
    </row>
    <row r="1045" spans="1:16" s="607" customFormat="1" ht="18" customHeight="1">
      <c r="A1045" s="826">
        <f>SUBTOTAL(3,B$6:B1045)</f>
        <v>1040</v>
      </c>
      <c r="B1045" s="824" t="s">
        <v>2894</v>
      </c>
      <c r="C1045" s="824" t="str">
        <f>+VLOOKUP(B1045,'Salary sheet'!$B$6:$AX$1386,48,0)</f>
        <v>BUI HUU MINH THIEN</v>
      </c>
      <c r="D1045" s="824" t="str">
        <f>+VLOOKUP(B1045,'Salary sheet'!$B$6:$BW$1386,49,0)</f>
        <v>050103647808</v>
      </c>
      <c r="E1045" s="620">
        <f>+VLOOKUP(B1045,'Salary sheet'!$B$6:$AT$1292,45,0)</f>
        <v>11154518</v>
      </c>
      <c r="F1045" s="1029" t="s">
        <v>5723</v>
      </c>
      <c r="G1045" s="824" t="str">
        <f>+VLOOKUP(B1045,'Salary sheet'!$B$6:$E$2281,4,0)</f>
        <v>SK2</v>
      </c>
      <c r="H1045" s="607" t="str">
        <f>+VLOOKUP(B1045,'Salary sheet'!$B$6:$AZ$1386,50,0)</f>
        <v>SK2</v>
      </c>
      <c r="I1045" s="607" t="str">
        <f t="shared" si="44"/>
        <v>C13468BUI HUU MINH THIEN050103647808</v>
      </c>
      <c r="J1045" s="853" t="str">
        <f>+VLOOKUP(B1045,'[5]04 2025'!$B$2:$F$1371,5,0)</f>
        <v>C13468BUI HUU MINH THIEN050103647808</v>
      </c>
      <c r="K1045" s="607">
        <f t="shared" si="43"/>
        <v>1</v>
      </c>
      <c r="P1045" s="685"/>
    </row>
    <row r="1046" spans="1:16" s="607" customFormat="1" ht="18" customHeight="1">
      <c r="A1046" s="826">
        <f>SUBTOTAL(3,B$6:B1046)</f>
        <v>1041</v>
      </c>
      <c r="B1046" s="824" t="s">
        <v>2896</v>
      </c>
      <c r="C1046" s="824" t="str">
        <f>+VLOOKUP(B1046,'Salary sheet'!$B$6:$AX$1386,48,0)</f>
        <v>NGUYEN CAO CUONG</v>
      </c>
      <c r="D1046" s="824" t="str">
        <f>+VLOOKUP(B1046,'Salary sheet'!$B$6:$BW$1386,49,0)</f>
        <v>050113402994</v>
      </c>
      <c r="E1046" s="620">
        <f>+VLOOKUP(B1046,'Salary sheet'!$B$6:$AT$1292,45,0)</f>
        <v>8595434</v>
      </c>
      <c r="F1046" s="1029" t="s">
        <v>5723</v>
      </c>
      <c r="G1046" s="824" t="str">
        <f>+VLOOKUP(B1046,'Salary sheet'!$B$6:$E$2281,4,0)</f>
        <v>SK2</v>
      </c>
      <c r="H1046" s="607" t="str">
        <f>+VLOOKUP(B1046,'Salary sheet'!$B$6:$AZ$1386,50,0)</f>
        <v>SK2</v>
      </c>
      <c r="I1046" s="607" t="str">
        <f t="shared" si="44"/>
        <v>C16279NGUYEN CAO CUONG050113402994</v>
      </c>
      <c r="J1046" s="853" t="str">
        <f>+VLOOKUP(B1046,'[5]04 2025'!$B$2:$F$1371,5,0)</f>
        <v>C16279NGUYEN CAO CUONG050113402994</v>
      </c>
      <c r="K1046" s="607">
        <f t="shared" si="43"/>
        <v>1</v>
      </c>
      <c r="P1046" s="685"/>
    </row>
    <row r="1047" spans="1:16" s="607" customFormat="1" ht="18" customHeight="1">
      <c r="A1047" s="826">
        <f>SUBTOTAL(3,B$6:B1047)</f>
        <v>1042</v>
      </c>
      <c r="B1047" s="824" t="s">
        <v>2898</v>
      </c>
      <c r="C1047" s="824" t="str">
        <f>+VLOOKUP(B1047,'Salary sheet'!$B$6:$AX$1386,48,0)</f>
        <v>NGUYEN CHI CUONG</v>
      </c>
      <c r="D1047" s="824" t="str">
        <f>+VLOOKUP(B1047,'Salary sheet'!$B$6:$BW$1386,49,0)</f>
        <v>050126082611</v>
      </c>
      <c r="E1047" s="620">
        <f>+VLOOKUP(B1047,'Salary sheet'!$B$6:$AT$1292,45,0)</f>
        <v>8501972</v>
      </c>
      <c r="F1047" s="1029" t="s">
        <v>5723</v>
      </c>
      <c r="G1047" s="824" t="str">
        <f>+VLOOKUP(B1047,'Salary sheet'!$B$6:$E$2281,4,0)</f>
        <v>SK2</v>
      </c>
      <c r="H1047" s="607" t="str">
        <f>+VLOOKUP(B1047,'Salary sheet'!$B$6:$AZ$1386,50,0)</f>
        <v>SK2</v>
      </c>
      <c r="I1047" s="607" t="str">
        <f t="shared" si="44"/>
        <v>C16473NGUYEN CHI CUONG050126082611</v>
      </c>
      <c r="J1047" s="853" t="str">
        <f>+VLOOKUP(B1047,'[5]04 2025'!$B$2:$F$1371,5,0)</f>
        <v>C16473NGUYEN CHI CUONG050126082611</v>
      </c>
      <c r="K1047" s="607">
        <f t="shared" si="43"/>
        <v>1</v>
      </c>
      <c r="P1047" s="685"/>
    </row>
    <row r="1048" spans="1:16" s="607" customFormat="1" ht="18" customHeight="1">
      <c r="A1048" s="826">
        <f>SUBTOTAL(3,B$6:B1048)</f>
        <v>1043</v>
      </c>
      <c r="B1048" s="824" t="s">
        <v>2899</v>
      </c>
      <c r="C1048" s="824" t="str">
        <f>+VLOOKUP(B1048,'Salary sheet'!$B$6:$AX$1386,48,0)</f>
        <v>DUONG HOAI NAM</v>
      </c>
      <c r="D1048" s="824" t="str">
        <f>+VLOOKUP(B1048,'Salary sheet'!$B$6:$BW$1386,49,0)</f>
        <v>050937340857</v>
      </c>
      <c r="E1048" s="620">
        <f>+VLOOKUP(B1048,'Salary sheet'!$B$6:$AT$1292,45,0)</f>
        <v>7995770</v>
      </c>
      <c r="F1048" s="1029" t="s">
        <v>5723</v>
      </c>
      <c r="G1048" s="824" t="str">
        <f>+VLOOKUP(B1048,'Salary sheet'!$B$6:$E$2281,4,0)</f>
        <v>SK2</v>
      </c>
      <c r="H1048" s="607" t="str">
        <f>+VLOOKUP(B1048,'Salary sheet'!$B$6:$AZ$1386,50,0)</f>
        <v>SK2</v>
      </c>
      <c r="I1048" s="607" t="str">
        <f t="shared" si="44"/>
        <v>C16523DUONG HOAI NAM050937340857</v>
      </c>
      <c r="J1048" s="853" t="str">
        <f>+VLOOKUP(B1048,'[5]04 2025'!$B$2:$F$1371,5,0)</f>
        <v>C16523DUONG HOAI NAM050937340857</v>
      </c>
      <c r="K1048" s="607">
        <f t="shared" si="43"/>
        <v>1</v>
      </c>
      <c r="P1048" s="685"/>
    </row>
    <row r="1049" spans="1:16" s="607" customFormat="1" ht="18" customHeight="1">
      <c r="A1049" s="826">
        <f>SUBTOTAL(3,B$6:B1049)</f>
        <v>1044</v>
      </c>
      <c r="B1049" s="824" t="s">
        <v>2901</v>
      </c>
      <c r="C1049" s="824" t="str">
        <f>+VLOOKUP(B1049,'Salary sheet'!$B$6:$AX$1386,48,0)</f>
        <v>DIEU THANH</v>
      </c>
      <c r="D1049" s="824" t="str">
        <f>+VLOOKUP(B1049,'Salary sheet'!$B$6:$BW$1386,49,0)</f>
        <v>050092339952</v>
      </c>
      <c r="E1049" s="620">
        <f>+VLOOKUP(B1049,'Salary sheet'!$B$6:$AT$1292,45,0)</f>
        <v>8565310</v>
      </c>
      <c r="F1049" s="1029" t="s">
        <v>5723</v>
      </c>
      <c r="G1049" s="824" t="str">
        <f>+VLOOKUP(B1049,'Salary sheet'!$B$6:$E$2281,4,0)</f>
        <v>SK2</v>
      </c>
      <c r="H1049" s="607" t="str">
        <f>+VLOOKUP(B1049,'Salary sheet'!$B$6:$AZ$1386,50,0)</f>
        <v>SK2</v>
      </c>
      <c r="I1049" s="607" t="str">
        <f t="shared" si="44"/>
        <v>C11679DIEU THANH050092339952</v>
      </c>
      <c r="J1049" s="853" t="str">
        <f>+VLOOKUP(B1049,'[5]04 2025'!$B$2:$F$1371,5,0)</f>
        <v>C11679DIEU THANH050092339952</v>
      </c>
      <c r="K1049" s="607">
        <f t="shared" si="43"/>
        <v>1</v>
      </c>
      <c r="P1049" s="685"/>
    </row>
    <row r="1050" spans="1:16" s="607" customFormat="1" ht="18" customHeight="1">
      <c r="A1050" s="826">
        <f>SUBTOTAL(3,B$6:B1050)</f>
        <v>1045</v>
      </c>
      <c r="B1050" s="824" t="s">
        <v>2904</v>
      </c>
      <c r="C1050" s="824" t="str">
        <f>+VLOOKUP(B1050,'Salary sheet'!$B$6:$AX$1386,48,0)</f>
        <v>VU THI HAI YEN</v>
      </c>
      <c r="D1050" s="824" t="str">
        <f>+VLOOKUP(B1050,'Salary sheet'!$B$6:$BW$1386,49,0)</f>
        <v>050134580205</v>
      </c>
      <c r="E1050" s="620">
        <f>+VLOOKUP(B1050,'Salary sheet'!$B$6:$AT$1292,45,0)</f>
        <v>10029314</v>
      </c>
      <c r="F1050" s="1029" t="s">
        <v>5723</v>
      </c>
      <c r="G1050" s="824" t="str">
        <f>+VLOOKUP(B1050,'Salary sheet'!$B$6:$E$2281,4,0)</f>
        <v>SK2</v>
      </c>
      <c r="H1050" s="607" t="str">
        <f>+VLOOKUP(B1050,'Salary sheet'!$B$6:$AZ$1386,50,0)</f>
        <v>SK2</v>
      </c>
      <c r="I1050" s="607" t="str">
        <f t="shared" si="44"/>
        <v>C14479VU THI HAI YEN050134580205</v>
      </c>
      <c r="J1050" s="853" t="str">
        <f>+VLOOKUP(B1050,'[5]04 2025'!$B$2:$F$1371,5,0)</f>
        <v>C14479VU THI HAI YEN050134580205</v>
      </c>
      <c r="K1050" s="607">
        <f t="shared" si="43"/>
        <v>1</v>
      </c>
      <c r="P1050" s="685"/>
    </row>
    <row r="1051" spans="1:16" s="607" customFormat="1" ht="18" customHeight="1">
      <c r="A1051" s="826">
        <f>SUBTOTAL(3,B$6:B1051)</f>
        <v>1046</v>
      </c>
      <c r="B1051" s="824" t="s">
        <v>2906</v>
      </c>
      <c r="C1051" s="824" t="str">
        <f>+VLOOKUP(B1051,'Salary sheet'!$B$6:$AX$1386,48,0)</f>
        <v>NGUYEN THI THU HUONG</v>
      </c>
      <c r="D1051" s="824" t="str">
        <f>+VLOOKUP(B1051,'Salary sheet'!$B$6:$BW$1386,49,0)</f>
        <v>050116312597</v>
      </c>
      <c r="E1051" s="620">
        <f>+VLOOKUP(B1051,'Salary sheet'!$B$6:$AT$1292,45,0)</f>
        <v>5840187</v>
      </c>
      <c r="F1051" s="1029" t="s">
        <v>5723</v>
      </c>
      <c r="G1051" s="824" t="str">
        <f>+VLOOKUP(B1051,'Salary sheet'!$B$6:$E$2281,4,0)</f>
        <v>SK2</v>
      </c>
      <c r="H1051" s="607" t="str">
        <f>+VLOOKUP(B1051,'Salary sheet'!$B$6:$AZ$1386,50,0)</f>
        <v>SK2</v>
      </c>
      <c r="I1051" s="607" t="str">
        <f t="shared" si="44"/>
        <v>C16533NGUYEN THI THU HUONG050116312597</v>
      </c>
      <c r="J1051" s="853" t="str">
        <f>+VLOOKUP(B1051,'[5]04 2025'!$B$2:$F$1371,5,0)</f>
        <v>C16533NGUYEN THI THU HUONG050116312597</v>
      </c>
      <c r="K1051" s="607">
        <f t="shared" si="43"/>
        <v>1</v>
      </c>
      <c r="P1051" s="685"/>
    </row>
    <row r="1052" spans="1:16" s="607" customFormat="1" ht="18" customHeight="1">
      <c r="A1052" s="826">
        <f>SUBTOTAL(3,B$6:B1052)</f>
        <v>1047</v>
      </c>
      <c r="B1052" s="824" t="s">
        <v>2908</v>
      </c>
      <c r="C1052" s="824" t="str">
        <f>+VLOOKUP(B1052,'Salary sheet'!$B$6:$AX$1386,48,0)</f>
        <v>LE THANH BINH</v>
      </c>
      <c r="D1052" s="824" t="str">
        <f>+VLOOKUP(B1052,'Salary sheet'!$B$6:$BW$1386,49,0)</f>
        <v>050105128611</v>
      </c>
      <c r="E1052" s="620">
        <f>+VLOOKUP(B1052,'Salary sheet'!$B$6:$AT$1292,45,0)</f>
        <v>7254937</v>
      </c>
      <c r="F1052" s="1029" t="s">
        <v>5723</v>
      </c>
      <c r="G1052" s="824" t="str">
        <f>+VLOOKUP(B1052,'Salary sheet'!$B$6:$E$2281,4,0)</f>
        <v>SK2</v>
      </c>
      <c r="H1052" s="607" t="str">
        <f>+VLOOKUP(B1052,'Salary sheet'!$B$6:$AZ$1386,50,0)</f>
        <v>SK2</v>
      </c>
      <c r="I1052" s="607" t="str">
        <f t="shared" si="44"/>
        <v>C10491LE THANH BINH050105128611</v>
      </c>
      <c r="J1052" s="853" t="str">
        <f>+VLOOKUP(B1052,'[5]04 2025'!$B$2:$F$1371,5,0)</f>
        <v>C10491LE THANH BINH050105128611</v>
      </c>
      <c r="K1052" s="607">
        <f t="shared" si="43"/>
        <v>1</v>
      </c>
      <c r="P1052" s="685"/>
    </row>
    <row r="1053" spans="1:16" s="607" customFormat="1" ht="18" customHeight="1">
      <c r="A1053" s="826">
        <f>SUBTOTAL(3,B$6:B1053)</f>
        <v>1048</v>
      </c>
      <c r="B1053" s="824" t="s">
        <v>2910</v>
      </c>
      <c r="C1053" s="824" t="str">
        <f>+VLOOKUP(B1053,'Salary sheet'!$B$6:$AX$1386,48,0)</f>
        <v>VU THI NGOC THANH</v>
      </c>
      <c r="D1053" s="824" t="str">
        <f>+VLOOKUP(B1053,'Salary sheet'!$B$6:$BW$1386,49,0)</f>
        <v>050035711489</v>
      </c>
      <c r="E1053" s="620">
        <f>+VLOOKUP(B1053,'Salary sheet'!$B$6:$AT$1292,45,0)</f>
        <v>11529826</v>
      </c>
      <c r="F1053" s="1029" t="s">
        <v>5723</v>
      </c>
      <c r="G1053" s="824" t="str">
        <f>+VLOOKUP(B1053,'Salary sheet'!$B$6:$E$2281,4,0)</f>
        <v>SK2</v>
      </c>
      <c r="H1053" s="607" t="str">
        <f>+VLOOKUP(B1053,'Salary sheet'!$B$6:$AZ$1386,50,0)</f>
        <v>SK2</v>
      </c>
      <c r="I1053" s="607" t="str">
        <f t="shared" si="44"/>
        <v>C10696VU THI NGOC THANH050035711489</v>
      </c>
      <c r="J1053" s="853" t="str">
        <f>+VLOOKUP(B1053,'[5]04 2025'!$B$2:$F$1371,5,0)</f>
        <v>C10696VU THI NGOC THANH050035711489</v>
      </c>
      <c r="K1053" s="607">
        <f t="shared" si="43"/>
        <v>1</v>
      </c>
      <c r="P1053" s="685"/>
    </row>
    <row r="1054" spans="1:16" s="607" customFormat="1" ht="18" customHeight="1">
      <c r="A1054" s="826">
        <f>SUBTOTAL(3,B$6:B1054)</f>
        <v>1049</v>
      </c>
      <c r="B1054" s="824" t="s">
        <v>2912</v>
      </c>
      <c r="C1054" s="824" t="str">
        <f>+VLOOKUP(B1054,'Salary sheet'!$B$6:$AX$1386,48,0)</f>
        <v>NGUYEN THI BICH THUY</v>
      </c>
      <c r="D1054" s="824" t="str">
        <f>+VLOOKUP(B1054,'Salary sheet'!$B$6:$BW$1386,49,0)</f>
        <v>050060667346</v>
      </c>
      <c r="E1054" s="620">
        <f>+VLOOKUP(B1054,'Salary sheet'!$B$6:$AT$1292,45,0)</f>
        <v>9557447</v>
      </c>
      <c r="F1054" s="1029" t="s">
        <v>5723</v>
      </c>
      <c r="G1054" s="824" t="str">
        <f>+VLOOKUP(B1054,'Salary sheet'!$B$6:$E$2281,4,0)</f>
        <v>SK2</v>
      </c>
      <c r="H1054" s="607" t="str">
        <f>+VLOOKUP(B1054,'Salary sheet'!$B$6:$AZ$1386,50,0)</f>
        <v>SK2</v>
      </c>
      <c r="I1054" s="607" t="str">
        <f t="shared" si="44"/>
        <v>C11033NGUYEN THI BICH THUY050060667346</v>
      </c>
      <c r="J1054" s="853" t="str">
        <f>+VLOOKUP(B1054,'[5]04 2025'!$B$2:$F$1371,5,0)</f>
        <v>C11033NGUYEN THI BICH THUY050060667346</v>
      </c>
      <c r="K1054" s="607">
        <f t="shared" si="43"/>
        <v>1</v>
      </c>
      <c r="P1054" s="685"/>
    </row>
    <row r="1055" spans="1:16" s="607" customFormat="1" ht="18" customHeight="1">
      <c r="A1055" s="826">
        <f>SUBTOTAL(3,B$6:B1055)</f>
        <v>1050</v>
      </c>
      <c r="B1055" s="824" t="s">
        <v>2914</v>
      </c>
      <c r="C1055" s="824" t="str">
        <f>+VLOOKUP(B1055,'Salary sheet'!$B$6:$AX$1386,48,0)</f>
        <v>NGUYEN MINH TAN</v>
      </c>
      <c r="D1055" s="824" t="str">
        <f>+VLOOKUP(B1055,'Salary sheet'!$B$6:$BW$1386,49,0)</f>
        <v>050112981214</v>
      </c>
      <c r="E1055" s="620">
        <f>+VLOOKUP(B1055,'Salary sheet'!$B$6:$AT$1292,45,0)</f>
        <v>9252388</v>
      </c>
      <c r="F1055" s="1029" t="s">
        <v>5723</v>
      </c>
      <c r="G1055" s="824" t="str">
        <f>+VLOOKUP(B1055,'Salary sheet'!$B$6:$E$2281,4,0)</f>
        <v>SK2</v>
      </c>
      <c r="H1055" s="607" t="str">
        <f>+VLOOKUP(B1055,'Salary sheet'!$B$6:$AZ$1386,50,0)</f>
        <v>SK2</v>
      </c>
      <c r="I1055" s="607" t="str">
        <f t="shared" si="44"/>
        <v>C11449NGUYEN MINH TAN050112981214</v>
      </c>
      <c r="J1055" s="853" t="str">
        <f>+VLOOKUP(B1055,'[5]04 2025'!$B$2:$F$1371,5,0)</f>
        <v>C11449NGUYEN MINH TAN050112981214</v>
      </c>
      <c r="K1055" s="607">
        <f t="shared" si="43"/>
        <v>1</v>
      </c>
      <c r="P1055" s="685"/>
    </row>
    <row r="1056" spans="1:16" s="607" customFormat="1" ht="18" customHeight="1">
      <c r="A1056" s="826">
        <f>SUBTOTAL(3,B$6:B1056)</f>
        <v>1051</v>
      </c>
      <c r="B1056" s="824" t="s">
        <v>2916</v>
      </c>
      <c r="C1056" s="824" t="str">
        <f>+VLOOKUP(B1056,'Salary sheet'!$B$6:$AX$1386,48,0)</f>
        <v>LAM TY</v>
      </c>
      <c r="D1056" s="824" t="str">
        <f>+VLOOKUP(B1056,'Salary sheet'!$B$6:$BW$1386,49,0)</f>
        <v>050116008057</v>
      </c>
      <c r="E1056" s="620">
        <f>+VLOOKUP(B1056,'Salary sheet'!$B$6:$AT$1292,45,0)</f>
        <v>7095457</v>
      </c>
      <c r="F1056" s="1029" t="s">
        <v>5723</v>
      </c>
      <c r="G1056" s="824" t="str">
        <f>+VLOOKUP(B1056,'Salary sheet'!$B$6:$E$2281,4,0)</f>
        <v>SK2</v>
      </c>
      <c r="H1056" s="607" t="str">
        <f>+VLOOKUP(B1056,'Salary sheet'!$B$6:$AZ$1386,50,0)</f>
        <v>SK2</v>
      </c>
      <c r="I1056" s="607" t="str">
        <f t="shared" si="44"/>
        <v>C11756LAM TY050116008057</v>
      </c>
      <c r="J1056" s="853" t="str">
        <f>+VLOOKUP(B1056,'[5]04 2025'!$B$2:$F$1371,5,0)</f>
        <v>C11756LAM TY050116008057</v>
      </c>
      <c r="K1056" s="607">
        <f t="shared" si="43"/>
        <v>1</v>
      </c>
      <c r="P1056" s="685"/>
    </row>
    <row r="1057" spans="1:16" s="607" customFormat="1" ht="18" customHeight="1">
      <c r="A1057" s="826">
        <f>SUBTOTAL(3,B$6:B1057)</f>
        <v>1052</v>
      </c>
      <c r="B1057" s="824" t="s">
        <v>2918</v>
      </c>
      <c r="C1057" s="824" t="str">
        <f>+VLOOKUP(B1057,'Salary sheet'!$B$6:$AX$1386,48,0)</f>
        <v>DIEU TAN THINH</v>
      </c>
      <c r="D1057" s="824" t="str">
        <f>+VLOOKUP(B1057,'Salary sheet'!$B$6:$BW$1386,49,0)</f>
        <v>050116008049</v>
      </c>
      <c r="E1057" s="620">
        <f>+VLOOKUP(B1057,'Salary sheet'!$B$6:$AT$1292,45,0)</f>
        <v>9752575</v>
      </c>
      <c r="F1057" s="1029" t="s">
        <v>5723</v>
      </c>
      <c r="G1057" s="824" t="str">
        <f>+VLOOKUP(B1057,'Salary sheet'!$B$6:$E$2281,4,0)</f>
        <v>SK2</v>
      </c>
      <c r="H1057" s="607" t="str">
        <f>+VLOOKUP(B1057,'Salary sheet'!$B$6:$AZ$1386,50,0)</f>
        <v>SK2</v>
      </c>
      <c r="I1057" s="607" t="str">
        <f t="shared" si="44"/>
        <v>C11770DIEU TAN THINH050116008049</v>
      </c>
      <c r="J1057" s="853" t="str">
        <f>+VLOOKUP(B1057,'[5]04 2025'!$B$2:$F$1371,5,0)</f>
        <v>C11770DIEU TAN THINH050116008049</v>
      </c>
      <c r="K1057" s="607">
        <f t="shared" si="43"/>
        <v>1</v>
      </c>
      <c r="P1057" s="685"/>
    </row>
    <row r="1058" spans="1:16" s="607" customFormat="1" ht="18" customHeight="1">
      <c r="A1058" s="826">
        <f>SUBTOTAL(3,B$6:B1058)</f>
        <v>1053</v>
      </c>
      <c r="B1058" s="824" t="s">
        <v>2920</v>
      </c>
      <c r="C1058" s="824" t="str">
        <f>+VLOOKUP(B1058,'Salary sheet'!$B$6:$AX$1386,48,0)</f>
        <v>PHAM THI THU HOA</v>
      </c>
      <c r="D1058" s="824" t="str">
        <f>+VLOOKUP(B1058,'Salary sheet'!$B$6:$BW$1386,49,0)</f>
        <v>050098646954</v>
      </c>
      <c r="E1058" s="620">
        <f>+VLOOKUP(B1058,'Salary sheet'!$B$6:$AT$1292,45,0)</f>
        <v>9112577</v>
      </c>
      <c r="F1058" s="1029" t="s">
        <v>5723</v>
      </c>
      <c r="G1058" s="824" t="str">
        <f>+VLOOKUP(B1058,'Salary sheet'!$B$6:$E$2281,4,0)</f>
        <v>SK2</v>
      </c>
      <c r="H1058" s="607" t="str">
        <f>+VLOOKUP(B1058,'Salary sheet'!$B$6:$AZ$1386,50,0)</f>
        <v>SK2</v>
      </c>
      <c r="I1058" s="607" t="str">
        <f t="shared" si="44"/>
        <v>C12690PHAM THI THU HOA050098646954</v>
      </c>
      <c r="J1058" s="853" t="str">
        <f>+VLOOKUP(B1058,'[5]04 2025'!$B$2:$F$1371,5,0)</f>
        <v>C12690PHAM THI THU HOA050098646954</v>
      </c>
      <c r="K1058" s="607">
        <f t="shared" si="43"/>
        <v>1</v>
      </c>
      <c r="P1058" s="685"/>
    </row>
    <row r="1059" spans="1:16" s="607" customFormat="1" ht="18" customHeight="1">
      <c r="A1059" s="826">
        <f>SUBTOTAL(3,B$6:B1059)</f>
        <v>1054</v>
      </c>
      <c r="B1059" s="824" t="s">
        <v>2922</v>
      </c>
      <c r="C1059" s="824" t="str">
        <f>+VLOOKUP(B1059,'Salary sheet'!$B$6:$AX$1386,48,0)</f>
        <v>LE NGOC ANH</v>
      </c>
      <c r="D1059" s="824" t="str">
        <f>+VLOOKUP(B1059,'Salary sheet'!$B$6:$BW$1386,49,0)</f>
        <v>050102525229</v>
      </c>
      <c r="E1059" s="620">
        <f>+VLOOKUP(B1059,'Salary sheet'!$B$6:$AT$1292,45,0)</f>
        <v>9154880</v>
      </c>
      <c r="F1059" s="1029" t="s">
        <v>5723</v>
      </c>
      <c r="G1059" s="824" t="str">
        <f>+VLOOKUP(B1059,'Salary sheet'!$B$6:$E$2281,4,0)</f>
        <v>SK2</v>
      </c>
      <c r="H1059" s="607" t="str">
        <f>+VLOOKUP(B1059,'Salary sheet'!$B$6:$AZ$1386,50,0)</f>
        <v>SK2</v>
      </c>
      <c r="I1059" s="607" t="str">
        <f t="shared" si="44"/>
        <v>C12920LE NGOC ANH050102525229</v>
      </c>
      <c r="J1059" s="853" t="str">
        <f>+VLOOKUP(B1059,'[5]04 2025'!$B$2:$F$1371,5,0)</f>
        <v>C12920LE NGOC ANH050102525229</v>
      </c>
      <c r="K1059" s="607">
        <f t="shared" si="43"/>
        <v>1</v>
      </c>
      <c r="P1059" s="685"/>
    </row>
    <row r="1060" spans="1:16" s="607" customFormat="1" ht="18" customHeight="1">
      <c r="A1060" s="826">
        <f>SUBTOTAL(3,B$6:B1060)</f>
        <v>1055</v>
      </c>
      <c r="B1060" s="824" t="s">
        <v>2924</v>
      </c>
      <c r="C1060" s="824" t="str">
        <f>+VLOOKUP(B1060,'Salary sheet'!$B$6:$AX$1386,48,0)</f>
        <v>VU THI THUY TIEN</v>
      </c>
      <c r="D1060" s="824" t="str">
        <f>+VLOOKUP(B1060,'Salary sheet'!$B$6:$BW$1386,49,0)</f>
        <v>050103659881</v>
      </c>
      <c r="E1060" s="620">
        <f>+VLOOKUP(B1060,'Salary sheet'!$B$6:$AT$1292,45,0)</f>
        <v>6609753</v>
      </c>
      <c r="F1060" s="1029" t="s">
        <v>5723</v>
      </c>
      <c r="G1060" s="824" t="str">
        <f>+VLOOKUP(B1060,'Salary sheet'!$B$6:$E$2281,4,0)</f>
        <v>SK2</v>
      </c>
      <c r="H1060" s="607" t="str">
        <f>+VLOOKUP(B1060,'Salary sheet'!$B$6:$AZ$1386,50,0)</f>
        <v>SK2</v>
      </c>
      <c r="I1060" s="607" t="str">
        <f t="shared" si="44"/>
        <v>C13182VU THI THUY TIEN050103659881</v>
      </c>
      <c r="J1060" s="853" t="str">
        <f>+VLOOKUP(B1060,'[5]04 2025'!$B$2:$F$1371,5,0)</f>
        <v>C13182VU THI THUY TIEN050103659881</v>
      </c>
      <c r="K1060" s="607">
        <f t="shared" si="43"/>
        <v>1</v>
      </c>
      <c r="P1060" s="685"/>
    </row>
    <row r="1061" spans="1:16" s="607" customFormat="1" ht="18" customHeight="1">
      <c r="A1061" s="826">
        <f>SUBTOTAL(3,B$6:B1061)</f>
        <v>1056</v>
      </c>
      <c r="B1061" s="824" t="s">
        <v>2926</v>
      </c>
      <c r="C1061" s="824" t="str">
        <f>+VLOOKUP(B1061,'Salary sheet'!$B$6:$AX$1386,48,0)</f>
        <v>DIEU TRUNG</v>
      </c>
      <c r="D1061" s="824" t="str">
        <f>+VLOOKUP(B1061,'Salary sheet'!$B$6:$BW$1386,49,0)</f>
        <v>050128086207</v>
      </c>
      <c r="E1061" s="620">
        <f>+VLOOKUP(B1061,'Salary sheet'!$B$6:$AT$1292,45,0)</f>
        <v>8586158</v>
      </c>
      <c r="F1061" s="1029" t="s">
        <v>5723</v>
      </c>
      <c r="G1061" s="824" t="str">
        <f>+VLOOKUP(B1061,'Salary sheet'!$B$6:$E$2281,4,0)</f>
        <v>SK2</v>
      </c>
      <c r="H1061" s="607" t="str">
        <f>+VLOOKUP(B1061,'Salary sheet'!$B$6:$AZ$1386,50,0)</f>
        <v>SK2</v>
      </c>
      <c r="I1061" s="607" t="str">
        <f t="shared" si="44"/>
        <v>C13700DIEU TRUNG050128086207</v>
      </c>
      <c r="J1061" s="853" t="str">
        <f>+VLOOKUP(B1061,'[5]04 2025'!$B$2:$F$1371,5,0)</f>
        <v>C13700DIEU TRUNG050128086207</v>
      </c>
      <c r="K1061" s="607">
        <f t="shared" si="43"/>
        <v>1</v>
      </c>
      <c r="P1061" s="685"/>
    </row>
    <row r="1062" spans="1:16" s="607" customFormat="1" ht="18" customHeight="1">
      <c r="A1062" s="826">
        <f>SUBTOTAL(3,B$6:B1062)</f>
        <v>1057</v>
      </c>
      <c r="B1062" s="824" t="s">
        <v>2928</v>
      </c>
      <c r="C1062" s="824" t="str">
        <f>+VLOOKUP(B1062,'Salary sheet'!$B$6:$AX$1386,48,0)</f>
        <v>PHAM THI HANH NGUYEN</v>
      </c>
      <c r="D1062" s="824" t="str">
        <f>+VLOOKUP(B1062,'Salary sheet'!$B$6:$BW$1386,49,0)</f>
        <v>050105852301</v>
      </c>
      <c r="E1062" s="620">
        <f>+VLOOKUP(B1062,'Salary sheet'!$B$6:$AT$1292,45,0)</f>
        <v>7518407</v>
      </c>
      <c r="F1062" s="1029" t="s">
        <v>5723</v>
      </c>
      <c r="G1062" s="824" t="str">
        <f>+VLOOKUP(B1062,'Salary sheet'!$B$6:$E$2281,4,0)</f>
        <v>SK2</v>
      </c>
      <c r="H1062" s="607" t="str">
        <f>+VLOOKUP(B1062,'Salary sheet'!$B$6:$AZ$1386,50,0)</f>
        <v>SK2</v>
      </c>
      <c r="I1062" s="607" t="str">
        <f t="shared" si="44"/>
        <v>C14200PHAM THI HANH NGUYEN050105852301</v>
      </c>
      <c r="J1062" s="853" t="str">
        <f>+VLOOKUP(B1062,'[5]04 2025'!$B$2:$F$1371,5,0)</f>
        <v>C14200PHAM THI HANH NGUYEN050105852301</v>
      </c>
      <c r="K1062" s="607">
        <f t="shared" ref="K1062:K1125" si="45">+IF(J1062=I1062,1,0)</f>
        <v>1</v>
      </c>
      <c r="P1062" s="685"/>
    </row>
    <row r="1063" spans="1:16" s="607" customFormat="1" ht="18" customHeight="1">
      <c r="A1063" s="826">
        <f>SUBTOTAL(3,B$6:B1063)</f>
        <v>1058</v>
      </c>
      <c r="B1063" s="824" t="s">
        <v>2930</v>
      </c>
      <c r="C1063" s="824" t="str">
        <f>+VLOOKUP(B1063,'Salary sheet'!$B$6:$AX$1386,48,0)</f>
        <v>NGUYEN THI THANH THUY</v>
      </c>
      <c r="D1063" s="824" t="str">
        <f>+VLOOKUP(B1063,'Salary sheet'!$B$6:$BW$1386,49,0)</f>
        <v>050133982717</v>
      </c>
      <c r="E1063" s="620">
        <f>+VLOOKUP(B1063,'Salary sheet'!$B$6:$AT$1292,45,0)</f>
        <v>9372613</v>
      </c>
      <c r="F1063" s="1029" t="s">
        <v>5723</v>
      </c>
      <c r="G1063" s="824" t="str">
        <f>+VLOOKUP(B1063,'Salary sheet'!$B$6:$E$2281,4,0)</f>
        <v>SK2</v>
      </c>
      <c r="H1063" s="607" t="str">
        <f>+VLOOKUP(B1063,'Salary sheet'!$B$6:$AZ$1386,50,0)</f>
        <v>SK2</v>
      </c>
      <c r="I1063" s="607" t="str">
        <f t="shared" si="44"/>
        <v>C15115NGUYEN THI THANH THUY050133982717</v>
      </c>
      <c r="J1063" s="853" t="str">
        <f>+VLOOKUP(B1063,'[5]04 2025'!$B$2:$F$1371,5,0)</f>
        <v>C15115NGUYEN THI THANH THUY050133982717</v>
      </c>
      <c r="K1063" s="607">
        <f t="shared" si="45"/>
        <v>1</v>
      </c>
      <c r="P1063" s="685"/>
    </row>
    <row r="1064" spans="1:16" s="607" customFormat="1" ht="18" customHeight="1">
      <c r="A1064" s="826">
        <f>SUBTOTAL(3,B$6:B1064)</f>
        <v>1059</v>
      </c>
      <c r="B1064" s="824" t="s">
        <v>2932</v>
      </c>
      <c r="C1064" s="824" t="str">
        <f>+VLOOKUP(B1064,'Salary sheet'!$B$6:$AX$1386,48,0)</f>
        <v>LE NGOC YEN</v>
      </c>
      <c r="D1064" s="824" t="str">
        <f>+VLOOKUP(B1064,'Salary sheet'!$B$6:$BW$1386,49,0)</f>
        <v>050078506341</v>
      </c>
      <c r="E1064" s="620">
        <f>+VLOOKUP(B1064,'Salary sheet'!$B$6:$AT$1292,45,0)</f>
        <v>9505784</v>
      </c>
      <c r="F1064" s="1029" t="s">
        <v>5723</v>
      </c>
      <c r="G1064" s="824" t="str">
        <f>+VLOOKUP(B1064,'Salary sheet'!$B$6:$E$2281,4,0)</f>
        <v>SK2</v>
      </c>
      <c r="H1064" s="607" t="str">
        <f>+VLOOKUP(B1064,'Salary sheet'!$B$6:$AZ$1386,50,0)</f>
        <v>SK2</v>
      </c>
      <c r="I1064" s="607" t="str">
        <f t="shared" si="44"/>
        <v>C15126LE NGOC YEN050078506341</v>
      </c>
      <c r="J1064" s="853" t="str">
        <f>+VLOOKUP(B1064,'[5]04 2025'!$B$2:$F$1371,5,0)</f>
        <v>C15126LE NGOC YEN050078506341</v>
      </c>
      <c r="K1064" s="607">
        <f t="shared" si="45"/>
        <v>1</v>
      </c>
      <c r="P1064" s="685"/>
    </row>
    <row r="1065" spans="1:16" s="607" customFormat="1" ht="18" customHeight="1">
      <c r="A1065" s="826">
        <f>SUBTOTAL(3,B$6:B1065)</f>
        <v>1060</v>
      </c>
      <c r="B1065" s="824" t="s">
        <v>2936</v>
      </c>
      <c r="C1065" s="824" t="str">
        <f>+VLOOKUP(B1065,'Salary sheet'!$B$6:$AX$1386,48,0)</f>
        <v>LE THI ANH</v>
      </c>
      <c r="D1065" s="824" t="str">
        <f>+VLOOKUP(B1065,'Salary sheet'!$B$6:$BW$1386,49,0)</f>
        <v>050112834238</v>
      </c>
      <c r="E1065" s="620">
        <f>+VLOOKUP(B1065,'Salary sheet'!$B$6:$AT$1292,45,0)</f>
        <v>9325225</v>
      </c>
      <c r="F1065" s="1029" t="s">
        <v>5723</v>
      </c>
      <c r="G1065" s="824" t="str">
        <f>+VLOOKUP(B1065,'Salary sheet'!$B$6:$E$2281,4,0)</f>
        <v>SK2</v>
      </c>
      <c r="H1065" s="607" t="str">
        <f>+VLOOKUP(B1065,'Salary sheet'!$B$6:$AZ$1386,50,0)</f>
        <v>SK2</v>
      </c>
      <c r="I1065" s="607" t="str">
        <f t="shared" si="44"/>
        <v>C15675LE THI ANH050112834238</v>
      </c>
      <c r="J1065" s="853" t="str">
        <f>+VLOOKUP(B1065,'[5]04 2025'!$B$2:$F$1371,5,0)</f>
        <v>C15675LE THI ANH050112834238</v>
      </c>
      <c r="K1065" s="607">
        <f t="shared" si="45"/>
        <v>1</v>
      </c>
      <c r="P1065" s="685"/>
    </row>
    <row r="1066" spans="1:16" s="607" customFormat="1" ht="18" customHeight="1">
      <c r="A1066" s="826">
        <f>SUBTOTAL(3,B$6:B1066)</f>
        <v>1061</v>
      </c>
      <c r="B1066" s="824" t="s">
        <v>2938</v>
      </c>
      <c r="C1066" s="824" t="str">
        <f>+VLOOKUP(B1066,'Salary sheet'!$B$6:$AX$1386,48,0)</f>
        <v>DIEU HUNG</v>
      </c>
      <c r="D1066" s="824" t="str">
        <f>+VLOOKUP(B1066,'Salary sheet'!$B$6:$BW$1386,49,0)</f>
        <v>050126321004</v>
      </c>
      <c r="E1066" s="620">
        <f>+VLOOKUP(B1066,'Salary sheet'!$B$6:$AT$1292,45,0)</f>
        <v>7334683</v>
      </c>
      <c r="F1066" s="1029" t="s">
        <v>5723</v>
      </c>
      <c r="G1066" s="824" t="str">
        <f>+VLOOKUP(B1066,'Salary sheet'!$B$6:$E$2281,4,0)</f>
        <v>SK2</v>
      </c>
      <c r="H1066" s="607" t="str">
        <f>+VLOOKUP(B1066,'Salary sheet'!$B$6:$AZ$1386,50,0)</f>
        <v>SK2</v>
      </c>
      <c r="I1066" s="607" t="str">
        <f t="shared" si="44"/>
        <v>C15690DIEU HUNG050126321004</v>
      </c>
      <c r="J1066" s="853" t="str">
        <f>+VLOOKUP(B1066,'[5]04 2025'!$B$2:$F$1371,5,0)</f>
        <v>C15690DIEU HUNG050126321004</v>
      </c>
      <c r="K1066" s="607">
        <f t="shared" si="45"/>
        <v>1</v>
      </c>
      <c r="P1066" s="685"/>
    </row>
    <row r="1067" spans="1:16" s="607" customFormat="1" ht="18" customHeight="1">
      <c r="A1067" s="826">
        <f>SUBTOTAL(3,B$6:B1067)</f>
        <v>1062</v>
      </c>
      <c r="B1067" s="824" t="s">
        <v>2940</v>
      </c>
      <c r="C1067" s="824" t="str">
        <f>+VLOOKUP(B1067,'Salary sheet'!$B$6:$AX$1386,48,0)</f>
        <v>NGUYEN THI THU HIEN</v>
      </c>
      <c r="D1067" s="824" t="str">
        <f>+VLOOKUP(B1067,'Salary sheet'!$B$6:$BW$1386,49,0)</f>
        <v>050108990551</v>
      </c>
      <c r="E1067" s="620">
        <f>+VLOOKUP(B1067,'Salary sheet'!$B$6:$AT$1292,45,0)</f>
        <v>9247951</v>
      </c>
      <c r="F1067" s="1029" t="s">
        <v>5723</v>
      </c>
      <c r="G1067" s="824" t="str">
        <f>+VLOOKUP(B1067,'Salary sheet'!$B$6:$E$2281,4,0)</f>
        <v>SK2</v>
      </c>
      <c r="H1067" s="607" t="str">
        <f>+VLOOKUP(B1067,'Salary sheet'!$B$6:$AZ$1386,50,0)</f>
        <v>SK2</v>
      </c>
      <c r="I1067" s="607" t="str">
        <f t="shared" si="44"/>
        <v>C15729NGUYEN THI THU HIEN050108990551</v>
      </c>
      <c r="J1067" s="853" t="str">
        <f>+VLOOKUP(B1067,'[5]04 2025'!$B$2:$F$1371,5,0)</f>
        <v>C15729NGUYEN THI THU HIEN050108990551</v>
      </c>
      <c r="K1067" s="607">
        <f t="shared" si="45"/>
        <v>1</v>
      </c>
      <c r="P1067" s="685"/>
    </row>
    <row r="1068" spans="1:16" s="607" customFormat="1" ht="18" customHeight="1">
      <c r="A1068" s="826">
        <f>SUBTOTAL(3,B$6:B1068)</f>
        <v>1063</v>
      </c>
      <c r="B1068" s="824" t="s">
        <v>2941</v>
      </c>
      <c r="C1068" s="824" t="str">
        <f>+VLOOKUP(B1068,'Salary sheet'!$B$6:$AX$1386,48,0)</f>
        <v>BUI THI MINH TAM</v>
      </c>
      <c r="D1068" s="824" t="str">
        <f>+VLOOKUP(B1068,'Salary sheet'!$B$6:$BW$1386,49,0)</f>
        <v>050152673415</v>
      </c>
      <c r="E1068" s="620">
        <f>+VLOOKUP(B1068,'Salary sheet'!$B$6:$AT$1292,45,0)</f>
        <v>8881265</v>
      </c>
      <c r="F1068" s="1029" t="s">
        <v>5723</v>
      </c>
      <c r="G1068" s="824" t="str">
        <f>+VLOOKUP(B1068,'Salary sheet'!$B$6:$E$2281,4,0)</f>
        <v>SK2</v>
      </c>
      <c r="H1068" s="607" t="str">
        <f>+VLOOKUP(B1068,'Salary sheet'!$B$6:$AZ$1386,50,0)</f>
        <v>SK2</v>
      </c>
      <c r="I1068" s="607" t="str">
        <f t="shared" si="44"/>
        <v>C15757BUI THI MINH TAM050152673415</v>
      </c>
      <c r="J1068" s="853" t="str">
        <f>+VLOOKUP(B1068,'[5]04 2025'!$B$2:$F$1371,5,0)</f>
        <v>C15757BUI THI MINH TAM050152673415</v>
      </c>
      <c r="K1068" s="607">
        <f t="shared" si="45"/>
        <v>1</v>
      </c>
      <c r="P1068" s="685"/>
    </row>
    <row r="1069" spans="1:16" s="607" customFormat="1" ht="18" customHeight="1">
      <c r="A1069" s="826">
        <f>SUBTOTAL(3,B$6:B1069)</f>
        <v>1064</v>
      </c>
      <c r="B1069" s="824" t="s">
        <v>2943</v>
      </c>
      <c r="C1069" s="824" t="str">
        <f>+VLOOKUP(B1069,'Salary sheet'!$B$6:$AX$1386,48,0)</f>
        <v>HO THI NGOC HAN</v>
      </c>
      <c r="D1069" s="824" t="str">
        <f>+VLOOKUP(B1069,'Salary sheet'!$B$6:$BW$1386,49,0)</f>
        <v>050154980455</v>
      </c>
      <c r="E1069" s="620">
        <f>+VLOOKUP(B1069,'Salary sheet'!$B$6:$AT$1292,45,0)</f>
        <v>8714403</v>
      </c>
      <c r="F1069" s="1029" t="s">
        <v>5723</v>
      </c>
      <c r="G1069" s="824" t="str">
        <f>+VLOOKUP(B1069,'Salary sheet'!$B$6:$E$2281,4,0)</f>
        <v>SK2</v>
      </c>
      <c r="H1069" s="607" t="str">
        <f>+VLOOKUP(B1069,'Salary sheet'!$B$6:$AZ$1386,50,0)</f>
        <v>SK2</v>
      </c>
      <c r="I1069" s="607" t="str">
        <f t="shared" si="44"/>
        <v>C16033HO THI NGOC HAN050154980455</v>
      </c>
      <c r="J1069" s="853" t="str">
        <f>+VLOOKUP(B1069,'[5]04 2025'!$B$2:$F$1371,5,0)</f>
        <v>C16033HO THI NGOC HAN050154980455</v>
      </c>
      <c r="K1069" s="607">
        <f t="shared" si="45"/>
        <v>1</v>
      </c>
      <c r="P1069" s="685"/>
    </row>
    <row r="1070" spans="1:16" s="607" customFormat="1" ht="18" customHeight="1">
      <c r="A1070" s="826">
        <f>SUBTOTAL(3,B$6:B1070)</f>
        <v>1065</v>
      </c>
      <c r="B1070" s="824" t="s">
        <v>2945</v>
      </c>
      <c r="C1070" s="824" t="str">
        <f>+VLOOKUP(B1070,'Salary sheet'!$B$6:$AX$1386,48,0)</f>
        <v>NGUYEN THI HUONG</v>
      </c>
      <c r="D1070" s="824" t="str">
        <f>+VLOOKUP(B1070,'Salary sheet'!$B$6:$BW$1386,49,0)</f>
        <v>050122382599</v>
      </c>
      <c r="E1070" s="620">
        <f>+VLOOKUP(B1070,'Salary sheet'!$B$6:$AT$1292,45,0)</f>
        <v>8927380</v>
      </c>
      <c r="F1070" s="1029" t="s">
        <v>5723</v>
      </c>
      <c r="G1070" s="824" t="str">
        <f>+VLOOKUP(B1070,'Salary sheet'!$B$6:$E$2281,4,0)</f>
        <v>SK2</v>
      </c>
      <c r="H1070" s="607" t="str">
        <f>+VLOOKUP(B1070,'Salary sheet'!$B$6:$AZ$1386,50,0)</f>
        <v>SK2</v>
      </c>
      <c r="I1070" s="607" t="str">
        <f t="shared" si="44"/>
        <v>C16170NGUYEN THI HUONG050122382599</v>
      </c>
      <c r="J1070" s="853" t="str">
        <f>+VLOOKUP(B1070,'[5]04 2025'!$B$2:$F$1371,5,0)</f>
        <v>C16170NGUYEN THI HUONG050122382599</v>
      </c>
      <c r="K1070" s="607">
        <f t="shared" si="45"/>
        <v>1</v>
      </c>
      <c r="P1070" s="685"/>
    </row>
    <row r="1071" spans="1:16" s="607" customFormat="1" ht="18" customHeight="1">
      <c r="A1071" s="826">
        <f>SUBTOTAL(3,B$6:B1071)</f>
        <v>1066</v>
      </c>
      <c r="B1071" s="824" t="s">
        <v>2947</v>
      </c>
      <c r="C1071" s="824" t="str">
        <f>+VLOOKUP(B1071,'Salary sheet'!$B$6:$AX$1386,48,0)</f>
        <v>TRAN THI KIM LINH</v>
      </c>
      <c r="D1071" s="824" t="str">
        <f>+VLOOKUP(B1071,'Salary sheet'!$B$6:$BW$1386,49,0)</f>
        <v>050156922495</v>
      </c>
      <c r="E1071" s="620">
        <f>+VLOOKUP(B1071,'Salary sheet'!$B$6:$AT$1292,45,0)</f>
        <v>7597703</v>
      </c>
      <c r="F1071" s="1029" t="s">
        <v>5723</v>
      </c>
      <c r="G1071" s="824" t="str">
        <f>+VLOOKUP(B1071,'Salary sheet'!$B$6:$E$2281,4,0)</f>
        <v>SK2</v>
      </c>
      <c r="H1071" s="607" t="str">
        <f>+VLOOKUP(B1071,'Salary sheet'!$B$6:$AZ$1386,50,0)</f>
        <v>SK2</v>
      </c>
      <c r="I1071" s="607" t="str">
        <f t="shared" si="44"/>
        <v>C16171TRAN THI KIM LINH050156922495</v>
      </c>
      <c r="J1071" s="853" t="str">
        <f>+VLOOKUP(B1071,'[5]04 2025'!$B$2:$F$1371,5,0)</f>
        <v>C16171TRAN THI KIM LINH050156922495</v>
      </c>
      <c r="K1071" s="607">
        <f t="shared" si="45"/>
        <v>1</v>
      </c>
      <c r="P1071" s="685"/>
    </row>
    <row r="1072" spans="1:16" s="607" customFormat="1" ht="18" customHeight="1">
      <c r="A1072" s="826">
        <f>SUBTOTAL(3,B$6:B1072)</f>
        <v>1067</v>
      </c>
      <c r="B1072" s="824" t="s">
        <v>2949</v>
      </c>
      <c r="C1072" s="824" t="str">
        <f>+VLOOKUP(B1072,'Salary sheet'!$B$6:$AX$1386,48,0)</f>
        <v>NGUYEN THI THUONG</v>
      </c>
      <c r="D1072" s="824" t="str">
        <f>+VLOOKUP(B1072,'Salary sheet'!$B$6:$BW$1386,49,0)</f>
        <v>0987161885</v>
      </c>
      <c r="E1072" s="620">
        <f>+VLOOKUP(B1072,'Salary sheet'!$B$6:$AT$1292,45,0)</f>
        <v>8055925</v>
      </c>
      <c r="F1072" s="1029" t="s">
        <v>5723</v>
      </c>
      <c r="G1072" s="824" t="str">
        <f>+VLOOKUP(B1072,'Salary sheet'!$B$6:$E$2281,4,0)</f>
        <v>SK2</v>
      </c>
      <c r="H1072" s="607" t="str">
        <f>+VLOOKUP(B1072,'Salary sheet'!$B$6:$AZ$1386,50,0)</f>
        <v>SK2</v>
      </c>
      <c r="I1072" s="607" t="str">
        <f t="shared" si="44"/>
        <v>C16195NGUYEN THI THUONG0987161885</v>
      </c>
      <c r="J1072" s="853" t="str">
        <f>+VLOOKUP(B1072,'[5]04 2025'!$B$2:$F$1371,5,0)</f>
        <v>C16195NGUYEN THI THUONG0987161885</v>
      </c>
      <c r="K1072" s="607">
        <f t="shared" si="45"/>
        <v>1</v>
      </c>
      <c r="P1072" s="685"/>
    </row>
    <row r="1073" spans="1:16" s="607" customFormat="1" ht="18" customHeight="1">
      <c r="A1073" s="826">
        <f>SUBTOTAL(3,B$6:B1073)</f>
        <v>1068</v>
      </c>
      <c r="B1073" s="824" t="s">
        <v>2951</v>
      </c>
      <c r="C1073" s="824" t="str">
        <f>+VLOOKUP(B1073,'Salary sheet'!$B$6:$AX$1386,48,0)</f>
        <v>TRAN THI LUA</v>
      </c>
      <c r="D1073" s="824" t="str">
        <f>+VLOOKUP(B1073,'Salary sheet'!$B$6:$BW$1386,49,0)</f>
        <v>050156047330</v>
      </c>
      <c r="E1073" s="620">
        <f>+VLOOKUP(B1073,'Salary sheet'!$B$6:$AT$1292,45,0)</f>
        <v>8477411</v>
      </c>
      <c r="F1073" s="1029" t="s">
        <v>5723</v>
      </c>
      <c r="G1073" s="824" t="str">
        <f>+VLOOKUP(B1073,'Salary sheet'!$B$6:$E$2281,4,0)</f>
        <v>SK2</v>
      </c>
      <c r="H1073" s="607" t="str">
        <f>+VLOOKUP(B1073,'Salary sheet'!$B$6:$AZ$1386,50,0)</f>
        <v>SK2</v>
      </c>
      <c r="I1073" s="607" t="str">
        <f t="shared" si="44"/>
        <v>C16207TRAN THI LUA050156047330</v>
      </c>
      <c r="J1073" s="853" t="str">
        <f>+VLOOKUP(B1073,'[5]04 2025'!$B$2:$F$1371,5,0)</f>
        <v>C16207TRAN THI LUA050156047330</v>
      </c>
      <c r="K1073" s="607">
        <f t="shared" si="45"/>
        <v>1</v>
      </c>
      <c r="P1073" s="685"/>
    </row>
    <row r="1074" spans="1:16" s="607" customFormat="1" ht="18" customHeight="1">
      <c r="A1074" s="826">
        <f>SUBTOTAL(3,B$6:B1074)</f>
        <v>1069</v>
      </c>
      <c r="B1074" s="824" t="s">
        <v>2953</v>
      </c>
      <c r="C1074" s="824" t="str">
        <f>+VLOOKUP(B1074,'Salary sheet'!$B$6:$AX$1386,48,0)</f>
        <v>NANG THI BUOI</v>
      </c>
      <c r="D1074" s="824" t="str">
        <f>+VLOOKUP(B1074,'Salary sheet'!$B$6:$BW$1386,49,0)</f>
        <v>050156846896</v>
      </c>
      <c r="E1074" s="620">
        <f>+VLOOKUP(B1074,'Salary sheet'!$B$6:$AT$1292,45,0)</f>
        <v>8028738</v>
      </c>
      <c r="F1074" s="1029" t="s">
        <v>5723</v>
      </c>
      <c r="G1074" s="824" t="str">
        <f>+VLOOKUP(B1074,'Salary sheet'!$B$6:$E$2281,4,0)</f>
        <v>SK2</v>
      </c>
      <c r="H1074" s="607" t="str">
        <f>+VLOOKUP(B1074,'Salary sheet'!$B$6:$AZ$1386,50,0)</f>
        <v>SK2</v>
      </c>
      <c r="I1074" s="607" t="str">
        <f t="shared" si="44"/>
        <v>C16276NANG THI BUOI050156846896</v>
      </c>
      <c r="J1074" s="853" t="str">
        <f>+VLOOKUP(B1074,'[5]04 2025'!$B$2:$F$1371,5,0)</f>
        <v>C16276NANG THI BUOI050156846896</v>
      </c>
      <c r="K1074" s="607">
        <f t="shared" si="45"/>
        <v>1</v>
      </c>
      <c r="P1074" s="685"/>
    </row>
    <row r="1075" spans="1:16" s="607" customFormat="1" ht="18" customHeight="1">
      <c r="A1075" s="826">
        <f>SUBTOTAL(3,B$6:B1075)</f>
        <v>1070</v>
      </c>
      <c r="B1075" s="824" t="s">
        <v>2955</v>
      </c>
      <c r="C1075" s="824" t="str">
        <f>+VLOOKUP(B1075,'Salary sheet'!$B$6:$AX$1386,48,0)</f>
        <v>THI THAM</v>
      </c>
      <c r="D1075" s="824" t="str">
        <f>+VLOOKUP(B1075,'Salary sheet'!$B$6:$BW$1386,49,0)</f>
        <v>050127346205</v>
      </c>
      <c r="E1075" s="620">
        <f>+VLOOKUP(B1075,'Salary sheet'!$B$6:$AT$1292,45,0)</f>
        <v>8483133</v>
      </c>
      <c r="F1075" s="1029" t="s">
        <v>5723</v>
      </c>
      <c r="G1075" s="824" t="str">
        <f>+VLOOKUP(B1075,'Salary sheet'!$B$6:$E$2281,4,0)</f>
        <v>SK2</v>
      </c>
      <c r="H1075" s="607" t="str">
        <f>+VLOOKUP(B1075,'Salary sheet'!$B$6:$AZ$1386,50,0)</f>
        <v>SK2</v>
      </c>
      <c r="I1075" s="607" t="str">
        <f t="shared" si="44"/>
        <v>C16351THI THAM050127346205</v>
      </c>
      <c r="J1075" s="853" t="str">
        <f>+VLOOKUP(B1075,'[5]04 2025'!$B$2:$F$1371,5,0)</f>
        <v>C16351THI THAM050127346205</v>
      </c>
      <c r="K1075" s="607">
        <f t="shared" si="45"/>
        <v>1</v>
      </c>
      <c r="P1075" s="685"/>
    </row>
    <row r="1076" spans="1:16" s="607" customFormat="1" ht="18" customHeight="1">
      <c r="A1076" s="826">
        <f>SUBTOTAL(3,B$6:B1076)</f>
        <v>1071</v>
      </c>
      <c r="B1076" s="824" t="s">
        <v>2957</v>
      </c>
      <c r="C1076" s="824" t="str">
        <f>+VLOOKUP(B1076,'Salary sheet'!$B$6:$AX$1386,48,0)</f>
        <v>DIEU THI HUYNH</v>
      </c>
      <c r="D1076" s="824" t="str">
        <f>+VLOOKUP(B1076,'Salary sheet'!$B$6:$BW$1386,49,0)</f>
        <v>050157013413</v>
      </c>
      <c r="E1076" s="620">
        <f>+VLOOKUP(B1076,'Salary sheet'!$B$6:$AT$1292,45,0)</f>
        <v>5762891</v>
      </c>
      <c r="F1076" s="1029" t="s">
        <v>5723</v>
      </c>
      <c r="G1076" s="824" t="str">
        <f>+VLOOKUP(B1076,'Salary sheet'!$B$6:$E$2281,4,0)</f>
        <v>SK2</v>
      </c>
      <c r="H1076" s="607" t="str">
        <f>+VLOOKUP(B1076,'Salary sheet'!$B$6:$AZ$1386,50,0)</f>
        <v>SK2</v>
      </c>
      <c r="I1076" s="607" t="str">
        <f t="shared" si="44"/>
        <v>C16352DIEU THI HUYNH050157013413</v>
      </c>
      <c r="J1076" s="853" t="str">
        <f>+VLOOKUP(B1076,'[5]04 2025'!$B$2:$F$1371,5,0)</f>
        <v>C16352DIEU THI HUYNH050157013413</v>
      </c>
      <c r="K1076" s="607">
        <f t="shared" si="45"/>
        <v>1</v>
      </c>
      <c r="P1076" s="685"/>
    </row>
    <row r="1077" spans="1:16" s="607" customFormat="1" ht="18" customHeight="1">
      <c r="A1077" s="826">
        <f>SUBTOTAL(3,B$6:B1077)</f>
        <v>1072</v>
      </c>
      <c r="B1077" s="824" t="s">
        <v>2959</v>
      </c>
      <c r="C1077" s="824" t="str">
        <f>+VLOOKUP(B1077,'Salary sheet'!$B$6:$AX$1386,48,0)</f>
        <v>NGUYEN THI UT</v>
      </c>
      <c r="D1077" s="824" t="str">
        <f>+VLOOKUP(B1077,'Salary sheet'!$B$6:$BW$1386,49,0)</f>
        <v>050158380738</v>
      </c>
      <c r="E1077" s="620">
        <f>+VLOOKUP(B1077,'Salary sheet'!$B$6:$AT$1292,45,0)</f>
        <v>7819911</v>
      </c>
      <c r="F1077" s="1029" t="s">
        <v>5723</v>
      </c>
      <c r="G1077" s="824" t="str">
        <f>+VLOOKUP(B1077,'Salary sheet'!$B$6:$E$2281,4,0)</f>
        <v>SK2</v>
      </c>
      <c r="H1077" s="607" t="str">
        <f>+VLOOKUP(B1077,'Salary sheet'!$B$6:$AZ$1386,50,0)</f>
        <v>SK2</v>
      </c>
      <c r="I1077" s="607" t="str">
        <f t="shared" si="44"/>
        <v>C16409NGUYEN THI UT050158380738</v>
      </c>
      <c r="J1077" s="853" t="str">
        <f>+VLOOKUP(B1077,'[5]04 2025'!$B$2:$F$1371,5,0)</f>
        <v>C16409NGUYEN THI UT050158380738</v>
      </c>
      <c r="K1077" s="607">
        <f t="shared" si="45"/>
        <v>1</v>
      </c>
      <c r="P1077" s="685"/>
    </row>
    <row r="1078" spans="1:16" s="607" customFormat="1" ht="18" customHeight="1">
      <c r="A1078" s="826">
        <f>SUBTOTAL(3,B$6:B1078)</f>
        <v>1073</v>
      </c>
      <c r="B1078" s="824" t="s">
        <v>2961</v>
      </c>
      <c r="C1078" s="824" t="str">
        <f>+VLOOKUP(B1078,'Salary sheet'!$B$6:$AX$1386,48,0)</f>
        <v>PHAM DIEM THUY</v>
      </c>
      <c r="D1078" s="824" t="str">
        <f>+VLOOKUP(B1078,'Salary sheet'!$B$6:$BW$1386,49,0)</f>
        <v>050149388238</v>
      </c>
      <c r="E1078" s="620">
        <f>+VLOOKUP(B1078,'Salary sheet'!$B$6:$AT$1292,45,0)</f>
        <v>7958105</v>
      </c>
      <c r="F1078" s="1029" t="s">
        <v>5723</v>
      </c>
      <c r="G1078" s="824" t="str">
        <f>+VLOOKUP(B1078,'Salary sheet'!$B$6:$E$2281,4,0)</f>
        <v>SK2</v>
      </c>
      <c r="H1078" s="607" t="str">
        <f>+VLOOKUP(B1078,'Salary sheet'!$B$6:$AZ$1386,50,0)</f>
        <v>SK2</v>
      </c>
      <c r="I1078" s="607" t="str">
        <f t="shared" si="44"/>
        <v>C16410PHAM DIEM THUY050149388238</v>
      </c>
      <c r="J1078" s="853" t="str">
        <f>+VLOOKUP(B1078,'[5]04 2025'!$B$2:$F$1371,5,0)</f>
        <v>C16410PHAM DIEM THUY050149388238</v>
      </c>
      <c r="K1078" s="607">
        <f t="shared" si="45"/>
        <v>1</v>
      </c>
      <c r="P1078" s="685"/>
    </row>
    <row r="1079" spans="1:16" s="607" customFormat="1" ht="18" customHeight="1">
      <c r="A1079" s="826">
        <f>SUBTOTAL(3,B$6:B1079)</f>
        <v>1074</v>
      </c>
      <c r="B1079" s="824" t="s">
        <v>2963</v>
      </c>
      <c r="C1079" s="824" t="str">
        <f>+VLOOKUP(B1079,'Salary sheet'!$B$6:$AX$1386,48,0)</f>
        <v>NGUYEN THI HUYEN TRAN</v>
      </c>
      <c r="D1079" s="824" t="str">
        <f>+VLOOKUP(B1079,'Salary sheet'!$B$6:$BW$1386,49,0)</f>
        <v>050158172442</v>
      </c>
      <c r="E1079" s="620">
        <f>+VLOOKUP(B1079,'Salary sheet'!$B$6:$AT$1292,45,0)</f>
        <v>7662721</v>
      </c>
      <c r="F1079" s="1029" t="s">
        <v>5723</v>
      </c>
      <c r="G1079" s="824" t="str">
        <f>+VLOOKUP(B1079,'Salary sheet'!$B$6:$E$2281,4,0)</f>
        <v>SK2</v>
      </c>
      <c r="H1079" s="607" t="str">
        <f>+VLOOKUP(B1079,'Salary sheet'!$B$6:$AZ$1386,50,0)</f>
        <v>SK2</v>
      </c>
      <c r="I1079" s="607" t="str">
        <f t="shared" ref="I1079:I1142" si="46">+CONCATENATE(B1079,C1079,D1079)</f>
        <v>C16411NGUYEN THI HUYEN TRAN050158172442</v>
      </c>
      <c r="J1079" s="853" t="str">
        <f>+VLOOKUP(B1079,'[5]04 2025'!$B$2:$F$1371,5,0)</f>
        <v>C16411NGUYEN THI HUYEN TRAN050158172442</v>
      </c>
      <c r="K1079" s="607">
        <f t="shared" si="45"/>
        <v>1</v>
      </c>
      <c r="P1079" s="685"/>
    </row>
    <row r="1080" spans="1:16" s="607" customFormat="1" ht="18" customHeight="1">
      <c r="A1080" s="826">
        <f>SUBTOTAL(3,B$6:B1080)</f>
        <v>1075</v>
      </c>
      <c r="B1080" s="824" t="s">
        <v>2965</v>
      </c>
      <c r="C1080" s="824" t="str">
        <f>+VLOOKUP(B1080,'Salary sheet'!$B$6:$AX$1386,48,0)</f>
        <v>THI NGOC</v>
      </c>
      <c r="D1080" s="824" t="str">
        <f>+VLOOKUP(B1080,'Salary sheet'!$B$6:$BW$1386,49,0)</f>
        <v>050128534544</v>
      </c>
      <c r="E1080" s="620">
        <f>+VLOOKUP(B1080,'Salary sheet'!$B$6:$AT$1292,45,0)</f>
        <v>5388434</v>
      </c>
      <c r="F1080" s="1029" t="s">
        <v>5723</v>
      </c>
      <c r="G1080" s="824" t="str">
        <f>+VLOOKUP(B1080,'Salary sheet'!$B$6:$E$2281,4,0)</f>
        <v>SK2</v>
      </c>
      <c r="H1080" s="607" t="str">
        <f>+VLOOKUP(B1080,'Salary sheet'!$B$6:$AZ$1386,50,0)</f>
        <v>SK2</v>
      </c>
      <c r="I1080" s="607" t="str">
        <f t="shared" si="46"/>
        <v>C16412THI NGOC050128534544</v>
      </c>
      <c r="J1080" s="853" t="str">
        <f>+VLOOKUP(B1080,'[5]04 2025'!$B$2:$F$1371,5,0)</f>
        <v>C16412THI NGOC050128534544</v>
      </c>
      <c r="K1080" s="607">
        <f t="shared" si="45"/>
        <v>1</v>
      </c>
      <c r="P1080" s="685"/>
    </row>
    <row r="1081" spans="1:16" s="607" customFormat="1" ht="18" customHeight="1">
      <c r="A1081" s="826">
        <f>SUBTOTAL(3,B$6:B1081)</f>
        <v>1076</v>
      </c>
      <c r="B1081" s="824" t="s">
        <v>2967</v>
      </c>
      <c r="C1081" s="824" t="str">
        <f>+VLOOKUP(B1081,'Salary sheet'!$B$6:$AX$1386,48,0)</f>
        <v>LE THI MINH TRANG</v>
      </c>
      <c r="D1081" s="824" t="str">
        <f>+VLOOKUP(B1081,'Salary sheet'!$B$6:$BW$1386,49,0)</f>
        <v>050158576748</v>
      </c>
      <c r="E1081" s="620">
        <f>+VLOOKUP(B1081,'Salary sheet'!$B$6:$AT$1292,45,0)</f>
        <v>7880006</v>
      </c>
      <c r="F1081" s="1029" t="s">
        <v>5723</v>
      </c>
      <c r="G1081" s="824" t="str">
        <f>+VLOOKUP(B1081,'Salary sheet'!$B$6:$E$2281,4,0)</f>
        <v>SK2</v>
      </c>
      <c r="H1081" s="607" t="str">
        <f>+VLOOKUP(B1081,'Salary sheet'!$B$6:$AZ$1386,50,0)</f>
        <v>SK2</v>
      </c>
      <c r="I1081" s="607" t="str">
        <f t="shared" si="46"/>
        <v>C16414LE THI MINH TRANG050158576748</v>
      </c>
      <c r="J1081" s="853" t="str">
        <f>+VLOOKUP(B1081,'[5]04 2025'!$B$2:$F$1371,5,0)</f>
        <v>C16414LE THI MINH TRANG050158576748</v>
      </c>
      <c r="K1081" s="607">
        <f t="shared" si="45"/>
        <v>1</v>
      </c>
      <c r="P1081" s="685"/>
    </row>
    <row r="1082" spans="1:16" s="607" customFormat="1" ht="18" customHeight="1">
      <c r="A1082" s="826">
        <f>SUBTOTAL(3,B$6:B1082)</f>
        <v>1077</v>
      </c>
      <c r="B1082" s="824" t="s">
        <v>2968</v>
      </c>
      <c r="C1082" s="824" t="str">
        <f>+VLOOKUP(B1082,'Salary sheet'!$B$6:$AX$1386,48,0)</f>
        <v>LE THI DUY</v>
      </c>
      <c r="D1082" s="824" t="str">
        <f>+VLOOKUP(B1082,'Salary sheet'!$B$6:$BW$1386,49,0)</f>
        <v>050040871788</v>
      </c>
      <c r="E1082" s="620">
        <f>+VLOOKUP(B1082,'Salary sheet'!$B$6:$AT$1292,45,0)</f>
        <v>8421431</v>
      </c>
      <c r="F1082" s="1029" t="s">
        <v>5723</v>
      </c>
      <c r="G1082" s="824" t="str">
        <f>+VLOOKUP(B1082,'Salary sheet'!$B$6:$E$2281,4,0)</f>
        <v>SK2</v>
      </c>
      <c r="H1082" s="607" t="str">
        <f>+VLOOKUP(B1082,'Salary sheet'!$B$6:$AZ$1386,50,0)</f>
        <v>SK2</v>
      </c>
      <c r="I1082" s="607" t="str">
        <f t="shared" si="46"/>
        <v>C16421LE THI DUY050040871788</v>
      </c>
      <c r="J1082" s="853" t="str">
        <f>+VLOOKUP(B1082,'[5]04 2025'!$B$2:$F$1371,5,0)</f>
        <v>C16421LE THI DUY050040871788</v>
      </c>
      <c r="K1082" s="607">
        <f t="shared" si="45"/>
        <v>1</v>
      </c>
      <c r="P1082" s="685"/>
    </row>
    <row r="1083" spans="1:16" s="607" customFormat="1" ht="18" customHeight="1">
      <c r="A1083" s="826">
        <f>SUBTOTAL(3,B$6:B1083)</f>
        <v>1078</v>
      </c>
      <c r="B1083" s="824" t="s">
        <v>2970</v>
      </c>
      <c r="C1083" s="824" t="str">
        <f>+VLOOKUP(B1083,'Salary sheet'!$B$6:$AX$1386,48,0)</f>
        <v>NGUYEN THI HONG YEN</v>
      </c>
      <c r="D1083" s="824" t="str">
        <f>+VLOOKUP(B1083,'Salary sheet'!$B$6:$BW$1386,49,0)</f>
        <v>050158694716</v>
      </c>
      <c r="E1083" s="620">
        <f>+VLOOKUP(B1083,'Salary sheet'!$B$6:$AT$1292,45,0)</f>
        <v>7835512</v>
      </c>
      <c r="F1083" s="1029" t="s">
        <v>5723</v>
      </c>
      <c r="G1083" s="824" t="str">
        <f>+VLOOKUP(B1083,'Salary sheet'!$B$6:$E$2281,4,0)</f>
        <v>SK2</v>
      </c>
      <c r="H1083" s="607" t="str">
        <f>+VLOOKUP(B1083,'Salary sheet'!$B$6:$AZ$1386,50,0)</f>
        <v>SK2</v>
      </c>
      <c r="I1083" s="607" t="str">
        <f t="shared" si="46"/>
        <v>C16441NGUYEN THI HONG YEN050158694716</v>
      </c>
      <c r="J1083" s="853" t="str">
        <f>+VLOOKUP(B1083,'[5]04 2025'!$B$2:$F$1371,5,0)</f>
        <v>C16441NGUYEN THI HONG YEN050158694716</v>
      </c>
      <c r="K1083" s="607">
        <f t="shared" si="45"/>
        <v>1</v>
      </c>
      <c r="P1083" s="685"/>
    </row>
    <row r="1084" spans="1:16" s="607" customFormat="1" ht="18" customHeight="1">
      <c r="A1084" s="826">
        <f>SUBTOTAL(3,B$6:B1084)</f>
        <v>1079</v>
      </c>
      <c r="B1084" s="824" t="s">
        <v>2971</v>
      </c>
      <c r="C1084" s="824" t="str">
        <f>+VLOOKUP(B1084,'Salary sheet'!$B$6:$AX$1386,48,0)</f>
        <v>NGUYEN THI CHAU HUONG</v>
      </c>
      <c r="D1084" s="824" t="str">
        <f>+VLOOKUP(B1084,'Salary sheet'!$B$6:$BW$1386,49,0)</f>
        <v>050136165744</v>
      </c>
      <c r="E1084" s="620">
        <f>+VLOOKUP(B1084,'Salary sheet'!$B$6:$AT$1292,45,0)</f>
        <v>7811608</v>
      </c>
      <c r="F1084" s="1029" t="s">
        <v>5723</v>
      </c>
      <c r="G1084" s="824" t="str">
        <f>+VLOOKUP(B1084,'Salary sheet'!$B$6:$E$2281,4,0)</f>
        <v>SK2</v>
      </c>
      <c r="H1084" s="607" t="str">
        <f>+VLOOKUP(B1084,'Salary sheet'!$B$6:$AZ$1386,50,0)</f>
        <v>SK2</v>
      </c>
      <c r="I1084" s="607" t="str">
        <f t="shared" si="46"/>
        <v>C16445NGUYEN THI CHAU HUONG050136165744</v>
      </c>
      <c r="J1084" s="853" t="str">
        <f>+VLOOKUP(B1084,'[5]04 2025'!$B$2:$F$1371,5,0)</f>
        <v>C16445NGUYEN THI CHAU HUONG050136165744</v>
      </c>
      <c r="K1084" s="607">
        <f t="shared" si="45"/>
        <v>1</v>
      </c>
      <c r="P1084" s="685"/>
    </row>
    <row r="1085" spans="1:16" s="607" customFormat="1" ht="18" customHeight="1">
      <c r="A1085" s="826">
        <f>SUBTOTAL(3,B$6:B1085)</f>
        <v>1080</v>
      </c>
      <c r="B1085" s="824" t="s">
        <v>2973</v>
      </c>
      <c r="C1085" s="824" t="str">
        <f>+VLOOKUP(B1085,'Salary sheet'!$B$6:$AX$1386,48,0)</f>
        <v>THI THOM</v>
      </c>
      <c r="D1085" s="824" t="str">
        <f>+VLOOKUP(B1085,'Salary sheet'!$B$6:$BW$1386,49,0)</f>
        <v>051704041991</v>
      </c>
      <c r="E1085" s="620">
        <f>+VLOOKUP(B1085,'Salary sheet'!$B$6:$AT$1292,45,0)</f>
        <v>7759218</v>
      </c>
      <c r="F1085" s="1029" t="s">
        <v>5723</v>
      </c>
      <c r="G1085" s="824" t="str">
        <f>+VLOOKUP(B1085,'Salary sheet'!$B$6:$E$2281,4,0)</f>
        <v>SK2</v>
      </c>
      <c r="H1085" s="607" t="str">
        <f>+VLOOKUP(B1085,'Salary sheet'!$B$6:$AZ$1386,50,0)</f>
        <v>SK2</v>
      </c>
      <c r="I1085" s="607" t="str">
        <f t="shared" si="46"/>
        <v>C16472THI THOM051704041991</v>
      </c>
      <c r="J1085" s="853" t="str">
        <f>+VLOOKUP(B1085,'[5]04 2025'!$B$2:$F$1371,5,0)</f>
        <v>C16472THI THOM051704041991</v>
      </c>
      <c r="K1085" s="607">
        <f t="shared" si="45"/>
        <v>1</v>
      </c>
      <c r="P1085" s="685"/>
    </row>
    <row r="1086" spans="1:16" s="607" customFormat="1" ht="18" customHeight="1">
      <c r="A1086" s="826">
        <f>SUBTOTAL(3,B$6:B1086)</f>
        <v>1081</v>
      </c>
      <c r="B1086" s="824" t="s">
        <v>2975</v>
      </c>
      <c r="C1086" s="824" t="str">
        <f>+VLOOKUP(B1086,'Salary sheet'!$B$6:$AX$1386,48,0)</f>
        <v>VO THANH TRA</v>
      </c>
      <c r="D1086" s="824" t="str">
        <f>+VLOOKUP(B1086,'Salary sheet'!$B$6:$BW$1386,49,0)</f>
        <v>070141372678</v>
      </c>
      <c r="E1086" s="620">
        <f>+VLOOKUP(B1086,'Salary sheet'!$B$6:$AT$1292,45,0)</f>
        <v>6365180</v>
      </c>
      <c r="F1086" s="1029" t="s">
        <v>5723</v>
      </c>
      <c r="G1086" s="824" t="str">
        <f>+VLOOKUP(B1086,'Salary sheet'!$B$6:$E$2281,4,0)</f>
        <v>SK2</v>
      </c>
      <c r="H1086" s="607" t="str">
        <f>+VLOOKUP(B1086,'Salary sheet'!$B$6:$AZ$1386,50,0)</f>
        <v>SK2</v>
      </c>
      <c r="I1086" s="607" t="str">
        <f t="shared" si="46"/>
        <v>C16486VO THANH TRA070141372678</v>
      </c>
      <c r="J1086" s="853" t="str">
        <f>+VLOOKUP(B1086,'[5]04 2025'!$B$2:$F$1371,5,0)</f>
        <v>C16486VO THANH TRA070141372678</v>
      </c>
      <c r="K1086" s="607">
        <f t="shared" si="45"/>
        <v>1</v>
      </c>
      <c r="P1086" s="685"/>
    </row>
    <row r="1087" spans="1:16" s="607" customFormat="1" ht="18" customHeight="1">
      <c r="A1087" s="826">
        <f>SUBTOTAL(3,B$6:B1087)</f>
        <v>1082</v>
      </c>
      <c r="B1087" s="824" t="s">
        <v>2977</v>
      </c>
      <c r="C1087" s="824" t="str">
        <f>+VLOOKUP(B1087,'Salary sheet'!$B$6:$AX$1386,48,0)</f>
        <v>PHAN HOANG CHAU GIANG</v>
      </c>
      <c r="D1087" s="824" t="str">
        <f>+VLOOKUP(B1087,'Salary sheet'!$B$6:$BW$1386,49,0)</f>
        <v>053215052002</v>
      </c>
      <c r="E1087" s="620">
        <f>+VLOOKUP(B1087,'Salary sheet'!$B$6:$AT$1292,45,0)</f>
        <v>6165126</v>
      </c>
      <c r="F1087" s="1029" t="s">
        <v>5723</v>
      </c>
      <c r="G1087" s="824" t="str">
        <f>+VLOOKUP(B1087,'Salary sheet'!$B$6:$E$2281,4,0)</f>
        <v>SK2</v>
      </c>
      <c r="H1087" s="607" t="str">
        <f>+VLOOKUP(B1087,'Salary sheet'!$B$6:$AZ$1386,50,0)</f>
        <v>SK2</v>
      </c>
      <c r="I1087" s="607" t="str">
        <f t="shared" si="46"/>
        <v>C16488PHAN HOANG CHAU GIANG053215052002</v>
      </c>
      <c r="J1087" s="853" t="str">
        <f>+VLOOKUP(B1087,'[5]04 2025'!$B$2:$F$1371,5,0)</f>
        <v>C16488PHAN HOANG CHAU GIANG053215052002</v>
      </c>
      <c r="K1087" s="607">
        <f t="shared" si="45"/>
        <v>1</v>
      </c>
      <c r="P1087" s="685"/>
    </row>
    <row r="1088" spans="1:16" s="607" customFormat="1" ht="18" customHeight="1">
      <c r="A1088" s="826">
        <f>SUBTOTAL(3,B$6:B1088)</f>
        <v>1083</v>
      </c>
      <c r="B1088" s="824" t="s">
        <v>2979</v>
      </c>
      <c r="C1088" s="824" t="str">
        <f>+VLOOKUP(B1088,'Salary sheet'!$B$6:$AX$1386,48,0)</f>
        <v>NGO XUAN VINH</v>
      </c>
      <c r="D1088" s="824" t="str">
        <f>+VLOOKUP(B1088,'Salary sheet'!$B$6:$BW$1386,49,0)</f>
        <v>050096745394</v>
      </c>
      <c r="E1088" s="620">
        <f>+VLOOKUP(B1088,'Salary sheet'!$B$6:$AT$1292,45,0)</f>
        <v>7884159</v>
      </c>
      <c r="F1088" s="1029" t="s">
        <v>5723</v>
      </c>
      <c r="G1088" s="824" t="str">
        <f>+VLOOKUP(B1088,'Salary sheet'!$B$6:$E$2281,4,0)</f>
        <v>SK2</v>
      </c>
      <c r="H1088" s="607" t="str">
        <f>+VLOOKUP(B1088,'Salary sheet'!$B$6:$AZ$1386,50,0)</f>
        <v>SK2</v>
      </c>
      <c r="I1088" s="607" t="str">
        <f t="shared" si="46"/>
        <v>C16490NGO XUAN VINH050096745394</v>
      </c>
      <c r="J1088" s="853" t="str">
        <f>+VLOOKUP(B1088,'[5]04 2025'!$B$2:$F$1371,5,0)</f>
        <v>C16490NGO XUAN VINH050096745394</v>
      </c>
      <c r="K1088" s="607">
        <f t="shared" si="45"/>
        <v>1</v>
      </c>
      <c r="P1088" s="685"/>
    </row>
    <row r="1089" spans="1:16" s="607" customFormat="1" ht="18" customHeight="1">
      <c r="A1089" s="826">
        <f>SUBTOTAL(3,B$6:B1089)</f>
        <v>1084</v>
      </c>
      <c r="B1089" s="824" t="s">
        <v>2981</v>
      </c>
      <c r="C1089" s="824" t="str">
        <f>+VLOOKUP(B1089,'Salary sheet'!$B$6:$AX$1386,48,0)</f>
        <v>NGUYEN THI KIM NHANH</v>
      </c>
      <c r="D1089" s="824" t="str">
        <f>+VLOOKUP(B1089,'Salary sheet'!$B$6:$BW$1386,49,0)</f>
        <v>050153879467</v>
      </c>
      <c r="E1089" s="620">
        <f>+VLOOKUP(B1089,'Salary sheet'!$B$6:$AT$1292,45,0)</f>
        <v>7868881</v>
      </c>
      <c r="F1089" s="1029" t="s">
        <v>5723</v>
      </c>
      <c r="G1089" s="824" t="str">
        <f>+VLOOKUP(B1089,'Salary sheet'!$B$6:$E$2281,4,0)</f>
        <v>SK2</v>
      </c>
      <c r="H1089" s="607" t="str">
        <f>+VLOOKUP(B1089,'Salary sheet'!$B$6:$AZ$1386,50,0)</f>
        <v>SK2</v>
      </c>
      <c r="I1089" s="607" t="str">
        <f t="shared" si="46"/>
        <v>C16501NGUYEN THI KIM NHANH050153879467</v>
      </c>
      <c r="J1089" s="853" t="str">
        <f>+VLOOKUP(B1089,'[5]04 2025'!$B$2:$F$1371,5,0)</f>
        <v>C16501NGUYEN THI KIM NHANH050153879467</v>
      </c>
      <c r="K1089" s="607">
        <f t="shared" si="45"/>
        <v>1</v>
      </c>
      <c r="P1089" s="685"/>
    </row>
    <row r="1090" spans="1:16" s="607" customFormat="1" ht="18" customHeight="1">
      <c r="A1090" s="826">
        <f>SUBTOTAL(3,B$6:B1090)</f>
        <v>1085</v>
      </c>
      <c r="B1090" s="824" t="s">
        <v>2983</v>
      </c>
      <c r="C1090" s="824" t="str">
        <f>+VLOOKUP(B1090,'Salary sheet'!$B$6:$AX$1386,48,0)</f>
        <v>THI VAN</v>
      </c>
      <c r="D1090" s="824" t="str">
        <f>+VLOOKUP(B1090,'Salary sheet'!$B$6:$BW$1386,49,0)</f>
        <v>050133451185</v>
      </c>
      <c r="E1090" s="620">
        <f>+VLOOKUP(B1090,'Salary sheet'!$B$6:$AT$1292,45,0)</f>
        <v>6685320</v>
      </c>
      <c r="F1090" s="1029" t="s">
        <v>5723</v>
      </c>
      <c r="G1090" s="824" t="str">
        <f>+VLOOKUP(B1090,'Salary sheet'!$B$6:$E$2281,4,0)</f>
        <v>SK2</v>
      </c>
      <c r="H1090" s="607" t="str">
        <f>+VLOOKUP(B1090,'Salary sheet'!$B$6:$AZ$1386,50,0)</f>
        <v>SK2</v>
      </c>
      <c r="I1090" s="607" t="str">
        <f t="shared" si="46"/>
        <v>C16502THI VAN050133451185</v>
      </c>
      <c r="J1090" s="853" t="str">
        <f>+VLOOKUP(B1090,'[5]04 2025'!$B$2:$F$1371,5,0)</f>
        <v>C16502THI VAN050133451185</v>
      </c>
      <c r="K1090" s="607">
        <f t="shared" si="45"/>
        <v>1</v>
      </c>
      <c r="P1090" s="685"/>
    </row>
    <row r="1091" spans="1:16" s="607" customFormat="1" ht="18" customHeight="1">
      <c r="A1091" s="826">
        <f>SUBTOTAL(3,B$6:B1091)</f>
        <v>1086</v>
      </c>
      <c r="B1091" s="824" t="s">
        <v>2985</v>
      </c>
      <c r="C1091" s="824" t="str">
        <f>+VLOOKUP(B1091,'Salary sheet'!$B$6:$AX$1386,48,0)</f>
        <v>THI BE TRAM</v>
      </c>
      <c r="D1091" s="824" t="str">
        <f>+VLOOKUP(B1091,'Salary sheet'!$B$6:$BW$1386,49,0)</f>
        <v>050158151429</v>
      </c>
      <c r="E1091" s="620">
        <f>+VLOOKUP(B1091,'Salary sheet'!$B$6:$AT$1292,45,0)</f>
        <v>5384856</v>
      </c>
      <c r="F1091" s="1029" t="s">
        <v>5723</v>
      </c>
      <c r="G1091" s="824" t="str">
        <f>+VLOOKUP(B1091,'Salary sheet'!$B$6:$E$2281,4,0)</f>
        <v>SK2</v>
      </c>
      <c r="H1091" s="607" t="str">
        <f>+VLOOKUP(B1091,'Salary sheet'!$B$6:$AZ$1386,50,0)</f>
        <v>SK2</v>
      </c>
      <c r="I1091" s="607" t="str">
        <f t="shared" si="46"/>
        <v>C16503THI BE TRAM050158151429</v>
      </c>
      <c r="J1091" s="853" t="str">
        <f>+VLOOKUP(B1091,'[5]04 2025'!$B$2:$F$1371,5,0)</f>
        <v>C16503THI BE TRAM050158151429</v>
      </c>
      <c r="K1091" s="607">
        <f t="shared" si="45"/>
        <v>1</v>
      </c>
      <c r="P1091" s="685"/>
    </row>
    <row r="1092" spans="1:16" s="607" customFormat="1" ht="18" customHeight="1">
      <c r="A1092" s="826">
        <f>SUBTOTAL(3,B$6:B1092)</f>
        <v>1087</v>
      </c>
      <c r="B1092" s="824" t="s">
        <v>2987</v>
      </c>
      <c r="C1092" s="824" t="str">
        <f>+VLOOKUP(B1092,'Salary sheet'!$B$6:$AX$1386,48,0)</f>
        <v>DIEU SANG</v>
      </c>
      <c r="D1092" s="824" t="str">
        <f>+VLOOKUP(B1092,'Salary sheet'!$B$6:$BW$1386,49,0)</f>
        <v>050158151585</v>
      </c>
      <c r="E1092" s="620">
        <f>+VLOOKUP(B1092,'Salary sheet'!$B$6:$AT$1292,45,0)</f>
        <v>5797698</v>
      </c>
      <c r="F1092" s="1029" t="s">
        <v>5723</v>
      </c>
      <c r="G1092" s="824" t="str">
        <f>+VLOOKUP(B1092,'Salary sheet'!$B$6:$E$2281,4,0)</f>
        <v>SK2</v>
      </c>
      <c r="H1092" s="607" t="str">
        <f>+VLOOKUP(B1092,'Salary sheet'!$B$6:$AZ$1386,50,0)</f>
        <v>SK2</v>
      </c>
      <c r="I1092" s="607" t="str">
        <f t="shared" si="46"/>
        <v>C16504DIEU SANG050158151585</v>
      </c>
      <c r="J1092" s="853" t="str">
        <f>+VLOOKUP(B1092,'[5]04 2025'!$B$2:$F$1371,5,0)</f>
        <v>C16504DIEU SANG050158151585</v>
      </c>
      <c r="K1092" s="607">
        <f t="shared" si="45"/>
        <v>1</v>
      </c>
      <c r="P1092" s="685"/>
    </row>
    <row r="1093" spans="1:16" s="607" customFormat="1" ht="18" customHeight="1">
      <c r="A1093" s="826">
        <f>SUBTOTAL(3,B$6:B1093)</f>
        <v>1088</v>
      </c>
      <c r="B1093" s="824" t="s">
        <v>2989</v>
      </c>
      <c r="C1093" s="824" t="str">
        <f>+VLOOKUP(B1093,'Salary sheet'!$B$6:$AX$1386,48,0)</f>
        <v>DO HONG MINH QUAN</v>
      </c>
      <c r="D1093" s="824" t="str">
        <f>+VLOOKUP(B1093,'Salary sheet'!$B$6:$BW$1386,49,0)</f>
        <v>050151202680</v>
      </c>
      <c r="E1093" s="620">
        <f>+VLOOKUP(B1093,'Salary sheet'!$B$6:$AT$1292,45,0)</f>
        <v>7650466</v>
      </c>
      <c r="F1093" s="1029" t="s">
        <v>5723</v>
      </c>
      <c r="G1093" s="824" t="str">
        <f>+VLOOKUP(B1093,'Salary sheet'!$B$6:$E$2281,4,0)</f>
        <v>SK2</v>
      </c>
      <c r="H1093" s="607" t="str">
        <f>+VLOOKUP(B1093,'Salary sheet'!$B$6:$AZ$1386,50,0)</f>
        <v>SK2</v>
      </c>
      <c r="I1093" s="607" t="str">
        <f t="shared" si="46"/>
        <v>C16524DO HONG MINH QUAN050151202680</v>
      </c>
      <c r="J1093" s="853" t="str">
        <f>+VLOOKUP(B1093,'[5]04 2025'!$B$2:$F$1371,5,0)</f>
        <v>C16524DO HONG MINH QUAN050151202680</v>
      </c>
      <c r="K1093" s="607">
        <f t="shared" si="45"/>
        <v>1</v>
      </c>
      <c r="P1093" s="685"/>
    </row>
    <row r="1094" spans="1:16" s="607" customFormat="1" ht="18" customHeight="1">
      <c r="A1094" s="826">
        <f>SUBTOTAL(3,B$6:B1094)</f>
        <v>1089</v>
      </c>
      <c r="B1094" s="824" t="s">
        <v>2991</v>
      </c>
      <c r="C1094" s="824" t="str">
        <f>+VLOOKUP(B1094,'Salary sheet'!$B$6:$AX$1386,48,0)</f>
        <v>VO THI PHUONG</v>
      </c>
      <c r="D1094" s="824" t="str">
        <f>+VLOOKUP(B1094,'Salary sheet'!$B$6:$BW$1386,49,0)</f>
        <v>060143631985</v>
      </c>
      <c r="E1094" s="620">
        <f>+VLOOKUP(B1094,'Salary sheet'!$B$6:$AT$1292,45,0)</f>
        <v>4626260</v>
      </c>
      <c r="F1094" s="1029" t="s">
        <v>5723</v>
      </c>
      <c r="G1094" s="824" t="str">
        <f>+VLOOKUP(B1094,'Salary sheet'!$B$6:$E$2281,4,0)</f>
        <v>SK2</v>
      </c>
      <c r="H1094" s="607" t="str">
        <f>+VLOOKUP(B1094,'Salary sheet'!$B$6:$AZ$1386,50,0)</f>
        <v>SK2</v>
      </c>
      <c r="I1094" s="607" t="str">
        <f t="shared" si="46"/>
        <v>C16534VO THI PHUONG060143631985</v>
      </c>
      <c r="J1094" s="853" t="str">
        <f>+VLOOKUP(B1094,'[5]04 2025'!$B$2:$F$1371,5,0)</f>
        <v>C16534VO THI PHUONG060143631985</v>
      </c>
      <c r="K1094" s="607">
        <f t="shared" si="45"/>
        <v>1</v>
      </c>
      <c r="P1094" s="685"/>
    </row>
    <row r="1095" spans="1:16" s="607" customFormat="1" ht="18" customHeight="1">
      <c r="A1095" s="826">
        <f>SUBTOTAL(3,B$6:B1095)</f>
        <v>1090</v>
      </c>
      <c r="B1095" s="824" t="s">
        <v>2993</v>
      </c>
      <c r="C1095" s="824" t="str">
        <f>+VLOOKUP(B1095,'Salary sheet'!$B$6:$AX$1386,48,0)</f>
        <v>THI ANH</v>
      </c>
      <c r="D1095" s="824" t="str">
        <f>+VLOOKUP(B1095,'Salary sheet'!$B$6:$BW$1386,49,0)</f>
        <v>050040832065</v>
      </c>
      <c r="E1095" s="620">
        <f>+VLOOKUP(B1095,'Salary sheet'!$B$6:$AT$1292,45,0)</f>
        <v>9217405</v>
      </c>
      <c r="F1095" s="1029" t="s">
        <v>5723</v>
      </c>
      <c r="G1095" s="824" t="str">
        <f>+VLOOKUP(B1095,'Salary sheet'!$B$6:$E$2281,4,0)</f>
        <v>SK2</v>
      </c>
      <c r="H1095" s="607" t="str">
        <f>+VLOOKUP(B1095,'Salary sheet'!$B$6:$AZ$1386,50,0)</f>
        <v>SK2</v>
      </c>
      <c r="I1095" s="607" t="str">
        <f t="shared" si="46"/>
        <v>C2525THI ANH050040832065</v>
      </c>
      <c r="J1095" s="853" t="str">
        <f>+VLOOKUP(B1095,'[5]04 2025'!$B$2:$F$1371,5,0)</f>
        <v>C2525THI ANH050040832065</v>
      </c>
      <c r="K1095" s="607">
        <f t="shared" si="45"/>
        <v>1</v>
      </c>
      <c r="P1095" s="685"/>
    </row>
    <row r="1096" spans="1:16" s="607" customFormat="1" ht="18" customHeight="1">
      <c r="A1096" s="826">
        <f>SUBTOTAL(3,B$6:B1096)</f>
        <v>1091</v>
      </c>
      <c r="B1096" s="824" t="s">
        <v>2995</v>
      </c>
      <c r="C1096" s="824" t="str">
        <f>+VLOOKUP(B1096,'Salary sheet'!$B$6:$AX$1386,48,0)</f>
        <v>NGUYEN THI CAM VAN</v>
      </c>
      <c r="D1096" s="824" t="str">
        <f>+VLOOKUP(B1096,'Salary sheet'!$B$6:$BW$1386,49,0)</f>
        <v>050040901768</v>
      </c>
      <c r="E1096" s="620">
        <f>+VLOOKUP(B1096,'Salary sheet'!$B$6:$AT$1292,45,0)</f>
        <v>11504160</v>
      </c>
      <c r="F1096" s="1029" t="s">
        <v>5723</v>
      </c>
      <c r="G1096" s="824" t="str">
        <f>+VLOOKUP(B1096,'Salary sheet'!$B$6:$E$2281,4,0)</f>
        <v>SK2</v>
      </c>
      <c r="H1096" s="607" t="str">
        <f>+VLOOKUP(B1096,'Salary sheet'!$B$6:$AZ$1386,50,0)</f>
        <v>SK2</v>
      </c>
      <c r="I1096" s="607" t="str">
        <f t="shared" si="46"/>
        <v>C3731NGUYEN THI CAM VAN050040901768</v>
      </c>
      <c r="J1096" s="853" t="str">
        <f>+VLOOKUP(B1096,'[5]04 2025'!$B$2:$F$1371,5,0)</f>
        <v>C3731NGUYEN THI CAM VAN050040901768</v>
      </c>
      <c r="K1096" s="607">
        <f t="shared" si="45"/>
        <v>1</v>
      </c>
      <c r="P1096" s="685"/>
    </row>
    <row r="1097" spans="1:16" s="607" customFormat="1" ht="18" customHeight="1">
      <c r="A1097" s="826">
        <f>SUBTOTAL(3,B$6:B1097)</f>
        <v>1092</v>
      </c>
      <c r="B1097" s="824" t="s">
        <v>2997</v>
      </c>
      <c r="C1097" s="824" t="str">
        <f>+VLOOKUP(B1097,'Salary sheet'!$B$6:$AX$1386,48,0)</f>
        <v>LE THI BICH DAO</v>
      </c>
      <c r="D1097" s="824" t="str">
        <f>+VLOOKUP(B1097,'Salary sheet'!$B$6:$BW$1386,49,0)</f>
        <v>050068230664</v>
      </c>
      <c r="E1097" s="620">
        <f>+VLOOKUP(B1097,'Salary sheet'!$B$6:$AT$1292,45,0)</f>
        <v>8625432</v>
      </c>
      <c r="F1097" s="1029" t="s">
        <v>5723</v>
      </c>
      <c r="G1097" s="824" t="str">
        <f>+VLOOKUP(B1097,'Salary sheet'!$B$6:$E$2281,4,0)</f>
        <v>SK2</v>
      </c>
      <c r="H1097" s="607" t="str">
        <f>+VLOOKUP(B1097,'Salary sheet'!$B$6:$AZ$1386,50,0)</f>
        <v>SK2</v>
      </c>
      <c r="I1097" s="607" t="str">
        <f t="shared" si="46"/>
        <v>C6719LE THI BICH DAO050068230664</v>
      </c>
      <c r="J1097" s="853" t="str">
        <f>+VLOOKUP(B1097,'[5]04 2025'!$B$2:$F$1371,5,0)</f>
        <v>C6719LE THI BICH DAO050068230664</v>
      </c>
      <c r="K1097" s="607">
        <f t="shared" si="45"/>
        <v>1</v>
      </c>
      <c r="P1097" s="685"/>
    </row>
    <row r="1098" spans="1:16" s="607" customFormat="1" ht="18" customHeight="1">
      <c r="A1098" s="826">
        <f>SUBTOTAL(3,B$6:B1098)</f>
        <v>1093</v>
      </c>
      <c r="B1098" s="824" t="s">
        <v>2999</v>
      </c>
      <c r="C1098" s="824" t="str">
        <f>+VLOOKUP(B1098,'Salary sheet'!$B$6:$AX$1386,48,0)</f>
        <v>TRIEU THI YEN</v>
      </c>
      <c r="D1098" s="824" t="str">
        <f>+VLOOKUP(B1098,'Salary sheet'!$B$6:$BW$1386,49,0)</f>
        <v>050066791146</v>
      </c>
      <c r="E1098" s="620">
        <f>+VLOOKUP(B1098,'Salary sheet'!$B$6:$AT$1292,45,0)</f>
        <v>7845869</v>
      </c>
      <c r="F1098" s="1029" t="s">
        <v>5723</v>
      </c>
      <c r="G1098" s="824" t="str">
        <f>+VLOOKUP(B1098,'Salary sheet'!$B$6:$E$2281,4,0)</f>
        <v>SK2</v>
      </c>
      <c r="H1098" s="607" t="str">
        <f>+VLOOKUP(B1098,'Salary sheet'!$B$6:$AZ$1386,50,0)</f>
        <v>SK2</v>
      </c>
      <c r="I1098" s="607" t="str">
        <f t="shared" si="46"/>
        <v>C7619TRIEU THI YEN050066791146</v>
      </c>
      <c r="J1098" s="853" t="str">
        <f>+VLOOKUP(B1098,'[5]04 2025'!$B$2:$F$1371,5,0)</f>
        <v>C7619TRIEU THI YEN050066791146</v>
      </c>
      <c r="K1098" s="607">
        <f t="shared" si="45"/>
        <v>1</v>
      </c>
      <c r="P1098" s="685"/>
    </row>
    <row r="1099" spans="1:16" s="607" customFormat="1" ht="18" customHeight="1">
      <c r="A1099" s="826">
        <f>SUBTOTAL(3,B$6:B1099)</f>
        <v>1094</v>
      </c>
      <c r="B1099" s="824" t="s">
        <v>3001</v>
      </c>
      <c r="C1099" s="824" t="str">
        <f>+VLOOKUP(B1099,'Salary sheet'!$B$6:$AX$1386,48,0)</f>
        <v>NGUYEN THI MONG</v>
      </c>
      <c r="D1099" s="824" t="str">
        <f>+VLOOKUP(B1099,'Salary sheet'!$B$6:$BW$1386,49,0)</f>
        <v>050103062966</v>
      </c>
      <c r="E1099" s="620">
        <f>+VLOOKUP(B1099,'Salary sheet'!$B$6:$AT$1292,45,0)</f>
        <v>7748418</v>
      </c>
      <c r="F1099" s="1029" t="s">
        <v>5723</v>
      </c>
      <c r="G1099" s="824" t="str">
        <f>+VLOOKUP(B1099,'Salary sheet'!$B$6:$E$2281,4,0)</f>
        <v>SK2</v>
      </c>
      <c r="H1099" s="607" t="str">
        <f>+VLOOKUP(B1099,'Salary sheet'!$B$6:$AZ$1386,50,0)</f>
        <v>SK2</v>
      </c>
      <c r="I1099" s="607" t="str">
        <f t="shared" si="46"/>
        <v>C7862NGUYEN THI MONG050103062966</v>
      </c>
      <c r="J1099" s="853" t="str">
        <f>+VLOOKUP(B1099,'[5]04 2025'!$B$2:$F$1371,5,0)</f>
        <v>C7862NGUYEN THI MONG050103062966</v>
      </c>
      <c r="K1099" s="607">
        <f t="shared" si="45"/>
        <v>1</v>
      </c>
      <c r="P1099" s="685"/>
    </row>
    <row r="1100" spans="1:16" s="607" customFormat="1" ht="18" customHeight="1">
      <c r="A1100" s="826">
        <f>SUBTOTAL(3,B$6:B1100)</f>
        <v>1095</v>
      </c>
      <c r="B1100" s="824" t="s">
        <v>3003</v>
      </c>
      <c r="C1100" s="824" t="str">
        <f>+VLOOKUP(B1100,'Salary sheet'!$B$6:$AX$1386,48,0)</f>
        <v>NGUYEN THI NGOC BICH</v>
      </c>
      <c r="D1100" s="824" t="str">
        <f>+VLOOKUP(B1100,'Salary sheet'!$B$6:$BW$1386,49,0)</f>
        <v>050070864700</v>
      </c>
      <c r="E1100" s="620">
        <f>+VLOOKUP(B1100,'Salary sheet'!$B$6:$AT$1292,45,0)</f>
        <v>10332855</v>
      </c>
      <c r="F1100" s="1029" t="s">
        <v>5723</v>
      </c>
      <c r="G1100" s="824" t="str">
        <f>+VLOOKUP(B1100,'Salary sheet'!$B$6:$E$2281,4,0)</f>
        <v>SK2</v>
      </c>
      <c r="H1100" s="607" t="str">
        <f>+VLOOKUP(B1100,'Salary sheet'!$B$6:$AZ$1386,50,0)</f>
        <v>SK2</v>
      </c>
      <c r="I1100" s="607" t="str">
        <f t="shared" si="46"/>
        <v>C8016NGUYEN THI NGOC BICH050070864700</v>
      </c>
      <c r="J1100" s="853" t="str">
        <f>+VLOOKUP(B1100,'[5]04 2025'!$B$2:$F$1371,5,0)</f>
        <v>C8016NGUYEN THI NGOC BICH050070864700</v>
      </c>
      <c r="K1100" s="607">
        <f t="shared" si="45"/>
        <v>1</v>
      </c>
      <c r="P1100" s="685"/>
    </row>
    <row r="1101" spans="1:16" s="607" customFormat="1" ht="18" customHeight="1">
      <c r="A1101" s="826">
        <f>SUBTOTAL(3,B$6:B1101)</f>
        <v>1096</v>
      </c>
      <c r="B1101" s="824" t="s">
        <v>3005</v>
      </c>
      <c r="C1101" s="824" t="str">
        <f>+VLOOKUP(B1101,'Salary sheet'!$B$6:$AX$1386,48,0)</f>
        <v>LU THI PHUONG</v>
      </c>
      <c r="D1101" s="824" t="str">
        <f>+VLOOKUP(B1101,'Salary sheet'!$B$6:$BW$1386,49,0)</f>
        <v>050089858167</v>
      </c>
      <c r="E1101" s="620">
        <f>+VLOOKUP(B1101,'Salary sheet'!$B$6:$AT$1292,45,0)</f>
        <v>7179879</v>
      </c>
      <c r="F1101" s="1029" t="s">
        <v>5723</v>
      </c>
      <c r="G1101" s="824" t="str">
        <f>+VLOOKUP(B1101,'Salary sheet'!$B$6:$E$2281,4,0)</f>
        <v>SK2</v>
      </c>
      <c r="H1101" s="607" t="str">
        <f>+VLOOKUP(B1101,'Salary sheet'!$B$6:$AZ$1386,50,0)</f>
        <v>SK2</v>
      </c>
      <c r="I1101" s="607" t="str">
        <f t="shared" si="46"/>
        <v>C8348LU THI PHUONG050089858167</v>
      </c>
      <c r="J1101" s="853" t="str">
        <f>+VLOOKUP(B1101,'[5]04 2025'!$B$2:$F$1371,5,0)</f>
        <v>C8348LU THI PHUONG050089858167</v>
      </c>
      <c r="K1101" s="607">
        <f t="shared" si="45"/>
        <v>1</v>
      </c>
      <c r="P1101" s="685"/>
    </row>
    <row r="1102" spans="1:16" s="607" customFormat="1" ht="18" customHeight="1">
      <c r="A1102" s="826">
        <f>SUBTOTAL(3,B$6:B1102)</f>
        <v>1097</v>
      </c>
      <c r="B1102" s="824" t="s">
        <v>3007</v>
      </c>
      <c r="C1102" s="824" t="str">
        <f>+VLOOKUP(B1102,'Salary sheet'!$B$6:$AX$1386,48,0)</f>
        <v>DANG THANH THUAN</v>
      </c>
      <c r="D1102" s="824" t="str">
        <f>+VLOOKUP(B1102,'Salary sheet'!$B$6:$BW$1386,49,0)</f>
        <v>050105128530</v>
      </c>
      <c r="E1102" s="620">
        <f>+VLOOKUP(B1102,'Salary sheet'!$B$6:$AT$1292,45,0)</f>
        <v>9440214</v>
      </c>
      <c r="F1102" s="1029" t="s">
        <v>5723</v>
      </c>
      <c r="G1102" s="824" t="str">
        <f>+VLOOKUP(B1102,'Salary sheet'!$B$6:$E$2281,4,0)</f>
        <v>SK2</v>
      </c>
      <c r="H1102" s="607" t="str">
        <f>+VLOOKUP(B1102,'Salary sheet'!$B$6:$AZ$1386,50,0)</f>
        <v>SK2</v>
      </c>
      <c r="I1102" s="607" t="str">
        <f t="shared" si="46"/>
        <v>C10565DANG THANH THUAN050105128530</v>
      </c>
      <c r="J1102" s="853" t="str">
        <f>+VLOOKUP(B1102,'[5]04 2025'!$B$2:$F$1371,5,0)</f>
        <v>C10565DANG THANH THUAN050105128530</v>
      </c>
      <c r="K1102" s="607">
        <f t="shared" si="45"/>
        <v>1</v>
      </c>
      <c r="P1102" s="685"/>
    </row>
    <row r="1103" spans="1:16" s="607" customFormat="1" ht="18" customHeight="1">
      <c r="A1103" s="826">
        <f>SUBTOTAL(3,B$6:B1103)</f>
        <v>1098</v>
      </c>
      <c r="B1103" s="824" t="s">
        <v>3009</v>
      </c>
      <c r="C1103" s="824" t="str">
        <f>+VLOOKUP(B1103,'Salary sheet'!$B$6:$AX$1386,48,0)</f>
        <v>LE THI GIANG</v>
      </c>
      <c r="D1103" s="824" t="str">
        <f>+VLOOKUP(B1103,'Salary sheet'!$B$6:$BW$1386,49,0)</f>
        <v>050063197014</v>
      </c>
      <c r="E1103" s="620">
        <f>+VLOOKUP(B1103,'Salary sheet'!$B$6:$AT$1292,45,0)</f>
        <v>12790076</v>
      </c>
      <c r="F1103" s="1029" t="s">
        <v>5723</v>
      </c>
      <c r="G1103" s="824" t="str">
        <f>+VLOOKUP(B1103,'Salary sheet'!$B$6:$E$2281,4,0)</f>
        <v>SK2</v>
      </c>
      <c r="H1103" s="607" t="str">
        <f>+VLOOKUP(B1103,'Salary sheet'!$B$6:$AZ$1386,50,0)</f>
        <v>SK2</v>
      </c>
      <c r="I1103" s="607" t="str">
        <f t="shared" si="46"/>
        <v>C10675LE THI GIANG050063197014</v>
      </c>
      <c r="J1103" s="853" t="str">
        <f>+VLOOKUP(B1103,'[5]04 2025'!$B$2:$F$1371,5,0)</f>
        <v>C10675LE THI GIANG050063197014</v>
      </c>
      <c r="K1103" s="607">
        <f t="shared" si="45"/>
        <v>1</v>
      </c>
      <c r="P1103" s="685"/>
    </row>
    <row r="1104" spans="1:16" s="607" customFormat="1" ht="18" customHeight="1">
      <c r="A1104" s="826">
        <f>SUBTOTAL(3,B$6:B1104)</f>
        <v>1099</v>
      </c>
      <c r="B1104" s="824" t="s">
        <v>3011</v>
      </c>
      <c r="C1104" s="824" t="str">
        <f>+VLOOKUP(B1104,'Salary sheet'!$B$6:$AX$1386,48,0)</f>
        <v>NGUYEN TRUNG HIEU</v>
      </c>
      <c r="D1104" s="824" t="str">
        <f>+VLOOKUP(B1104,'Salary sheet'!$B$6:$BW$1386,49,0)</f>
        <v>050104617661</v>
      </c>
      <c r="E1104" s="620">
        <f>+VLOOKUP(B1104,'Salary sheet'!$B$6:$AT$1292,45,0)</f>
        <v>9013683</v>
      </c>
      <c r="F1104" s="1029" t="s">
        <v>5723</v>
      </c>
      <c r="G1104" s="824" t="str">
        <f>+VLOOKUP(B1104,'Salary sheet'!$B$6:$E$2281,4,0)</f>
        <v>SK2</v>
      </c>
      <c r="H1104" s="607" t="str">
        <f>+VLOOKUP(B1104,'Salary sheet'!$B$6:$AZ$1386,50,0)</f>
        <v>SK2</v>
      </c>
      <c r="I1104" s="607" t="str">
        <f t="shared" si="46"/>
        <v>C11186NGUYEN TRUNG HIEU050104617661</v>
      </c>
      <c r="J1104" s="853" t="str">
        <f>+VLOOKUP(B1104,'[5]04 2025'!$B$2:$F$1371,5,0)</f>
        <v>C11186NGUYEN TRUNG HIEU050104617661</v>
      </c>
      <c r="K1104" s="607">
        <f t="shared" si="45"/>
        <v>1</v>
      </c>
      <c r="P1104" s="685"/>
    </row>
    <row r="1105" spans="1:16" s="607" customFormat="1" ht="18" customHeight="1">
      <c r="A1105" s="826">
        <f>SUBTOTAL(3,B$6:B1105)</f>
        <v>1100</v>
      </c>
      <c r="B1105" s="824" t="s">
        <v>3013</v>
      </c>
      <c r="C1105" s="824" t="str">
        <f>+VLOOKUP(B1105,'Salary sheet'!$B$6:$AX$1386,48,0)</f>
        <v>NGO HIEU THAO</v>
      </c>
      <c r="D1105" s="824" t="str">
        <f>+VLOOKUP(B1105,'Salary sheet'!$B$6:$BW$1386,49,0)</f>
        <v>050087500931</v>
      </c>
      <c r="E1105" s="620">
        <f>+VLOOKUP(B1105,'Salary sheet'!$B$6:$AT$1292,45,0)</f>
        <v>9271911</v>
      </c>
      <c r="F1105" s="1029" t="s">
        <v>5723</v>
      </c>
      <c r="G1105" s="824" t="str">
        <f>+VLOOKUP(B1105,'Salary sheet'!$B$6:$E$2281,4,0)</f>
        <v>SK2</v>
      </c>
      <c r="H1105" s="607" t="str">
        <f>+VLOOKUP(B1105,'Salary sheet'!$B$6:$AZ$1386,50,0)</f>
        <v>SK2</v>
      </c>
      <c r="I1105" s="607" t="str">
        <f t="shared" si="46"/>
        <v>C11188NGO HIEU THAO050087500931</v>
      </c>
      <c r="J1105" s="853" t="str">
        <f>+VLOOKUP(B1105,'[5]04 2025'!$B$2:$F$1371,5,0)</f>
        <v>C11188NGO HIEU THAO050087500931</v>
      </c>
      <c r="K1105" s="607">
        <f t="shared" si="45"/>
        <v>1</v>
      </c>
      <c r="P1105" s="685"/>
    </row>
    <row r="1106" spans="1:16" s="607" customFormat="1" ht="18" customHeight="1">
      <c r="A1106" s="826">
        <f>SUBTOTAL(3,B$6:B1106)</f>
        <v>1101</v>
      </c>
      <c r="B1106" s="824" t="s">
        <v>3015</v>
      </c>
      <c r="C1106" s="824" t="str">
        <f>+VLOOKUP(B1106,'Salary sheet'!$B$6:$AX$1386,48,0)</f>
        <v>LAM CHUONG</v>
      </c>
      <c r="D1106" s="824" t="str">
        <f>+VLOOKUP(B1106,'Salary sheet'!$B$6:$BW$1386,49,0)</f>
        <v>050111068930</v>
      </c>
      <c r="E1106" s="620">
        <f>+VLOOKUP(B1106,'Salary sheet'!$B$6:$AT$1292,45,0)</f>
        <v>9408666</v>
      </c>
      <c r="F1106" s="1029" t="s">
        <v>5723</v>
      </c>
      <c r="G1106" s="824" t="str">
        <f>+VLOOKUP(B1106,'Salary sheet'!$B$6:$E$2281,4,0)</f>
        <v>SK2</v>
      </c>
      <c r="H1106" s="607" t="str">
        <f>+VLOOKUP(B1106,'Salary sheet'!$B$6:$AZ$1386,50,0)</f>
        <v>SK2</v>
      </c>
      <c r="I1106" s="607" t="str">
        <f t="shared" si="46"/>
        <v>C11258LAM CHUONG050111068930</v>
      </c>
      <c r="J1106" s="853" t="str">
        <f>+VLOOKUP(B1106,'[5]04 2025'!$B$2:$F$1371,5,0)</f>
        <v>C11258LAM CHUONG050111068930</v>
      </c>
      <c r="K1106" s="607">
        <f t="shared" si="45"/>
        <v>1</v>
      </c>
      <c r="P1106" s="685"/>
    </row>
    <row r="1107" spans="1:16" s="607" customFormat="1" ht="18" customHeight="1">
      <c r="A1107" s="826">
        <f>SUBTOTAL(3,B$6:B1107)</f>
        <v>1102</v>
      </c>
      <c r="B1107" s="824" t="s">
        <v>3017</v>
      </c>
      <c r="C1107" s="824" t="str">
        <f>+VLOOKUP(B1107,'Salary sheet'!$B$6:$AX$1386,48,0)</f>
        <v>LAM RUCH</v>
      </c>
      <c r="D1107" s="824" t="str">
        <f>+VLOOKUP(B1107,'Salary sheet'!$B$6:$BW$1386,49,0)</f>
        <v>050111868856</v>
      </c>
      <c r="E1107" s="620">
        <f>+VLOOKUP(B1107,'Salary sheet'!$B$6:$AT$1292,45,0)</f>
        <v>9122086</v>
      </c>
      <c r="F1107" s="1029" t="s">
        <v>5723</v>
      </c>
      <c r="G1107" s="824" t="str">
        <f>+VLOOKUP(B1107,'Salary sheet'!$B$6:$E$2281,4,0)</f>
        <v>SK2</v>
      </c>
      <c r="H1107" s="607" t="str">
        <f>+VLOOKUP(B1107,'Salary sheet'!$B$6:$AZ$1386,50,0)</f>
        <v>SK2</v>
      </c>
      <c r="I1107" s="607" t="str">
        <f t="shared" si="46"/>
        <v>C11272LAM RUCH050111868856</v>
      </c>
      <c r="J1107" s="853" t="str">
        <f>+VLOOKUP(B1107,'[5]04 2025'!$B$2:$F$1371,5,0)</f>
        <v>C11272LAM RUCH050111868856</v>
      </c>
      <c r="K1107" s="607">
        <f t="shared" si="45"/>
        <v>1</v>
      </c>
      <c r="P1107" s="685"/>
    </row>
    <row r="1108" spans="1:16" s="607" customFormat="1" ht="18" customHeight="1">
      <c r="A1108" s="826">
        <f>SUBTOTAL(3,B$6:B1108)</f>
        <v>1103</v>
      </c>
      <c r="B1108" s="824" t="s">
        <v>3019</v>
      </c>
      <c r="C1108" s="824" t="str">
        <f>+VLOOKUP(B1108,'Salary sheet'!$B$6:$AX$1386,48,0)</f>
        <v>LAM BOC</v>
      </c>
      <c r="D1108" s="824" t="str">
        <f>+VLOOKUP(B1108,'Salary sheet'!$B$6:$BW$1386,49,0)</f>
        <v>050110182268</v>
      </c>
      <c r="E1108" s="620">
        <f>+VLOOKUP(B1108,'Salary sheet'!$B$6:$AT$1292,45,0)</f>
        <v>8662733</v>
      </c>
      <c r="F1108" s="1029" t="s">
        <v>5723</v>
      </c>
      <c r="G1108" s="824" t="str">
        <f>+VLOOKUP(B1108,'Salary sheet'!$B$6:$E$2281,4,0)</f>
        <v>SK2</v>
      </c>
      <c r="H1108" s="607" t="str">
        <f>+VLOOKUP(B1108,'Salary sheet'!$B$6:$AZ$1386,50,0)</f>
        <v>SK2</v>
      </c>
      <c r="I1108" s="607" t="str">
        <f t="shared" si="46"/>
        <v>C11274LAM BOC050110182268</v>
      </c>
      <c r="J1108" s="853" t="str">
        <f>+VLOOKUP(B1108,'[5]04 2025'!$B$2:$F$1371,5,0)</f>
        <v>C11274LAM BOC050110182268</v>
      </c>
      <c r="K1108" s="607">
        <f t="shared" si="45"/>
        <v>1</v>
      </c>
      <c r="P1108" s="685"/>
    </row>
    <row r="1109" spans="1:16" s="607" customFormat="1" ht="18" customHeight="1">
      <c r="A1109" s="826">
        <f>SUBTOTAL(3,B$6:B1109)</f>
        <v>1104</v>
      </c>
      <c r="B1109" s="824" t="s">
        <v>3021</v>
      </c>
      <c r="C1109" s="824" t="str">
        <f>+VLOOKUP(B1109,'Salary sheet'!$B$6:$AX$1386,48,0)</f>
        <v>TRAN THI HANG</v>
      </c>
      <c r="D1109" s="824" t="str">
        <f>+VLOOKUP(B1109,'Salary sheet'!$B$6:$BW$1386,49,0)</f>
        <v>050105590366</v>
      </c>
      <c r="E1109" s="620">
        <f>+VLOOKUP(B1109,'Salary sheet'!$B$6:$AT$1292,45,0)</f>
        <v>9416428</v>
      </c>
      <c r="F1109" s="1029" t="s">
        <v>5723</v>
      </c>
      <c r="G1109" s="824" t="str">
        <f>+VLOOKUP(B1109,'Salary sheet'!$B$6:$E$2281,4,0)</f>
        <v>SK2</v>
      </c>
      <c r="H1109" s="607" t="str">
        <f>+VLOOKUP(B1109,'Salary sheet'!$B$6:$AZ$1386,50,0)</f>
        <v>SK2</v>
      </c>
      <c r="I1109" s="607" t="str">
        <f t="shared" si="46"/>
        <v>C11541TRAN THI HANG050105590366</v>
      </c>
      <c r="J1109" s="853" t="str">
        <f>+VLOOKUP(B1109,'[5]04 2025'!$B$2:$F$1371,5,0)</f>
        <v>C11541TRAN THI HANG050105590366</v>
      </c>
      <c r="K1109" s="607">
        <f t="shared" si="45"/>
        <v>1</v>
      </c>
      <c r="P1109" s="685"/>
    </row>
    <row r="1110" spans="1:16" s="607" customFormat="1" ht="18" customHeight="1">
      <c r="A1110" s="826">
        <f>SUBTOTAL(3,B$6:B1110)</f>
        <v>1105</v>
      </c>
      <c r="B1110" s="824" t="s">
        <v>3023</v>
      </c>
      <c r="C1110" s="824" t="str">
        <f>+VLOOKUP(B1110,'Salary sheet'!$B$6:$AX$1386,48,0)</f>
        <v>LAM VAN PHANH</v>
      </c>
      <c r="D1110" s="824" t="str">
        <f>+VLOOKUP(B1110,'Salary sheet'!$B$6:$BW$1386,49,0)</f>
        <v>050116008162</v>
      </c>
      <c r="E1110" s="620">
        <f>+VLOOKUP(B1110,'Salary sheet'!$B$6:$AT$1292,45,0)</f>
        <v>6876092</v>
      </c>
      <c r="F1110" s="1029" t="s">
        <v>5723</v>
      </c>
      <c r="G1110" s="824" t="str">
        <f>+VLOOKUP(B1110,'Salary sheet'!$B$6:$E$2281,4,0)</f>
        <v>SK2</v>
      </c>
      <c r="H1110" s="607" t="str">
        <f>+VLOOKUP(B1110,'Salary sheet'!$B$6:$AZ$1386,50,0)</f>
        <v>SK2</v>
      </c>
      <c r="I1110" s="607" t="str">
        <f t="shared" si="46"/>
        <v>C11732LAM VAN PHANH050116008162</v>
      </c>
      <c r="J1110" s="853" t="str">
        <f>+VLOOKUP(B1110,'[5]04 2025'!$B$2:$F$1371,5,0)</f>
        <v>C11732LAM VAN PHANH050116008162</v>
      </c>
      <c r="K1110" s="607">
        <f t="shared" si="45"/>
        <v>1</v>
      </c>
      <c r="P1110" s="685"/>
    </row>
    <row r="1111" spans="1:16" s="607" customFormat="1" ht="18" customHeight="1">
      <c r="A1111" s="826">
        <f>SUBTOTAL(3,B$6:B1111)</f>
        <v>1106</v>
      </c>
      <c r="B1111" s="824" t="s">
        <v>3025</v>
      </c>
      <c r="C1111" s="824" t="str">
        <f>+VLOOKUP(B1111,'Salary sheet'!$B$6:$AX$1386,48,0)</f>
        <v>LAM DUC NHUAN</v>
      </c>
      <c r="D1111" s="824" t="str">
        <f>+VLOOKUP(B1111,'Salary sheet'!$B$6:$BW$1386,49,0)</f>
        <v>050116008073</v>
      </c>
      <c r="E1111" s="620">
        <f>+VLOOKUP(B1111,'Salary sheet'!$B$6:$AT$1292,45,0)</f>
        <v>9333149</v>
      </c>
      <c r="F1111" s="1029" t="s">
        <v>5723</v>
      </c>
      <c r="G1111" s="824" t="str">
        <f>+VLOOKUP(B1111,'Salary sheet'!$B$6:$E$2281,4,0)</f>
        <v>SK2</v>
      </c>
      <c r="H1111" s="607" t="str">
        <f>+VLOOKUP(B1111,'Salary sheet'!$B$6:$AZ$1386,50,0)</f>
        <v>SK2</v>
      </c>
      <c r="I1111" s="607" t="str">
        <f t="shared" si="46"/>
        <v>C11735LAM DUC NHUAN050116008073</v>
      </c>
      <c r="J1111" s="853" t="str">
        <f>+VLOOKUP(B1111,'[5]04 2025'!$B$2:$F$1371,5,0)</f>
        <v>C11735LAM DUC NHUAN050116008073</v>
      </c>
      <c r="K1111" s="607">
        <f t="shared" si="45"/>
        <v>1</v>
      </c>
      <c r="P1111" s="685"/>
    </row>
    <row r="1112" spans="1:16" s="607" customFormat="1" ht="18" customHeight="1">
      <c r="A1112" s="826">
        <f>SUBTOTAL(3,B$6:B1112)</f>
        <v>1107</v>
      </c>
      <c r="B1112" s="824" t="s">
        <v>3027</v>
      </c>
      <c r="C1112" s="824" t="str">
        <f>+VLOOKUP(B1112,'Salary sheet'!$B$6:$AX$1386,48,0)</f>
        <v>NGUYEN THI MEO</v>
      </c>
      <c r="D1112" s="824" t="str">
        <f>+VLOOKUP(B1112,'Salary sheet'!$B$6:$BW$1386,49,0)</f>
        <v>050116312422</v>
      </c>
      <c r="E1112" s="620">
        <f>+VLOOKUP(B1112,'Salary sheet'!$B$6:$AT$1292,45,0)</f>
        <v>9290283</v>
      </c>
      <c r="F1112" s="1029" t="s">
        <v>5723</v>
      </c>
      <c r="G1112" s="824" t="str">
        <f>+VLOOKUP(B1112,'Salary sheet'!$B$6:$E$2281,4,0)</f>
        <v>SK2</v>
      </c>
      <c r="H1112" s="607" t="str">
        <f>+VLOOKUP(B1112,'Salary sheet'!$B$6:$AZ$1386,50,0)</f>
        <v>SK2</v>
      </c>
      <c r="I1112" s="607" t="str">
        <f t="shared" si="46"/>
        <v>C11753NGUYEN THI MEO050116312422</v>
      </c>
      <c r="J1112" s="853" t="str">
        <f>+VLOOKUP(B1112,'[5]04 2025'!$B$2:$F$1371,5,0)</f>
        <v>C11753NGUYEN THI MEO050116312422</v>
      </c>
      <c r="K1112" s="607">
        <f t="shared" si="45"/>
        <v>1</v>
      </c>
      <c r="P1112" s="685"/>
    </row>
    <row r="1113" spans="1:16" s="607" customFormat="1" ht="18" customHeight="1">
      <c r="A1113" s="826">
        <f>SUBTOTAL(3,B$6:B1113)</f>
        <v>1108</v>
      </c>
      <c r="B1113" s="824" t="s">
        <v>3029</v>
      </c>
      <c r="C1113" s="824" t="str">
        <f>+VLOOKUP(B1113,'Salary sheet'!$B$6:$AX$1386,48,0)</f>
        <v>NGUYEN VAN HIEU</v>
      </c>
      <c r="D1113" s="824" t="str">
        <f>+VLOOKUP(B1113,'Salary sheet'!$B$6:$BW$1386,49,0)</f>
        <v>050114782324</v>
      </c>
      <c r="E1113" s="620">
        <f>+VLOOKUP(B1113,'Salary sheet'!$B$6:$AT$1292,45,0)</f>
        <v>9329134</v>
      </c>
      <c r="F1113" s="1029" t="s">
        <v>5723</v>
      </c>
      <c r="G1113" s="824" t="str">
        <f>+VLOOKUP(B1113,'Salary sheet'!$B$6:$E$2281,4,0)</f>
        <v>SK2</v>
      </c>
      <c r="H1113" s="607" t="str">
        <f>+VLOOKUP(B1113,'Salary sheet'!$B$6:$AZ$1386,50,0)</f>
        <v>SK2</v>
      </c>
      <c r="I1113" s="607" t="str">
        <f t="shared" si="46"/>
        <v>C11951NGUYEN VAN HIEU050114782324</v>
      </c>
      <c r="J1113" s="853" t="str">
        <f>+VLOOKUP(B1113,'[5]04 2025'!$B$2:$F$1371,5,0)</f>
        <v>C11951NGUYEN VAN HIEU050114782324</v>
      </c>
      <c r="K1113" s="607">
        <f t="shared" si="45"/>
        <v>1</v>
      </c>
      <c r="P1113" s="685"/>
    </row>
    <row r="1114" spans="1:16" s="607" customFormat="1" ht="18" customHeight="1">
      <c r="A1114" s="826">
        <f>SUBTOTAL(3,B$6:B1114)</f>
        <v>1109</v>
      </c>
      <c r="B1114" s="824" t="s">
        <v>3030</v>
      </c>
      <c r="C1114" s="824" t="str">
        <f>+VLOOKUP(B1114,'Salary sheet'!$B$6:$AX$1386,48,0)</f>
        <v>MAI THI NGOC BICH</v>
      </c>
      <c r="D1114" s="824" t="str">
        <f>+VLOOKUP(B1114,'Salary sheet'!$B$6:$BW$1386,49,0)</f>
        <v>050075696199</v>
      </c>
      <c r="E1114" s="620">
        <f>+VLOOKUP(B1114,'Salary sheet'!$B$6:$AT$1292,45,0)</f>
        <v>9470897</v>
      </c>
      <c r="F1114" s="1029" t="s">
        <v>5723</v>
      </c>
      <c r="G1114" s="824" t="str">
        <f>+VLOOKUP(B1114,'Salary sheet'!$B$6:$E$2281,4,0)</f>
        <v>SK2</v>
      </c>
      <c r="H1114" s="607" t="str">
        <f>+VLOOKUP(B1114,'Salary sheet'!$B$6:$AZ$1386,50,0)</f>
        <v>SK2</v>
      </c>
      <c r="I1114" s="607" t="str">
        <f t="shared" si="46"/>
        <v>C12003MAI THI NGOC BICH050075696199</v>
      </c>
      <c r="J1114" s="853" t="str">
        <f>+VLOOKUP(B1114,'[5]04 2025'!$B$2:$F$1371,5,0)</f>
        <v>C12003MAI THI NGOC BICH050075696199</v>
      </c>
      <c r="K1114" s="607">
        <f t="shared" si="45"/>
        <v>1</v>
      </c>
      <c r="P1114" s="685"/>
    </row>
    <row r="1115" spans="1:16" s="607" customFormat="1" ht="18" customHeight="1">
      <c r="A1115" s="826">
        <f>SUBTOTAL(3,B$6:B1115)</f>
        <v>1110</v>
      </c>
      <c r="B1115" s="824" t="s">
        <v>3032</v>
      </c>
      <c r="C1115" s="824" t="str">
        <f>+VLOOKUP(B1115,'Salary sheet'!$B$6:$AX$1386,48,0)</f>
        <v>NGUYEN VAN THAI</v>
      </c>
      <c r="D1115" s="824" t="str">
        <f>+VLOOKUP(B1115,'Salary sheet'!$B$6:$BW$1386,49,0)</f>
        <v>050061305537</v>
      </c>
      <c r="E1115" s="620">
        <f>+VLOOKUP(B1115,'Salary sheet'!$B$6:$AT$1292,45,0)</f>
        <v>9430054</v>
      </c>
      <c r="F1115" s="1029" t="s">
        <v>5723</v>
      </c>
      <c r="G1115" s="824" t="str">
        <f>+VLOOKUP(B1115,'Salary sheet'!$B$6:$E$2281,4,0)</f>
        <v>SK2</v>
      </c>
      <c r="H1115" s="607" t="str">
        <f>+VLOOKUP(B1115,'Salary sheet'!$B$6:$AZ$1386,50,0)</f>
        <v>SK2</v>
      </c>
      <c r="I1115" s="607" t="str">
        <f t="shared" si="46"/>
        <v>C12013NGUYEN VAN THAI050061305537</v>
      </c>
      <c r="J1115" s="853" t="str">
        <f>+VLOOKUP(B1115,'[5]04 2025'!$B$2:$F$1371,5,0)</f>
        <v>C12013NGUYEN VAN THAI050061305537</v>
      </c>
      <c r="K1115" s="607">
        <f t="shared" si="45"/>
        <v>1</v>
      </c>
      <c r="P1115" s="685"/>
    </row>
    <row r="1116" spans="1:16" s="607" customFormat="1" ht="18" customHeight="1">
      <c r="A1116" s="826">
        <f>SUBTOTAL(3,B$6:B1116)</f>
        <v>1111</v>
      </c>
      <c r="B1116" s="824" t="s">
        <v>3034</v>
      </c>
      <c r="C1116" s="824" t="str">
        <f>+VLOOKUP(B1116,'Salary sheet'!$B$6:$AX$1386,48,0)</f>
        <v>NGUYEN THI DIEM</v>
      </c>
      <c r="D1116" s="824" t="str">
        <f>+VLOOKUP(B1116,'Salary sheet'!$B$6:$BW$1386,49,0)</f>
        <v>050117176700</v>
      </c>
      <c r="E1116" s="620">
        <f>+VLOOKUP(B1116,'Salary sheet'!$B$6:$AT$1292,45,0)</f>
        <v>9202655</v>
      </c>
      <c r="F1116" s="1029" t="s">
        <v>5723</v>
      </c>
      <c r="G1116" s="824" t="str">
        <f>+VLOOKUP(B1116,'Salary sheet'!$B$6:$E$2281,4,0)</f>
        <v>SK2</v>
      </c>
      <c r="H1116" s="607" t="str">
        <f>+VLOOKUP(B1116,'Salary sheet'!$B$6:$AZ$1386,50,0)</f>
        <v>SK2</v>
      </c>
      <c r="I1116" s="607" t="str">
        <f t="shared" si="46"/>
        <v>C12110NGUYEN THI DIEM050117176700</v>
      </c>
      <c r="J1116" s="853" t="str">
        <f>+VLOOKUP(B1116,'[5]04 2025'!$B$2:$F$1371,5,0)</f>
        <v>C12110NGUYEN THI DIEM050117176700</v>
      </c>
      <c r="K1116" s="607">
        <f t="shared" si="45"/>
        <v>1</v>
      </c>
      <c r="P1116" s="685"/>
    </row>
    <row r="1117" spans="1:16" s="607" customFormat="1" ht="18" customHeight="1">
      <c r="A1117" s="826">
        <f>SUBTOTAL(3,B$6:B1117)</f>
        <v>1112</v>
      </c>
      <c r="B1117" s="824" t="s">
        <v>3036</v>
      </c>
      <c r="C1117" s="824" t="str">
        <f>+VLOOKUP(B1117,'Salary sheet'!$B$6:$AX$1386,48,0)</f>
        <v>HO THI LINH</v>
      </c>
      <c r="D1117" s="824" t="str">
        <f>+VLOOKUP(B1117,'Salary sheet'!$B$6:$BW$1386,49,0)</f>
        <v>050126082859</v>
      </c>
      <c r="E1117" s="620">
        <f>+VLOOKUP(B1117,'Salary sheet'!$B$6:$AT$1292,45,0)</f>
        <v>9161792</v>
      </c>
      <c r="F1117" s="1029" t="s">
        <v>5723</v>
      </c>
      <c r="G1117" s="824" t="str">
        <f>+VLOOKUP(B1117,'Salary sheet'!$B$6:$E$2281,4,0)</f>
        <v>SK2</v>
      </c>
      <c r="H1117" s="607" t="str">
        <f>+VLOOKUP(B1117,'Salary sheet'!$B$6:$AZ$1386,50,0)</f>
        <v>SK2</v>
      </c>
      <c r="I1117" s="607" t="str">
        <f t="shared" si="46"/>
        <v>C13296HO THI LINH050126082859</v>
      </c>
      <c r="J1117" s="853" t="str">
        <f>+VLOOKUP(B1117,'[5]04 2025'!$B$2:$F$1371,5,0)</f>
        <v>C13296HO THI LINH050126082859</v>
      </c>
      <c r="K1117" s="607">
        <f t="shared" si="45"/>
        <v>1</v>
      </c>
      <c r="P1117" s="685"/>
    </row>
    <row r="1118" spans="1:16" s="607" customFormat="1" ht="18" customHeight="1">
      <c r="A1118" s="826">
        <f>SUBTOTAL(3,B$6:B1118)</f>
        <v>1113</v>
      </c>
      <c r="B1118" s="824" t="s">
        <v>3038</v>
      </c>
      <c r="C1118" s="824" t="str">
        <f>+VLOOKUP(B1118,'Salary sheet'!$B$6:$AX$1386,48,0)</f>
        <v>NGUYEN THI PHAN</v>
      </c>
      <c r="D1118" s="824" t="str">
        <f>+VLOOKUP(B1118,'Salary sheet'!$B$6:$BW$1386,49,0)</f>
        <v>050117176689</v>
      </c>
      <c r="E1118" s="620">
        <f>+VLOOKUP(B1118,'Salary sheet'!$B$6:$AT$1292,45,0)</f>
        <v>9732628</v>
      </c>
      <c r="F1118" s="1029" t="s">
        <v>5723</v>
      </c>
      <c r="G1118" s="824" t="str">
        <f>+VLOOKUP(B1118,'Salary sheet'!$B$6:$E$2281,4,0)</f>
        <v>SK2</v>
      </c>
      <c r="H1118" s="607" t="str">
        <f>+VLOOKUP(B1118,'Salary sheet'!$B$6:$AZ$1386,50,0)</f>
        <v>SK2</v>
      </c>
      <c r="I1118" s="607" t="str">
        <f t="shared" si="46"/>
        <v>C13420NGUYEN THI PHAN050117176689</v>
      </c>
      <c r="J1118" s="853" t="str">
        <f>+VLOOKUP(B1118,'[5]04 2025'!$B$2:$F$1371,5,0)</f>
        <v>C13420NGUYEN THI PHAN050117176689</v>
      </c>
      <c r="K1118" s="607">
        <f t="shared" si="45"/>
        <v>1</v>
      </c>
      <c r="P1118" s="685"/>
    </row>
    <row r="1119" spans="1:16" s="607" customFormat="1" ht="18" customHeight="1">
      <c r="A1119" s="826">
        <f>SUBTOTAL(3,B$6:B1119)</f>
        <v>1114</v>
      </c>
      <c r="B1119" s="824" t="s">
        <v>3040</v>
      </c>
      <c r="C1119" s="824" t="str">
        <f>+VLOOKUP(B1119,'Salary sheet'!$B$6:$AX$1386,48,0)</f>
        <v>NGUYEN VAN TON</v>
      </c>
      <c r="D1119" s="824" t="str">
        <f>+VLOOKUP(B1119,'Salary sheet'!$B$6:$BW$1386,49,0)</f>
        <v>050114098083</v>
      </c>
      <c r="E1119" s="620">
        <f>+VLOOKUP(B1119,'Salary sheet'!$B$6:$AT$1292,45,0)</f>
        <v>9665174</v>
      </c>
      <c r="F1119" s="1029" t="s">
        <v>5723</v>
      </c>
      <c r="G1119" s="824" t="str">
        <f>+VLOOKUP(B1119,'Salary sheet'!$B$6:$E$2281,4,0)</f>
        <v>SK2</v>
      </c>
      <c r="H1119" s="607" t="str">
        <f>+VLOOKUP(B1119,'Salary sheet'!$B$6:$AZ$1386,50,0)</f>
        <v>SK2</v>
      </c>
      <c r="I1119" s="607" t="str">
        <f t="shared" si="46"/>
        <v>C13424NGUYEN VAN TON050114098083</v>
      </c>
      <c r="J1119" s="853" t="str">
        <f>+VLOOKUP(B1119,'[5]04 2025'!$B$2:$F$1371,5,0)</f>
        <v>C13424NGUYEN VAN TON050114098083</v>
      </c>
      <c r="K1119" s="607">
        <f t="shared" si="45"/>
        <v>1</v>
      </c>
      <c r="P1119" s="685"/>
    </row>
    <row r="1120" spans="1:16" s="607" customFormat="1" ht="18" customHeight="1">
      <c r="A1120" s="826">
        <f>SUBTOTAL(3,B$6:B1120)</f>
        <v>1115</v>
      </c>
      <c r="B1120" s="824" t="s">
        <v>3042</v>
      </c>
      <c r="C1120" s="824" t="str">
        <f>+VLOOKUP(B1120,'Salary sheet'!$B$6:$AX$1386,48,0)</f>
        <v>PHAN TAN DAT</v>
      </c>
      <c r="D1120" s="824" t="str">
        <f>+VLOOKUP(B1120,'Salary sheet'!$B$6:$BW$1386,49,0)</f>
        <v>050124634382</v>
      </c>
      <c r="E1120" s="620">
        <f>+VLOOKUP(B1120,'Salary sheet'!$B$6:$AT$1292,45,0)</f>
        <v>7752598</v>
      </c>
      <c r="F1120" s="1029" t="s">
        <v>5723</v>
      </c>
      <c r="G1120" s="824" t="str">
        <f>+VLOOKUP(B1120,'Salary sheet'!$B$6:$E$2281,4,0)</f>
        <v>SK2</v>
      </c>
      <c r="H1120" s="607" t="str">
        <f>+VLOOKUP(B1120,'Salary sheet'!$B$6:$AZ$1386,50,0)</f>
        <v>SK2</v>
      </c>
      <c r="I1120" s="607" t="str">
        <f t="shared" si="46"/>
        <v>C13793PHAN TAN DAT050124634382</v>
      </c>
      <c r="J1120" s="853" t="str">
        <f>+VLOOKUP(B1120,'[5]04 2025'!$B$2:$F$1371,5,0)</f>
        <v>C13793PHAN TAN DAT050124634382</v>
      </c>
      <c r="K1120" s="607">
        <f t="shared" si="45"/>
        <v>1</v>
      </c>
      <c r="P1120" s="685"/>
    </row>
    <row r="1121" spans="1:16" s="607" customFormat="1" ht="18" customHeight="1">
      <c r="A1121" s="826">
        <f>SUBTOTAL(3,B$6:B1121)</f>
        <v>1116</v>
      </c>
      <c r="B1121" s="824" t="s">
        <v>3044</v>
      </c>
      <c r="C1121" s="824" t="str">
        <f>+VLOOKUP(B1121,'Salary sheet'!$B$6:$AX$1386,48,0)</f>
        <v>DAU THI HOAI HUONG</v>
      </c>
      <c r="D1121" s="824" t="str">
        <f>+VLOOKUP(B1121,'Salary sheet'!$B$6:$BW$1386,49,0)</f>
        <v>050128583596</v>
      </c>
      <c r="E1121" s="620">
        <f>+VLOOKUP(B1121,'Salary sheet'!$B$6:$AT$1292,45,0)</f>
        <v>9582710</v>
      </c>
      <c r="F1121" s="1029" t="s">
        <v>5723</v>
      </c>
      <c r="G1121" s="824" t="str">
        <f>+VLOOKUP(B1121,'Salary sheet'!$B$6:$E$2281,4,0)</f>
        <v>SK2</v>
      </c>
      <c r="H1121" s="607" t="str">
        <f>+VLOOKUP(B1121,'Salary sheet'!$B$6:$AZ$1386,50,0)</f>
        <v>SK2</v>
      </c>
      <c r="I1121" s="607" t="str">
        <f t="shared" si="46"/>
        <v>C14127DAU THI HOAI HUONG050128583596</v>
      </c>
      <c r="J1121" s="853" t="str">
        <f>+VLOOKUP(B1121,'[5]04 2025'!$B$2:$F$1371,5,0)</f>
        <v>C14127DAU THI HOAI HUONG050128583596</v>
      </c>
      <c r="K1121" s="607">
        <f t="shared" si="45"/>
        <v>1</v>
      </c>
      <c r="P1121" s="685"/>
    </row>
    <row r="1122" spans="1:16" s="607" customFormat="1" ht="18" customHeight="1">
      <c r="A1122" s="826">
        <f>SUBTOTAL(3,B$6:B1122)</f>
        <v>1117</v>
      </c>
      <c r="B1122" s="824" t="s">
        <v>3046</v>
      </c>
      <c r="C1122" s="824" t="str">
        <f>+VLOOKUP(B1122,'Salary sheet'!$B$6:$AX$1386,48,0)</f>
        <v>LE THI MY PHUONG</v>
      </c>
      <c r="D1122" s="824" t="str">
        <f>+VLOOKUP(B1122,'Salary sheet'!$B$6:$BW$1386,49,0)</f>
        <v>070109897653</v>
      </c>
      <c r="E1122" s="620">
        <f>+VLOOKUP(B1122,'Salary sheet'!$B$6:$AT$1292,45,0)</f>
        <v>9418875</v>
      </c>
      <c r="F1122" s="1029" t="s">
        <v>5723</v>
      </c>
      <c r="G1122" s="824" t="str">
        <f>+VLOOKUP(B1122,'Salary sheet'!$B$6:$E$2281,4,0)</f>
        <v>SK2</v>
      </c>
      <c r="H1122" s="607" t="str">
        <f>+VLOOKUP(B1122,'Salary sheet'!$B$6:$AZ$1386,50,0)</f>
        <v>SK2</v>
      </c>
      <c r="I1122" s="607" t="str">
        <f t="shared" si="46"/>
        <v>C14340LE THI MY PHUONG070109897653</v>
      </c>
      <c r="J1122" s="853" t="str">
        <f>+VLOOKUP(B1122,'[5]04 2025'!$B$2:$F$1371,5,0)</f>
        <v>C14340LE THI MY PHUONG070109897653</v>
      </c>
      <c r="K1122" s="607">
        <f t="shared" si="45"/>
        <v>1</v>
      </c>
      <c r="P1122" s="685"/>
    </row>
    <row r="1123" spans="1:16" s="607" customFormat="1" ht="18" customHeight="1">
      <c r="A1123" s="826">
        <f>SUBTOTAL(3,B$6:B1123)</f>
        <v>1118</v>
      </c>
      <c r="B1123" s="824" t="s">
        <v>3048</v>
      </c>
      <c r="C1123" s="824" t="str">
        <f>+VLOOKUP(B1123,'Salary sheet'!$B$6:$AX$1386,48,0)</f>
        <v>NGUYEN THI CAM TIEN</v>
      </c>
      <c r="D1123" s="824" t="str">
        <f>+VLOOKUP(B1123,'Salary sheet'!$B$6:$BW$1386,49,0)</f>
        <v>050117176972</v>
      </c>
      <c r="E1123" s="620">
        <f>+VLOOKUP(B1123,'Salary sheet'!$B$6:$AT$1292,45,0)</f>
        <v>7884760</v>
      </c>
      <c r="F1123" s="1029" t="s">
        <v>5723</v>
      </c>
      <c r="G1123" s="824" t="str">
        <f>+VLOOKUP(B1123,'Salary sheet'!$B$6:$E$2281,4,0)</f>
        <v>SK2</v>
      </c>
      <c r="H1123" s="607" t="str">
        <f>+VLOOKUP(B1123,'Salary sheet'!$B$6:$AZ$1386,50,0)</f>
        <v>SK2</v>
      </c>
      <c r="I1123" s="607" t="str">
        <f t="shared" si="46"/>
        <v>C14452NGUYEN THI CAM TIEN050117176972</v>
      </c>
      <c r="J1123" s="853" t="str">
        <f>+VLOOKUP(B1123,'[5]04 2025'!$B$2:$F$1371,5,0)</f>
        <v>C14452NGUYEN THI CAM TIEN050117176972</v>
      </c>
      <c r="K1123" s="607">
        <f t="shared" si="45"/>
        <v>1</v>
      </c>
      <c r="P1123" s="685"/>
    </row>
    <row r="1124" spans="1:16" s="607" customFormat="1" ht="18" customHeight="1">
      <c r="A1124" s="826">
        <f>SUBTOTAL(3,B$6:B1124)</f>
        <v>1119</v>
      </c>
      <c r="B1124" s="824" t="s">
        <v>5793</v>
      </c>
      <c r="C1124" s="824" t="str">
        <f>+VLOOKUP(B1124,'Salary sheet'!$B$6:$AX$1386,48,0)</f>
        <v>TO ANH XUAN</v>
      </c>
      <c r="D1124" s="824" t="str">
        <f>+VLOOKUP(B1124,'Salary sheet'!$B$6:$BW$1386,49,0)</f>
        <v>050099237764</v>
      </c>
      <c r="E1124" s="620">
        <f>+VLOOKUP(B1124,'Salary sheet'!$B$6:$AT$1292,45,0)</f>
        <v>3136328</v>
      </c>
      <c r="F1124" s="1029" t="s">
        <v>5723</v>
      </c>
      <c r="G1124" s="824" t="str">
        <f>+VLOOKUP(B1124,'Salary sheet'!$B$6:$E$2281,4,0)</f>
        <v>SK2</v>
      </c>
      <c r="H1124" s="607" t="str">
        <f>+VLOOKUP(B1124,'Salary sheet'!$B$6:$AZ$1386,50,0)</f>
        <v>SK2</v>
      </c>
      <c r="I1124" s="607" t="str">
        <f t="shared" si="46"/>
        <v>C14503TO ANH XUAN050099237764</v>
      </c>
      <c r="J1124" s="853" t="str">
        <f>+VLOOKUP(B1124,'[5]04 2025'!$B$2:$F$1371,5,0)</f>
        <v>C14503TO ANH XUAN050099237764</v>
      </c>
      <c r="K1124" s="607">
        <f t="shared" si="45"/>
        <v>1</v>
      </c>
      <c r="P1124" s="685"/>
    </row>
    <row r="1125" spans="1:16" s="607" customFormat="1" ht="18" customHeight="1">
      <c r="A1125" s="826">
        <f>SUBTOTAL(3,B$6:B1125)</f>
        <v>1120</v>
      </c>
      <c r="B1125" s="824" t="s">
        <v>3049</v>
      </c>
      <c r="C1125" s="824" t="str">
        <f>+VLOOKUP(B1125,'Salary sheet'!$B$6:$AX$1386,48,0)</f>
        <v>NGUYEN PHUOC HAU</v>
      </c>
      <c r="D1125" s="824" t="str">
        <f>+VLOOKUP(B1125,'Salary sheet'!$B$6:$BW$1386,49,0)</f>
        <v>050136912371</v>
      </c>
      <c r="E1125" s="620">
        <f>+VLOOKUP(B1125,'Salary sheet'!$B$6:$AT$1292,45,0)</f>
        <v>9438238</v>
      </c>
      <c r="F1125" s="1029" t="s">
        <v>5723</v>
      </c>
      <c r="G1125" s="824" t="str">
        <f>+VLOOKUP(B1125,'Salary sheet'!$B$6:$E$2281,4,0)</f>
        <v>SK2</v>
      </c>
      <c r="H1125" s="607" t="str">
        <f>+VLOOKUP(B1125,'Salary sheet'!$B$6:$AZ$1386,50,0)</f>
        <v>SK2</v>
      </c>
      <c r="I1125" s="607" t="str">
        <f t="shared" si="46"/>
        <v>C14900NGUYEN PHUOC HAU050136912371</v>
      </c>
      <c r="J1125" s="853" t="str">
        <f>+VLOOKUP(B1125,'[5]04 2025'!$B$2:$F$1371,5,0)</f>
        <v>C14900NGUYEN PHUOC HAU050136912371</v>
      </c>
      <c r="K1125" s="607">
        <f t="shared" si="45"/>
        <v>1</v>
      </c>
      <c r="P1125" s="685"/>
    </row>
    <row r="1126" spans="1:16" s="607" customFormat="1" ht="18" customHeight="1">
      <c r="A1126" s="826">
        <f>SUBTOTAL(3,B$6:B1126)</f>
        <v>1121</v>
      </c>
      <c r="B1126" s="824" t="s">
        <v>3051</v>
      </c>
      <c r="C1126" s="824" t="str">
        <f>+VLOOKUP(B1126,'Salary sheet'!$B$6:$AX$1386,48,0)</f>
        <v>TRUONG THI THUY</v>
      </c>
      <c r="D1126" s="824" t="str">
        <f>+VLOOKUP(B1126,'Salary sheet'!$B$6:$BW$1386,49,0)</f>
        <v>050136912450</v>
      </c>
      <c r="E1126" s="620">
        <f>+VLOOKUP(B1126,'Salary sheet'!$B$6:$AT$1292,45,0)</f>
        <v>7536176</v>
      </c>
      <c r="F1126" s="1029" t="s">
        <v>5723</v>
      </c>
      <c r="G1126" s="824" t="str">
        <f>+VLOOKUP(B1126,'Salary sheet'!$B$6:$E$2281,4,0)</f>
        <v>SK2</v>
      </c>
      <c r="H1126" s="607" t="str">
        <f>+VLOOKUP(B1126,'Salary sheet'!$B$6:$AZ$1386,50,0)</f>
        <v>SK2</v>
      </c>
      <c r="I1126" s="607" t="str">
        <f t="shared" si="46"/>
        <v>C14941TRUONG THI THUY050136912450</v>
      </c>
      <c r="J1126" s="853" t="str">
        <f>+VLOOKUP(B1126,'[5]04 2025'!$B$2:$F$1371,5,0)</f>
        <v>C14941TRUONG THI THUY050136912450</v>
      </c>
      <c r="K1126" s="607">
        <f t="shared" ref="K1126:K1188" si="47">+IF(J1126=I1126,1,0)</f>
        <v>1</v>
      </c>
      <c r="P1126" s="685"/>
    </row>
    <row r="1127" spans="1:16" s="607" customFormat="1" ht="18" customHeight="1">
      <c r="A1127" s="826">
        <f>SUBTOTAL(3,B$6:B1127)</f>
        <v>1122</v>
      </c>
      <c r="B1127" s="824" t="s">
        <v>3053</v>
      </c>
      <c r="C1127" s="824" t="str">
        <f>+VLOOKUP(B1127,'Salary sheet'!$B$6:$AX$1386,48,0)</f>
        <v>TRAN DU KHANG</v>
      </c>
      <c r="D1127" s="824" t="str">
        <f>+VLOOKUP(B1127,'Salary sheet'!$B$6:$BW$1386,49,0)</f>
        <v>050137135180</v>
      </c>
      <c r="E1127" s="620">
        <f>+VLOOKUP(B1127,'Salary sheet'!$B$6:$AT$1292,45,0)</f>
        <v>9105367</v>
      </c>
      <c r="F1127" s="1029" t="s">
        <v>5723</v>
      </c>
      <c r="G1127" s="824" t="str">
        <f>+VLOOKUP(B1127,'Salary sheet'!$B$6:$E$2281,4,0)</f>
        <v>SK2</v>
      </c>
      <c r="H1127" s="607" t="str">
        <f>+VLOOKUP(B1127,'Salary sheet'!$B$6:$AZ$1386,50,0)</f>
        <v>SK2</v>
      </c>
      <c r="I1127" s="607" t="str">
        <f t="shared" si="46"/>
        <v>C15011TRAN DU KHANG050137135180</v>
      </c>
      <c r="J1127" s="853" t="str">
        <f>+VLOOKUP(B1127,'[5]04 2025'!$B$2:$F$1371,5,0)</f>
        <v>C15011TRAN DU KHANG050137135180</v>
      </c>
      <c r="K1127" s="607">
        <f t="shared" si="47"/>
        <v>1</v>
      </c>
      <c r="P1127" s="685"/>
    </row>
    <row r="1128" spans="1:16" s="607" customFormat="1" ht="18" customHeight="1">
      <c r="A1128" s="826">
        <f>SUBTOTAL(3,B$6:B1128)</f>
        <v>1123</v>
      </c>
      <c r="B1128" s="824" t="s">
        <v>3055</v>
      </c>
      <c r="C1128" s="824" t="str">
        <f>+VLOOKUP(B1128,'Salary sheet'!$B$6:$AX$1386,48,0)</f>
        <v>NGUYEN GI PHUONG</v>
      </c>
      <c r="D1128" s="824" t="str">
        <f>+VLOOKUP(B1128,'Salary sheet'!$B$6:$BW$1386,49,0)</f>
        <v>050116973844</v>
      </c>
      <c r="E1128" s="620">
        <f>+VLOOKUP(B1128,'Salary sheet'!$B$6:$AT$1292,45,0)</f>
        <v>6299136</v>
      </c>
      <c r="F1128" s="1029" t="s">
        <v>5723</v>
      </c>
      <c r="G1128" s="824" t="str">
        <f>+VLOOKUP(B1128,'Salary sheet'!$B$6:$E$2281,4,0)</f>
        <v>SK2</v>
      </c>
      <c r="H1128" s="607" t="str">
        <f>+VLOOKUP(B1128,'Salary sheet'!$B$6:$AZ$1386,50,0)</f>
        <v>SK2</v>
      </c>
      <c r="I1128" s="607" t="str">
        <f t="shared" si="46"/>
        <v>C15167NGUYEN GI PHUONG050116973844</v>
      </c>
      <c r="J1128" s="853" t="str">
        <f>+VLOOKUP(B1128,'[5]04 2025'!$B$2:$F$1371,5,0)</f>
        <v>C15167NGUYEN GI PHUONG050116973844</v>
      </c>
      <c r="K1128" s="607">
        <f t="shared" si="47"/>
        <v>1</v>
      </c>
      <c r="P1128" s="685"/>
    </row>
    <row r="1129" spans="1:16" s="607" customFormat="1" ht="18" customHeight="1">
      <c r="A1129" s="826">
        <f>SUBTOTAL(3,B$6:B1129)</f>
        <v>1124</v>
      </c>
      <c r="B1129" s="824" t="s">
        <v>3057</v>
      </c>
      <c r="C1129" s="824" t="str">
        <f>+VLOOKUP(B1129,'Salary sheet'!$B$6:$AX$1386,48,0)</f>
        <v>DAM THI THAO</v>
      </c>
      <c r="D1129" s="824" t="str">
        <f>+VLOOKUP(B1129,'Salary sheet'!$B$6:$BW$1386,49,0)</f>
        <v>050135261227</v>
      </c>
      <c r="E1129" s="620">
        <f>+VLOOKUP(B1129,'Salary sheet'!$B$6:$AT$1292,45,0)</f>
        <v>5420862</v>
      </c>
      <c r="F1129" s="1029" t="s">
        <v>5723</v>
      </c>
      <c r="G1129" s="824" t="str">
        <f>+VLOOKUP(B1129,'Salary sheet'!$B$6:$E$2281,4,0)</f>
        <v>SK2</v>
      </c>
      <c r="H1129" s="607" t="str">
        <f>+VLOOKUP(B1129,'Salary sheet'!$B$6:$AZ$1386,50,0)</f>
        <v>SK2</v>
      </c>
      <c r="I1129" s="607" t="str">
        <f t="shared" si="46"/>
        <v>C15329DAM THI THAO050135261227</v>
      </c>
      <c r="J1129" s="853" t="str">
        <f>+VLOOKUP(B1129,'[5]04 2025'!$B$2:$F$1371,5,0)</f>
        <v>C15329DAM THI THAO050135261227</v>
      </c>
      <c r="K1129" s="607">
        <f t="shared" si="47"/>
        <v>1</v>
      </c>
      <c r="P1129" s="685"/>
    </row>
    <row r="1130" spans="1:16" s="607" customFormat="1" ht="18" customHeight="1">
      <c r="A1130" s="826">
        <f>SUBTOTAL(3,B$6:B1130)</f>
        <v>1125</v>
      </c>
      <c r="B1130" s="824" t="s">
        <v>3059</v>
      </c>
      <c r="C1130" s="824" t="str">
        <f>+VLOOKUP(B1130,'Salary sheet'!$B$6:$AX$1386,48,0)</f>
        <v>NGUYEN VAN HIEU</v>
      </c>
      <c r="D1130" s="824" t="str">
        <f>+VLOOKUP(B1130,'Salary sheet'!$B$6:$BW$1386,49,0)</f>
        <v>050137000285</v>
      </c>
      <c r="E1130" s="620">
        <f>+VLOOKUP(B1130,'Salary sheet'!$B$6:$AT$1292,45,0)</f>
        <v>8876211</v>
      </c>
      <c r="F1130" s="1029" t="s">
        <v>5723</v>
      </c>
      <c r="G1130" s="824" t="str">
        <f>+VLOOKUP(B1130,'Salary sheet'!$B$6:$E$2281,4,0)</f>
        <v>SK2</v>
      </c>
      <c r="H1130" s="607" t="str">
        <f>+VLOOKUP(B1130,'Salary sheet'!$B$6:$AZ$1386,50,0)</f>
        <v>SK2</v>
      </c>
      <c r="I1130" s="607" t="str">
        <f t="shared" si="46"/>
        <v>C15535NGUYEN VAN HIEU050137000285</v>
      </c>
      <c r="J1130" s="853" t="str">
        <f>+VLOOKUP(B1130,'[5]04 2025'!$B$2:$F$1371,5,0)</f>
        <v>C15535NGUYEN VAN HIEU050137000285</v>
      </c>
      <c r="K1130" s="607">
        <f t="shared" si="47"/>
        <v>1</v>
      </c>
      <c r="P1130" s="685"/>
    </row>
    <row r="1131" spans="1:16" s="607" customFormat="1" ht="18" customHeight="1">
      <c r="A1131" s="826">
        <f>SUBTOTAL(3,B$6:B1131)</f>
        <v>1126</v>
      </c>
      <c r="B1131" s="824" t="s">
        <v>3060</v>
      </c>
      <c r="C1131" s="824" t="str">
        <f>+VLOOKUP(B1131,'Salary sheet'!$B$6:$AX$1386,48,0)</f>
        <v>THI HANH</v>
      </c>
      <c r="D1131" s="824" t="str">
        <f>+VLOOKUP(B1131,'Salary sheet'!$B$6:$BW$1386,49,0)</f>
        <v>050125111871</v>
      </c>
      <c r="E1131" s="620">
        <f>+VLOOKUP(B1131,'Salary sheet'!$B$6:$AT$1292,45,0)</f>
        <v>7767686</v>
      </c>
      <c r="F1131" s="1029" t="s">
        <v>5723</v>
      </c>
      <c r="G1131" s="824" t="str">
        <f>+VLOOKUP(B1131,'Salary sheet'!$B$6:$E$2281,4,0)</f>
        <v>SK2</v>
      </c>
      <c r="H1131" s="607" t="str">
        <f>+VLOOKUP(B1131,'Salary sheet'!$B$6:$AZ$1386,50,0)</f>
        <v>SK2</v>
      </c>
      <c r="I1131" s="607" t="str">
        <f t="shared" si="46"/>
        <v>C15592THI HANH050125111871</v>
      </c>
      <c r="J1131" s="853" t="str">
        <f>+VLOOKUP(B1131,'[5]04 2025'!$B$2:$F$1371,5,0)</f>
        <v>C15592THI HANH050125111871</v>
      </c>
      <c r="K1131" s="607">
        <f t="shared" si="47"/>
        <v>1</v>
      </c>
      <c r="P1131" s="685"/>
    </row>
    <row r="1132" spans="1:16" s="607" customFormat="1" ht="18" customHeight="1">
      <c r="A1132" s="826">
        <f>SUBTOTAL(3,B$6:B1132)</f>
        <v>1127</v>
      </c>
      <c r="B1132" s="824" t="s">
        <v>3061</v>
      </c>
      <c r="C1132" s="824" t="str">
        <f>+VLOOKUP(B1132,'Salary sheet'!$B$6:$AX$1386,48,0)</f>
        <v>DANH THI THU NGAN</v>
      </c>
      <c r="D1132" s="824" t="str">
        <f>+VLOOKUP(B1132,'Salary sheet'!$B$6:$BW$1386,49,0)</f>
        <v>050121917278</v>
      </c>
      <c r="E1132" s="620">
        <f>+VLOOKUP(B1132,'Salary sheet'!$B$6:$AT$1292,45,0)</f>
        <v>5392609</v>
      </c>
      <c r="F1132" s="1029" t="s">
        <v>5723</v>
      </c>
      <c r="G1132" s="824" t="str">
        <f>+VLOOKUP(B1132,'Salary sheet'!$B$6:$E$2281,4,0)</f>
        <v>SK2</v>
      </c>
      <c r="H1132" s="607" t="str">
        <f>+VLOOKUP(B1132,'Salary sheet'!$B$6:$AZ$1386,50,0)</f>
        <v>SK2</v>
      </c>
      <c r="I1132" s="607" t="str">
        <f t="shared" si="46"/>
        <v>C15662DANH THI THU NGAN050121917278</v>
      </c>
      <c r="J1132" s="853" t="str">
        <f>+VLOOKUP(B1132,'[5]04 2025'!$B$2:$F$1371,5,0)</f>
        <v>C15662DANH THI THU NGAN050121917278</v>
      </c>
      <c r="K1132" s="607">
        <f t="shared" si="47"/>
        <v>1</v>
      </c>
      <c r="P1132" s="685"/>
    </row>
    <row r="1133" spans="1:16" s="607" customFormat="1" ht="18" customHeight="1">
      <c r="A1133" s="826">
        <f>SUBTOTAL(3,B$6:B1133)</f>
        <v>1128</v>
      </c>
      <c r="B1133" s="824" t="s">
        <v>3063</v>
      </c>
      <c r="C1133" s="824" t="str">
        <f>+VLOOKUP(B1133,'Salary sheet'!$B$6:$AX$1386,48,0)</f>
        <v>HA THI THAO</v>
      </c>
      <c r="D1133" s="824" t="str">
        <f>+VLOOKUP(B1133,'Salary sheet'!$B$6:$BW$1386,49,0)</f>
        <v>050113293036</v>
      </c>
      <c r="E1133" s="620">
        <f>+VLOOKUP(B1133,'Salary sheet'!$B$6:$AT$1292,45,0)</f>
        <v>8778501</v>
      </c>
      <c r="F1133" s="1029" t="s">
        <v>5723</v>
      </c>
      <c r="G1133" s="824" t="str">
        <f>+VLOOKUP(B1133,'Salary sheet'!$B$6:$E$2281,4,0)</f>
        <v>SK2</v>
      </c>
      <c r="H1133" s="607" t="str">
        <f>+VLOOKUP(B1133,'Salary sheet'!$B$6:$AZ$1386,50,0)</f>
        <v>SK2</v>
      </c>
      <c r="I1133" s="607" t="str">
        <f t="shared" si="46"/>
        <v>C15664HA THI THAO050113293036</v>
      </c>
      <c r="J1133" s="853" t="str">
        <f>+VLOOKUP(B1133,'[5]04 2025'!$B$2:$F$1371,5,0)</f>
        <v>C15664HA THI THAO050113293036</v>
      </c>
      <c r="K1133" s="607">
        <f t="shared" si="47"/>
        <v>1</v>
      </c>
      <c r="P1133" s="685"/>
    </row>
    <row r="1134" spans="1:16" s="607" customFormat="1" ht="18" customHeight="1">
      <c r="A1134" s="826">
        <f>SUBTOTAL(3,B$6:B1134)</f>
        <v>1129</v>
      </c>
      <c r="B1134" s="824" t="s">
        <v>3065</v>
      </c>
      <c r="C1134" s="824" t="str">
        <f>+VLOOKUP(B1134,'Salary sheet'!$B$6:$AX$1386,48,0)</f>
        <v>LE THI KIM LOI</v>
      </c>
      <c r="D1134" s="824" t="str">
        <f>+VLOOKUP(B1134,'Salary sheet'!$B$6:$BW$1386,49,0)</f>
        <v>050153417420</v>
      </c>
      <c r="E1134" s="620">
        <f>+VLOOKUP(B1134,'Salary sheet'!$B$6:$AT$1292,45,0)</f>
        <v>9369348</v>
      </c>
      <c r="F1134" s="1029" t="s">
        <v>5723</v>
      </c>
      <c r="G1134" s="824" t="str">
        <f>+VLOOKUP(B1134,'Salary sheet'!$B$6:$E$2281,4,0)</f>
        <v>SK2</v>
      </c>
      <c r="H1134" s="607" t="str">
        <f>+VLOOKUP(B1134,'Salary sheet'!$B$6:$AZ$1386,50,0)</f>
        <v>SK2</v>
      </c>
      <c r="I1134" s="607" t="str">
        <f t="shared" si="46"/>
        <v>C15814LE THI KIM LOI050153417420</v>
      </c>
      <c r="J1134" s="853" t="str">
        <f>+VLOOKUP(B1134,'[5]04 2025'!$B$2:$F$1371,5,0)</f>
        <v>C15814LE THI KIM LOI050153417420</v>
      </c>
      <c r="K1134" s="607">
        <f t="shared" si="47"/>
        <v>1</v>
      </c>
      <c r="P1134" s="685"/>
    </row>
    <row r="1135" spans="1:16" s="607" customFormat="1" ht="18" customHeight="1">
      <c r="A1135" s="826">
        <f>SUBTOTAL(3,B$6:B1135)</f>
        <v>1130</v>
      </c>
      <c r="B1135" s="824" t="s">
        <v>3067</v>
      </c>
      <c r="C1135" s="824" t="str">
        <f>+VLOOKUP(B1135,'Salary sheet'!$B$6:$AX$1386,48,0)</f>
        <v>NGUYEN THI MY THUYEN</v>
      </c>
      <c r="D1135" s="824" t="str">
        <f>+VLOOKUP(B1135,'Salary sheet'!$B$6:$BW$1386,49,0)</f>
        <v>050153298863</v>
      </c>
      <c r="E1135" s="620">
        <f>+VLOOKUP(B1135,'Salary sheet'!$B$6:$AT$1292,45,0)</f>
        <v>8635242</v>
      </c>
      <c r="F1135" s="1029" t="s">
        <v>5723</v>
      </c>
      <c r="G1135" s="824" t="str">
        <f>+VLOOKUP(B1135,'Salary sheet'!$B$6:$E$2281,4,0)</f>
        <v>SK2</v>
      </c>
      <c r="H1135" s="607" t="str">
        <f>+VLOOKUP(B1135,'Salary sheet'!$B$6:$AZ$1386,50,0)</f>
        <v>SK2</v>
      </c>
      <c r="I1135" s="607" t="str">
        <f t="shared" si="46"/>
        <v>C15815NGUYEN THI MY THUYEN050153298863</v>
      </c>
      <c r="J1135" s="853" t="str">
        <f>+VLOOKUP(B1135,'[5]04 2025'!$B$2:$F$1371,5,0)</f>
        <v>C15815NGUYEN THI MY THUYEN050153298863</v>
      </c>
      <c r="K1135" s="607">
        <f t="shared" si="47"/>
        <v>1</v>
      </c>
      <c r="P1135" s="685"/>
    </row>
    <row r="1136" spans="1:16" s="607" customFormat="1" ht="18" customHeight="1">
      <c r="A1136" s="826">
        <f>SUBTOTAL(3,B$6:B1136)</f>
        <v>1131</v>
      </c>
      <c r="B1136" s="824" t="s">
        <v>3069</v>
      </c>
      <c r="C1136" s="824" t="str">
        <f>+VLOOKUP(B1136,'Salary sheet'!$B$6:$AX$1386,48,0)</f>
        <v>LAM TRUNG</v>
      </c>
      <c r="D1136" s="824" t="str">
        <f>+VLOOKUP(B1136,'Salary sheet'!$B$6:$BW$1386,49,0)</f>
        <v>050134170651</v>
      </c>
      <c r="E1136" s="620">
        <f>+VLOOKUP(B1136,'Salary sheet'!$B$6:$AT$1292,45,0)</f>
        <v>8013457</v>
      </c>
      <c r="F1136" s="1029" t="s">
        <v>5723</v>
      </c>
      <c r="G1136" s="824" t="str">
        <f>+VLOOKUP(B1136,'Salary sheet'!$B$6:$E$2281,4,0)</f>
        <v>SK2</v>
      </c>
      <c r="H1136" s="607" t="str">
        <f>+VLOOKUP(B1136,'Salary sheet'!$B$6:$AZ$1386,50,0)</f>
        <v>SK2</v>
      </c>
      <c r="I1136" s="607" t="str">
        <f t="shared" si="46"/>
        <v>C15945LAM TRUNG050134170651</v>
      </c>
      <c r="J1136" s="853" t="str">
        <f>+VLOOKUP(B1136,'[5]04 2025'!$B$2:$F$1371,5,0)</f>
        <v>C15945LAM TRUNG050134170651</v>
      </c>
      <c r="K1136" s="607">
        <f t="shared" si="47"/>
        <v>1</v>
      </c>
      <c r="P1136" s="685"/>
    </row>
    <row r="1137" spans="1:16" s="607" customFormat="1" ht="18" customHeight="1">
      <c r="A1137" s="826">
        <f>SUBTOTAL(3,B$6:B1137)</f>
        <v>1132</v>
      </c>
      <c r="B1137" s="824" t="s">
        <v>3071</v>
      </c>
      <c r="C1137" s="824" t="str">
        <f>+VLOOKUP(B1137,'Salary sheet'!$B$6:$AX$1386,48,0)</f>
        <v>LE NGOC KHANH VY</v>
      </c>
      <c r="D1137" s="824" t="str">
        <f>+VLOOKUP(B1137,'Salary sheet'!$B$6:$BW$1386,49,0)</f>
        <v>050155095099</v>
      </c>
      <c r="E1137" s="620">
        <f>+VLOOKUP(B1137,'Salary sheet'!$B$6:$AT$1292,45,0)</f>
        <v>8556290</v>
      </c>
      <c r="F1137" s="1029" t="s">
        <v>5723</v>
      </c>
      <c r="G1137" s="824" t="str">
        <f>+VLOOKUP(B1137,'Salary sheet'!$B$6:$E$2281,4,0)</f>
        <v>SK2</v>
      </c>
      <c r="H1137" s="607" t="str">
        <f>+VLOOKUP(B1137,'Salary sheet'!$B$6:$AZ$1386,50,0)</f>
        <v>SK2</v>
      </c>
      <c r="I1137" s="607" t="str">
        <f t="shared" si="46"/>
        <v>C16009LE NGOC KHANH VY050155095099</v>
      </c>
      <c r="J1137" s="853" t="str">
        <f>+VLOOKUP(B1137,'[5]04 2025'!$B$2:$F$1371,5,0)</f>
        <v>C16009LE NGOC KHANH VY050155095099</v>
      </c>
      <c r="K1137" s="607">
        <f t="shared" si="47"/>
        <v>1</v>
      </c>
      <c r="P1137" s="685"/>
    </row>
    <row r="1138" spans="1:16" s="607" customFormat="1" ht="18" customHeight="1">
      <c r="A1138" s="826">
        <f>SUBTOTAL(3,B$6:B1138)</f>
        <v>1133</v>
      </c>
      <c r="B1138" s="824" t="s">
        <v>3073</v>
      </c>
      <c r="C1138" s="824" t="str">
        <f>+VLOOKUP(B1138,'Salary sheet'!$B$6:$AX$1386,48,0)</f>
        <v>VO VAN HOANG</v>
      </c>
      <c r="D1138" s="824" t="str">
        <f>+VLOOKUP(B1138,'Salary sheet'!$B$6:$BW$1386,49,0)</f>
        <v>050128711187</v>
      </c>
      <c r="E1138" s="620">
        <f>+VLOOKUP(B1138,'Salary sheet'!$B$6:$AT$1292,45,0)</f>
        <v>5078976</v>
      </c>
      <c r="F1138" s="1029" t="s">
        <v>5723</v>
      </c>
      <c r="G1138" s="824" t="str">
        <f>+VLOOKUP(B1138,'Salary sheet'!$B$6:$E$2281,4,0)</f>
        <v>SK2</v>
      </c>
      <c r="H1138" s="607" t="str">
        <f>+VLOOKUP(B1138,'Salary sheet'!$B$6:$AZ$1386,50,0)</f>
        <v>SK2</v>
      </c>
      <c r="I1138" s="607" t="str">
        <f t="shared" si="46"/>
        <v>C16019VO VAN HOANG050128711187</v>
      </c>
      <c r="J1138" s="853" t="str">
        <f>+VLOOKUP(B1138,'[5]04 2025'!$B$2:$F$1371,5,0)</f>
        <v>C16019VO VAN HOANG050128711187</v>
      </c>
      <c r="K1138" s="607">
        <f t="shared" si="47"/>
        <v>1</v>
      </c>
      <c r="P1138" s="685"/>
    </row>
    <row r="1139" spans="1:16" s="607" customFormat="1" ht="18" customHeight="1">
      <c r="A1139" s="826">
        <f>SUBTOTAL(3,B$6:B1139)</f>
        <v>1134</v>
      </c>
      <c r="B1139" s="824" t="s">
        <v>3075</v>
      </c>
      <c r="C1139" s="824" t="str">
        <f>+VLOOKUP(B1139,'Salary sheet'!$B$6:$AX$1386,48,0)</f>
        <v>NGUYEN VAN SON</v>
      </c>
      <c r="D1139" s="824" t="str">
        <f>+VLOOKUP(B1139,'Salary sheet'!$B$6:$BW$1386,49,0)</f>
        <v>050105773551</v>
      </c>
      <c r="E1139" s="620">
        <f>+VLOOKUP(B1139,'Salary sheet'!$B$6:$AT$1292,45,0)</f>
        <v>8208984</v>
      </c>
      <c r="F1139" s="1029" t="s">
        <v>5723</v>
      </c>
      <c r="G1139" s="824" t="str">
        <f>+VLOOKUP(B1139,'Salary sheet'!$B$6:$E$2281,4,0)</f>
        <v>SK2</v>
      </c>
      <c r="H1139" s="607" t="str">
        <f>+VLOOKUP(B1139,'Salary sheet'!$B$6:$AZ$1386,50,0)</f>
        <v>SK2</v>
      </c>
      <c r="I1139" s="607" t="str">
        <f t="shared" si="46"/>
        <v>C16088NGUYEN VAN SON050105773551</v>
      </c>
      <c r="J1139" s="853" t="str">
        <f>+VLOOKUP(B1139,'[5]04 2025'!$B$2:$F$1371,5,0)</f>
        <v>C16088NGUYEN VAN SON050105773551</v>
      </c>
      <c r="K1139" s="607">
        <f t="shared" si="47"/>
        <v>1</v>
      </c>
      <c r="P1139" s="685"/>
    </row>
    <row r="1140" spans="1:16" s="607" customFormat="1" ht="18" customHeight="1">
      <c r="A1140" s="826">
        <f>SUBTOTAL(3,B$6:B1140)</f>
        <v>1135</v>
      </c>
      <c r="B1140" s="824" t="s">
        <v>3077</v>
      </c>
      <c r="C1140" s="824" t="str">
        <f>+VLOOKUP(B1140,'Salary sheet'!$B$6:$AX$1386,48,0)</f>
        <v>THI CUC</v>
      </c>
      <c r="D1140" s="824" t="str">
        <f>+VLOOKUP(B1140,'Salary sheet'!$B$6:$BW$1386,49,0)</f>
        <v>050155383205</v>
      </c>
      <c r="E1140" s="620">
        <f>+VLOOKUP(B1140,'Salary sheet'!$B$6:$AT$1292,45,0)</f>
        <v>8326517</v>
      </c>
      <c r="F1140" s="1029" t="s">
        <v>5723</v>
      </c>
      <c r="G1140" s="824" t="str">
        <f>+VLOOKUP(B1140,'Salary sheet'!$B$6:$E$2281,4,0)</f>
        <v>SK2</v>
      </c>
      <c r="H1140" s="607" t="str">
        <f>+VLOOKUP(B1140,'Salary sheet'!$B$6:$AZ$1386,50,0)</f>
        <v>SK2</v>
      </c>
      <c r="I1140" s="607" t="str">
        <f t="shared" si="46"/>
        <v>C16128THI CUC050155383205</v>
      </c>
      <c r="J1140" s="853" t="str">
        <f>+VLOOKUP(B1140,'[5]04 2025'!$B$2:$F$1371,5,0)</f>
        <v>C16128THI CUC050155383205</v>
      </c>
      <c r="K1140" s="607">
        <f t="shared" si="47"/>
        <v>1</v>
      </c>
      <c r="P1140" s="685"/>
    </row>
    <row r="1141" spans="1:16" s="607" customFormat="1" ht="18" customHeight="1">
      <c r="A1141" s="826">
        <f>SUBTOTAL(3,B$6:B1141)</f>
        <v>1136</v>
      </c>
      <c r="B1141" s="824" t="s">
        <v>3079</v>
      </c>
      <c r="C1141" s="824" t="str">
        <f>+VLOOKUP(B1141,'Salary sheet'!$B$6:$AX$1386,48,0)</f>
        <v>LAI THI BICH NGOC</v>
      </c>
      <c r="D1141" s="824" t="str">
        <f>+VLOOKUP(B1141,'Salary sheet'!$B$6:$BW$1386,49,0)</f>
        <v>050155551401</v>
      </c>
      <c r="E1141" s="620">
        <f>+VLOOKUP(B1141,'Salary sheet'!$B$6:$AT$1292,45,0)</f>
        <v>7164555</v>
      </c>
      <c r="F1141" s="1029" t="s">
        <v>5723</v>
      </c>
      <c r="G1141" s="824" t="str">
        <f>+VLOOKUP(B1141,'Salary sheet'!$B$6:$E$2281,4,0)</f>
        <v>SK2</v>
      </c>
      <c r="H1141" s="607" t="str">
        <f>+VLOOKUP(B1141,'Salary sheet'!$B$6:$AZ$1386,50,0)</f>
        <v>SK2</v>
      </c>
      <c r="I1141" s="607" t="str">
        <f t="shared" si="46"/>
        <v>C16131LAI THI BICH NGOC050155551401</v>
      </c>
      <c r="J1141" s="853" t="str">
        <f>+VLOOKUP(B1141,'[5]04 2025'!$B$2:$F$1371,5,0)</f>
        <v>C16131LAI THI BICH NGOC050155551401</v>
      </c>
      <c r="K1141" s="607">
        <f t="shared" si="47"/>
        <v>1</v>
      </c>
      <c r="P1141" s="685"/>
    </row>
    <row r="1142" spans="1:16" s="607" customFormat="1" ht="18" customHeight="1">
      <c r="A1142" s="826">
        <f>SUBTOTAL(3,B$6:B1142)</f>
        <v>1137</v>
      </c>
      <c r="B1142" s="824" t="s">
        <v>3081</v>
      </c>
      <c r="C1142" s="824" t="str">
        <f>+VLOOKUP(B1142,'Salary sheet'!$B$6:$AX$1386,48,0)</f>
        <v>DINH CONG THUC</v>
      </c>
      <c r="D1142" s="824" t="str">
        <f>+VLOOKUP(B1142,'Salary sheet'!$B$6:$BW$1386,49,0)</f>
        <v>050155299344</v>
      </c>
      <c r="E1142" s="620">
        <f>+VLOOKUP(B1142,'Salary sheet'!$B$6:$AT$1292,45,0)</f>
        <v>8446912</v>
      </c>
      <c r="F1142" s="1029" t="s">
        <v>5723</v>
      </c>
      <c r="G1142" s="824" t="str">
        <f>+VLOOKUP(B1142,'Salary sheet'!$B$6:$E$2281,4,0)</f>
        <v>SK2</v>
      </c>
      <c r="H1142" s="607" t="str">
        <f>+VLOOKUP(B1142,'Salary sheet'!$B$6:$AZ$1386,50,0)</f>
        <v>SK2</v>
      </c>
      <c r="I1142" s="607" t="str">
        <f t="shared" si="46"/>
        <v>C16175DINH CONG THUC050155299344</v>
      </c>
      <c r="J1142" s="853" t="str">
        <f>+VLOOKUP(B1142,'[5]04 2025'!$B$2:$F$1371,5,0)</f>
        <v>C16175DINH CONG THUC050155299344</v>
      </c>
      <c r="K1142" s="607">
        <f t="shared" si="47"/>
        <v>1</v>
      </c>
      <c r="P1142" s="685"/>
    </row>
    <row r="1143" spans="1:16" s="607" customFormat="1" ht="18" customHeight="1">
      <c r="A1143" s="826">
        <f>SUBTOTAL(3,B$6:B1143)</f>
        <v>1138</v>
      </c>
      <c r="B1143" s="824" t="s">
        <v>3083</v>
      </c>
      <c r="C1143" s="824" t="str">
        <f>+VLOOKUP(B1143,'Salary sheet'!$B$6:$AX$1386,48,0)</f>
        <v>TRAN VAN CANH</v>
      </c>
      <c r="D1143" s="824" t="str">
        <f>+VLOOKUP(B1143,'Salary sheet'!$B$6:$BW$1386,49,0)</f>
        <v>050026933975</v>
      </c>
      <c r="E1143" s="620">
        <f>+VLOOKUP(B1143,'Salary sheet'!$B$6:$AT$1292,45,0)</f>
        <v>8205803</v>
      </c>
      <c r="F1143" s="1029" t="s">
        <v>5723</v>
      </c>
      <c r="G1143" s="824" t="str">
        <f>+VLOOKUP(B1143,'Salary sheet'!$B$6:$E$2281,4,0)</f>
        <v>SK2</v>
      </c>
      <c r="H1143" s="607" t="str">
        <f>+VLOOKUP(B1143,'Salary sheet'!$B$6:$AZ$1386,50,0)</f>
        <v>SK2</v>
      </c>
      <c r="I1143" s="607" t="str">
        <f t="shared" ref="I1143:I1234" si="48">+CONCATENATE(B1143,C1143,D1143)</f>
        <v>C16370TRAN VAN CANH050026933975</v>
      </c>
      <c r="J1143" s="853" t="str">
        <f>+VLOOKUP(B1143,'[5]04 2025'!$B$2:$F$1371,5,0)</f>
        <v>C16370TRAN VAN CANH050026933975</v>
      </c>
      <c r="K1143" s="607">
        <f t="shared" si="47"/>
        <v>1</v>
      </c>
      <c r="P1143" s="685"/>
    </row>
    <row r="1144" spans="1:16" s="607" customFormat="1" ht="18" customHeight="1">
      <c r="A1144" s="826">
        <f>SUBTOTAL(3,B$6:B1144)</f>
        <v>1139</v>
      </c>
      <c r="B1144" s="824" t="s">
        <v>3085</v>
      </c>
      <c r="C1144" s="824" t="str">
        <f>+VLOOKUP(B1144,'Salary sheet'!$B$6:$AX$1386,48,0)</f>
        <v>THI NUONG</v>
      </c>
      <c r="D1144" s="824" t="str">
        <f>+VLOOKUP(B1144,'Salary sheet'!$B$6:$BW$1386,49,0)</f>
        <v>050081496231</v>
      </c>
      <c r="E1144" s="620">
        <f>+VLOOKUP(B1144,'Salary sheet'!$B$6:$AT$1292,45,0)</f>
        <v>6999382</v>
      </c>
      <c r="F1144" s="1029" t="s">
        <v>5723</v>
      </c>
      <c r="G1144" s="824" t="str">
        <f>+VLOOKUP(B1144,'Salary sheet'!$B$6:$E$2281,4,0)</f>
        <v>SK2</v>
      </c>
      <c r="H1144" s="607" t="str">
        <f>+VLOOKUP(B1144,'Salary sheet'!$B$6:$AZ$1386,50,0)</f>
        <v>SK2</v>
      </c>
      <c r="I1144" s="607" t="str">
        <f t="shared" si="48"/>
        <v>C16437THI NUONG050081496231</v>
      </c>
      <c r="J1144" s="853" t="str">
        <f>+VLOOKUP(B1144,'[5]04 2025'!$B$2:$F$1371,5,0)</f>
        <v>C16437THI NUONG050081496231</v>
      </c>
      <c r="K1144" s="607">
        <f t="shared" si="47"/>
        <v>1</v>
      </c>
      <c r="P1144" s="685"/>
    </row>
    <row r="1145" spans="1:16" s="607" customFormat="1" ht="18" customHeight="1">
      <c r="A1145" s="826">
        <f>SUBTOTAL(3,B$6:B1145)</f>
        <v>1140</v>
      </c>
      <c r="B1145" s="824" t="s">
        <v>3086</v>
      </c>
      <c r="C1145" s="824" t="str">
        <f>+VLOOKUP(B1145,'Salary sheet'!$B$6:$AX$1386,48,0)</f>
        <v>RO MAH HUE</v>
      </c>
      <c r="D1145" s="824" t="str">
        <f>+VLOOKUP(B1145,'Salary sheet'!$B$6:$BW$1386,49,0)</f>
        <v>050158693736</v>
      </c>
      <c r="E1145" s="620">
        <f>+VLOOKUP(B1145,'Salary sheet'!$B$6:$AT$1292,45,0)</f>
        <v>7915917</v>
      </c>
      <c r="F1145" s="1029" t="s">
        <v>5723</v>
      </c>
      <c r="G1145" s="824" t="str">
        <f>+VLOOKUP(B1145,'Salary sheet'!$B$6:$E$2281,4,0)</f>
        <v>SK2</v>
      </c>
      <c r="H1145" s="607" t="str">
        <f>+VLOOKUP(B1145,'Salary sheet'!$B$6:$AZ$1386,50,0)</f>
        <v>SK2</v>
      </c>
      <c r="I1145" s="607" t="str">
        <f t="shared" si="48"/>
        <v>C16500RO MAH HUE050158693736</v>
      </c>
      <c r="J1145" s="853" t="str">
        <f>+VLOOKUP(B1145,'[5]04 2025'!$B$2:$F$1371,5,0)</f>
        <v>C16500RO MAH HUE050158693736</v>
      </c>
      <c r="K1145" s="607">
        <f t="shared" si="47"/>
        <v>1</v>
      </c>
      <c r="P1145" s="685"/>
    </row>
    <row r="1146" spans="1:16" s="607" customFormat="1" ht="18" customHeight="1">
      <c r="A1146" s="826">
        <f>SUBTOTAL(3,B$6:B1146)</f>
        <v>1141</v>
      </c>
      <c r="B1146" s="824" t="s">
        <v>3088</v>
      </c>
      <c r="C1146" s="824" t="str">
        <f>+VLOOKUP(B1146,'Salary sheet'!$B$6:$AX$1386,48,0)</f>
        <v>THI THU HIEN</v>
      </c>
      <c r="D1146" s="824" t="str">
        <f>+VLOOKUP(B1146,'Salary sheet'!$B$6:$BW$1386,49,0)</f>
        <v>050158900774</v>
      </c>
      <c r="E1146" s="620">
        <f>+VLOOKUP(B1146,'Salary sheet'!$B$6:$AT$1292,45,0)</f>
        <v>6535515</v>
      </c>
      <c r="F1146" s="1029" t="s">
        <v>5723</v>
      </c>
      <c r="G1146" s="824" t="str">
        <f>+VLOOKUP(B1146,'Salary sheet'!$B$6:$E$2281,4,0)</f>
        <v>SK2</v>
      </c>
      <c r="H1146" s="607" t="str">
        <f>+VLOOKUP(B1146,'Salary sheet'!$B$6:$AZ$1386,50,0)</f>
        <v>SK2</v>
      </c>
      <c r="I1146" s="607" t="str">
        <f t="shared" si="48"/>
        <v>C16506THI THU HIEN050158900774</v>
      </c>
      <c r="J1146" s="853" t="str">
        <f>+VLOOKUP(B1146,'[5]04 2025'!$B$2:$F$1371,5,0)</f>
        <v>C16506THI THU HIEN050158900774</v>
      </c>
      <c r="K1146" s="607">
        <f t="shared" si="47"/>
        <v>1</v>
      </c>
      <c r="P1146" s="685"/>
    </row>
    <row r="1147" spans="1:16" s="607" customFormat="1" ht="18" customHeight="1">
      <c r="A1147" s="826">
        <f>SUBTOTAL(3,B$6:B1147)</f>
        <v>1142</v>
      </c>
      <c r="B1147" s="824" t="s">
        <v>5795</v>
      </c>
      <c r="C1147" s="824" t="str">
        <f>+VLOOKUP(B1147,'Salary sheet'!$B$6:$AX$1386,48,0)</f>
        <v>THI KIM QUYEN</v>
      </c>
      <c r="D1147" s="824" t="str">
        <f>+VLOOKUP(B1147,'Salary sheet'!$B$6:$BW$1386,49,0)</f>
        <v>050141069184</v>
      </c>
      <c r="E1147" s="620">
        <f>+VLOOKUP(B1147,'Salary sheet'!$B$6:$AT$1292,45,0)</f>
        <v>7180643</v>
      </c>
      <c r="F1147" s="1029" t="s">
        <v>5723</v>
      </c>
      <c r="G1147" s="824" t="str">
        <f>+VLOOKUP(B1147,'Salary sheet'!$B$6:$E$2281,4,0)</f>
        <v>SK2</v>
      </c>
      <c r="H1147" s="607" t="str">
        <f>+VLOOKUP(B1147,'Salary sheet'!$B$6:$AZ$1386,50,0)</f>
        <v>SK2</v>
      </c>
      <c r="I1147" s="607" t="str">
        <f t="shared" si="48"/>
        <v>C16574THI KIM QUYEN050141069184</v>
      </c>
      <c r="J1147" s="853" t="str">
        <f>+VLOOKUP(B1147,'[5]04 2025'!$B$2:$F$1371,5,0)</f>
        <v>C16574THI KIM QUYEN050141069184</v>
      </c>
      <c r="K1147" s="607">
        <f t="shared" si="47"/>
        <v>1</v>
      </c>
      <c r="P1147" s="685"/>
    </row>
    <row r="1148" spans="1:16" s="607" customFormat="1" ht="18" customHeight="1">
      <c r="A1148" s="826">
        <f>SUBTOTAL(3,B$6:B1148)</f>
        <v>1143</v>
      </c>
      <c r="B1148" s="824" t="s">
        <v>5797</v>
      </c>
      <c r="C1148" s="824" t="str">
        <f>+VLOOKUP(B1148,'Salary sheet'!$B$6:$AX$1386,48,0)</f>
        <v>TRAN QUOC CHIEN</v>
      </c>
      <c r="D1148" s="824" t="str">
        <f>+VLOOKUP(B1148,'Salary sheet'!$B$6:$BW$1386,49,0)</f>
        <v>050159267218</v>
      </c>
      <c r="E1148" s="620">
        <f>+VLOOKUP(B1148,'Salary sheet'!$B$6:$AT$1292,45,0)</f>
        <v>7396546</v>
      </c>
      <c r="F1148" s="1029" t="s">
        <v>5723</v>
      </c>
      <c r="G1148" s="824" t="str">
        <f>+VLOOKUP(B1148,'Salary sheet'!$B$6:$E$2281,4,0)</f>
        <v>SK2</v>
      </c>
      <c r="H1148" s="607" t="str">
        <f>+VLOOKUP(B1148,'Salary sheet'!$B$6:$AZ$1386,50,0)</f>
        <v>SK2</v>
      </c>
      <c r="I1148" s="607" t="str">
        <f t="shared" si="48"/>
        <v>C16575TRAN QUOC CHIEN050159267218</v>
      </c>
      <c r="J1148" s="853" t="str">
        <f>+VLOOKUP(B1148,'[5]04 2025'!$B$2:$F$1371,5,0)</f>
        <v>C16575TRAN QUOC CHIEN050159267218</v>
      </c>
      <c r="K1148" s="607">
        <f t="shared" si="47"/>
        <v>1</v>
      </c>
      <c r="P1148" s="685"/>
    </row>
    <row r="1149" spans="1:16" s="607" customFormat="1" ht="18" customHeight="1">
      <c r="A1149" s="826">
        <f>SUBTOTAL(3,B$6:B1149)</f>
        <v>1144</v>
      </c>
      <c r="B1149" s="824" t="s">
        <v>5799</v>
      </c>
      <c r="C1149" s="824" t="str">
        <f>+VLOOKUP(B1149,'Salary sheet'!$B$6:$AX$1386,48,0)</f>
        <v>CHAU THI THU NGUYET</v>
      </c>
      <c r="D1149" s="824" t="str">
        <f>+VLOOKUP(B1149,'Salary sheet'!$B$6:$BW$1386,49,0)</f>
        <v>050158724895</v>
      </c>
      <c r="E1149" s="620">
        <f>+VLOOKUP(B1149,'Salary sheet'!$B$6:$AT$1292,45,0)</f>
        <v>7316047</v>
      </c>
      <c r="F1149" s="1029" t="s">
        <v>5723</v>
      </c>
      <c r="G1149" s="824" t="str">
        <f>+VLOOKUP(B1149,'Salary sheet'!$B$6:$E$2281,4,0)</f>
        <v>SK2</v>
      </c>
      <c r="H1149" s="607" t="str">
        <f>+VLOOKUP(B1149,'Salary sheet'!$B$6:$AZ$1386,50,0)</f>
        <v>SK2</v>
      </c>
      <c r="I1149" s="607" t="str">
        <f t="shared" si="48"/>
        <v>C16576CHAU THI THU NGUYET050158724895</v>
      </c>
      <c r="J1149" s="853" t="str">
        <f>+VLOOKUP(B1149,'[5]04 2025'!$B$2:$F$1371,5,0)</f>
        <v>C16576CHAU THI THU NGUYET050158724895</v>
      </c>
      <c r="K1149" s="607">
        <f t="shared" si="47"/>
        <v>1</v>
      </c>
      <c r="P1149" s="685"/>
    </row>
    <row r="1150" spans="1:16" s="607" customFormat="1" ht="18" customHeight="1">
      <c r="A1150" s="826">
        <f>SUBTOTAL(3,B$6:B1150)</f>
        <v>1145</v>
      </c>
      <c r="B1150" s="824" t="s">
        <v>3090</v>
      </c>
      <c r="C1150" s="824" t="str">
        <f>+VLOOKUP(B1150,'Salary sheet'!$B$6:$AX$1386,48,0)</f>
        <v>HO THI CHAU</v>
      </c>
      <c r="D1150" s="824" t="str">
        <f>+VLOOKUP(B1150,'Salary sheet'!$B$6:$BW$1386,49,0)</f>
        <v>050040875252</v>
      </c>
      <c r="E1150" s="620">
        <f>+VLOOKUP(B1150,'Salary sheet'!$B$6:$AT$1292,45,0)</f>
        <v>9462855</v>
      </c>
      <c r="F1150" s="1029" t="s">
        <v>5723</v>
      </c>
      <c r="G1150" s="824" t="str">
        <f>+VLOOKUP(B1150,'Salary sheet'!$B$6:$E$2281,4,0)</f>
        <v>SK2</v>
      </c>
      <c r="H1150" s="607" t="str">
        <f>+VLOOKUP(B1150,'Salary sheet'!$B$6:$AZ$1386,50,0)</f>
        <v>SK2</v>
      </c>
      <c r="I1150" s="607" t="str">
        <f t="shared" si="48"/>
        <v>C1671HO THI CHAU050040875252</v>
      </c>
      <c r="J1150" s="853" t="str">
        <f>+VLOOKUP(B1150,'[5]04 2025'!$B$2:$F$1371,5,0)</f>
        <v>C1671HO THI CHAU050040875252</v>
      </c>
      <c r="K1150" s="607">
        <f t="shared" si="47"/>
        <v>1</v>
      </c>
      <c r="P1150" s="685"/>
    </row>
    <row r="1151" spans="1:16" s="607" customFormat="1" ht="18" customHeight="1">
      <c r="A1151" s="826">
        <f>SUBTOTAL(3,B$6:B1151)</f>
        <v>1146</v>
      </c>
      <c r="B1151" s="824" t="s">
        <v>3092</v>
      </c>
      <c r="C1151" s="824" t="str">
        <f>+VLOOKUP(B1151,'Salary sheet'!$B$6:$AX$1386,48,0)</f>
        <v>HUYNH NGOC VUI</v>
      </c>
      <c r="D1151" s="824" t="str">
        <f>+VLOOKUP(B1151,'Salary sheet'!$B$6:$BW$1386,49,0)</f>
        <v>050020224034</v>
      </c>
      <c r="E1151" s="620">
        <f>+VLOOKUP(B1151,'Salary sheet'!$B$6:$AT$1292,45,0)</f>
        <v>9169529</v>
      </c>
      <c r="F1151" s="1029" t="s">
        <v>5723</v>
      </c>
      <c r="G1151" s="824" t="str">
        <f>+VLOOKUP(B1151,'Salary sheet'!$B$6:$E$2281,4,0)</f>
        <v>SK2</v>
      </c>
      <c r="H1151" s="607" t="str">
        <f>+VLOOKUP(B1151,'Salary sheet'!$B$6:$AZ$1386,50,0)</f>
        <v>SK2</v>
      </c>
      <c r="I1151" s="607" t="str">
        <f t="shared" si="48"/>
        <v>C5057HUYNH NGOC VUI050020224034</v>
      </c>
      <c r="J1151" s="853" t="str">
        <f>+VLOOKUP(B1151,'[5]04 2025'!$B$2:$F$1371,5,0)</f>
        <v>C5057HUYNH NGOC VUI050020224034</v>
      </c>
      <c r="K1151" s="607">
        <f t="shared" si="47"/>
        <v>1</v>
      </c>
      <c r="P1151" s="685"/>
    </row>
    <row r="1152" spans="1:16" s="607" customFormat="1" ht="18" customHeight="1">
      <c r="A1152" s="826">
        <f>SUBTOTAL(3,B$6:B1152)</f>
        <v>1147</v>
      </c>
      <c r="B1152" s="824" t="s">
        <v>3094</v>
      </c>
      <c r="C1152" s="824" t="str">
        <f>+VLOOKUP(B1152,'Salary sheet'!$B$6:$AX$1386,48,0)</f>
        <v>VO THI LE</v>
      </c>
      <c r="D1152" s="824" t="str">
        <f>+VLOOKUP(B1152,'Salary sheet'!$B$6:$BW$1386,49,0)</f>
        <v>050040933392</v>
      </c>
      <c r="E1152" s="620">
        <f>+VLOOKUP(B1152,'Salary sheet'!$B$6:$AT$1292,45,0)</f>
        <v>9371658</v>
      </c>
      <c r="F1152" s="1029" t="s">
        <v>5723</v>
      </c>
      <c r="G1152" s="824" t="str">
        <f>+VLOOKUP(B1152,'Salary sheet'!$B$6:$E$2281,4,0)</f>
        <v>SK2</v>
      </c>
      <c r="H1152" s="607" t="str">
        <f>+VLOOKUP(B1152,'Salary sheet'!$B$6:$AZ$1386,50,0)</f>
        <v>SK2</v>
      </c>
      <c r="I1152" s="607" t="str">
        <f t="shared" si="48"/>
        <v>C5878VO THI LE050040933392</v>
      </c>
      <c r="J1152" s="853" t="str">
        <f>+VLOOKUP(B1152,'[5]04 2025'!$B$2:$F$1371,5,0)</f>
        <v>C5878VO THI LE050040933392</v>
      </c>
      <c r="K1152" s="607">
        <f t="shared" si="47"/>
        <v>1</v>
      </c>
      <c r="P1152" s="685"/>
    </row>
    <row r="1153" spans="1:16" s="607" customFormat="1" ht="18" customHeight="1">
      <c r="A1153" s="826">
        <f>SUBTOTAL(3,B$6:B1153)</f>
        <v>1148</v>
      </c>
      <c r="B1153" s="824" t="s">
        <v>3096</v>
      </c>
      <c r="C1153" s="824" t="str">
        <f>+VLOOKUP(B1153,'Salary sheet'!$B$6:$AX$1386,48,0)</f>
        <v>LE THI BICH THUY</v>
      </c>
      <c r="D1153" s="824" t="str">
        <f>+VLOOKUP(B1153,'Salary sheet'!$B$6:$BW$1386,49,0)</f>
        <v>050096717811</v>
      </c>
      <c r="E1153" s="620">
        <f>+VLOOKUP(B1153,'Salary sheet'!$B$6:$AT$1292,45,0)</f>
        <v>9302082</v>
      </c>
      <c r="F1153" s="1029" t="s">
        <v>5723</v>
      </c>
      <c r="G1153" s="824" t="str">
        <f>+VLOOKUP(B1153,'Salary sheet'!$B$6:$E$2281,4,0)</f>
        <v>SK2</v>
      </c>
      <c r="H1153" s="607" t="str">
        <f>+VLOOKUP(B1153,'Salary sheet'!$B$6:$AZ$1386,50,0)</f>
        <v>SK2</v>
      </c>
      <c r="I1153" s="607" t="str">
        <f t="shared" si="48"/>
        <v>C7470LE THI BICH THUY050096717811</v>
      </c>
      <c r="J1153" s="853" t="str">
        <f>+VLOOKUP(B1153,'[5]04 2025'!$B$2:$F$1371,5,0)</f>
        <v>C7470LE THI BICH THUY050096717811</v>
      </c>
      <c r="K1153" s="607">
        <f t="shared" si="47"/>
        <v>1</v>
      </c>
      <c r="P1153" s="685"/>
    </row>
    <row r="1154" spans="1:16" s="607" customFormat="1" ht="18" customHeight="1">
      <c r="A1154" s="826">
        <f>SUBTOTAL(3,B$6:B1154)</f>
        <v>1149</v>
      </c>
      <c r="B1154" s="824" t="s">
        <v>3098</v>
      </c>
      <c r="C1154" s="824" t="str">
        <f>+VLOOKUP(B1154,'Salary sheet'!$B$6:$AX$1386,48,0)</f>
        <v>LE THI TRUC PHUONG</v>
      </c>
      <c r="D1154" s="824" t="str">
        <f>+VLOOKUP(B1154,'Salary sheet'!$B$6:$BW$1386,49,0)</f>
        <v>050098252239</v>
      </c>
      <c r="E1154" s="620">
        <f>+VLOOKUP(B1154,'Salary sheet'!$B$6:$AT$1292,45,0)</f>
        <v>9732628</v>
      </c>
      <c r="F1154" s="1029" t="s">
        <v>5723</v>
      </c>
      <c r="G1154" s="824" t="str">
        <f>+VLOOKUP(B1154,'Salary sheet'!$B$6:$E$2281,4,0)</f>
        <v>SK2</v>
      </c>
      <c r="H1154" s="607" t="str">
        <f>+VLOOKUP(B1154,'Salary sheet'!$B$6:$AZ$1386,50,0)</f>
        <v>SK2</v>
      </c>
      <c r="I1154" s="607" t="str">
        <f t="shared" si="48"/>
        <v>C7562LE THI TRUC PHUONG050098252239</v>
      </c>
      <c r="J1154" s="853" t="str">
        <f>+VLOOKUP(B1154,'[5]04 2025'!$B$2:$F$1371,5,0)</f>
        <v>C7562LE THI TRUC PHUONG050098252239</v>
      </c>
      <c r="K1154" s="607">
        <f t="shared" si="47"/>
        <v>1</v>
      </c>
      <c r="P1154" s="685"/>
    </row>
    <row r="1155" spans="1:16" s="607" customFormat="1" ht="18" customHeight="1">
      <c r="A1155" s="826">
        <f>SUBTOTAL(3,B$6:B1155)</f>
        <v>1150</v>
      </c>
      <c r="B1155" s="824" t="s">
        <v>3100</v>
      </c>
      <c r="C1155" s="824" t="str">
        <f>+VLOOKUP(B1155,'Salary sheet'!$B$6:$AX$1386,48,0)</f>
        <v>LONG VAN MAO</v>
      </c>
      <c r="D1155" s="824" t="str">
        <f>+VLOOKUP(B1155,'Salary sheet'!$B$6:$BW$1386,49,0)</f>
        <v>050066182204</v>
      </c>
      <c r="E1155" s="620">
        <f>+VLOOKUP(B1155,'Salary sheet'!$B$6:$AT$1292,45,0)</f>
        <v>9326295</v>
      </c>
      <c r="F1155" s="1029" t="s">
        <v>5723</v>
      </c>
      <c r="G1155" s="824" t="str">
        <f>+VLOOKUP(B1155,'Salary sheet'!$B$6:$E$2281,4,0)</f>
        <v>SK2</v>
      </c>
      <c r="H1155" s="607" t="str">
        <f>+VLOOKUP(B1155,'Salary sheet'!$B$6:$AZ$1386,50,0)</f>
        <v>SK2</v>
      </c>
      <c r="I1155" s="607" t="str">
        <f t="shared" si="48"/>
        <v>C7621LONG VAN MAO050066182204</v>
      </c>
      <c r="J1155" s="853" t="str">
        <f>+VLOOKUP(B1155,'[5]04 2025'!$B$2:$F$1371,5,0)</f>
        <v>C7621LONG VAN MAO050066182204</v>
      </c>
      <c r="K1155" s="607">
        <f t="shared" si="47"/>
        <v>1</v>
      </c>
      <c r="P1155" s="685"/>
    </row>
    <row r="1156" spans="1:16" s="607" customFormat="1" ht="18" customHeight="1">
      <c r="A1156" s="826">
        <f>SUBTOTAL(3,B$6:B1156)</f>
        <v>1151</v>
      </c>
      <c r="B1156" s="824" t="s">
        <v>3102</v>
      </c>
      <c r="C1156" s="824" t="str">
        <f>+VLOOKUP(B1156,'Salary sheet'!$B$6:$AX$1386,48,0)</f>
        <v>MAI NGUYEN GIANG HA</v>
      </c>
      <c r="D1156" s="824" t="str">
        <f>+VLOOKUP(B1156,'Salary sheet'!$B$6:$BW$1386,49,0)</f>
        <v>050105915753</v>
      </c>
      <c r="E1156" s="620">
        <f>+VLOOKUP(B1156,'Salary sheet'!$B$6:$AT$1292,45,0)</f>
        <v>8110459</v>
      </c>
      <c r="F1156" s="1029" t="s">
        <v>5723</v>
      </c>
      <c r="G1156" s="824" t="str">
        <f>+VLOOKUP(B1156,'Salary sheet'!$B$6:$E$2281,4,0)</f>
        <v>SK2</v>
      </c>
      <c r="H1156" s="607" t="str">
        <f>+VLOOKUP(B1156,'Salary sheet'!$B$6:$AZ$1386,50,0)</f>
        <v>SK2</v>
      </c>
      <c r="I1156" s="607" t="str">
        <f t="shared" si="48"/>
        <v>C7622MAI NGUYEN GIANG HA050105915753</v>
      </c>
      <c r="J1156" s="853" t="str">
        <f>+VLOOKUP(B1156,'[5]04 2025'!$B$2:$F$1371,5,0)</f>
        <v>C7622MAI NGUYEN GIANG HA050105915753</v>
      </c>
      <c r="K1156" s="607">
        <f t="shared" si="47"/>
        <v>1</v>
      </c>
      <c r="P1156" s="685"/>
    </row>
    <row r="1157" spans="1:16" s="607" customFormat="1" ht="18" customHeight="1">
      <c r="A1157" s="826">
        <f>SUBTOTAL(3,B$6:B1157)</f>
        <v>1152</v>
      </c>
      <c r="B1157" s="824" t="s">
        <v>3104</v>
      </c>
      <c r="C1157" s="824" t="str">
        <f>+VLOOKUP(B1157,'Salary sheet'!$B$6:$AX$1386,48,0)</f>
        <v>NGUYEN VAN LON</v>
      </c>
      <c r="D1157" s="824" t="str">
        <f>+VLOOKUP(B1157,'Salary sheet'!$B$6:$BW$1386,49,0)</f>
        <v>050104420319</v>
      </c>
      <c r="E1157" s="620">
        <f>+VLOOKUP(B1157,'Salary sheet'!$B$6:$AT$1292,45,0)</f>
        <v>9006685</v>
      </c>
      <c r="F1157" s="1029" t="s">
        <v>5723</v>
      </c>
      <c r="G1157" s="824" t="str">
        <f>+VLOOKUP(B1157,'Salary sheet'!$B$6:$E$2281,4,0)</f>
        <v>SK2</v>
      </c>
      <c r="H1157" s="607" t="str">
        <f>+VLOOKUP(B1157,'Salary sheet'!$B$6:$AZ$1386,50,0)</f>
        <v>SK2</v>
      </c>
      <c r="I1157" s="607" t="str">
        <f t="shared" si="48"/>
        <v>C8039NGUYEN VAN LON050104420319</v>
      </c>
      <c r="J1157" s="853" t="str">
        <f>+VLOOKUP(B1157,'[5]04 2025'!$B$2:$F$1371,5,0)</f>
        <v>C8039NGUYEN VAN LON050104420319</v>
      </c>
      <c r="K1157" s="607">
        <f t="shared" si="47"/>
        <v>1</v>
      </c>
      <c r="P1157" s="685"/>
    </row>
    <row r="1158" spans="1:16" s="607" customFormat="1" ht="18" customHeight="1">
      <c r="A1158" s="826">
        <f>SUBTOTAL(3,B$6:B1158)</f>
        <v>1153</v>
      </c>
      <c r="B1158" s="824" t="s">
        <v>3106</v>
      </c>
      <c r="C1158" s="824" t="str">
        <f>+VLOOKUP(B1158,'Salary sheet'!$B$6:$AX$1386,48,0)</f>
        <v>LAM SON</v>
      </c>
      <c r="D1158" s="824" t="str">
        <f>+VLOOKUP(B1158,'Salary sheet'!$B$6:$BW$1386,49,0)</f>
        <v>050028925570</v>
      </c>
      <c r="E1158" s="620">
        <f>+VLOOKUP(B1158,'Salary sheet'!$B$6:$AT$1292,45,0)</f>
        <v>9098738</v>
      </c>
      <c r="F1158" s="1029" t="s">
        <v>5723</v>
      </c>
      <c r="G1158" s="824" t="str">
        <f>+VLOOKUP(B1158,'Salary sheet'!$B$6:$E$2281,4,0)</f>
        <v>SK2</v>
      </c>
      <c r="H1158" s="607" t="str">
        <f>+VLOOKUP(B1158,'Salary sheet'!$B$6:$AZ$1386,50,0)</f>
        <v>SK2</v>
      </c>
      <c r="I1158" s="607" t="str">
        <f t="shared" si="48"/>
        <v>C8112LAM SON050028925570</v>
      </c>
      <c r="J1158" s="853" t="str">
        <f>+VLOOKUP(B1158,'[5]04 2025'!$B$2:$F$1371,5,0)</f>
        <v>C8112LAM SON050028925570</v>
      </c>
      <c r="K1158" s="607">
        <f t="shared" si="47"/>
        <v>1</v>
      </c>
      <c r="P1158" s="685"/>
    </row>
    <row r="1159" spans="1:16" s="607" customFormat="1" ht="18" customHeight="1">
      <c r="A1159" s="826">
        <f>SUBTOTAL(3,B$6:B1159)</f>
        <v>1154</v>
      </c>
      <c r="B1159" s="824" t="s">
        <v>3108</v>
      </c>
      <c r="C1159" s="824" t="str">
        <f>+VLOOKUP(B1159,'Salary sheet'!$B$6:$AX$1386,48,0)</f>
        <v>NGUYEN THI HIEN</v>
      </c>
      <c r="D1159" s="824" t="str">
        <f>+VLOOKUP(B1159,'Salary sheet'!$B$6:$BW$1386,49,0)</f>
        <v>050104420637</v>
      </c>
      <c r="E1159" s="620">
        <f>+VLOOKUP(B1159,'Salary sheet'!$B$6:$AT$1292,45,0)</f>
        <v>13119719</v>
      </c>
      <c r="F1159" s="1029" t="s">
        <v>5723</v>
      </c>
      <c r="G1159" s="824" t="str">
        <f>+VLOOKUP(B1159,'Salary sheet'!$B$6:$E$2281,4,0)</f>
        <v>SK2</v>
      </c>
      <c r="H1159" s="607" t="str">
        <f>+VLOOKUP(B1159,'Salary sheet'!$B$6:$AZ$1386,50,0)</f>
        <v>SK2</v>
      </c>
      <c r="I1159" s="607" t="str">
        <f t="shared" si="48"/>
        <v>C8231NGUYEN THI HIEN050104420637</v>
      </c>
      <c r="J1159" s="853" t="str">
        <f>+VLOOKUP(B1159,'[5]04 2025'!$B$2:$F$1371,5,0)</f>
        <v>C8231NGUYEN THI HIEN050104420637</v>
      </c>
      <c r="K1159" s="607">
        <f t="shared" si="47"/>
        <v>1</v>
      </c>
      <c r="P1159" s="685"/>
    </row>
    <row r="1160" spans="1:16" s="607" customFormat="1" ht="18" customHeight="1">
      <c r="A1160" s="826">
        <f>SUBTOTAL(3,B$6:B1160)</f>
        <v>1155</v>
      </c>
      <c r="B1160" s="824" t="s">
        <v>3110</v>
      </c>
      <c r="C1160" s="824" t="str">
        <f>+VLOOKUP(B1160,'Salary sheet'!$B$6:$AX$1386,48,0)</f>
        <v>PHAN THI HONG LUA</v>
      </c>
      <c r="D1160" s="824" t="str">
        <f>+VLOOKUP(B1160,'Salary sheet'!$B$6:$BW$1386,49,0)</f>
        <v>050104420459</v>
      </c>
      <c r="E1160" s="620">
        <f>+VLOOKUP(B1160,'Salary sheet'!$B$6:$AT$1292,45,0)</f>
        <v>9371906</v>
      </c>
      <c r="F1160" s="1029" t="s">
        <v>5723</v>
      </c>
      <c r="G1160" s="824" t="str">
        <f>+VLOOKUP(B1160,'Salary sheet'!$B$6:$E$2281,4,0)</f>
        <v>SK2</v>
      </c>
      <c r="H1160" s="607" t="str">
        <f>+VLOOKUP(B1160,'Salary sheet'!$B$6:$AZ$1386,50,0)</f>
        <v>SK2</v>
      </c>
      <c r="I1160" s="607" t="str">
        <f t="shared" si="48"/>
        <v>C8255PHAN THI HONG LUA050104420459</v>
      </c>
      <c r="J1160" s="853" t="str">
        <f>+VLOOKUP(B1160,'[5]04 2025'!$B$2:$F$1371,5,0)</f>
        <v>C8255PHAN THI HONG LUA050104420459</v>
      </c>
      <c r="K1160" s="607">
        <f t="shared" si="47"/>
        <v>1</v>
      </c>
      <c r="P1160" s="685"/>
    </row>
    <row r="1161" spans="1:16" s="607" customFormat="1" ht="18" customHeight="1">
      <c r="A1161" s="826">
        <f>SUBTOTAL(3,B$6:B1161)</f>
        <v>1156</v>
      </c>
      <c r="B1161" s="824" t="s">
        <v>3112</v>
      </c>
      <c r="C1161" s="824" t="str">
        <f>+VLOOKUP(B1161,'Salary sheet'!$B$6:$AX$1386,48,0)</f>
        <v>LU THI THOAN</v>
      </c>
      <c r="D1161" s="824" t="str">
        <f>+VLOOKUP(B1161,'Salary sheet'!$B$6:$BW$1386,49,0)</f>
        <v>050104424748</v>
      </c>
      <c r="E1161" s="620">
        <f>+VLOOKUP(B1161,'Salary sheet'!$B$6:$AT$1292,45,0)</f>
        <v>6775431</v>
      </c>
      <c r="F1161" s="1029" t="s">
        <v>5723</v>
      </c>
      <c r="G1161" s="824" t="str">
        <f>+VLOOKUP(B1161,'Salary sheet'!$B$6:$E$2281,4,0)</f>
        <v>SK2</v>
      </c>
      <c r="H1161" s="607" t="str">
        <f>+VLOOKUP(B1161,'Salary sheet'!$B$6:$AZ$1386,50,0)</f>
        <v>SK2</v>
      </c>
      <c r="I1161" s="607" t="str">
        <f t="shared" si="48"/>
        <v>C8354LU THI THOAN050104424748</v>
      </c>
      <c r="J1161" s="853" t="str">
        <f>+VLOOKUP(B1161,'[5]04 2025'!$B$2:$F$1371,5,0)</f>
        <v>C8354LU THI THOAN050104424748</v>
      </c>
      <c r="K1161" s="607">
        <f t="shared" si="47"/>
        <v>1</v>
      </c>
      <c r="P1161" s="685"/>
    </row>
    <row r="1162" spans="1:16" s="607" customFormat="1" ht="18" customHeight="1">
      <c r="A1162" s="826">
        <f>SUBTOTAL(3,B$6:B1162)</f>
        <v>1157</v>
      </c>
      <c r="B1162" s="824" t="s">
        <v>3114</v>
      </c>
      <c r="C1162" s="824" t="str">
        <f>+VLOOKUP(B1162,'Salary sheet'!$B$6:$AX$1386,48,0)</f>
        <v>THI GAI</v>
      </c>
      <c r="D1162" s="824" t="str">
        <f>+VLOOKUP(B1162,'Salary sheet'!$B$6:$BW$1386,49,0)</f>
        <v>050104420361</v>
      </c>
      <c r="E1162" s="620">
        <f>+VLOOKUP(B1162,'Salary sheet'!$B$6:$AT$1292,45,0)</f>
        <v>9416795</v>
      </c>
      <c r="F1162" s="1029" t="s">
        <v>5723</v>
      </c>
      <c r="G1162" s="824" t="str">
        <f>+VLOOKUP(B1162,'Salary sheet'!$B$6:$E$2281,4,0)</f>
        <v>SK2</v>
      </c>
      <c r="H1162" s="607" t="str">
        <f>+VLOOKUP(B1162,'Salary sheet'!$B$6:$AZ$1386,50,0)</f>
        <v>SK2</v>
      </c>
      <c r="I1162" s="607" t="str">
        <f t="shared" si="48"/>
        <v>C8365THI GAI050104420361</v>
      </c>
      <c r="J1162" s="853" t="str">
        <f>+VLOOKUP(B1162,'[5]04 2025'!$B$2:$F$1371,5,0)</f>
        <v>C8365THI GAI050104420361</v>
      </c>
      <c r="K1162" s="607">
        <f t="shared" si="47"/>
        <v>1</v>
      </c>
      <c r="P1162" s="685"/>
    </row>
    <row r="1163" spans="1:16" s="607" customFormat="1" ht="18" customHeight="1">
      <c r="A1163" s="826">
        <f>SUBTOTAL(3,B$6:B1163)</f>
        <v>1158</v>
      </c>
      <c r="B1163" s="824" t="s">
        <v>3116</v>
      </c>
      <c r="C1163" s="824" t="str">
        <f>+VLOOKUP(B1163,'Salary sheet'!$B$6:$AX$1386,48,0)</f>
        <v>NGO THI DUONG</v>
      </c>
      <c r="D1163" s="824" t="str">
        <f>+VLOOKUP(B1163,'Salary sheet'!$B$6:$BW$1386,49,0)</f>
        <v>050104420270</v>
      </c>
      <c r="E1163" s="620">
        <f>+VLOOKUP(B1163,'Salary sheet'!$B$6:$AT$1292,45,0)</f>
        <v>9443335</v>
      </c>
      <c r="F1163" s="1029" t="s">
        <v>5723</v>
      </c>
      <c r="G1163" s="824" t="str">
        <f>+VLOOKUP(B1163,'Salary sheet'!$B$6:$E$2281,4,0)</f>
        <v>SK2</v>
      </c>
      <c r="H1163" s="607" t="str">
        <f>+VLOOKUP(B1163,'Salary sheet'!$B$6:$AZ$1386,50,0)</f>
        <v>SK2</v>
      </c>
      <c r="I1163" s="607" t="str">
        <f t="shared" si="48"/>
        <v>C8379NGO THI DUONG050104420270</v>
      </c>
      <c r="J1163" s="853" t="str">
        <f>+VLOOKUP(B1163,'[5]04 2025'!$B$2:$F$1371,5,0)</f>
        <v>C8379NGO THI DUONG050104420270</v>
      </c>
      <c r="K1163" s="607">
        <f t="shared" si="47"/>
        <v>1</v>
      </c>
      <c r="P1163" s="685"/>
    </row>
    <row r="1164" spans="1:16" s="607" customFormat="1" ht="18" customHeight="1">
      <c r="A1164" s="826">
        <f>SUBTOTAL(3,B$6:B1164)</f>
        <v>1159</v>
      </c>
      <c r="B1164" s="824" t="s">
        <v>3118</v>
      </c>
      <c r="C1164" s="824" t="str">
        <f>+VLOOKUP(B1164,'Salary sheet'!$B$6:$AX$1386,48,0)</f>
        <v>TRAN SA MAI</v>
      </c>
      <c r="D1164" s="824" t="str">
        <f>+VLOOKUP(B1164,'Salary sheet'!$B$6:$BW$1386,49,0)</f>
        <v>050067867669</v>
      </c>
      <c r="E1164" s="620">
        <f>+VLOOKUP(B1164,'Salary sheet'!$B$6:$AT$1292,45,0)</f>
        <v>9586065</v>
      </c>
      <c r="F1164" s="1029" t="s">
        <v>5723</v>
      </c>
      <c r="G1164" s="824" t="str">
        <f>+VLOOKUP(B1164,'Salary sheet'!$B$6:$E$2281,4,0)</f>
        <v>SK2</v>
      </c>
      <c r="H1164" s="607" t="str">
        <f>+VLOOKUP(B1164,'Salary sheet'!$B$6:$AZ$1386,50,0)</f>
        <v>SK2</v>
      </c>
      <c r="I1164" s="607" t="str">
        <f t="shared" si="48"/>
        <v>C8394TRAN SA MAI050067867669</v>
      </c>
      <c r="J1164" s="853" t="str">
        <f>+VLOOKUP(B1164,'[5]04 2025'!$B$2:$F$1371,5,0)</f>
        <v>C8394TRAN SA MAI050067867669</v>
      </c>
      <c r="K1164" s="607">
        <f t="shared" si="47"/>
        <v>1</v>
      </c>
      <c r="P1164" s="685"/>
    </row>
    <row r="1165" spans="1:16" s="607" customFormat="1" ht="18" customHeight="1">
      <c r="A1165" s="826">
        <f>SUBTOTAL(3,B$6:B1165)</f>
        <v>1160</v>
      </c>
      <c r="B1165" s="824" t="s">
        <v>3120</v>
      </c>
      <c r="C1165" s="824" t="str">
        <f>+VLOOKUP(B1165,'Salary sheet'!$B$6:$AX$1386,48,0)</f>
        <v>PHUNG THI TUYEN</v>
      </c>
      <c r="D1165" s="824" t="str">
        <f>+VLOOKUP(B1165,'Salary sheet'!$B$6:$BW$1386,49,0)</f>
        <v>050105915966</v>
      </c>
      <c r="E1165" s="620">
        <f>+VLOOKUP(B1165,'Salary sheet'!$B$6:$AT$1292,45,0)</f>
        <v>9369067</v>
      </c>
      <c r="F1165" s="1029" t="s">
        <v>5723</v>
      </c>
      <c r="G1165" s="824" t="str">
        <f>+VLOOKUP(B1165,'Salary sheet'!$B$6:$E$2281,4,0)</f>
        <v>SK2</v>
      </c>
      <c r="H1165" s="607" t="str">
        <f>+VLOOKUP(B1165,'Salary sheet'!$B$6:$AZ$1386,50,0)</f>
        <v>SK2</v>
      </c>
      <c r="I1165" s="607" t="str">
        <f t="shared" si="48"/>
        <v>C8486PHUNG THI TUYEN050105915966</v>
      </c>
      <c r="J1165" s="853" t="str">
        <f>+VLOOKUP(B1165,'[5]04 2025'!$B$2:$F$1371,5,0)</f>
        <v>C8486PHUNG THI TUYEN050105915966</v>
      </c>
      <c r="K1165" s="607">
        <f t="shared" si="47"/>
        <v>1</v>
      </c>
      <c r="P1165" s="685"/>
    </row>
    <row r="1166" spans="1:16" s="607" customFormat="1" ht="18" customHeight="1">
      <c r="A1166" s="826">
        <f>SUBTOTAL(3,B$6:B1166)</f>
        <v>1161</v>
      </c>
      <c r="B1166" s="824" t="s">
        <v>3122</v>
      </c>
      <c r="C1166" s="824" t="str">
        <f>+VLOOKUP(B1166,'Salary sheet'!$B$6:$AX$1386,48,0)</f>
        <v>NGUYEN THI LE NGA</v>
      </c>
      <c r="D1166" s="824" t="str">
        <f>+VLOOKUP(B1166,'Salary sheet'!$B$6:$BW$1386,49,0)</f>
        <v>050040871990</v>
      </c>
      <c r="E1166" s="620">
        <f>+VLOOKUP(B1166,'Salary sheet'!$B$6:$AT$1292,45,0)</f>
        <v>9091827</v>
      </c>
      <c r="F1166" s="1029" t="s">
        <v>5723</v>
      </c>
      <c r="G1166" s="824" t="str">
        <f>+VLOOKUP(B1166,'Salary sheet'!$B$6:$E$2281,4,0)</f>
        <v>SK2</v>
      </c>
      <c r="H1166" s="607" t="str">
        <f>+VLOOKUP(B1166,'Salary sheet'!$B$6:$AZ$1386,50,0)</f>
        <v>SK2</v>
      </c>
      <c r="I1166" s="607" t="str">
        <f t="shared" si="48"/>
        <v>C0176NGUYEN THI LE NGA050040871990</v>
      </c>
      <c r="J1166" s="853" t="str">
        <f>+VLOOKUP(B1166,'[5]04 2025'!$B$2:$F$1371,5,0)</f>
        <v>C0176NGUYEN THI LE NGA050040871990</v>
      </c>
      <c r="K1166" s="607">
        <f t="shared" si="47"/>
        <v>1</v>
      </c>
      <c r="P1166" s="685"/>
    </row>
    <row r="1167" spans="1:16" s="607" customFormat="1" ht="18" customHeight="1">
      <c r="A1167" s="826">
        <f>SUBTOTAL(3,B$6:B1167)</f>
        <v>1162</v>
      </c>
      <c r="B1167" s="824" t="s">
        <v>3124</v>
      </c>
      <c r="C1167" s="824" t="str">
        <f>+VLOOKUP(B1167,'Salary sheet'!$B$6:$AX$1386,48,0)</f>
        <v>HO THI NGAN</v>
      </c>
      <c r="D1167" s="824" t="str">
        <f>+VLOOKUP(B1167,'Salary sheet'!$B$6:$BW$1386,49,0)</f>
        <v>050062802720</v>
      </c>
      <c r="E1167" s="620">
        <f>+VLOOKUP(B1167,'Salary sheet'!$B$6:$AT$1292,45,0)</f>
        <v>9369618</v>
      </c>
      <c r="F1167" s="1029" t="s">
        <v>5723</v>
      </c>
      <c r="G1167" s="824" t="str">
        <f>+VLOOKUP(B1167,'Salary sheet'!$B$6:$E$2281,4,0)</f>
        <v>SK2</v>
      </c>
      <c r="H1167" s="607" t="str">
        <f>+VLOOKUP(B1167,'Salary sheet'!$B$6:$AZ$1386,50,0)</f>
        <v>SK2</v>
      </c>
      <c r="I1167" s="607" t="str">
        <f t="shared" si="48"/>
        <v>C10417HO THI NGAN050062802720</v>
      </c>
      <c r="J1167" s="853" t="str">
        <f>+VLOOKUP(B1167,'[5]04 2025'!$B$2:$F$1371,5,0)</f>
        <v>C10417HO THI NGAN050062802720</v>
      </c>
      <c r="K1167" s="607">
        <f t="shared" si="47"/>
        <v>1</v>
      </c>
      <c r="P1167" s="685"/>
    </row>
    <row r="1168" spans="1:16" s="607" customFormat="1" ht="18" customHeight="1">
      <c r="A1168" s="826">
        <f>SUBTOTAL(3,B$6:B1168)</f>
        <v>1163</v>
      </c>
      <c r="B1168" s="824" t="s">
        <v>3126</v>
      </c>
      <c r="C1168" s="824" t="str">
        <f>+VLOOKUP(B1168,'Salary sheet'!$B$6:$AX$1386,48,0)</f>
        <v>TRAN THI NGOC THUY</v>
      </c>
      <c r="D1168" s="824" t="str">
        <f>+VLOOKUP(B1168,'Salary sheet'!$B$6:$BW$1386,49,0)</f>
        <v>050108990527</v>
      </c>
      <c r="E1168" s="620">
        <f>+VLOOKUP(B1168,'Salary sheet'!$B$6:$AT$1292,45,0)</f>
        <v>9395417</v>
      </c>
      <c r="F1168" s="1029" t="s">
        <v>5723</v>
      </c>
      <c r="G1168" s="824" t="str">
        <f>+VLOOKUP(B1168,'Salary sheet'!$B$6:$E$2281,4,0)</f>
        <v>SK2</v>
      </c>
      <c r="H1168" s="607" t="str">
        <f>+VLOOKUP(B1168,'Salary sheet'!$B$6:$AZ$1386,50,0)</f>
        <v>SK2</v>
      </c>
      <c r="I1168" s="607" t="str">
        <f t="shared" si="48"/>
        <v>C10910TRAN THI NGOC THUY050108990527</v>
      </c>
      <c r="J1168" s="853" t="str">
        <f>+VLOOKUP(B1168,'[5]04 2025'!$B$2:$F$1371,5,0)</f>
        <v>C10910TRAN THI NGOC THUY050108990527</v>
      </c>
      <c r="K1168" s="607">
        <f t="shared" si="47"/>
        <v>1</v>
      </c>
      <c r="P1168" s="685"/>
    </row>
    <row r="1169" spans="1:16" s="607" customFormat="1" ht="18" customHeight="1">
      <c r="A1169" s="826">
        <f>SUBTOTAL(3,B$6:B1169)</f>
        <v>1164</v>
      </c>
      <c r="B1169" s="824" t="s">
        <v>3128</v>
      </c>
      <c r="C1169" s="824" t="str">
        <f>+VLOOKUP(B1169,'Salary sheet'!$B$6:$AX$1386,48,0)</f>
        <v>VU CAO DAI</v>
      </c>
      <c r="D1169" s="824" t="str">
        <f>+VLOOKUP(B1169,'Salary sheet'!$B$6:$BW$1386,49,0)</f>
        <v>050106514353</v>
      </c>
      <c r="E1169" s="620">
        <f>+VLOOKUP(B1169,'Salary sheet'!$B$6:$AT$1292,45,0)</f>
        <v>9444310</v>
      </c>
      <c r="F1169" s="1029" t="s">
        <v>5723</v>
      </c>
      <c r="G1169" s="824" t="str">
        <f>+VLOOKUP(B1169,'Salary sheet'!$B$6:$E$2281,4,0)</f>
        <v>SK2</v>
      </c>
      <c r="H1169" s="607" t="str">
        <f>+VLOOKUP(B1169,'Salary sheet'!$B$6:$AZ$1386,50,0)</f>
        <v>SK2</v>
      </c>
      <c r="I1169" s="607" t="str">
        <f t="shared" si="48"/>
        <v>C11130VU CAO DAI050106514353</v>
      </c>
      <c r="J1169" s="853" t="str">
        <f>+VLOOKUP(B1169,'[5]04 2025'!$B$2:$F$1371,5,0)</f>
        <v>C11130VU CAO DAI050106514353</v>
      </c>
      <c r="K1169" s="607">
        <f t="shared" si="47"/>
        <v>1</v>
      </c>
      <c r="P1169" s="685"/>
    </row>
    <row r="1170" spans="1:16" s="607" customFormat="1" ht="18" customHeight="1">
      <c r="A1170" s="826">
        <f>SUBTOTAL(3,B$6:B1170)</f>
        <v>1165</v>
      </c>
      <c r="B1170" s="824" t="s">
        <v>3130</v>
      </c>
      <c r="C1170" s="824" t="str">
        <f>+VLOOKUP(B1170,'Salary sheet'!$B$6:$AX$1386,48,0)</f>
        <v>THAI MINH THUY</v>
      </c>
      <c r="D1170" s="824" t="str">
        <f>+VLOOKUP(B1170,'Salary sheet'!$B$6:$BW$1386,49,0)</f>
        <v>050112982040</v>
      </c>
      <c r="E1170" s="620">
        <f>+VLOOKUP(B1170,'Salary sheet'!$B$6:$AT$1292,45,0)</f>
        <v>9426297</v>
      </c>
      <c r="F1170" s="1029" t="s">
        <v>5723</v>
      </c>
      <c r="G1170" s="824" t="str">
        <f>+VLOOKUP(B1170,'Salary sheet'!$B$6:$E$2281,4,0)</f>
        <v>SK2</v>
      </c>
      <c r="H1170" s="607" t="str">
        <f>+VLOOKUP(B1170,'Salary sheet'!$B$6:$AZ$1386,50,0)</f>
        <v>SK2</v>
      </c>
      <c r="I1170" s="607" t="str">
        <f t="shared" si="48"/>
        <v>C11448THAI MINH THUY050112982040</v>
      </c>
      <c r="J1170" s="853" t="str">
        <f>+VLOOKUP(B1170,'[5]04 2025'!$B$2:$F$1371,5,0)</f>
        <v>C11448THAI MINH THUY050112982040</v>
      </c>
      <c r="K1170" s="607">
        <f t="shared" si="47"/>
        <v>1</v>
      </c>
      <c r="P1170" s="685"/>
    </row>
    <row r="1171" spans="1:16" s="607" customFormat="1" ht="18" customHeight="1">
      <c r="A1171" s="826">
        <f>SUBTOTAL(3,B$6:B1171)</f>
        <v>1166</v>
      </c>
      <c r="B1171" s="824" t="s">
        <v>3132</v>
      </c>
      <c r="C1171" s="824" t="str">
        <f>+VLOOKUP(B1171,'Salary sheet'!$B$6:$AX$1386,48,0)</f>
        <v>SIU SUEL</v>
      </c>
      <c r="D1171" s="824" t="str">
        <f>+VLOOKUP(B1171,'Salary sheet'!$B$6:$BW$1386,49,0)</f>
        <v>050112979546</v>
      </c>
      <c r="E1171" s="620">
        <f>+VLOOKUP(B1171,'Salary sheet'!$B$6:$AT$1292,45,0)</f>
        <v>9336430</v>
      </c>
      <c r="F1171" s="1029" t="s">
        <v>5723</v>
      </c>
      <c r="G1171" s="824" t="str">
        <f>+VLOOKUP(B1171,'Salary sheet'!$B$6:$E$2281,4,0)</f>
        <v>SK2</v>
      </c>
      <c r="H1171" s="607" t="str">
        <f>+VLOOKUP(B1171,'Salary sheet'!$B$6:$AZ$1386,50,0)</f>
        <v>SK2</v>
      </c>
      <c r="I1171" s="607" t="str">
        <f t="shared" si="48"/>
        <v>C11491SIU SUEL050112979546</v>
      </c>
      <c r="J1171" s="853" t="str">
        <f>+VLOOKUP(B1171,'[5]04 2025'!$B$2:$F$1371,5,0)</f>
        <v>C11491SIU SUEL050112979546</v>
      </c>
      <c r="K1171" s="607">
        <f t="shared" si="47"/>
        <v>1</v>
      </c>
      <c r="P1171" s="685"/>
    </row>
    <row r="1172" spans="1:16" s="607" customFormat="1" ht="18" customHeight="1">
      <c r="A1172" s="826">
        <f>SUBTOTAL(3,B$6:B1172)</f>
        <v>1167</v>
      </c>
      <c r="B1172" s="824" t="s">
        <v>3134</v>
      </c>
      <c r="C1172" s="824" t="str">
        <f>+VLOOKUP(B1172,'Salary sheet'!$B$6:$AX$1386,48,0)</f>
        <v>SIU SEM</v>
      </c>
      <c r="D1172" s="824" t="str">
        <f>+VLOOKUP(B1172,'Salary sheet'!$B$6:$BW$1386,49,0)</f>
        <v>050091201256</v>
      </c>
      <c r="E1172" s="620">
        <f>+VLOOKUP(B1172,'Salary sheet'!$B$6:$AT$1292,45,0)</f>
        <v>9509352</v>
      </c>
      <c r="F1172" s="1029" t="s">
        <v>5723</v>
      </c>
      <c r="G1172" s="824" t="str">
        <f>+VLOOKUP(B1172,'Salary sheet'!$B$6:$E$2281,4,0)</f>
        <v>SK2</v>
      </c>
      <c r="H1172" s="607" t="str">
        <f>+VLOOKUP(B1172,'Salary sheet'!$B$6:$AZ$1386,50,0)</f>
        <v>SK2</v>
      </c>
      <c r="I1172" s="607" t="str">
        <f t="shared" si="48"/>
        <v>C11558SIU SEM050091201256</v>
      </c>
      <c r="J1172" s="853" t="str">
        <f>+VLOOKUP(B1172,'[5]04 2025'!$B$2:$F$1371,5,0)</f>
        <v>C11558SIU SEM050091201256</v>
      </c>
      <c r="K1172" s="607">
        <f t="shared" si="47"/>
        <v>1</v>
      </c>
      <c r="P1172" s="685"/>
    </row>
    <row r="1173" spans="1:16" s="607" customFormat="1" ht="18" customHeight="1">
      <c r="A1173" s="826">
        <f>SUBTOTAL(3,B$6:B1173)</f>
        <v>1168</v>
      </c>
      <c r="B1173" s="824" t="s">
        <v>3136</v>
      </c>
      <c r="C1173" s="824" t="str">
        <f>+VLOOKUP(B1173,'Salary sheet'!$B$6:$AX$1386,48,0)</f>
        <v>VO VAN DAT</v>
      </c>
      <c r="D1173" s="824" t="str">
        <f>+VLOOKUP(B1173,'Salary sheet'!$B$6:$BW$1386,49,0)</f>
        <v>050113179136</v>
      </c>
      <c r="E1173" s="620">
        <f>+VLOOKUP(B1173,'Salary sheet'!$B$6:$AT$1292,45,0)</f>
        <v>7246637</v>
      </c>
      <c r="F1173" s="1029" t="s">
        <v>5723</v>
      </c>
      <c r="G1173" s="824" t="str">
        <f>+VLOOKUP(B1173,'Salary sheet'!$B$6:$E$2281,4,0)</f>
        <v>SK2</v>
      </c>
      <c r="H1173" s="607" t="str">
        <f>+VLOOKUP(B1173,'Salary sheet'!$B$6:$AZ$1386,50,0)</f>
        <v>SK2</v>
      </c>
      <c r="I1173" s="607" t="str">
        <f t="shared" si="48"/>
        <v>C11564VO VAN DAT050113179136</v>
      </c>
      <c r="J1173" s="853" t="str">
        <f>+VLOOKUP(B1173,'[5]04 2025'!$B$2:$F$1371,5,0)</f>
        <v>C11564VO VAN DAT050113179136</v>
      </c>
      <c r="K1173" s="607">
        <f t="shared" si="47"/>
        <v>1</v>
      </c>
      <c r="P1173" s="685"/>
    </row>
    <row r="1174" spans="1:16" s="607" customFormat="1" ht="18" customHeight="1">
      <c r="A1174" s="826">
        <f>SUBTOTAL(3,B$6:B1174)</f>
        <v>1169</v>
      </c>
      <c r="B1174" s="824" t="s">
        <v>3138</v>
      </c>
      <c r="C1174" s="824" t="str">
        <f>+VLOOKUP(B1174,'Salary sheet'!$B$6:$AX$1386,48,0)</f>
        <v>THI ME</v>
      </c>
      <c r="D1174" s="824" t="str">
        <f>+VLOOKUP(B1174,'Salary sheet'!$B$6:$BW$1386,49,0)</f>
        <v>050113179179</v>
      </c>
      <c r="E1174" s="620">
        <f>+VLOOKUP(B1174,'Salary sheet'!$B$6:$AT$1292,45,0)</f>
        <v>8736268</v>
      </c>
      <c r="F1174" s="1029" t="s">
        <v>5723</v>
      </c>
      <c r="G1174" s="824" t="str">
        <f>+VLOOKUP(B1174,'Salary sheet'!$B$6:$E$2281,4,0)</f>
        <v>SK2</v>
      </c>
      <c r="H1174" s="607" t="str">
        <f>+VLOOKUP(B1174,'Salary sheet'!$B$6:$AZ$1386,50,0)</f>
        <v>SK2</v>
      </c>
      <c r="I1174" s="607" t="str">
        <f t="shared" si="48"/>
        <v>C11565THI ME050113179179</v>
      </c>
      <c r="J1174" s="853" t="str">
        <f>+VLOOKUP(B1174,'[5]04 2025'!$B$2:$F$1371,5,0)</f>
        <v>C11565THI ME050113179179</v>
      </c>
      <c r="K1174" s="607">
        <f t="shared" si="47"/>
        <v>1</v>
      </c>
      <c r="P1174" s="685"/>
    </row>
    <row r="1175" spans="1:16" s="607" customFormat="1" ht="18" customHeight="1">
      <c r="A1175" s="826">
        <f>SUBTOTAL(3,B$6:B1175)</f>
        <v>1170</v>
      </c>
      <c r="B1175" s="824" t="s">
        <v>3140</v>
      </c>
      <c r="C1175" s="824" t="str">
        <f>+VLOOKUP(B1175,'Salary sheet'!$B$6:$AX$1386,48,0)</f>
        <v>THI THAN THUY</v>
      </c>
      <c r="D1175" s="824" t="str">
        <f>+VLOOKUP(B1175,'Salary sheet'!$B$6:$BW$1386,49,0)</f>
        <v>050114066297</v>
      </c>
      <c r="E1175" s="620">
        <f>+VLOOKUP(B1175,'Salary sheet'!$B$6:$AT$1292,45,0)</f>
        <v>9050126</v>
      </c>
      <c r="F1175" s="1029" t="s">
        <v>5723</v>
      </c>
      <c r="G1175" s="824" t="str">
        <f>+VLOOKUP(B1175,'Salary sheet'!$B$6:$E$2281,4,0)</f>
        <v>SK2</v>
      </c>
      <c r="H1175" s="607" t="str">
        <f>+VLOOKUP(B1175,'Salary sheet'!$B$6:$AZ$1386,50,0)</f>
        <v>SK2</v>
      </c>
      <c r="I1175" s="607" t="str">
        <f t="shared" si="48"/>
        <v>C11622THI THAN THUY050114066297</v>
      </c>
      <c r="J1175" s="853" t="str">
        <f>+VLOOKUP(B1175,'[5]04 2025'!$B$2:$F$1371,5,0)</f>
        <v>C11622THI THAN THUY050114066297</v>
      </c>
      <c r="K1175" s="607">
        <f t="shared" si="47"/>
        <v>1</v>
      </c>
      <c r="P1175" s="685"/>
    </row>
    <row r="1176" spans="1:16" s="607" customFormat="1" ht="18" customHeight="1">
      <c r="A1176" s="826">
        <f>SUBTOTAL(3,B$6:B1176)</f>
        <v>1171</v>
      </c>
      <c r="B1176" s="824" t="s">
        <v>3142</v>
      </c>
      <c r="C1176" s="824" t="str">
        <f>+VLOOKUP(B1176,'Salary sheet'!$B$6:$AX$1386,48,0)</f>
        <v>LY HUNG</v>
      </c>
      <c r="D1176" s="824" t="str">
        <f>+VLOOKUP(B1176,'Salary sheet'!$B$6:$BW$1386,49,0)</f>
        <v>050116653394</v>
      </c>
      <c r="E1176" s="620">
        <f>+VLOOKUP(B1176,'Salary sheet'!$B$6:$AT$1292,45,0)</f>
        <v>8066734</v>
      </c>
      <c r="F1176" s="1029" t="s">
        <v>5723</v>
      </c>
      <c r="G1176" s="824" t="str">
        <f>+VLOOKUP(B1176,'Salary sheet'!$B$6:$E$2281,4,0)</f>
        <v>SK2</v>
      </c>
      <c r="H1176" s="607" t="str">
        <f>+VLOOKUP(B1176,'Salary sheet'!$B$6:$AZ$1386,50,0)</f>
        <v>SK2</v>
      </c>
      <c r="I1176" s="607" t="str">
        <f t="shared" si="48"/>
        <v>C11946LY HUNG050116653394</v>
      </c>
      <c r="J1176" s="853" t="str">
        <f>+VLOOKUP(B1176,'[5]04 2025'!$B$2:$F$1371,5,0)</f>
        <v>C11946LY HUNG050116653394</v>
      </c>
      <c r="K1176" s="607">
        <f t="shared" si="47"/>
        <v>1</v>
      </c>
      <c r="P1176" s="685"/>
    </row>
    <row r="1177" spans="1:16" s="607" customFormat="1" ht="18" customHeight="1">
      <c r="A1177" s="826">
        <f>SUBTOTAL(3,B$6:B1177)</f>
        <v>1172</v>
      </c>
      <c r="B1177" s="824" t="s">
        <v>3144</v>
      </c>
      <c r="C1177" s="824" t="str">
        <f>+VLOOKUP(B1177,'Salary sheet'!$B$6:$AX$1386,48,0)</f>
        <v>NGUYEN CHI HUONG</v>
      </c>
      <c r="D1177" s="824" t="str">
        <f>+VLOOKUP(B1177,'Salary sheet'!$B$6:$BW$1386,49,0)</f>
        <v>050116653191</v>
      </c>
      <c r="E1177" s="620">
        <f>+VLOOKUP(B1177,'Salary sheet'!$B$6:$AT$1292,45,0)</f>
        <v>9320970</v>
      </c>
      <c r="F1177" s="1029" t="s">
        <v>5723</v>
      </c>
      <c r="G1177" s="824" t="str">
        <f>+VLOOKUP(B1177,'Salary sheet'!$B$6:$E$2281,4,0)</f>
        <v>SK2</v>
      </c>
      <c r="H1177" s="607" t="str">
        <f>+VLOOKUP(B1177,'Salary sheet'!$B$6:$AZ$1386,50,0)</f>
        <v>SK2</v>
      </c>
      <c r="I1177" s="607" t="str">
        <f t="shared" si="48"/>
        <v>C12016NGUYEN CHI HUONG050116653191</v>
      </c>
      <c r="J1177" s="853" t="str">
        <f>+VLOOKUP(B1177,'[5]04 2025'!$B$2:$F$1371,5,0)</f>
        <v>C12016NGUYEN CHI HUONG050116653191</v>
      </c>
      <c r="K1177" s="607">
        <f t="shared" si="47"/>
        <v>1</v>
      </c>
      <c r="P1177" s="685"/>
    </row>
    <row r="1178" spans="1:16" s="607" customFormat="1" ht="18" customHeight="1">
      <c r="A1178" s="826">
        <f>SUBTOTAL(3,B$6:B1178)</f>
        <v>1173</v>
      </c>
      <c r="B1178" s="824" t="s">
        <v>3146</v>
      </c>
      <c r="C1178" s="824" t="str">
        <f>+VLOOKUP(B1178,'Salary sheet'!$B$6:$AX$1386,48,0)</f>
        <v>DINH THI NGA</v>
      </c>
      <c r="D1178" s="824" t="str">
        <f>+VLOOKUP(B1178,'Salary sheet'!$B$6:$BW$1386,49,0)</f>
        <v>050116653262</v>
      </c>
      <c r="E1178" s="620">
        <f>+VLOOKUP(B1178,'Salary sheet'!$B$6:$AT$1292,45,0)</f>
        <v>9097141</v>
      </c>
      <c r="F1178" s="1029" t="s">
        <v>5723</v>
      </c>
      <c r="G1178" s="824" t="str">
        <f>+VLOOKUP(B1178,'Salary sheet'!$B$6:$E$2281,4,0)</f>
        <v>SK2</v>
      </c>
      <c r="H1178" s="607" t="str">
        <f>+VLOOKUP(B1178,'Salary sheet'!$B$6:$AZ$1386,50,0)</f>
        <v>SK2</v>
      </c>
      <c r="I1178" s="607" t="str">
        <f t="shared" si="48"/>
        <v>C12025DINH THI NGA050116653262</v>
      </c>
      <c r="J1178" s="853" t="str">
        <f>+VLOOKUP(B1178,'[5]04 2025'!$B$2:$F$1371,5,0)</f>
        <v>C12025DINH THI NGA050116653262</v>
      </c>
      <c r="K1178" s="607">
        <f t="shared" si="47"/>
        <v>1</v>
      </c>
      <c r="P1178" s="685"/>
    </row>
    <row r="1179" spans="1:16" s="607" customFormat="1" ht="18" customHeight="1">
      <c r="A1179" s="826">
        <f>SUBTOTAL(3,B$6:B1179)</f>
        <v>1174</v>
      </c>
      <c r="B1179" s="824" t="s">
        <v>3148</v>
      </c>
      <c r="C1179" s="824" t="str">
        <f>+VLOOKUP(B1179,'Salary sheet'!$B$6:$AX$1386,48,0)</f>
        <v>NGUYEN THI DAO</v>
      </c>
      <c r="D1179" s="824" t="str">
        <f>+VLOOKUP(B1179,'Salary sheet'!$B$6:$BW$1386,49,0)</f>
        <v>050095447934</v>
      </c>
      <c r="E1179" s="620">
        <f>+VLOOKUP(B1179,'Salary sheet'!$B$6:$AT$1292,45,0)</f>
        <v>9328697</v>
      </c>
      <c r="F1179" s="1029" t="s">
        <v>5723</v>
      </c>
      <c r="G1179" s="824" t="str">
        <f>+VLOOKUP(B1179,'Salary sheet'!$B$6:$E$2281,4,0)</f>
        <v>SK2</v>
      </c>
      <c r="H1179" s="607" t="str">
        <f>+VLOOKUP(B1179,'Salary sheet'!$B$6:$AZ$1386,50,0)</f>
        <v>SK2</v>
      </c>
      <c r="I1179" s="607" t="str">
        <f t="shared" si="48"/>
        <v>C13004NGUYEN THI DAO050095447934</v>
      </c>
      <c r="J1179" s="853" t="str">
        <f>+VLOOKUP(B1179,'[5]04 2025'!$B$2:$F$1371,5,0)</f>
        <v>C13004NGUYEN THI DAO050095447934</v>
      </c>
      <c r="K1179" s="607">
        <f t="shared" si="47"/>
        <v>1</v>
      </c>
      <c r="P1179" s="685"/>
    </row>
    <row r="1180" spans="1:16" s="607" customFormat="1" ht="18" customHeight="1">
      <c r="A1180" s="826">
        <f>SUBTOTAL(3,B$6:B1180)</f>
        <v>1175</v>
      </c>
      <c r="B1180" s="824" t="s">
        <v>3149</v>
      </c>
      <c r="C1180" s="824" t="str">
        <f>+VLOOKUP(B1180,'Salary sheet'!$B$6:$AX$1386,48,0)</f>
        <v>TRAN THI MAI XUAN</v>
      </c>
      <c r="D1180" s="824" t="str">
        <f>+VLOOKUP(B1180,'Salary sheet'!$B$6:$BW$1386,49,0)</f>
        <v>050114098067</v>
      </c>
      <c r="E1180" s="620">
        <f>+VLOOKUP(B1180,'Salary sheet'!$B$6:$AT$1292,45,0)</f>
        <v>9760566</v>
      </c>
      <c r="F1180" s="1029" t="s">
        <v>5723</v>
      </c>
      <c r="G1180" s="824" t="str">
        <f>+VLOOKUP(B1180,'Salary sheet'!$B$6:$E$2281,4,0)</f>
        <v>SK2</v>
      </c>
      <c r="H1180" s="607" t="str">
        <f>+VLOOKUP(B1180,'Salary sheet'!$B$6:$AZ$1386,50,0)</f>
        <v>SK2</v>
      </c>
      <c r="I1180" s="607" t="str">
        <f t="shared" si="48"/>
        <v>C13423TRAN THI MAI XUAN050114098067</v>
      </c>
      <c r="J1180" s="853" t="str">
        <f>+VLOOKUP(B1180,'[5]04 2025'!$B$2:$F$1371,5,0)</f>
        <v>C13423TRAN THI MAI XUAN050114098067</v>
      </c>
      <c r="K1180" s="607">
        <f t="shared" si="47"/>
        <v>1</v>
      </c>
      <c r="P1180" s="685"/>
    </row>
    <row r="1181" spans="1:16" s="607" customFormat="1" ht="18" customHeight="1">
      <c r="A1181" s="826">
        <f>SUBTOTAL(3,B$6:B1181)</f>
        <v>1176</v>
      </c>
      <c r="B1181" s="824" t="s">
        <v>3151</v>
      </c>
      <c r="C1181" s="824" t="str">
        <f>+VLOOKUP(B1181,'Salary sheet'!$B$6:$AX$1386,48,0)</f>
        <v>NGUYEN SON PHUOC</v>
      </c>
      <c r="D1181" s="824" t="str">
        <f>+VLOOKUP(B1181,'Salary sheet'!$B$6:$BW$1386,49,0)</f>
        <v>050127559764</v>
      </c>
      <c r="E1181" s="620">
        <f>+VLOOKUP(B1181,'Salary sheet'!$B$6:$AT$1292,45,0)</f>
        <v>6858420</v>
      </c>
      <c r="F1181" s="1029" t="s">
        <v>5723</v>
      </c>
      <c r="G1181" s="824" t="str">
        <f>+VLOOKUP(B1181,'Salary sheet'!$B$6:$E$2281,4,0)</f>
        <v>SK2</v>
      </c>
      <c r="H1181" s="607" t="str">
        <f>+VLOOKUP(B1181,'Salary sheet'!$B$6:$AZ$1386,50,0)</f>
        <v>SK2</v>
      </c>
      <c r="I1181" s="607" t="str">
        <f t="shared" si="48"/>
        <v>C13426NGUYEN SON PHUOC050127559764</v>
      </c>
      <c r="J1181" s="853" t="str">
        <f>+VLOOKUP(B1181,'[5]04 2025'!$B$2:$F$1371,5,0)</f>
        <v>C13426NGUYEN SON PHUOC050127559764</v>
      </c>
      <c r="K1181" s="607">
        <f t="shared" si="47"/>
        <v>1</v>
      </c>
      <c r="P1181" s="685"/>
    </row>
    <row r="1182" spans="1:16" s="607" customFormat="1" ht="18" customHeight="1">
      <c r="A1182" s="826">
        <f>SUBTOTAL(3,B$6:B1182)</f>
        <v>1177</v>
      </c>
      <c r="B1182" s="824" t="s">
        <v>3153</v>
      </c>
      <c r="C1182" s="824" t="str">
        <f>+VLOOKUP(B1182,'Salary sheet'!$B$6:$AX$1386,48,0)</f>
        <v>VY VAN THAI</v>
      </c>
      <c r="D1182" s="824" t="str">
        <f>+VLOOKUP(B1182,'Salary sheet'!$B$6:$BW$1386,49,0)</f>
        <v>050121853938</v>
      </c>
      <c r="E1182" s="620">
        <f>+VLOOKUP(B1182,'Salary sheet'!$B$6:$AT$1292,45,0)</f>
        <v>9589136</v>
      </c>
      <c r="F1182" s="1029" t="s">
        <v>5723</v>
      </c>
      <c r="G1182" s="824" t="str">
        <f>+VLOOKUP(B1182,'Salary sheet'!$B$6:$E$2281,4,0)</f>
        <v>SK2</v>
      </c>
      <c r="H1182" s="607" t="str">
        <f>+VLOOKUP(B1182,'Salary sheet'!$B$6:$AZ$1386,50,0)</f>
        <v>SK2</v>
      </c>
      <c r="I1182" s="607" t="str">
        <f t="shared" si="48"/>
        <v>C13505VY VAN THAI050121853938</v>
      </c>
      <c r="J1182" s="853" t="str">
        <f>+VLOOKUP(B1182,'[5]04 2025'!$B$2:$F$1371,5,0)</f>
        <v>C13505VY VAN THAI050121853938</v>
      </c>
      <c r="K1182" s="607">
        <f t="shared" si="47"/>
        <v>1</v>
      </c>
      <c r="P1182" s="685"/>
    </row>
    <row r="1183" spans="1:16" s="607" customFormat="1" ht="18" customHeight="1">
      <c r="A1183" s="826">
        <f>SUBTOTAL(3,B$6:B1183)</f>
        <v>1178</v>
      </c>
      <c r="B1183" s="824" t="s">
        <v>3155</v>
      </c>
      <c r="C1183" s="824" t="str">
        <f>+VLOOKUP(B1183,'Salary sheet'!$B$6:$AX$1386,48,0)</f>
        <v>TRAN HUU KHANH</v>
      </c>
      <c r="D1183" s="824" t="str">
        <f>+VLOOKUP(B1183,'Salary sheet'!$B$6:$BW$1386,49,0)</f>
        <v>060263728648</v>
      </c>
      <c r="E1183" s="620">
        <f>+VLOOKUP(B1183,'Salary sheet'!$B$6:$AT$1292,45,0)</f>
        <v>9739948</v>
      </c>
      <c r="F1183" s="1029" t="s">
        <v>5723</v>
      </c>
      <c r="G1183" s="824" t="str">
        <f>+VLOOKUP(B1183,'Salary sheet'!$B$6:$E$2281,4,0)</f>
        <v>SK2</v>
      </c>
      <c r="H1183" s="607" t="str">
        <f>+VLOOKUP(B1183,'Salary sheet'!$B$6:$AZ$1386,50,0)</f>
        <v>SK2</v>
      </c>
      <c r="I1183" s="607" t="str">
        <f t="shared" si="48"/>
        <v>C14213TRAN HUU KHANH060263728648</v>
      </c>
      <c r="J1183" s="853" t="str">
        <f>+VLOOKUP(B1183,'[5]04 2025'!$B$2:$F$1371,5,0)</f>
        <v>C14213TRAN HUU KHANH060263728648</v>
      </c>
      <c r="K1183" s="607">
        <f t="shared" si="47"/>
        <v>1</v>
      </c>
      <c r="P1183" s="685"/>
    </row>
    <row r="1184" spans="1:16" s="607" customFormat="1" ht="18" customHeight="1">
      <c r="A1184" s="826">
        <f>SUBTOTAL(3,B$6:B1184)</f>
        <v>1179</v>
      </c>
      <c r="B1184" s="824" t="s">
        <v>3157</v>
      </c>
      <c r="C1184" s="824" t="str">
        <f>+VLOOKUP(B1184,'Salary sheet'!$B$6:$AX$1386,48,0)</f>
        <v>NGUYEN THI QUANG</v>
      </c>
      <c r="D1184" s="824" t="str">
        <f>+VLOOKUP(B1184,'Salary sheet'!$B$6:$BW$1386,49,0)</f>
        <v>050128754889</v>
      </c>
      <c r="E1184" s="620">
        <f>+VLOOKUP(B1184,'Salary sheet'!$B$6:$AT$1292,45,0)</f>
        <v>9588704</v>
      </c>
      <c r="F1184" s="1029" t="s">
        <v>5723</v>
      </c>
      <c r="G1184" s="824" t="str">
        <f>+VLOOKUP(B1184,'Salary sheet'!$B$6:$E$2281,4,0)</f>
        <v>SK2</v>
      </c>
      <c r="H1184" s="607" t="str">
        <f>+VLOOKUP(B1184,'Salary sheet'!$B$6:$AZ$1386,50,0)</f>
        <v>SK2</v>
      </c>
      <c r="I1184" s="607" t="str">
        <f t="shared" si="48"/>
        <v>C14247NGUYEN THI QUANG050128754889</v>
      </c>
      <c r="J1184" s="853" t="str">
        <f>+VLOOKUP(B1184,'[5]04 2025'!$B$2:$F$1371,5,0)</f>
        <v>C14247NGUYEN THI QUANG050128754889</v>
      </c>
      <c r="K1184" s="607">
        <f t="shared" si="47"/>
        <v>1</v>
      </c>
      <c r="P1184" s="685"/>
    </row>
    <row r="1185" spans="1:16" s="607" customFormat="1" ht="18" customHeight="1">
      <c r="A1185" s="826">
        <f>SUBTOTAL(3,B$6:B1185)</f>
        <v>1180</v>
      </c>
      <c r="B1185" s="824" t="s">
        <v>3159</v>
      </c>
      <c r="C1185" s="824" t="str">
        <f>+VLOOKUP(B1185,'Salary sheet'!$B$6:$AX$1386,48,0)</f>
        <v>LAM THI LUOI</v>
      </c>
      <c r="D1185" s="824" t="str">
        <f>+VLOOKUP(B1185,'Salary sheet'!$B$6:$BW$1386,49,0)</f>
        <v>050040832162</v>
      </c>
      <c r="E1185" s="620">
        <f>+VLOOKUP(B1185,'Salary sheet'!$B$6:$AT$1292,45,0)</f>
        <v>8794594</v>
      </c>
      <c r="F1185" s="1029" t="s">
        <v>5723</v>
      </c>
      <c r="G1185" s="824" t="str">
        <f>+VLOOKUP(B1185,'Salary sheet'!$B$6:$E$2281,4,0)</f>
        <v>SK2</v>
      </c>
      <c r="H1185" s="607" t="str">
        <f>+VLOOKUP(B1185,'Salary sheet'!$B$6:$AZ$1386,50,0)</f>
        <v>SK2</v>
      </c>
      <c r="I1185" s="607" t="str">
        <f t="shared" si="48"/>
        <v>C1450LAM THI LUOI050040832162</v>
      </c>
      <c r="J1185" s="853" t="str">
        <f>+VLOOKUP(B1185,'[5]04 2025'!$B$2:$F$1371,5,0)</f>
        <v>C1450LAM THI LUOI050040832162</v>
      </c>
      <c r="K1185" s="607">
        <f t="shared" si="47"/>
        <v>1</v>
      </c>
      <c r="P1185" s="685"/>
    </row>
    <row r="1186" spans="1:16" s="607" customFormat="1" ht="18" customHeight="1">
      <c r="A1186" s="826">
        <f>SUBTOTAL(3,B$6:B1186)</f>
        <v>1181</v>
      </c>
      <c r="B1186" s="824" t="s">
        <v>3161</v>
      </c>
      <c r="C1186" s="824" t="str">
        <f>+VLOOKUP(B1186,'Salary sheet'!$B$6:$AX$1386,48,0)</f>
        <v>LE THI MINH VY</v>
      </c>
      <c r="D1186" s="824" t="str">
        <f>+VLOOKUP(B1186,'Salary sheet'!$B$6:$BW$1386,49,0)</f>
        <v>050135167530</v>
      </c>
      <c r="E1186" s="620">
        <f>+VLOOKUP(B1186,'Salary sheet'!$B$6:$AT$1292,45,0)</f>
        <v>9396085</v>
      </c>
      <c r="F1186" s="1029" t="s">
        <v>5723</v>
      </c>
      <c r="G1186" s="824" t="str">
        <f>+VLOOKUP(B1186,'Salary sheet'!$B$6:$E$2281,4,0)</f>
        <v>SK2</v>
      </c>
      <c r="H1186" s="607" t="str">
        <f>+VLOOKUP(B1186,'Salary sheet'!$B$6:$AZ$1386,50,0)</f>
        <v>SK2</v>
      </c>
      <c r="I1186" s="607" t="str">
        <f t="shared" si="48"/>
        <v>C14546LE THI MINH VY050135167530</v>
      </c>
      <c r="J1186" s="853" t="str">
        <f>+VLOOKUP(B1186,'[5]04 2025'!$B$2:$F$1371,5,0)</f>
        <v>C14546LE THI MINH VY050135167530</v>
      </c>
      <c r="K1186" s="607">
        <f t="shared" si="47"/>
        <v>1</v>
      </c>
      <c r="P1186" s="685"/>
    </row>
    <row r="1187" spans="1:16" s="607" customFormat="1" ht="18" customHeight="1">
      <c r="A1187" s="826">
        <f>SUBTOTAL(3,B$6:B1187)</f>
        <v>1182</v>
      </c>
      <c r="B1187" s="824" t="s">
        <v>3163</v>
      </c>
      <c r="C1187" s="824" t="str">
        <f>+VLOOKUP(B1187,'Salary sheet'!$B$6:$AX$1386,48,0)</f>
        <v>LUONG THANH LAM</v>
      </c>
      <c r="D1187" s="824" t="str">
        <f>+VLOOKUP(B1187,'Salary sheet'!$B$6:$BW$1386,49,0)</f>
        <v>050117176883</v>
      </c>
      <c r="E1187" s="620">
        <f>+VLOOKUP(B1187,'Salary sheet'!$B$6:$AT$1292,45,0)</f>
        <v>7590383</v>
      </c>
      <c r="F1187" s="1029" t="s">
        <v>5723</v>
      </c>
      <c r="G1187" s="824" t="str">
        <f>+VLOOKUP(B1187,'Salary sheet'!$B$6:$E$2281,4,0)</f>
        <v>SK2</v>
      </c>
      <c r="H1187" s="607" t="str">
        <f>+VLOOKUP(B1187,'Salary sheet'!$B$6:$AZ$1386,50,0)</f>
        <v>SK2</v>
      </c>
      <c r="I1187" s="607" t="str">
        <f t="shared" si="48"/>
        <v>C14655LUONG THANH LAM050117176883</v>
      </c>
      <c r="J1187" s="853" t="str">
        <f>+VLOOKUP(B1187,'[5]04 2025'!$B$2:$F$1371,5,0)</f>
        <v>C14655LUONG THANH LAM050117176883</v>
      </c>
      <c r="K1187" s="607">
        <f t="shared" si="47"/>
        <v>1</v>
      </c>
      <c r="P1187" s="685"/>
    </row>
    <row r="1188" spans="1:16" s="607" customFormat="1" ht="18" customHeight="1">
      <c r="A1188" s="826">
        <f>SUBTOTAL(3,B$6:B1188)</f>
        <v>1183</v>
      </c>
      <c r="B1188" s="824" t="s">
        <v>3165</v>
      </c>
      <c r="C1188" s="824" t="str">
        <f>+VLOOKUP(B1188,'Salary sheet'!$B$6:$AX$1386,48,0)</f>
        <v>NGUYEN THI NGOC CAM</v>
      </c>
      <c r="D1188" s="824" t="str">
        <f>+VLOOKUP(B1188,'Salary sheet'!$B$6:$BW$1386,49,0)</f>
        <v>050059803562</v>
      </c>
      <c r="E1188" s="620">
        <f>+VLOOKUP(B1188,'Salary sheet'!$B$6:$AT$1292,45,0)</f>
        <v>9869787</v>
      </c>
      <c r="F1188" s="1029" t="s">
        <v>5723</v>
      </c>
      <c r="G1188" s="824" t="str">
        <f>+VLOOKUP(B1188,'Salary sheet'!$B$6:$E$2281,4,0)</f>
        <v>SK2</v>
      </c>
      <c r="H1188" s="607" t="str">
        <f>+VLOOKUP(B1188,'Salary sheet'!$B$6:$AZ$1386,50,0)</f>
        <v>SK2</v>
      </c>
      <c r="I1188" s="607" t="str">
        <f t="shared" si="48"/>
        <v>C14721NGUYEN THI NGOC CAM050059803562</v>
      </c>
      <c r="J1188" s="853" t="str">
        <f>+VLOOKUP(B1188,'[5]04 2025'!$B$2:$F$1371,5,0)</f>
        <v>C14721NGUYEN THI NGOC CAM050059803562</v>
      </c>
      <c r="K1188" s="607">
        <f t="shared" si="47"/>
        <v>1</v>
      </c>
      <c r="P1188" s="685"/>
    </row>
    <row r="1189" spans="1:16" s="607" customFormat="1" ht="18" customHeight="1">
      <c r="A1189" s="826">
        <f>SUBTOTAL(3,B$6:B1189)</f>
        <v>1184</v>
      </c>
      <c r="B1189" s="824" t="s">
        <v>3167</v>
      </c>
      <c r="C1189" s="824" t="str">
        <f>+VLOOKUP(B1189,'Salary sheet'!$B$6:$AX$1386,48,0)</f>
        <v>PHAN THI CAM TIEN</v>
      </c>
      <c r="D1189" s="824" t="str">
        <f>+VLOOKUP(B1189,'Salary sheet'!$B$6:$BW$1386,49,0)</f>
        <v>050113230794</v>
      </c>
      <c r="E1189" s="620">
        <f>+VLOOKUP(B1189,'Salary sheet'!$B$6:$AT$1292,45,0)</f>
        <v>9657308</v>
      </c>
      <c r="F1189" s="1029" t="s">
        <v>5723</v>
      </c>
      <c r="G1189" s="824" t="str">
        <f>+VLOOKUP(B1189,'Salary sheet'!$B$6:$E$2281,4,0)</f>
        <v>SK2</v>
      </c>
      <c r="H1189" s="607" t="str">
        <f>+VLOOKUP(B1189,'Salary sheet'!$B$6:$AZ$1386,50,0)</f>
        <v>SK2</v>
      </c>
      <c r="I1189" s="607" t="str">
        <f t="shared" si="48"/>
        <v>C14749PHAN THI CAM TIEN050113230794</v>
      </c>
      <c r="J1189" s="853" t="str">
        <f>+VLOOKUP(B1189,'[5]04 2025'!$B$2:$F$1371,5,0)</f>
        <v>C14749PHAN THI CAM TIEN050113230794</v>
      </c>
      <c r="K1189" s="607">
        <f t="shared" ref="K1189:K1278" si="49">+IF(J1189=I1189,1,0)</f>
        <v>1</v>
      </c>
      <c r="P1189" s="685"/>
    </row>
    <row r="1190" spans="1:16" s="607" customFormat="1" ht="18" customHeight="1">
      <c r="A1190" s="826">
        <f>SUBTOTAL(3,B$6:B1190)</f>
        <v>1185</v>
      </c>
      <c r="B1190" s="824" t="s">
        <v>3169</v>
      </c>
      <c r="C1190" s="824" t="str">
        <f>+VLOOKUP(B1190,'Salary sheet'!$B$6:$AX$1386,48,0)</f>
        <v>NGUYEN MINH TAM</v>
      </c>
      <c r="D1190" s="824" t="str">
        <f>+VLOOKUP(B1190,'Salary sheet'!$B$6:$BW$1386,49,0)</f>
        <v>050104420742</v>
      </c>
      <c r="E1190" s="620">
        <f>+VLOOKUP(B1190,'Salary sheet'!$B$6:$AT$1292,45,0)</f>
        <v>9770692</v>
      </c>
      <c r="F1190" s="1029" t="s">
        <v>5723</v>
      </c>
      <c r="G1190" s="824" t="str">
        <f>+VLOOKUP(B1190,'Salary sheet'!$B$6:$E$2281,4,0)</f>
        <v>SK2</v>
      </c>
      <c r="H1190" s="607" t="str">
        <f>+VLOOKUP(B1190,'Salary sheet'!$B$6:$AZ$1386,50,0)</f>
        <v>SK2</v>
      </c>
      <c r="I1190" s="607" t="str">
        <f t="shared" si="48"/>
        <v>C14870NGUYEN MINH TAM050104420742</v>
      </c>
      <c r="J1190" s="853" t="str">
        <f>+VLOOKUP(B1190,'[5]04 2025'!$B$2:$F$1371,5,0)</f>
        <v>C14870NGUYEN MINH TAM050104420742</v>
      </c>
      <c r="K1190" s="607">
        <f t="shared" si="49"/>
        <v>1</v>
      </c>
      <c r="P1190" s="685"/>
    </row>
    <row r="1191" spans="1:16" s="607" customFormat="1" ht="18" customHeight="1">
      <c r="A1191" s="826">
        <f>SUBTOTAL(3,B$6:B1191)</f>
        <v>1186</v>
      </c>
      <c r="B1191" s="824" t="s">
        <v>3170</v>
      </c>
      <c r="C1191" s="824" t="str">
        <f>+VLOOKUP(B1191,'Salary sheet'!$B$6:$AX$1386,48,0)</f>
        <v>LAM THANH LONG</v>
      </c>
      <c r="D1191" s="824" t="str">
        <f>+VLOOKUP(B1191,'Salary sheet'!$B$6:$BW$1386,49,0)</f>
        <v>050136912434</v>
      </c>
      <c r="E1191" s="620">
        <f>+VLOOKUP(B1191,'Salary sheet'!$B$6:$AT$1292,45,0)</f>
        <v>7583004</v>
      </c>
      <c r="F1191" s="1029" t="s">
        <v>5723</v>
      </c>
      <c r="G1191" s="824" t="str">
        <f>+VLOOKUP(B1191,'Salary sheet'!$B$6:$E$2281,4,0)</f>
        <v>SK2</v>
      </c>
      <c r="H1191" s="607" t="str">
        <f>+VLOOKUP(B1191,'Salary sheet'!$B$6:$AZ$1386,50,0)</f>
        <v>SK2</v>
      </c>
      <c r="I1191" s="607" t="str">
        <f t="shared" si="48"/>
        <v>C14948LAM THANH LONG050136912434</v>
      </c>
      <c r="J1191" s="853" t="str">
        <f>+VLOOKUP(B1191,'[5]04 2025'!$B$2:$F$1371,5,0)</f>
        <v>C14948LAM THANH LONG050136912434</v>
      </c>
      <c r="K1191" s="607">
        <f t="shared" si="49"/>
        <v>1</v>
      </c>
      <c r="P1191" s="685"/>
    </row>
    <row r="1192" spans="1:16" s="607" customFormat="1" ht="18" customHeight="1">
      <c r="A1192" s="826">
        <f>SUBTOTAL(3,B$6:B1192)</f>
        <v>1187</v>
      </c>
      <c r="B1192" s="824" t="s">
        <v>3172</v>
      </c>
      <c r="C1192" s="824" t="str">
        <f>+VLOOKUP(B1192,'Salary sheet'!$B$6:$AX$1386,48,0)</f>
        <v>TRAN THI NHU Y</v>
      </c>
      <c r="D1192" s="824" t="str">
        <f>+VLOOKUP(B1192,'Salary sheet'!$B$6:$BW$1386,49,0)</f>
        <v>050137313569</v>
      </c>
      <c r="E1192" s="620">
        <f>+VLOOKUP(B1192,'Salary sheet'!$B$6:$AT$1292,45,0)</f>
        <v>9557350</v>
      </c>
      <c r="F1192" s="1029" t="s">
        <v>5723</v>
      </c>
      <c r="G1192" s="824" t="str">
        <f>+VLOOKUP(B1192,'Salary sheet'!$B$6:$E$2281,4,0)</f>
        <v>SK2</v>
      </c>
      <c r="H1192" s="607" t="str">
        <f>+VLOOKUP(B1192,'Salary sheet'!$B$6:$AZ$1386,50,0)</f>
        <v>SK2</v>
      </c>
      <c r="I1192" s="607" t="str">
        <f t="shared" si="48"/>
        <v>C15114TRAN THI NHU Y050137313569</v>
      </c>
      <c r="J1192" s="853" t="str">
        <f>+VLOOKUP(B1192,'[5]04 2025'!$B$2:$F$1371,5,0)</f>
        <v>C15114TRAN THI NHU Y050137313569</v>
      </c>
      <c r="K1192" s="607">
        <f t="shared" si="49"/>
        <v>1</v>
      </c>
      <c r="P1192" s="685"/>
    </row>
    <row r="1193" spans="1:16" s="607" customFormat="1" ht="18" customHeight="1">
      <c r="A1193" s="826">
        <f>SUBTOTAL(3,B$6:B1193)</f>
        <v>1188</v>
      </c>
      <c r="B1193" s="824" t="s">
        <v>3174</v>
      </c>
      <c r="C1193" s="824" t="str">
        <f>+VLOOKUP(B1193,'Salary sheet'!$B$6:$AX$1386,48,0)</f>
        <v>TRAN THANH HIEN</v>
      </c>
      <c r="D1193" s="824" t="str">
        <f>+VLOOKUP(B1193,'Salary sheet'!$B$6:$BW$1386,49,0)</f>
        <v>050137429354</v>
      </c>
      <c r="E1193" s="620">
        <f>+VLOOKUP(B1193,'Salary sheet'!$B$6:$AT$1292,45,0)</f>
        <v>9598579</v>
      </c>
      <c r="F1193" s="1029" t="s">
        <v>5723</v>
      </c>
      <c r="G1193" s="824" t="str">
        <f>+VLOOKUP(B1193,'Salary sheet'!$B$6:$E$2281,4,0)</f>
        <v>SK2</v>
      </c>
      <c r="H1193" s="607" t="str">
        <f>+VLOOKUP(B1193,'Salary sheet'!$B$6:$AZ$1386,50,0)</f>
        <v>SK2</v>
      </c>
      <c r="I1193" s="607" t="str">
        <f t="shared" si="48"/>
        <v>C15314TRAN THANH HIEN050137429354</v>
      </c>
      <c r="J1193" s="853" t="str">
        <f>+VLOOKUP(B1193,'[5]04 2025'!$B$2:$F$1371,5,0)</f>
        <v>C15314TRAN THANH HIEN050137429354</v>
      </c>
      <c r="K1193" s="607">
        <f t="shared" si="49"/>
        <v>1</v>
      </c>
      <c r="P1193" s="685"/>
    </row>
    <row r="1194" spans="1:16" s="607" customFormat="1" ht="18" customHeight="1">
      <c r="A1194" s="826">
        <f>SUBTOTAL(3,B$6:B1194)</f>
        <v>1189</v>
      </c>
      <c r="B1194" s="824" t="s">
        <v>3176</v>
      </c>
      <c r="C1194" s="824" t="str">
        <f>+VLOOKUP(B1194,'Salary sheet'!$B$6:$AX$1386,48,0)</f>
        <v>TRAN THI THANH TAM</v>
      </c>
      <c r="D1194" s="824" t="str">
        <f>+VLOOKUP(B1194,'Salary sheet'!$B$6:$BW$1386,49,0)</f>
        <v>050108990624</v>
      </c>
      <c r="E1194" s="620">
        <f>+VLOOKUP(B1194,'Salary sheet'!$B$6:$AT$1292,45,0)</f>
        <v>9362556</v>
      </c>
      <c r="F1194" s="1029" t="s">
        <v>5723</v>
      </c>
      <c r="G1194" s="824" t="str">
        <f>+VLOOKUP(B1194,'Salary sheet'!$B$6:$E$2281,4,0)</f>
        <v>SK2</v>
      </c>
      <c r="H1194" s="607" t="str">
        <f>+VLOOKUP(B1194,'Salary sheet'!$B$6:$AZ$1386,50,0)</f>
        <v>SK2</v>
      </c>
      <c r="I1194" s="607" t="str">
        <f t="shared" si="48"/>
        <v>C15538TRAN THI THANH TAM050108990624</v>
      </c>
      <c r="J1194" s="853" t="str">
        <f>+VLOOKUP(B1194,'[5]04 2025'!$B$2:$F$1371,5,0)</f>
        <v>C15538TRAN THI THANH TAM050108990624</v>
      </c>
      <c r="K1194" s="607">
        <f t="shared" si="49"/>
        <v>1</v>
      </c>
      <c r="P1194" s="685"/>
    </row>
    <row r="1195" spans="1:16" s="607" customFormat="1" ht="18" customHeight="1">
      <c r="A1195" s="826">
        <f>SUBTOTAL(3,B$6:B1195)</f>
        <v>1190</v>
      </c>
      <c r="B1195" s="824" t="s">
        <v>3177</v>
      </c>
      <c r="C1195" s="824" t="str">
        <f>+VLOOKUP(B1195,'Salary sheet'!$B$6:$AX$1386,48,0)</f>
        <v>NGUYEN THI NHU THUY</v>
      </c>
      <c r="D1195" s="824" t="str">
        <f>+VLOOKUP(B1195,'Salary sheet'!$B$6:$BW$1386,49,0)</f>
        <v>050122809691</v>
      </c>
      <c r="E1195" s="620">
        <f>+VLOOKUP(B1195,'Salary sheet'!$B$6:$AT$1292,45,0)</f>
        <v>9144391</v>
      </c>
      <c r="F1195" s="1029" t="s">
        <v>5723</v>
      </c>
      <c r="G1195" s="824" t="str">
        <f>+VLOOKUP(B1195,'Salary sheet'!$B$6:$E$2281,4,0)</f>
        <v>SK2</v>
      </c>
      <c r="H1195" s="607" t="str">
        <f>+VLOOKUP(B1195,'Salary sheet'!$B$6:$AZ$1386,50,0)</f>
        <v>SK2</v>
      </c>
      <c r="I1195" s="607" t="str">
        <f t="shared" si="48"/>
        <v>C15560NGUYEN THI NHU THUY050122809691</v>
      </c>
      <c r="J1195" s="853" t="str">
        <f>+VLOOKUP(B1195,'[5]04 2025'!$B$2:$F$1371,5,0)</f>
        <v>C15560NGUYEN THI NHU THUY050122809691</v>
      </c>
      <c r="K1195" s="607">
        <f t="shared" si="49"/>
        <v>1</v>
      </c>
      <c r="P1195" s="685"/>
    </row>
    <row r="1196" spans="1:16" s="607" customFormat="1" ht="18" customHeight="1">
      <c r="A1196" s="826">
        <f>SUBTOTAL(3,B$6:B1196)</f>
        <v>1191</v>
      </c>
      <c r="B1196" s="824" t="s">
        <v>3179</v>
      </c>
      <c r="C1196" s="824" t="str">
        <f>+VLOOKUP(B1196,'Salary sheet'!$B$6:$AX$1386,48,0)</f>
        <v>HO THI HANG</v>
      </c>
      <c r="D1196" s="824" t="str">
        <f>+VLOOKUP(B1196,'Salary sheet'!$B$6:$BW$1386,49,0)</f>
        <v>050094005296</v>
      </c>
      <c r="E1196" s="620">
        <f>+VLOOKUP(B1196,'Salary sheet'!$B$6:$AT$1292,45,0)</f>
        <v>9164376</v>
      </c>
      <c r="F1196" s="1029" t="s">
        <v>5723</v>
      </c>
      <c r="G1196" s="824" t="str">
        <f>+VLOOKUP(B1196,'Salary sheet'!$B$6:$E$2281,4,0)</f>
        <v>SK2</v>
      </c>
      <c r="H1196" s="607" t="str">
        <f>+VLOOKUP(B1196,'Salary sheet'!$B$6:$AZ$1386,50,0)</f>
        <v>SK2</v>
      </c>
      <c r="I1196" s="607" t="str">
        <f t="shared" si="48"/>
        <v>C15582HO THI HANG050094005296</v>
      </c>
      <c r="J1196" s="853" t="str">
        <f>+VLOOKUP(B1196,'[5]04 2025'!$B$2:$F$1371,5,0)</f>
        <v>C15582HO THI HANG050094005296</v>
      </c>
      <c r="K1196" s="607">
        <f t="shared" si="49"/>
        <v>1</v>
      </c>
      <c r="P1196" s="685"/>
    </row>
    <row r="1197" spans="1:16" s="607" customFormat="1" ht="18" customHeight="1">
      <c r="A1197" s="826">
        <f>SUBTOTAL(3,B$6:B1197)</f>
        <v>1192</v>
      </c>
      <c r="B1197" s="824" t="s">
        <v>3181</v>
      </c>
      <c r="C1197" s="824" t="str">
        <f>+VLOOKUP(B1197,'Salary sheet'!$B$6:$AX$1386,48,0)</f>
        <v>HOANG THI THU THUONG</v>
      </c>
      <c r="D1197" s="824" t="str">
        <f>+VLOOKUP(B1197,'Salary sheet'!$B$6:$BW$1386,49,0)</f>
        <v>050044164385</v>
      </c>
      <c r="E1197" s="620">
        <f>+VLOOKUP(B1197,'Salary sheet'!$B$6:$AT$1292,45,0)</f>
        <v>9263163</v>
      </c>
      <c r="F1197" s="1029" t="s">
        <v>5723</v>
      </c>
      <c r="G1197" s="824" t="str">
        <f>+VLOOKUP(B1197,'Salary sheet'!$B$6:$E$2281,4,0)</f>
        <v>SK2</v>
      </c>
      <c r="H1197" s="607" t="str">
        <f>+VLOOKUP(B1197,'Salary sheet'!$B$6:$AZ$1386,50,0)</f>
        <v>SK2</v>
      </c>
      <c r="I1197" s="607" t="str">
        <f t="shared" ref="I1197:I1227" si="50">+CONCATENATE(B1197,C1197,D1197)</f>
        <v>C15599HOANG THI THU THUONG050044164385</v>
      </c>
      <c r="J1197" s="853" t="str">
        <f>+VLOOKUP(B1197,'[5]04 2025'!$B$2:$F$1371,5,0)</f>
        <v>C15599HOANG THI THU THUONG050044164385</v>
      </c>
      <c r="K1197" s="607">
        <f t="shared" ref="K1197:K1227" si="51">+IF(J1197=I1197,1,0)</f>
        <v>1</v>
      </c>
      <c r="P1197" s="685"/>
    </row>
    <row r="1198" spans="1:16" s="607" customFormat="1" ht="18" customHeight="1">
      <c r="A1198" s="826">
        <f>SUBTOTAL(3,B$6:B1198)</f>
        <v>1193</v>
      </c>
      <c r="B1198" s="824" t="s">
        <v>3183</v>
      </c>
      <c r="C1198" s="824" t="str">
        <f>+VLOOKUP(B1198,'Salary sheet'!$B$6:$AX$1386,48,0)</f>
        <v>TRAN MINH THUAN</v>
      </c>
      <c r="D1198" s="824" t="str">
        <f>+VLOOKUP(B1198,'Salary sheet'!$B$6:$BW$1386,49,0)</f>
        <v>050129251211</v>
      </c>
      <c r="E1198" s="620">
        <f>+VLOOKUP(B1198,'Salary sheet'!$B$6:$AT$1292,45,0)</f>
        <v>9198852</v>
      </c>
      <c r="F1198" s="1029" t="s">
        <v>5723</v>
      </c>
      <c r="G1198" s="824" t="str">
        <f>+VLOOKUP(B1198,'Salary sheet'!$B$6:$E$2281,4,0)</f>
        <v>SK2</v>
      </c>
      <c r="H1198" s="607" t="str">
        <f>+VLOOKUP(B1198,'Salary sheet'!$B$6:$AZ$1386,50,0)</f>
        <v>SK2</v>
      </c>
      <c r="I1198" s="607" t="str">
        <f t="shared" si="50"/>
        <v>C15653TRAN MINH THUAN050129251211</v>
      </c>
      <c r="J1198" s="853" t="str">
        <f>+VLOOKUP(B1198,'[5]04 2025'!$B$2:$F$1371,5,0)</f>
        <v>C15653TRAN MINH THUAN050129251211</v>
      </c>
      <c r="K1198" s="607">
        <f t="shared" si="51"/>
        <v>1</v>
      </c>
      <c r="P1198" s="685"/>
    </row>
    <row r="1199" spans="1:16" s="607" customFormat="1" ht="18" customHeight="1">
      <c r="A1199" s="826">
        <f>SUBTOTAL(3,B$6:B1199)</f>
        <v>1194</v>
      </c>
      <c r="B1199" s="824" t="s">
        <v>3185</v>
      </c>
      <c r="C1199" s="824" t="str">
        <f>+VLOOKUP(B1199,'Salary sheet'!$B$6:$AX$1386,48,0)</f>
        <v>NONG THI LE OANH</v>
      </c>
      <c r="D1199" s="824" t="str">
        <f>+VLOOKUP(B1199,'Salary sheet'!$B$6:$BW$1386,49,0)</f>
        <v>050123059971</v>
      </c>
      <c r="E1199" s="620">
        <f>+VLOOKUP(B1199,'Salary sheet'!$B$6:$AT$1292,45,0)</f>
        <v>8759788</v>
      </c>
      <c r="F1199" s="1029" t="s">
        <v>5723</v>
      </c>
      <c r="G1199" s="824" t="str">
        <f>+VLOOKUP(B1199,'Salary sheet'!$B$6:$E$2281,4,0)</f>
        <v>SK2</v>
      </c>
      <c r="H1199" s="607" t="str">
        <f>+VLOOKUP(B1199,'Salary sheet'!$B$6:$AZ$1386,50,0)</f>
        <v>SK2</v>
      </c>
      <c r="I1199" s="607" t="str">
        <f t="shared" si="50"/>
        <v>C15819NONG THI LE OANH050123059971</v>
      </c>
      <c r="J1199" s="853" t="str">
        <f>+VLOOKUP(B1199,'[5]04 2025'!$B$2:$F$1371,5,0)</f>
        <v>C15819NONG THI LE OANH050123059971</v>
      </c>
      <c r="K1199" s="607">
        <f t="shared" si="51"/>
        <v>1</v>
      </c>
      <c r="P1199" s="685"/>
    </row>
    <row r="1200" spans="1:16" s="607" customFormat="1" ht="18" customHeight="1">
      <c r="A1200" s="826">
        <f>SUBTOTAL(3,B$6:B1200)</f>
        <v>1195</v>
      </c>
      <c r="B1200" s="824" t="s">
        <v>3187</v>
      </c>
      <c r="C1200" s="824" t="str">
        <f>+VLOOKUP(B1200,'Salary sheet'!$B$6:$AX$1386,48,0)</f>
        <v>NGUYEN THI KIM PHUNG</v>
      </c>
      <c r="D1200" s="824" t="str">
        <f>+VLOOKUP(B1200,'Salary sheet'!$B$6:$BW$1386,49,0)</f>
        <v>050152567852</v>
      </c>
      <c r="E1200" s="620">
        <f>+VLOOKUP(B1200,'Salary sheet'!$B$6:$AT$1292,45,0)</f>
        <v>9006146</v>
      </c>
      <c r="F1200" s="1029" t="s">
        <v>5723</v>
      </c>
      <c r="G1200" s="824" t="str">
        <f>+VLOOKUP(B1200,'Salary sheet'!$B$6:$E$2281,4,0)</f>
        <v>SK2</v>
      </c>
      <c r="H1200" s="607" t="str">
        <f>+VLOOKUP(B1200,'Salary sheet'!$B$6:$AZ$1386,50,0)</f>
        <v>SK2</v>
      </c>
      <c r="I1200" s="607" t="str">
        <f t="shared" si="50"/>
        <v>C15836NGUYEN THI KIM PHUNG050152567852</v>
      </c>
      <c r="J1200" s="853" t="str">
        <f>+VLOOKUP(B1200,'[5]04 2025'!$B$2:$F$1371,5,0)</f>
        <v>C15836NGUYEN THI KIM PHUNG050152567852</v>
      </c>
      <c r="K1200" s="607">
        <f t="shared" si="51"/>
        <v>1</v>
      </c>
      <c r="P1200" s="685"/>
    </row>
    <row r="1201" spans="1:16" s="607" customFormat="1" ht="18" customHeight="1">
      <c r="A1201" s="826">
        <f>SUBTOTAL(3,B$6:B1201)</f>
        <v>1196</v>
      </c>
      <c r="B1201" s="824" t="s">
        <v>3188</v>
      </c>
      <c r="C1201" s="824" t="str">
        <f>+VLOOKUP(B1201,'Salary sheet'!$B$6:$AX$1386,48,0)</f>
        <v>PHAM THI HONG ANH</v>
      </c>
      <c r="D1201" s="824" t="str">
        <f>+VLOOKUP(B1201,'Salary sheet'!$B$6:$BW$1386,49,0)</f>
        <v>050153722101</v>
      </c>
      <c r="E1201" s="620">
        <f>+VLOOKUP(B1201,'Salary sheet'!$B$6:$AT$1292,45,0)</f>
        <v>7633330</v>
      </c>
      <c r="F1201" s="1029" t="s">
        <v>5723</v>
      </c>
      <c r="G1201" s="824" t="str">
        <f>+VLOOKUP(B1201,'Salary sheet'!$B$6:$E$2281,4,0)</f>
        <v>SK2</v>
      </c>
      <c r="H1201" s="607" t="str">
        <f>+VLOOKUP(B1201,'Salary sheet'!$B$6:$AZ$1386,50,0)</f>
        <v>SK2</v>
      </c>
      <c r="I1201" s="607" t="str">
        <f t="shared" si="50"/>
        <v>C15837PHAM THI HONG ANH050153722101</v>
      </c>
      <c r="J1201" s="853" t="str">
        <f>+VLOOKUP(B1201,'[5]04 2025'!$B$2:$F$1371,5,0)</f>
        <v>C15837PHAM THI HONG ANH050153722101</v>
      </c>
      <c r="K1201" s="607">
        <f t="shared" si="51"/>
        <v>1</v>
      </c>
      <c r="P1201" s="685"/>
    </row>
    <row r="1202" spans="1:16" s="607" customFormat="1" ht="18" customHeight="1">
      <c r="A1202" s="826">
        <f>SUBTOTAL(3,B$6:B1202)</f>
        <v>1197</v>
      </c>
      <c r="B1202" s="824" t="s">
        <v>3190</v>
      </c>
      <c r="C1202" s="824" t="str">
        <f>+VLOOKUP(B1202,'Salary sheet'!$B$6:$AX$1386,48,0)</f>
        <v>VU THI HUYEN</v>
      </c>
      <c r="D1202" s="824" t="str">
        <f>+VLOOKUP(B1202,'Salary sheet'!$B$6:$BW$1386,49,0)</f>
        <v>050041028261</v>
      </c>
      <c r="E1202" s="620">
        <f>+VLOOKUP(B1202,'Salary sheet'!$B$6:$AT$1292,45,0)</f>
        <v>8470459</v>
      </c>
      <c r="F1202" s="1029" t="s">
        <v>5723</v>
      </c>
      <c r="G1202" s="824" t="str">
        <f>+VLOOKUP(B1202,'Salary sheet'!$B$6:$E$2281,4,0)</f>
        <v>SK2</v>
      </c>
      <c r="H1202" s="607" t="str">
        <f>+VLOOKUP(B1202,'Salary sheet'!$B$6:$AZ$1386,50,0)</f>
        <v>SK2</v>
      </c>
      <c r="I1202" s="607" t="str">
        <f t="shared" si="50"/>
        <v>C15853VU THI HUYEN050041028261</v>
      </c>
      <c r="J1202" s="853" t="str">
        <f>+VLOOKUP(B1202,'[5]04 2025'!$B$2:$F$1371,5,0)</f>
        <v>C15853VU THI HUYEN050041028261</v>
      </c>
      <c r="K1202" s="607">
        <f t="shared" si="51"/>
        <v>1</v>
      </c>
      <c r="P1202" s="685"/>
    </row>
    <row r="1203" spans="1:16" s="607" customFormat="1" ht="18" customHeight="1">
      <c r="A1203" s="826">
        <f>SUBTOTAL(3,B$6:B1203)</f>
        <v>1198</v>
      </c>
      <c r="B1203" s="824" t="s">
        <v>3192</v>
      </c>
      <c r="C1203" s="824" t="str">
        <f>+VLOOKUP(B1203,'Salary sheet'!$B$6:$AX$1386,48,0)</f>
        <v>NGUYEN THI THUY DUNG</v>
      </c>
      <c r="D1203" s="824" t="str">
        <f>+VLOOKUP(B1203,'Salary sheet'!$B$6:$BW$1386,49,0)</f>
        <v>050153927291</v>
      </c>
      <c r="E1203" s="620">
        <f>+VLOOKUP(B1203,'Salary sheet'!$B$6:$AT$1292,45,0)</f>
        <v>8631247</v>
      </c>
      <c r="F1203" s="1029" t="s">
        <v>5723</v>
      </c>
      <c r="G1203" s="824" t="str">
        <f>+VLOOKUP(B1203,'Salary sheet'!$B$6:$E$2281,4,0)</f>
        <v>SK2</v>
      </c>
      <c r="H1203" s="607" t="str">
        <f>+VLOOKUP(B1203,'Salary sheet'!$B$6:$AZ$1386,50,0)</f>
        <v>SK2</v>
      </c>
      <c r="I1203" s="607" t="str">
        <f t="shared" si="50"/>
        <v>C15974NGUYEN THI THUY DUNG050153927291</v>
      </c>
      <c r="J1203" s="853" t="str">
        <f>+VLOOKUP(B1203,'[5]04 2025'!$B$2:$F$1371,5,0)</f>
        <v>C15974NGUYEN THI THUY DUNG050153927291</v>
      </c>
      <c r="K1203" s="607">
        <f t="shared" si="51"/>
        <v>1</v>
      </c>
      <c r="P1203" s="685"/>
    </row>
    <row r="1204" spans="1:16" s="607" customFormat="1" ht="18" customHeight="1">
      <c r="A1204" s="826">
        <f>SUBTOTAL(3,B$6:B1204)</f>
        <v>1199</v>
      </c>
      <c r="B1204" s="824" t="s">
        <v>3194</v>
      </c>
      <c r="C1204" s="824" t="str">
        <f>+VLOOKUP(B1204,'Salary sheet'!$B$6:$AX$1386,48,0)</f>
        <v>QUACH TRANG</v>
      </c>
      <c r="D1204" s="824" t="str">
        <f>+VLOOKUP(B1204,'Salary sheet'!$B$6:$BW$1386,49,0)</f>
        <v>050077956228</v>
      </c>
      <c r="E1204" s="620">
        <f>+VLOOKUP(B1204,'Salary sheet'!$B$6:$AT$1292,45,0)</f>
        <v>8491635</v>
      </c>
      <c r="F1204" s="1029" t="s">
        <v>5723</v>
      </c>
      <c r="G1204" s="824" t="str">
        <f>+VLOOKUP(B1204,'Salary sheet'!$B$6:$E$2281,4,0)</f>
        <v>SK2</v>
      </c>
      <c r="H1204" s="607" t="str">
        <f>+VLOOKUP(B1204,'Salary sheet'!$B$6:$AZ$1386,50,0)</f>
        <v>SK2</v>
      </c>
      <c r="I1204" s="607" t="str">
        <f t="shared" si="50"/>
        <v>C15992QUACH TRANG050077956228</v>
      </c>
      <c r="J1204" s="853" t="str">
        <f>+VLOOKUP(B1204,'[5]04 2025'!$B$2:$F$1371,5,0)</f>
        <v>C15992QUACH TRANG050077956228</v>
      </c>
      <c r="K1204" s="607">
        <f t="shared" si="51"/>
        <v>1</v>
      </c>
      <c r="P1204" s="685"/>
    </row>
    <row r="1205" spans="1:16" s="607" customFormat="1" ht="18" customHeight="1">
      <c r="A1205" s="826">
        <f>SUBTOTAL(3,B$6:B1205)</f>
        <v>1200</v>
      </c>
      <c r="B1205" s="824" t="s">
        <v>3196</v>
      </c>
      <c r="C1205" s="824" t="str">
        <f>+VLOOKUP(B1205,'Salary sheet'!$B$6:$AX$1386,48,0)</f>
        <v>TRAN THANH SON</v>
      </c>
      <c r="D1205" s="824" t="str">
        <f>+VLOOKUP(B1205,'Salary sheet'!$B$6:$BW$1386,49,0)</f>
        <v>050129251686</v>
      </c>
      <c r="E1205" s="620">
        <f>+VLOOKUP(B1205,'Salary sheet'!$B$6:$AT$1292,45,0)</f>
        <v>8794903</v>
      </c>
      <c r="F1205" s="1029" t="s">
        <v>5723</v>
      </c>
      <c r="G1205" s="824" t="str">
        <f>+VLOOKUP(B1205,'Salary sheet'!$B$6:$E$2281,4,0)</f>
        <v>SK2</v>
      </c>
      <c r="H1205" s="607" t="str">
        <f>+VLOOKUP(B1205,'Salary sheet'!$B$6:$AZ$1386,50,0)</f>
        <v>SK2</v>
      </c>
      <c r="I1205" s="607" t="str">
        <f t="shared" si="50"/>
        <v>C15999TRAN THANH SON050129251686</v>
      </c>
      <c r="J1205" s="853" t="str">
        <f>+VLOOKUP(B1205,'[5]04 2025'!$B$2:$F$1371,5,0)</f>
        <v>C15999TRAN THANH SON050129251686</v>
      </c>
      <c r="K1205" s="607">
        <f t="shared" si="51"/>
        <v>1</v>
      </c>
      <c r="P1205" s="685"/>
    </row>
    <row r="1206" spans="1:16" s="607" customFormat="1" ht="18" customHeight="1">
      <c r="A1206" s="826">
        <f>SUBTOTAL(3,B$6:B1206)</f>
        <v>1201</v>
      </c>
      <c r="B1206" s="824" t="s">
        <v>3198</v>
      </c>
      <c r="C1206" s="824" t="str">
        <f>+VLOOKUP(B1206,'Salary sheet'!$B$6:$AX$1386,48,0)</f>
        <v>NGUYEN THI QUYNH NHU</v>
      </c>
      <c r="D1206" s="824" t="str">
        <f>+VLOOKUP(B1206,'Salary sheet'!$B$6:$BW$1386,49,0)</f>
        <v>050153571721</v>
      </c>
      <c r="E1206" s="620">
        <f>+VLOOKUP(B1206,'Salary sheet'!$B$6:$AT$1292,45,0)</f>
        <v>5927318</v>
      </c>
      <c r="F1206" s="1029" t="s">
        <v>5723</v>
      </c>
      <c r="G1206" s="824" t="str">
        <f>+VLOOKUP(B1206,'Salary sheet'!$B$6:$E$2281,4,0)</f>
        <v>SK2</v>
      </c>
      <c r="H1206" s="607" t="str">
        <f>+VLOOKUP(B1206,'Salary sheet'!$B$6:$AZ$1386,50,0)</f>
        <v>SK2</v>
      </c>
      <c r="I1206" s="607" t="str">
        <f t="shared" si="50"/>
        <v>C16000NGUYEN THI QUYNH NHU050153571721</v>
      </c>
      <c r="J1206" s="853" t="str">
        <f>+VLOOKUP(B1206,'[5]04 2025'!$B$2:$F$1371,5,0)</f>
        <v>C16000NGUYEN THI QUYNH NHU050153571721</v>
      </c>
      <c r="K1206" s="607">
        <f t="shared" si="51"/>
        <v>1</v>
      </c>
      <c r="P1206" s="685"/>
    </row>
    <row r="1207" spans="1:16" s="607" customFormat="1" ht="18" customHeight="1">
      <c r="A1207" s="826">
        <f>SUBTOTAL(3,B$6:B1207)</f>
        <v>1202</v>
      </c>
      <c r="B1207" s="824" t="s">
        <v>3199</v>
      </c>
      <c r="C1207" s="824" t="str">
        <f>+VLOOKUP(B1207,'Salary sheet'!$B$6:$AX$1386,48,0)</f>
        <v>THI HOI</v>
      </c>
      <c r="D1207" s="824" t="str">
        <f>+VLOOKUP(B1207,'Salary sheet'!$B$6:$BW$1386,49,0)</f>
        <v>050148166460</v>
      </c>
      <c r="E1207" s="620">
        <f>+VLOOKUP(B1207,'Salary sheet'!$B$6:$AT$1292,45,0)</f>
        <v>8552777</v>
      </c>
      <c r="F1207" s="1029" t="s">
        <v>5723</v>
      </c>
      <c r="G1207" s="824" t="str">
        <f>+VLOOKUP(B1207,'Salary sheet'!$B$6:$E$2281,4,0)</f>
        <v>SK2</v>
      </c>
      <c r="H1207" s="607" t="str">
        <f>+VLOOKUP(B1207,'Salary sheet'!$B$6:$AZ$1386,50,0)</f>
        <v>SK2</v>
      </c>
      <c r="I1207" s="607" t="str">
        <f t="shared" si="50"/>
        <v>C16017THI HOI050148166460</v>
      </c>
      <c r="J1207" s="853" t="str">
        <f>+VLOOKUP(B1207,'[5]04 2025'!$B$2:$F$1371,5,0)</f>
        <v>C16017THI HOI050148166460</v>
      </c>
      <c r="K1207" s="607">
        <f t="shared" si="51"/>
        <v>1</v>
      </c>
      <c r="P1207" s="685"/>
    </row>
    <row r="1208" spans="1:16" s="607" customFormat="1" ht="18" customHeight="1">
      <c r="A1208" s="826">
        <f>SUBTOTAL(3,B$6:B1208)</f>
        <v>1203</v>
      </c>
      <c r="B1208" s="824" t="s">
        <v>3201</v>
      </c>
      <c r="C1208" s="824" t="str">
        <f>+VLOOKUP(B1208,'Salary sheet'!$B$6:$AX$1386,48,0)</f>
        <v>TRAN THI HONG DAO</v>
      </c>
      <c r="D1208" s="824" t="str">
        <f>+VLOOKUP(B1208,'Salary sheet'!$B$6:$BW$1386,49,0)</f>
        <v>050128253464</v>
      </c>
      <c r="E1208" s="620">
        <f>+VLOOKUP(B1208,'Salary sheet'!$B$6:$AT$1292,45,0)</f>
        <v>8607252</v>
      </c>
      <c r="F1208" s="1029" t="s">
        <v>5723</v>
      </c>
      <c r="G1208" s="824" t="str">
        <f>+VLOOKUP(B1208,'Salary sheet'!$B$6:$E$2281,4,0)</f>
        <v>SK2</v>
      </c>
      <c r="H1208" s="607" t="str">
        <f>+VLOOKUP(B1208,'Salary sheet'!$B$6:$AZ$1386,50,0)</f>
        <v>SK2</v>
      </c>
      <c r="I1208" s="607" t="str">
        <f t="shared" si="50"/>
        <v>C16035TRAN THI HONG DAO050128253464</v>
      </c>
      <c r="J1208" s="853" t="str">
        <f>+VLOOKUP(B1208,'[5]04 2025'!$B$2:$F$1371,5,0)</f>
        <v>C16035TRAN THI HONG DAO050128253464</v>
      </c>
      <c r="K1208" s="607">
        <f t="shared" si="51"/>
        <v>1</v>
      </c>
      <c r="P1208" s="685"/>
    </row>
    <row r="1209" spans="1:16" s="607" customFormat="1" ht="18" customHeight="1">
      <c r="A1209" s="826">
        <f>SUBTOTAL(3,B$6:B1209)</f>
        <v>1204</v>
      </c>
      <c r="B1209" s="824" t="s">
        <v>3203</v>
      </c>
      <c r="C1209" s="824" t="str">
        <f>+VLOOKUP(B1209,'Salary sheet'!$B$6:$AX$1386,48,0)</f>
        <v>NGUYEN KHAC KIET</v>
      </c>
      <c r="D1209" s="824" t="str">
        <f>+VLOOKUP(B1209,'Salary sheet'!$B$6:$BW$1386,49,0)</f>
        <v>050155288903</v>
      </c>
      <c r="E1209" s="620">
        <f>+VLOOKUP(B1209,'Salary sheet'!$B$6:$AT$1292,45,0)</f>
        <v>8474900</v>
      </c>
      <c r="F1209" s="1029" t="s">
        <v>5723</v>
      </c>
      <c r="G1209" s="824" t="str">
        <f>+VLOOKUP(B1209,'Salary sheet'!$B$6:$E$2281,4,0)</f>
        <v>SK2</v>
      </c>
      <c r="H1209" s="607" t="str">
        <f>+VLOOKUP(B1209,'Salary sheet'!$B$6:$AZ$1386,50,0)</f>
        <v>SK2</v>
      </c>
      <c r="I1209" s="607" t="str">
        <f t="shared" si="50"/>
        <v>C16071NGUYEN KHAC KIET050155288903</v>
      </c>
      <c r="J1209" s="853" t="str">
        <f>+VLOOKUP(B1209,'[5]04 2025'!$B$2:$F$1371,5,0)</f>
        <v>C16071NGUYEN KHAC KIET050155288903</v>
      </c>
      <c r="K1209" s="607">
        <f t="shared" si="51"/>
        <v>1</v>
      </c>
      <c r="P1209" s="685"/>
    </row>
    <row r="1210" spans="1:16" s="607" customFormat="1" ht="18" customHeight="1">
      <c r="A1210" s="826">
        <f>SUBTOTAL(3,B$6:B1210)</f>
        <v>1205</v>
      </c>
      <c r="B1210" s="824" t="s">
        <v>3205</v>
      </c>
      <c r="C1210" s="824" t="str">
        <f>+VLOOKUP(B1210,'Salary sheet'!$B$6:$AX$1386,48,0)</f>
        <v>PHAM THI THUY VAN</v>
      </c>
      <c r="D1210" s="824" t="str">
        <f>+VLOOKUP(B1210,'Salary sheet'!$B$6:$BW$1386,49,0)</f>
        <v>060222166856</v>
      </c>
      <c r="E1210" s="620">
        <f>+VLOOKUP(B1210,'Salary sheet'!$B$6:$AT$1292,45,0)</f>
        <v>8853378</v>
      </c>
      <c r="F1210" s="1029" t="s">
        <v>5723</v>
      </c>
      <c r="G1210" s="824" t="str">
        <f>+VLOOKUP(B1210,'Salary sheet'!$B$6:$E$2281,4,0)</f>
        <v>SK2</v>
      </c>
      <c r="H1210" s="607" t="str">
        <f>+VLOOKUP(B1210,'Salary sheet'!$B$6:$AZ$1386,50,0)</f>
        <v>SK2</v>
      </c>
      <c r="I1210" s="607" t="str">
        <f t="shared" si="50"/>
        <v>C16132PHAM THI THUY VAN060222166856</v>
      </c>
      <c r="J1210" s="853" t="str">
        <f>+VLOOKUP(B1210,'[5]04 2025'!$B$2:$F$1371,5,0)</f>
        <v>C16132PHAM THI THUY VAN060222166856</v>
      </c>
      <c r="K1210" s="607">
        <f t="shared" si="51"/>
        <v>1</v>
      </c>
      <c r="P1210" s="685"/>
    </row>
    <row r="1211" spans="1:16" s="607" customFormat="1" ht="18" customHeight="1">
      <c r="A1211" s="826">
        <f>SUBTOTAL(3,B$6:B1211)</f>
        <v>1206</v>
      </c>
      <c r="B1211" s="824" t="s">
        <v>3207</v>
      </c>
      <c r="C1211" s="824" t="str">
        <f>+VLOOKUP(B1211,'Salary sheet'!$B$6:$AX$1386,48,0)</f>
        <v>NGUYEN THANH SANG</v>
      </c>
      <c r="D1211" s="824" t="str">
        <f>+VLOOKUP(B1211,'Salary sheet'!$B$6:$BW$1386,49,0)</f>
        <v>050082750190</v>
      </c>
      <c r="E1211" s="620">
        <f>+VLOOKUP(B1211,'Salary sheet'!$B$6:$AT$1292,45,0)</f>
        <v>8281598</v>
      </c>
      <c r="F1211" s="1029" t="s">
        <v>5723</v>
      </c>
      <c r="G1211" s="824" t="str">
        <f>+VLOOKUP(B1211,'Salary sheet'!$B$6:$E$2281,4,0)</f>
        <v>SK2</v>
      </c>
      <c r="H1211" s="607" t="str">
        <f>+VLOOKUP(B1211,'Salary sheet'!$B$6:$AZ$1386,50,0)</f>
        <v>SK2</v>
      </c>
      <c r="I1211" s="607" t="str">
        <f t="shared" si="50"/>
        <v>C16340NGUYEN THANH SANG050082750190</v>
      </c>
      <c r="J1211" s="853" t="str">
        <f>+VLOOKUP(B1211,'[5]04 2025'!$B$2:$F$1371,5,0)</f>
        <v>C16340NGUYEN THANH SANG050082750190</v>
      </c>
      <c r="K1211" s="607">
        <f t="shared" si="51"/>
        <v>1</v>
      </c>
      <c r="P1211" s="685"/>
    </row>
    <row r="1212" spans="1:16" s="607" customFormat="1" ht="18" customHeight="1">
      <c r="A1212" s="826">
        <f>SUBTOTAL(3,B$6:B1212)</f>
        <v>1207</v>
      </c>
      <c r="B1212" s="824" t="s">
        <v>3208</v>
      </c>
      <c r="C1212" s="824" t="str">
        <f>+VLOOKUP(B1212,'Salary sheet'!$B$6:$AX$1386,48,0)</f>
        <v>DIEU THI HOA</v>
      </c>
      <c r="D1212" s="824" t="str">
        <f>+VLOOKUP(B1212,'Salary sheet'!$B$6:$BW$1386,49,0)</f>
        <v>050122288665</v>
      </c>
      <c r="E1212" s="620">
        <f>+VLOOKUP(B1212,'Salary sheet'!$B$6:$AT$1292,45,0)</f>
        <v>7767980</v>
      </c>
      <c r="F1212" s="1029" t="s">
        <v>5723</v>
      </c>
      <c r="G1212" s="824" t="str">
        <f>+VLOOKUP(B1212,'Salary sheet'!$B$6:$E$2281,4,0)</f>
        <v>SK2</v>
      </c>
      <c r="H1212" s="607" t="str">
        <f>+VLOOKUP(B1212,'Salary sheet'!$B$6:$AZ$1386,50,0)</f>
        <v>SK2</v>
      </c>
      <c r="I1212" s="607" t="str">
        <f t="shared" si="50"/>
        <v>C16364DIEU THI HOA050122288665</v>
      </c>
      <c r="J1212" s="853" t="str">
        <f>+VLOOKUP(B1212,'[5]04 2025'!$B$2:$F$1371,5,0)</f>
        <v>C16364DIEU THI HOA050122288665</v>
      </c>
      <c r="K1212" s="607">
        <f t="shared" si="51"/>
        <v>1</v>
      </c>
      <c r="P1212" s="685"/>
    </row>
    <row r="1213" spans="1:16" s="607" customFormat="1" ht="18" customHeight="1">
      <c r="A1213" s="826">
        <f>SUBTOTAL(3,B$6:B1213)</f>
        <v>1208</v>
      </c>
      <c r="B1213" s="824" t="s">
        <v>3210</v>
      </c>
      <c r="C1213" s="824" t="str">
        <f>+VLOOKUP(B1213,'Salary sheet'!$B$6:$AX$1386,48,0)</f>
        <v>NGUYEN THUY HUYNH</v>
      </c>
      <c r="D1213" s="824" t="str">
        <f>+VLOOKUP(B1213,'Salary sheet'!$B$6:$BW$1386,49,0)</f>
        <v>070130788236</v>
      </c>
      <c r="E1213" s="620">
        <f>+VLOOKUP(B1213,'Salary sheet'!$B$6:$AT$1292,45,0)</f>
        <v>8488733</v>
      </c>
      <c r="F1213" s="1029" t="s">
        <v>5723</v>
      </c>
      <c r="G1213" s="824" t="str">
        <f>+VLOOKUP(B1213,'Salary sheet'!$B$6:$E$2281,4,0)</f>
        <v>SK2</v>
      </c>
      <c r="H1213" s="607" t="str">
        <f>+VLOOKUP(B1213,'Salary sheet'!$B$6:$AZ$1386,50,0)</f>
        <v>SK2</v>
      </c>
      <c r="I1213" s="607" t="str">
        <f t="shared" si="50"/>
        <v>C16413NGUYEN THUY HUYNH070130788236</v>
      </c>
      <c r="J1213" s="853" t="str">
        <f>+VLOOKUP(B1213,'[5]04 2025'!$B$2:$F$1371,5,0)</f>
        <v>C16413NGUYEN THUY HUYNH070130788236</v>
      </c>
      <c r="K1213" s="607">
        <f t="shared" si="51"/>
        <v>1</v>
      </c>
      <c r="P1213" s="685"/>
    </row>
    <row r="1214" spans="1:16" s="607" customFormat="1" ht="18" customHeight="1">
      <c r="A1214" s="826">
        <f>SUBTOTAL(3,B$6:B1214)</f>
        <v>1209</v>
      </c>
      <c r="B1214" s="824" t="s">
        <v>3212</v>
      </c>
      <c r="C1214" s="824" t="str">
        <f>+VLOOKUP(B1214,'Salary sheet'!$B$6:$AX$1386,48,0)</f>
        <v>LAM NGUYEN TU LAN</v>
      </c>
      <c r="D1214" s="824" t="str">
        <f>+VLOOKUP(B1214,'Salary sheet'!$B$6:$BW$1386,49,0)</f>
        <v>050153762292</v>
      </c>
      <c r="E1214" s="620">
        <f>+VLOOKUP(B1214,'Salary sheet'!$B$6:$AT$1292,45,0)</f>
        <v>8215422</v>
      </c>
      <c r="F1214" s="1029" t="s">
        <v>5723</v>
      </c>
      <c r="G1214" s="824" t="str">
        <f>+VLOOKUP(B1214,'Salary sheet'!$B$6:$E$2281,4,0)</f>
        <v>SK2</v>
      </c>
      <c r="H1214" s="607" t="str">
        <f>+VLOOKUP(B1214,'Salary sheet'!$B$6:$AZ$1386,50,0)</f>
        <v>SK2</v>
      </c>
      <c r="I1214" s="607" t="str">
        <f t="shared" si="50"/>
        <v>C16527LAM NGUYEN TU LAN050153762292</v>
      </c>
      <c r="J1214" s="853" t="str">
        <f>+VLOOKUP(B1214,'[5]04 2025'!$B$2:$F$1371,5,0)</f>
        <v>C16527LAM NGUYEN TU LAN050153762292</v>
      </c>
      <c r="K1214" s="607">
        <f t="shared" si="51"/>
        <v>1</v>
      </c>
      <c r="P1214" s="685"/>
    </row>
    <row r="1215" spans="1:16" s="607" customFormat="1" ht="18" customHeight="1">
      <c r="A1215" s="826">
        <f>SUBTOTAL(3,B$6:B1215)</f>
        <v>1210</v>
      </c>
      <c r="B1215" s="824" t="s">
        <v>3214</v>
      </c>
      <c r="C1215" s="824" t="str">
        <f>+VLOOKUP(B1215,'Salary sheet'!$B$6:$AX$1386,48,0)</f>
        <v>HUYNH THI KIM TRINH</v>
      </c>
      <c r="D1215" s="824" t="str">
        <f>+VLOOKUP(B1215,'Salary sheet'!$B$6:$BW$1386,49,0)</f>
        <v>050159266831</v>
      </c>
      <c r="E1215" s="620">
        <f>+VLOOKUP(B1215,'Salary sheet'!$B$6:$AT$1292,45,0)</f>
        <v>7768703</v>
      </c>
      <c r="F1215" s="1029" t="s">
        <v>5723</v>
      </c>
      <c r="G1215" s="824" t="str">
        <f>+VLOOKUP(B1215,'Salary sheet'!$B$6:$E$2281,4,0)</f>
        <v>SK2</v>
      </c>
      <c r="H1215" s="607" t="str">
        <f>+VLOOKUP(B1215,'Salary sheet'!$B$6:$AZ$1386,50,0)</f>
        <v>SK2</v>
      </c>
      <c r="I1215" s="607" t="str">
        <f t="shared" si="50"/>
        <v>C16557HUYNH THI KIM TRINH050159266831</v>
      </c>
      <c r="J1215" s="853" t="str">
        <f>+VLOOKUP(B1215,'[5]04 2025'!$B$2:$F$1371,5,0)</f>
        <v>C16557HUYNH THI KIM TRINH050159266831</v>
      </c>
      <c r="K1215" s="607">
        <f t="shared" si="51"/>
        <v>1</v>
      </c>
      <c r="P1215" s="685"/>
    </row>
    <row r="1216" spans="1:16" s="607" customFormat="1" ht="18" customHeight="1">
      <c r="A1216" s="826">
        <f>SUBTOTAL(3,B$6:B1216)</f>
        <v>1211</v>
      </c>
      <c r="B1216" s="824" t="s">
        <v>3216</v>
      </c>
      <c r="C1216" s="824" t="str">
        <f>+VLOOKUP(B1216,'Salary sheet'!$B$6:$AX$1386,48,0)</f>
        <v>LE THI HUYEN TRANG</v>
      </c>
      <c r="D1216" s="824" t="str">
        <f>+VLOOKUP(B1216,'Salary sheet'!$B$6:$BW$1386,49,0)</f>
        <v>050159267188</v>
      </c>
      <c r="E1216" s="620">
        <f>+VLOOKUP(B1216,'Salary sheet'!$B$6:$AT$1292,45,0)</f>
        <v>7974899</v>
      </c>
      <c r="F1216" s="1029" t="s">
        <v>5723</v>
      </c>
      <c r="G1216" s="824" t="str">
        <f>+VLOOKUP(B1216,'Salary sheet'!$B$6:$E$2281,4,0)</f>
        <v>SK2</v>
      </c>
      <c r="H1216" s="607" t="str">
        <f>+VLOOKUP(B1216,'Salary sheet'!$B$6:$AZ$1386,50,0)</f>
        <v>SK2</v>
      </c>
      <c r="I1216" s="607" t="str">
        <f t="shared" si="50"/>
        <v>C16558LE THI HUYEN TRANG050159267188</v>
      </c>
      <c r="J1216" s="853" t="str">
        <f>+VLOOKUP(B1216,'[5]04 2025'!$B$2:$F$1371,5,0)</f>
        <v>C16558LE THI HUYEN TRANG050159267188</v>
      </c>
      <c r="K1216" s="607">
        <f t="shared" si="51"/>
        <v>1</v>
      </c>
      <c r="P1216" s="685"/>
    </row>
    <row r="1217" spans="1:16" s="607" customFormat="1" ht="18" customHeight="1">
      <c r="A1217" s="826">
        <f>SUBTOTAL(3,B$6:B1217)</f>
        <v>1212</v>
      </c>
      <c r="B1217" s="824" t="s">
        <v>5803</v>
      </c>
      <c r="C1217" s="824" t="str">
        <f>+VLOOKUP(B1217,'Salary sheet'!$B$6:$AX$1386,48,0)</f>
        <v>THI DOM</v>
      </c>
      <c r="D1217" s="824" t="str">
        <f>+VLOOKUP(B1217,'Salary sheet'!$B$6:$BW$1386,49,0)</f>
        <v>050040934046</v>
      </c>
      <c r="E1217" s="620">
        <f>+VLOOKUP(B1217,'Salary sheet'!$B$6:$AT$1292,45,0)</f>
        <v>7316047</v>
      </c>
      <c r="F1217" s="1029" t="s">
        <v>5723</v>
      </c>
      <c r="G1217" s="824" t="str">
        <f>+VLOOKUP(B1217,'Salary sheet'!$B$6:$E$2281,4,0)</f>
        <v>SK2</v>
      </c>
      <c r="H1217" s="607" t="str">
        <f>+VLOOKUP(B1217,'Salary sheet'!$B$6:$AZ$1386,50,0)</f>
        <v>SK2</v>
      </c>
      <c r="I1217" s="607" t="str">
        <f t="shared" si="50"/>
        <v>C16572THI DOM050040934046</v>
      </c>
      <c r="J1217" s="853" t="str">
        <f>+VLOOKUP(B1217,'[5]04 2025'!$B$2:$F$1371,5,0)</f>
        <v>C16572THI DOM050040934046</v>
      </c>
      <c r="K1217" s="607">
        <f t="shared" si="51"/>
        <v>1</v>
      </c>
      <c r="P1217" s="685"/>
    </row>
    <row r="1218" spans="1:16" s="607" customFormat="1" ht="18" customHeight="1">
      <c r="A1218" s="826">
        <f>SUBTOTAL(3,B$6:B1218)</f>
        <v>1213</v>
      </c>
      <c r="B1218" s="824" t="s">
        <v>5809</v>
      </c>
      <c r="C1218" s="824" t="str">
        <f>+VLOOKUP(B1218,'Salary sheet'!$B$6:$AX$1386,48,0)</f>
        <v>NGUYEN NGOC LANH</v>
      </c>
      <c r="D1218" s="824" t="str">
        <f>+VLOOKUP(B1218,'Salary sheet'!$B$6:$BW$1386,49,0)</f>
        <v>050159267234</v>
      </c>
      <c r="E1218" s="620">
        <f>+VLOOKUP(B1218,'Salary sheet'!$B$6:$AT$1292,45,0)</f>
        <v>5457758</v>
      </c>
      <c r="F1218" s="1029" t="s">
        <v>5723</v>
      </c>
      <c r="G1218" s="824" t="str">
        <f>+VLOOKUP(B1218,'Salary sheet'!$B$6:$E$2281,4,0)</f>
        <v>SK2</v>
      </c>
      <c r="H1218" s="607" t="str">
        <f>+VLOOKUP(B1218,'Salary sheet'!$B$6:$AZ$1386,50,0)</f>
        <v>SK2</v>
      </c>
      <c r="I1218" s="607" t="str">
        <f t="shared" si="50"/>
        <v>C16594NGUYEN NGOC LANH050159267234</v>
      </c>
      <c r="J1218" s="853" t="str">
        <f>+VLOOKUP(B1218,'[5]04 2025'!$B$2:$F$1371,5,0)</f>
        <v>C16594NGUYEN NGOC LANH050159267234</v>
      </c>
      <c r="K1218" s="607">
        <f t="shared" si="51"/>
        <v>1</v>
      </c>
      <c r="P1218" s="685"/>
    </row>
    <row r="1219" spans="1:16" s="607" customFormat="1" ht="18" customHeight="1">
      <c r="A1219" s="826">
        <f>SUBTOTAL(3,B$6:B1219)</f>
        <v>1214</v>
      </c>
      <c r="B1219" s="824" t="s">
        <v>5811</v>
      </c>
      <c r="C1219" s="824" t="str">
        <f>+VLOOKUP(B1219,'Salary sheet'!$B$6:$AX$1386,48,0)</f>
        <v>NGUYEN NGOC LAM</v>
      </c>
      <c r="D1219" s="824" t="str">
        <f>+VLOOKUP(B1219,'Salary sheet'!$B$6:$BW$1386,49,0)</f>
        <v>050159267269</v>
      </c>
      <c r="E1219" s="620">
        <f>+VLOOKUP(B1219,'Salary sheet'!$B$6:$AT$1292,45,0)</f>
        <v>5457758</v>
      </c>
      <c r="F1219" s="1029" t="s">
        <v>5723</v>
      </c>
      <c r="G1219" s="824" t="str">
        <f>+VLOOKUP(B1219,'Salary sheet'!$B$6:$E$2281,4,0)</f>
        <v>SK2</v>
      </c>
      <c r="H1219" s="607" t="str">
        <f>+VLOOKUP(B1219,'Salary sheet'!$B$6:$AZ$1386,50,0)</f>
        <v>SK2</v>
      </c>
      <c r="I1219" s="607" t="str">
        <f t="shared" si="50"/>
        <v>C16595NGUYEN NGOC LAM050159267269</v>
      </c>
      <c r="J1219" s="853" t="str">
        <f>+VLOOKUP(B1219,'[5]04 2025'!$B$2:$F$1371,5,0)</f>
        <v>C16595NGUYEN NGOC LAM050159267269</v>
      </c>
      <c r="K1219" s="607">
        <f t="shared" si="51"/>
        <v>1</v>
      </c>
      <c r="P1219" s="685"/>
    </row>
    <row r="1220" spans="1:16" s="607" customFormat="1" ht="18" customHeight="1">
      <c r="A1220" s="826">
        <f>SUBTOTAL(3,B$6:B1220)</f>
        <v>1215</v>
      </c>
      <c r="B1220" s="824" t="s">
        <v>3218</v>
      </c>
      <c r="C1220" s="824" t="str">
        <f>+VLOOKUP(B1220,'Salary sheet'!$B$6:$AX$1386,48,0)</f>
        <v>DAO THI GIOI</v>
      </c>
      <c r="D1220" s="824" t="str">
        <f>+VLOOKUP(B1220,'Salary sheet'!$B$6:$BW$1386,49,0)</f>
        <v>050154836931</v>
      </c>
      <c r="E1220" s="620">
        <f>+VLOOKUP(B1220,'Salary sheet'!$B$6:$AT$1292,45,0)</f>
        <v>13090993</v>
      </c>
      <c r="F1220" s="1029" t="s">
        <v>5723</v>
      </c>
      <c r="G1220" s="824" t="str">
        <f>+VLOOKUP(B1220,'Salary sheet'!$B$6:$E$2281,4,0)</f>
        <v>SK2</v>
      </c>
      <c r="H1220" s="607" t="str">
        <f>+VLOOKUP(B1220,'Salary sheet'!$B$6:$AZ$1386,50,0)</f>
        <v>SK2</v>
      </c>
      <c r="I1220" s="607" t="str">
        <f t="shared" si="50"/>
        <v>C1733DAO THI GIOI050154836931</v>
      </c>
      <c r="J1220" s="853" t="str">
        <f>+VLOOKUP(B1220,'[5]04 2025'!$B$2:$F$1371,5,0)</f>
        <v>C1733DAO THI GIOI050154836931</v>
      </c>
      <c r="K1220" s="607">
        <f t="shared" si="51"/>
        <v>1</v>
      </c>
      <c r="P1220" s="685"/>
    </row>
    <row r="1221" spans="1:16" s="607" customFormat="1" ht="18" customHeight="1">
      <c r="A1221" s="826">
        <f>SUBTOTAL(3,B$6:B1221)</f>
        <v>1216</v>
      </c>
      <c r="B1221" s="824" t="s">
        <v>3220</v>
      </c>
      <c r="C1221" s="824" t="str">
        <f>+VLOOKUP(B1221,'Salary sheet'!$B$6:$AX$1386,48,0)</f>
        <v>THAI THI HOA</v>
      </c>
      <c r="D1221" s="824" t="str">
        <f>+VLOOKUP(B1221,'Salary sheet'!$B$6:$BW$1386,49,0)</f>
        <v>050040934062</v>
      </c>
      <c r="E1221" s="620">
        <f>+VLOOKUP(B1221,'Salary sheet'!$B$6:$AT$1292,45,0)</f>
        <v>9766944</v>
      </c>
      <c r="F1221" s="1029" t="s">
        <v>5723</v>
      </c>
      <c r="G1221" s="824" t="str">
        <f>+VLOOKUP(B1221,'Salary sheet'!$B$6:$E$2281,4,0)</f>
        <v>SK2</v>
      </c>
      <c r="H1221" s="607" t="str">
        <f>+VLOOKUP(B1221,'Salary sheet'!$B$6:$AZ$1386,50,0)</f>
        <v>SK2</v>
      </c>
      <c r="I1221" s="607" t="str">
        <f t="shared" si="50"/>
        <v>C1892THAI THI HOA050040934062</v>
      </c>
      <c r="J1221" s="853" t="str">
        <f>+VLOOKUP(B1221,'[5]04 2025'!$B$2:$F$1371,5,0)</f>
        <v>C1892THAI THI HOA050040934062</v>
      </c>
      <c r="K1221" s="607">
        <f t="shared" si="51"/>
        <v>1</v>
      </c>
      <c r="P1221" s="685"/>
    </row>
    <row r="1222" spans="1:16" s="607" customFormat="1" ht="18" customHeight="1">
      <c r="A1222" s="826">
        <f>SUBTOTAL(3,B$6:B1222)</f>
        <v>1217</v>
      </c>
      <c r="B1222" s="824" t="s">
        <v>3222</v>
      </c>
      <c r="C1222" s="824" t="str">
        <f>+VLOOKUP(B1222,'Salary sheet'!$B$6:$AX$1386,48,0)</f>
        <v>THI THUY</v>
      </c>
      <c r="D1222" s="824" t="str">
        <f>+VLOOKUP(B1222,'Salary sheet'!$B$6:$BW$1386,49,0)</f>
        <v>050040835455</v>
      </c>
      <c r="E1222" s="620">
        <f>+VLOOKUP(B1222,'Salary sheet'!$B$6:$AT$1292,45,0)</f>
        <v>9099822</v>
      </c>
      <c r="F1222" s="1029" t="s">
        <v>5723</v>
      </c>
      <c r="G1222" s="824" t="str">
        <f>+VLOOKUP(B1222,'Salary sheet'!$B$6:$E$2281,4,0)</f>
        <v>SK2</v>
      </c>
      <c r="H1222" s="607" t="str">
        <f>+VLOOKUP(B1222,'Salary sheet'!$B$6:$AZ$1386,50,0)</f>
        <v>SK2</v>
      </c>
      <c r="I1222" s="607" t="str">
        <f t="shared" si="50"/>
        <v>C2495THI THUY050040835455</v>
      </c>
      <c r="J1222" s="853" t="str">
        <f>+VLOOKUP(B1222,'[5]04 2025'!$B$2:$F$1371,5,0)</f>
        <v>C2495THI THUY050040835455</v>
      </c>
      <c r="K1222" s="607">
        <f t="shared" si="51"/>
        <v>1</v>
      </c>
      <c r="P1222" s="685"/>
    </row>
    <row r="1223" spans="1:16" s="607" customFormat="1" ht="18" customHeight="1">
      <c r="A1223" s="826">
        <f>SUBTOTAL(3,B$6:B1223)</f>
        <v>1218</v>
      </c>
      <c r="B1223" s="824" t="s">
        <v>3224</v>
      </c>
      <c r="C1223" s="824" t="str">
        <f>+VLOOKUP(B1223,'Salary sheet'!$B$6:$AX$1386,48,0)</f>
        <v>DO THI HUE</v>
      </c>
      <c r="D1223" s="824" t="str">
        <f>+VLOOKUP(B1223,'Salary sheet'!$B$6:$BW$1386,49,0)</f>
        <v>050067513220</v>
      </c>
      <c r="E1223" s="620">
        <f>+VLOOKUP(B1223,'Salary sheet'!$B$6:$AT$1292,45,0)</f>
        <v>9415601</v>
      </c>
      <c r="F1223" s="1029" t="s">
        <v>5723</v>
      </c>
      <c r="G1223" s="824" t="str">
        <f>+VLOOKUP(B1223,'Salary sheet'!$B$6:$E$2281,4,0)</f>
        <v>SK2</v>
      </c>
      <c r="H1223" s="607" t="str">
        <f>+VLOOKUP(B1223,'Salary sheet'!$B$6:$AZ$1386,50,0)</f>
        <v>SK2</v>
      </c>
      <c r="I1223" s="607" t="str">
        <f t="shared" si="50"/>
        <v>C3107DO THI HUE050067513220</v>
      </c>
      <c r="J1223" s="853" t="str">
        <f>+VLOOKUP(B1223,'[5]04 2025'!$B$2:$F$1371,5,0)</f>
        <v>C3107DO THI HUE050067513220</v>
      </c>
      <c r="K1223" s="607">
        <f t="shared" si="51"/>
        <v>1</v>
      </c>
      <c r="P1223" s="685"/>
    </row>
    <row r="1224" spans="1:16" s="607" customFormat="1" ht="18" customHeight="1">
      <c r="A1224" s="826">
        <f>SUBTOTAL(3,B$6:B1224)</f>
        <v>1219</v>
      </c>
      <c r="B1224" s="824" t="s">
        <v>3226</v>
      </c>
      <c r="C1224" s="824" t="str">
        <f>+VLOOKUP(B1224,'Salary sheet'!$B$6:$AX$1386,48,0)</f>
        <v>PHAM VAN BINH</v>
      </c>
      <c r="D1224" s="824" t="str">
        <f>+VLOOKUP(B1224,'Salary sheet'!$B$6:$BW$1386,49,0)</f>
        <v>050040933732</v>
      </c>
      <c r="E1224" s="620">
        <f>+VLOOKUP(B1224,'Salary sheet'!$B$6:$AT$1292,45,0)</f>
        <v>9372829</v>
      </c>
      <c r="F1224" s="1029" t="s">
        <v>5723</v>
      </c>
      <c r="G1224" s="824" t="str">
        <f>+VLOOKUP(B1224,'Salary sheet'!$B$6:$E$2281,4,0)</f>
        <v>SK2</v>
      </c>
      <c r="H1224" s="607" t="str">
        <f>+VLOOKUP(B1224,'Salary sheet'!$B$6:$AZ$1386,50,0)</f>
        <v>SK2</v>
      </c>
      <c r="I1224" s="607" t="str">
        <f t="shared" si="50"/>
        <v>C3935PHAM VAN BINH050040933732</v>
      </c>
      <c r="J1224" s="853" t="str">
        <f>+VLOOKUP(B1224,'[5]04 2025'!$B$2:$F$1371,5,0)</f>
        <v>C3935PHAM VAN BINH050040933732</v>
      </c>
      <c r="K1224" s="607">
        <f t="shared" si="51"/>
        <v>1</v>
      </c>
      <c r="P1224" s="685"/>
    </row>
    <row r="1225" spans="1:16" s="607" customFormat="1" ht="18" customHeight="1">
      <c r="A1225" s="826">
        <f>SUBTOTAL(3,B$6:B1225)</f>
        <v>1220</v>
      </c>
      <c r="B1225" s="824" t="s">
        <v>3228</v>
      </c>
      <c r="C1225" s="824" t="str">
        <f>+VLOOKUP(B1225,'Salary sheet'!$B$6:$AX$1386,48,0)</f>
        <v>DO THI MONG TRINH</v>
      </c>
      <c r="D1225" s="824" t="str">
        <f>+VLOOKUP(B1225,'Salary sheet'!$B$6:$BW$1386,49,0)</f>
        <v>050040845272</v>
      </c>
      <c r="E1225" s="620">
        <f>+VLOOKUP(B1225,'Salary sheet'!$B$6:$AT$1292,45,0)</f>
        <v>7141668</v>
      </c>
      <c r="F1225" s="1029" t="s">
        <v>5723</v>
      </c>
      <c r="G1225" s="824" t="str">
        <f>+VLOOKUP(B1225,'Salary sheet'!$B$6:$E$2281,4,0)</f>
        <v>SK2</v>
      </c>
      <c r="H1225" s="607" t="str">
        <f>+VLOOKUP(B1225,'Salary sheet'!$B$6:$AZ$1386,50,0)</f>
        <v>SK2</v>
      </c>
      <c r="I1225" s="607" t="str">
        <f t="shared" si="50"/>
        <v>C4151DO THI MONG TRINH050040845272</v>
      </c>
      <c r="J1225" s="853" t="str">
        <f>+VLOOKUP(B1225,'[5]04 2025'!$B$2:$F$1371,5,0)</f>
        <v>C4151DO THI MONG TRINH050040845272</v>
      </c>
      <c r="K1225" s="607">
        <f t="shared" si="51"/>
        <v>1</v>
      </c>
      <c r="P1225" s="685"/>
    </row>
    <row r="1226" spans="1:16" s="607" customFormat="1" ht="18" customHeight="1">
      <c r="A1226" s="826">
        <f>SUBTOTAL(3,B$6:B1226)</f>
        <v>1221</v>
      </c>
      <c r="B1226" s="824" t="s">
        <v>3230</v>
      </c>
      <c r="C1226" s="824" t="str">
        <f>+VLOOKUP(B1226,'Salary sheet'!$B$6:$AX$1386,48,0)</f>
        <v>THAI THI HUYNH NHU</v>
      </c>
      <c r="D1226" s="824" t="str">
        <f>+VLOOKUP(B1226,'Salary sheet'!$B$6:$BW$1386,49,0)</f>
        <v>050083120034</v>
      </c>
      <c r="E1226" s="620">
        <f>+VLOOKUP(B1226,'Salary sheet'!$B$6:$AT$1292,45,0)</f>
        <v>13149490</v>
      </c>
      <c r="F1226" s="1029" t="s">
        <v>5723</v>
      </c>
      <c r="G1226" s="824" t="str">
        <f>+VLOOKUP(B1226,'Salary sheet'!$B$6:$E$2281,4,0)</f>
        <v>SK2</v>
      </c>
      <c r="H1226" s="607" t="str">
        <f>+VLOOKUP(B1226,'Salary sheet'!$B$6:$AZ$1386,50,0)</f>
        <v>SK2</v>
      </c>
      <c r="I1226" s="607" t="str">
        <f t="shared" si="50"/>
        <v>C7134THAI THI HUYNH NHU050083120034</v>
      </c>
      <c r="J1226" s="853" t="str">
        <f>+VLOOKUP(B1226,'[5]04 2025'!$B$2:$F$1371,5,0)</f>
        <v>C7134THAI THI HUYNH NHU050083120034</v>
      </c>
      <c r="K1226" s="607">
        <f t="shared" si="51"/>
        <v>1</v>
      </c>
      <c r="P1226" s="685"/>
    </row>
    <row r="1227" spans="1:16" s="607" customFormat="1" ht="18" customHeight="1">
      <c r="A1227" s="826">
        <f>SUBTOTAL(3,B$6:B1227)</f>
        <v>1222</v>
      </c>
      <c r="B1227" s="824" t="s">
        <v>3232</v>
      </c>
      <c r="C1227" s="824" t="str">
        <f>+VLOOKUP(B1227,'Salary sheet'!$B$6:$AX$1386,48,0)</f>
        <v>LAM THI LY</v>
      </c>
      <c r="D1227" s="824" t="str">
        <f>+VLOOKUP(B1227,'Salary sheet'!$B$6:$BW$1386,49,0)</f>
        <v>050104420696</v>
      </c>
      <c r="E1227" s="620">
        <f>+VLOOKUP(B1227,'Salary sheet'!$B$6:$AT$1292,45,0)</f>
        <v>9790903</v>
      </c>
      <c r="F1227" s="1029" t="s">
        <v>5723</v>
      </c>
      <c r="G1227" s="824" t="str">
        <f>+VLOOKUP(B1227,'Salary sheet'!$B$6:$E$2281,4,0)</f>
        <v>SK2</v>
      </c>
      <c r="H1227" s="607" t="str">
        <f>+VLOOKUP(B1227,'Salary sheet'!$B$6:$AZ$1386,50,0)</f>
        <v>SK2</v>
      </c>
      <c r="I1227" s="607" t="str">
        <f t="shared" si="50"/>
        <v>C8109LAM THI LY050104420696</v>
      </c>
      <c r="J1227" s="853" t="str">
        <f>+VLOOKUP(B1227,'[5]04 2025'!$B$2:$F$1371,5,0)</f>
        <v>C8109LAM THI LY050104420696</v>
      </c>
      <c r="K1227" s="607">
        <f t="shared" si="51"/>
        <v>1</v>
      </c>
      <c r="P1227" s="685"/>
    </row>
    <row r="1228" spans="1:16" s="607" customFormat="1" ht="18" customHeight="1">
      <c r="A1228" s="826">
        <f>SUBTOTAL(3,B$6:B1228)</f>
        <v>1223</v>
      </c>
      <c r="B1228" s="824" t="s">
        <v>3234</v>
      </c>
      <c r="C1228" s="824" t="str">
        <f>+VLOOKUP(B1228,'Salary sheet'!$B$6:$AX$1386,48,0)</f>
        <v>NGUYEN CHI HUNG</v>
      </c>
      <c r="D1228" s="824" t="str">
        <f>+VLOOKUP(B1228,'Salary sheet'!$B$6:$BW$1386,49,0)</f>
        <v>050104424799</v>
      </c>
      <c r="E1228" s="620">
        <f>+VLOOKUP(B1228,'Salary sheet'!$B$6:$AT$1292,45,0)</f>
        <v>9409294</v>
      </c>
      <c r="F1228" s="1029" t="s">
        <v>5723</v>
      </c>
      <c r="G1228" s="824" t="str">
        <f>+VLOOKUP(B1228,'Salary sheet'!$B$6:$E$2281,4,0)</f>
        <v>SK2</v>
      </c>
      <c r="H1228" s="607" t="str">
        <f>+VLOOKUP(B1228,'Salary sheet'!$B$6:$AZ$1386,50,0)</f>
        <v>SK2</v>
      </c>
      <c r="I1228" s="607" t="str">
        <f t="shared" si="48"/>
        <v>C8375NGUYEN CHI HUNG050104424799</v>
      </c>
      <c r="J1228" s="853" t="str">
        <f>+VLOOKUP(B1228,'[5]04 2025'!$B$2:$F$1371,5,0)</f>
        <v>C8375NGUYEN CHI HUNG050104424799</v>
      </c>
      <c r="K1228" s="607">
        <f t="shared" si="49"/>
        <v>1</v>
      </c>
      <c r="P1228" s="685"/>
    </row>
    <row r="1229" spans="1:16" s="607" customFormat="1" ht="18" customHeight="1">
      <c r="A1229" s="826">
        <f>SUBTOTAL(3,B$6:B1229)</f>
        <v>1224</v>
      </c>
      <c r="B1229" s="824" t="s">
        <v>3236</v>
      </c>
      <c r="C1229" s="824" t="str">
        <f>+VLOOKUP(B1229,'Salary sheet'!$B$6:$AX$1386,48,0)</f>
        <v>TRUONG VAN TRI</v>
      </c>
      <c r="D1229" s="824" t="str">
        <f>+VLOOKUP(B1229,'Salary sheet'!$B$6:$BW$1386,49,0)</f>
        <v>050104420841</v>
      </c>
      <c r="E1229" s="620">
        <f>+VLOOKUP(B1229,'Salary sheet'!$B$6:$AT$1292,45,0)</f>
        <v>11978956</v>
      </c>
      <c r="F1229" s="1029" t="s">
        <v>5723</v>
      </c>
      <c r="G1229" s="824" t="str">
        <f>+VLOOKUP(B1229,'Salary sheet'!$B$6:$E$2281,4,0)</f>
        <v>SK2</v>
      </c>
      <c r="H1229" s="607" t="str">
        <f>+VLOOKUP(B1229,'Salary sheet'!$B$6:$AZ$1386,50,0)</f>
        <v>SK2</v>
      </c>
      <c r="I1229" s="607" t="str">
        <f t="shared" si="48"/>
        <v>C7942TRUONG VAN TRI050104420841</v>
      </c>
      <c r="J1229" s="853" t="str">
        <f>+VLOOKUP(B1229,'[5]04 2025'!$B$2:$F$1371,5,0)</f>
        <v>C7942TRUONG VAN TRI050104420841</v>
      </c>
      <c r="K1229" s="607">
        <f t="shared" si="49"/>
        <v>1</v>
      </c>
      <c r="P1229" s="685"/>
    </row>
    <row r="1230" spans="1:16" s="607" customFormat="1" ht="18" customHeight="1">
      <c r="A1230" s="826">
        <f>SUBTOTAL(3,B$6:B1230)</f>
        <v>1225</v>
      </c>
      <c r="B1230" s="824" t="s">
        <v>3238</v>
      </c>
      <c r="C1230" s="824" t="str">
        <f>+VLOOKUP(B1230,'Salary sheet'!$B$6:$AX$1386,48,0)</f>
        <v>LE THI SUONG</v>
      </c>
      <c r="D1230" s="824" t="str">
        <f>+VLOOKUP(B1230,'Salary sheet'!$B$6:$BW$1386,49,0)</f>
        <v>050040828300</v>
      </c>
      <c r="E1230" s="620">
        <f>+VLOOKUP(B1230,'Salary sheet'!$B$6:$AT$1292,45,0)</f>
        <v>11069643</v>
      </c>
      <c r="F1230" s="1029" t="s">
        <v>5723</v>
      </c>
      <c r="G1230" s="824" t="str">
        <f>+VLOOKUP(B1230,'Salary sheet'!$B$6:$E$2281,4,0)</f>
        <v>SK2</v>
      </c>
      <c r="H1230" s="607" t="str">
        <f>+VLOOKUP(B1230,'Salary sheet'!$B$6:$AZ$1386,50,0)</f>
        <v>SK2</v>
      </c>
      <c r="I1230" s="607" t="str">
        <f t="shared" si="48"/>
        <v>C0015LE THI SUONG050040828300</v>
      </c>
      <c r="J1230" s="853" t="str">
        <f>+VLOOKUP(B1230,'[5]04 2025'!$B$2:$F$1371,5,0)</f>
        <v>C0015LE THI SUONG050040828300</v>
      </c>
      <c r="K1230" s="607">
        <f t="shared" si="49"/>
        <v>1</v>
      </c>
      <c r="P1230" s="685"/>
    </row>
    <row r="1231" spans="1:16" s="607" customFormat="1" ht="18" customHeight="1">
      <c r="A1231" s="826">
        <f>SUBTOTAL(3,B$6:B1231)</f>
        <v>1226</v>
      </c>
      <c r="B1231" s="824" t="s">
        <v>3240</v>
      </c>
      <c r="C1231" s="824" t="str">
        <f>+VLOOKUP(B1231,'Salary sheet'!$B$6:$AX$1386,48,0)</f>
        <v>NGUYEN THUY LINH</v>
      </c>
      <c r="D1231" s="824" t="str">
        <f>+VLOOKUP(B1231,'Salary sheet'!$B$6:$BW$1386,49,0)</f>
        <v>060041391386</v>
      </c>
      <c r="E1231" s="620">
        <f>+VLOOKUP(B1231,'Salary sheet'!$B$6:$AT$1292,45,0)</f>
        <v>9015232</v>
      </c>
      <c r="F1231" s="1029" t="s">
        <v>5723</v>
      </c>
      <c r="G1231" s="824" t="str">
        <f>+VLOOKUP(B1231,'Salary sheet'!$B$6:$E$2281,4,0)</f>
        <v>SK2</v>
      </c>
      <c r="H1231" s="607" t="str">
        <f>+VLOOKUP(B1231,'Salary sheet'!$B$6:$AZ$1386,50,0)</f>
        <v>SK2</v>
      </c>
      <c r="I1231" s="607" t="str">
        <f t="shared" si="48"/>
        <v>C10738NGUYEN THUY LINH060041391386</v>
      </c>
      <c r="J1231" s="853" t="str">
        <f>+VLOOKUP(B1231,'[5]04 2025'!$B$2:$F$1371,5,0)</f>
        <v>C10738NGUYEN THUY LINH060041391386</v>
      </c>
      <c r="K1231" s="607">
        <f t="shared" si="49"/>
        <v>1</v>
      </c>
      <c r="P1231" s="685"/>
    </row>
    <row r="1232" spans="1:16" s="607" customFormat="1" ht="18" customHeight="1">
      <c r="A1232" s="826">
        <f>SUBTOTAL(3,B$6:B1232)</f>
        <v>1227</v>
      </c>
      <c r="B1232" s="824" t="s">
        <v>3241</v>
      </c>
      <c r="C1232" s="824" t="str">
        <f>+VLOOKUP(B1232,'Salary sheet'!$B$6:$AX$1386,48,0)</f>
        <v>DAM THI QUYEN</v>
      </c>
      <c r="D1232" s="824" t="str">
        <f>+VLOOKUP(B1232,'Salary sheet'!$B$6:$BW$1386,49,0)</f>
        <v>050029026162</v>
      </c>
      <c r="E1232" s="620">
        <f>+VLOOKUP(B1232,'Salary sheet'!$B$6:$AT$1292,45,0)</f>
        <v>10106789</v>
      </c>
      <c r="F1232" s="1029" t="s">
        <v>5723</v>
      </c>
      <c r="G1232" s="824" t="str">
        <f>+VLOOKUP(B1232,'Salary sheet'!$B$6:$E$2281,4,0)</f>
        <v>SK2</v>
      </c>
      <c r="H1232" s="607" t="str">
        <f>+VLOOKUP(B1232,'Salary sheet'!$B$6:$AZ$1386,50,0)</f>
        <v>SK2</v>
      </c>
      <c r="I1232" s="607" t="str">
        <f t="shared" si="48"/>
        <v>C11058DAM THI QUYEN050029026162</v>
      </c>
      <c r="J1232" s="853" t="str">
        <f>+VLOOKUP(B1232,'[5]04 2025'!$B$2:$F$1371,5,0)</f>
        <v>C11058DAM THI QUYEN050029026162</v>
      </c>
      <c r="K1232" s="607">
        <f t="shared" si="49"/>
        <v>1</v>
      </c>
      <c r="P1232" s="685"/>
    </row>
    <row r="1233" spans="1:16" s="607" customFormat="1" ht="18" customHeight="1">
      <c r="A1233" s="826">
        <f>SUBTOTAL(3,B$6:B1233)</f>
        <v>1228</v>
      </c>
      <c r="B1233" s="824" t="s">
        <v>3243</v>
      </c>
      <c r="C1233" s="824" t="str">
        <f>+VLOOKUP(B1233,'Salary sheet'!$B$6:$AX$1386,48,0)</f>
        <v>TRAN THI DUNG</v>
      </c>
      <c r="D1233" s="824" t="str">
        <f>+VLOOKUP(B1233,'Salary sheet'!$B$6:$BW$1386,49,0)</f>
        <v>050116845870</v>
      </c>
      <c r="E1233" s="620">
        <f>+VLOOKUP(B1233,'Salary sheet'!$B$6:$AT$1292,45,0)</f>
        <v>10954537</v>
      </c>
      <c r="F1233" s="1029" t="s">
        <v>5723</v>
      </c>
      <c r="G1233" s="824" t="str">
        <f>+VLOOKUP(B1233,'Salary sheet'!$B$6:$E$2281,4,0)</f>
        <v>SK2</v>
      </c>
      <c r="H1233" s="607" t="str">
        <f>+VLOOKUP(B1233,'Salary sheet'!$B$6:$AZ$1386,50,0)</f>
        <v>SK2</v>
      </c>
      <c r="I1233" s="607" t="str">
        <f t="shared" si="48"/>
        <v>C13228TRAN THI DUNG050116845870</v>
      </c>
      <c r="J1233" s="853" t="str">
        <f>+VLOOKUP(B1233,'[5]04 2025'!$B$2:$F$1371,5,0)</f>
        <v>C13228TRAN THI DUNG050116845870</v>
      </c>
      <c r="K1233" s="607">
        <f t="shared" si="49"/>
        <v>1</v>
      </c>
      <c r="P1233" s="685"/>
    </row>
    <row r="1234" spans="1:16" s="607" customFormat="1" ht="18" customHeight="1">
      <c r="A1234" s="826">
        <f>SUBTOTAL(3,B$6:B1234)</f>
        <v>1229</v>
      </c>
      <c r="B1234" s="824" t="s">
        <v>3244</v>
      </c>
      <c r="C1234" s="824" t="str">
        <f>+VLOOKUP(B1234,'Salary sheet'!$B$6:$AX$1386,48,0)</f>
        <v>NGUYEN HONG LOAN</v>
      </c>
      <c r="D1234" s="824" t="str">
        <f>+VLOOKUP(B1234,'Salary sheet'!$B$6:$BW$1386,49,0)</f>
        <v>050134556746</v>
      </c>
      <c r="E1234" s="620">
        <f>+VLOOKUP(B1234,'Salary sheet'!$B$6:$AT$1292,45,0)</f>
        <v>7476207</v>
      </c>
      <c r="F1234" s="1029" t="s">
        <v>5723</v>
      </c>
      <c r="G1234" s="824" t="str">
        <f>+VLOOKUP(B1234,'Salary sheet'!$B$6:$E$2281,4,0)</f>
        <v>SK2</v>
      </c>
      <c r="H1234" s="607" t="str">
        <f>+VLOOKUP(B1234,'Salary sheet'!$B$6:$AZ$1386,50,0)</f>
        <v>SK2</v>
      </c>
      <c r="I1234" s="607" t="str">
        <f t="shared" si="48"/>
        <v>C14541NGUYEN HONG LOAN050134556746</v>
      </c>
      <c r="J1234" s="853" t="str">
        <f>+VLOOKUP(B1234,'[5]04 2025'!$B$2:$F$1371,5,0)</f>
        <v>C14541NGUYEN HONG LOAN050134556746</v>
      </c>
      <c r="K1234" s="607">
        <f t="shared" si="49"/>
        <v>1</v>
      </c>
      <c r="P1234" s="685"/>
    </row>
    <row r="1235" spans="1:16" s="607" customFormat="1" ht="18" customHeight="1">
      <c r="A1235" s="826">
        <f>SUBTOTAL(3,B$6:B1235)</f>
        <v>1230</v>
      </c>
      <c r="B1235" s="824" t="s">
        <v>3246</v>
      </c>
      <c r="C1235" s="824" t="str">
        <f>+VLOOKUP(B1235,'Salary sheet'!$B$6:$AX$1386,48,0)</f>
        <v>LE THI HONG DUNG</v>
      </c>
      <c r="D1235" s="824" t="str">
        <f>+VLOOKUP(B1235,'Salary sheet'!$B$6:$BW$1386,49,0)</f>
        <v>060257557203</v>
      </c>
      <c r="E1235" s="620">
        <f>+VLOOKUP(B1235,'Salary sheet'!$B$6:$AT$1292,45,0)</f>
        <v>9945925</v>
      </c>
      <c r="F1235" s="1029" t="s">
        <v>5723</v>
      </c>
      <c r="G1235" s="824" t="str">
        <f>+VLOOKUP(B1235,'Salary sheet'!$B$6:$E$2281,4,0)</f>
        <v>SK2</v>
      </c>
      <c r="H1235" s="607" t="str">
        <f>+VLOOKUP(B1235,'Salary sheet'!$B$6:$AZ$1386,50,0)</f>
        <v>SK2</v>
      </c>
      <c r="I1235" s="607" t="str">
        <f t="shared" ref="I1235:I1278" si="52">+CONCATENATE(B1235,C1235,D1235)</f>
        <v>C14647LE THI HONG DUNG060257557203</v>
      </c>
      <c r="J1235" s="853" t="str">
        <f>+VLOOKUP(B1235,'[5]04 2025'!$B$2:$F$1371,5,0)</f>
        <v>C14647LE THI HONG DUNG060257557203</v>
      </c>
      <c r="K1235" s="607">
        <f t="shared" si="49"/>
        <v>1</v>
      </c>
      <c r="P1235" s="685"/>
    </row>
    <row r="1236" spans="1:16" s="607" customFormat="1" ht="18" customHeight="1">
      <c r="A1236" s="826">
        <f>SUBTOTAL(3,B$6:B1236)</f>
        <v>1231</v>
      </c>
      <c r="B1236" s="824" t="s">
        <v>3248</v>
      </c>
      <c r="C1236" s="824" t="str">
        <f>+VLOOKUP(B1236,'Salary sheet'!$B$6:$AX$1386,48,0)</f>
        <v>NGUYEN THI XUAN HAI</v>
      </c>
      <c r="D1236" s="824" t="str">
        <f>+VLOOKUP(B1236,'Salary sheet'!$B$6:$BW$1386,49,0)</f>
        <v>050100276604</v>
      </c>
      <c r="E1236" s="620">
        <f>+VLOOKUP(B1236,'Salary sheet'!$B$6:$AT$1292,45,0)</f>
        <v>9894567</v>
      </c>
      <c r="F1236" s="1029" t="s">
        <v>5723</v>
      </c>
      <c r="G1236" s="824" t="str">
        <f>+VLOOKUP(B1236,'Salary sheet'!$B$6:$E$2281,4,0)</f>
        <v>SK2</v>
      </c>
      <c r="H1236" s="607" t="str">
        <f>+VLOOKUP(B1236,'Salary sheet'!$B$6:$AZ$1386,50,0)</f>
        <v>SK2</v>
      </c>
      <c r="I1236" s="607" t="str">
        <f t="shared" si="52"/>
        <v>C14812NGUYEN THI XUAN HAI050100276604</v>
      </c>
      <c r="J1236" s="853" t="str">
        <f>+VLOOKUP(B1236,'[5]04 2025'!$B$2:$F$1371,5,0)</f>
        <v>C14812NGUYEN THI XUAN HAI050100276604</v>
      </c>
      <c r="K1236" s="607">
        <f t="shared" si="49"/>
        <v>1</v>
      </c>
      <c r="P1236" s="685"/>
    </row>
    <row r="1237" spans="1:16" s="607" customFormat="1" ht="18" customHeight="1">
      <c r="A1237" s="826">
        <f>SUBTOTAL(3,B$6:B1237)</f>
        <v>1232</v>
      </c>
      <c r="B1237" s="824" t="s">
        <v>3250</v>
      </c>
      <c r="C1237" s="824" t="str">
        <f>+VLOOKUP(B1237,'Salary sheet'!$B$6:$AX$1386,48,0)</f>
        <v>TO THANH THUY</v>
      </c>
      <c r="D1237" s="824" t="str">
        <f>+VLOOKUP(B1237,'Salary sheet'!$B$6:$BW$1386,49,0)</f>
        <v>054514032000</v>
      </c>
      <c r="E1237" s="620">
        <f>+VLOOKUP(B1237,'Salary sheet'!$B$6:$AT$1292,45,0)</f>
        <v>7738584</v>
      </c>
      <c r="F1237" s="1029" t="s">
        <v>5723</v>
      </c>
      <c r="G1237" s="824" t="str">
        <f>+VLOOKUP(B1237,'Salary sheet'!$B$6:$E$2281,4,0)</f>
        <v>SK2</v>
      </c>
      <c r="H1237" s="607" t="str">
        <f>+VLOOKUP(B1237,'Salary sheet'!$B$6:$AZ$1386,50,0)</f>
        <v>SK2</v>
      </c>
      <c r="I1237" s="607" t="str">
        <f t="shared" si="52"/>
        <v>C15688TO THANH THUY054514032000</v>
      </c>
      <c r="J1237" s="853" t="str">
        <f>+VLOOKUP(B1237,'[5]04 2025'!$B$2:$F$1371,5,0)</f>
        <v>C15688TO THANH THUY054514032000</v>
      </c>
      <c r="K1237" s="607">
        <f t="shared" si="49"/>
        <v>1</v>
      </c>
      <c r="P1237" s="685"/>
    </row>
    <row r="1238" spans="1:16" s="607" customFormat="1" ht="18" customHeight="1">
      <c r="A1238" s="826">
        <f>SUBTOTAL(3,B$6:B1238)</f>
        <v>1233</v>
      </c>
      <c r="B1238" s="824" t="s">
        <v>3252</v>
      </c>
      <c r="C1238" s="824" t="str">
        <f>+VLOOKUP(B1238,'Salary sheet'!$B$6:$AX$1386,48,0)</f>
        <v>PHAN THI KIM DUNG</v>
      </c>
      <c r="D1238" s="824" t="str">
        <f>+VLOOKUP(B1238,'Salary sheet'!$B$6:$BW$1386,49,0)</f>
        <v>050027684553</v>
      </c>
      <c r="E1238" s="620">
        <f>+VLOOKUP(B1238,'Salary sheet'!$B$6:$AT$1292,45,0)</f>
        <v>8892229</v>
      </c>
      <c r="F1238" s="1029" t="s">
        <v>5723</v>
      </c>
      <c r="G1238" s="824" t="str">
        <f>+VLOOKUP(B1238,'Salary sheet'!$B$6:$E$2281,4,0)</f>
        <v>SK2</v>
      </c>
      <c r="H1238" s="607" t="str">
        <f>+VLOOKUP(B1238,'Salary sheet'!$B$6:$AZ$1386,50,0)</f>
        <v>SK2</v>
      </c>
      <c r="I1238" s="607" t="str">
        <f t="shared" si="52"/>
        <v>C15969PHAN THI KIM DUNG050027684553</v>
      </c>
      <c r="J1238" s="853" t="str">
        <f>+VLOOKUP(B1238,'[5]04 2025'!$B$2:$F$1371,5,0)</f>
        <v>C15969PHAN THI KIM DUNG050027684553</v>
      </c>
      <c r="K1238" s="607">
        <f t="shared" si="49"/>
        <v>1</v>
      </c>
      <c r="P1238" s="685"/>
    </row>
    <row r="1239" spans="1:16" s="607" customFormat="1" ht="18" customHeight="1">
      <c r="A1239" s="826">
        <f>SUBTOTAL(3,B$6:B1239)</f>
        <v>1234</v>
      </c>
      <c r="B1239" s="824" t="s">
        <v>3254</v>
      </c>
      <c r="C1239" s="824" t="str">
        <f>+VLOOKUP(B1239,'Salary sheet'!$B$6:$AX$1386,48,0)</f>
        <v>NGUYEN THI KIEU TRANG</v>
      </c>
      <c r="D1239" s="824" t="str">
        <f>+VLOOKUP(B1239,'Salary sheet'!$B$6:$BW$1386,49,0)</f>
        <v>33441986</v>
      </c>
      <c r="E1239" s="620">
        <f>+VLOOKUP(B1239,'Salary sheet'!$B$6:$AT$1292,45,0)</f>
        <v>6814656</v>
      </c>
      <c r="F1239" s="1029" t="s">
        <v>5723</v>
      </c>
      <c r="G1239" s="824" t="str">
        <f>+VLOOKUP(B1239,'Salary sheet'!$B$6:$E$2281,4,0)</f>
        <v>SK2</v>
      </c>
      <c r="H1239" s="607" t="str">
        <f>+VLOOKUP(B1239,'Salary sheet'!$B$6:$AZ$1386,50,0)</f>
        <v>SK2</v>
      </c>
      <c r="I1239" s="607" t="str">
        <f t="shared" si="52"/>
        <v>C16150NGUYEN THI KIEU TRANG33441986</v>
      </c>
      <c r="J1239" s="853" t="str">
        <f>+VLOOKUP(B1239,'[5]04 2025'!$B$2:$F$1371,5,0)</f>
        <v>C16150NGUYEN THI KIEU TRANG33441986</v>
      </c>
      <c r="K1239" s="607">
        <f t="shared" si="49"/>
        <v>1</v>
      </c>
      <c r="P1239" s="685"/>
    </row>
    <row r="1240" spans="1:16" s="607" customFormat="1" ht="18" customHeight="1">
      <c r="A1240" s="826">
        <f>SUBTOTAL(3,B$6:B1240)</f>
        <v>1235</v>
      </c>
      <c r="B1240" s="824" t="s">
        <v>3256</v>
      </c>
      <c r="C1240" s="824" t="str">
        <f>+VLOOKUP(B1240,'Salary sheet'!$B$6:$AX$1386,48,0)</f>
        <v>BUI THI KIM NGAN</v>
      </c>
      <c r="D1240" s="824" t="str">
        <f>+VLOOKUP(B1240,'Salary sheet'!$B$6:$BW$1386,49,0)</f>
        <v>050156388251</v>
      </c>
      <c r="E1240" s="620">
        <f>+VLOOKUP(B1240,'Salary sheet'!$B$6:$AT$1292,45,0)</f>
        <v>8772251</v>
      </c>
      <c r="F1240" s="1029" t="s">
        <v>5723</v>
      </c>
      <c r="G1240" s="824" t="str">
        <f>+VLOOKUP(B1240,'Salary sheet'!$B$6:$E$2281,4,0)</f>
        <v>SK2</v>
      </c>
      <c r="H1240" s="607" t="str">
        <f>+VLOOKUP(B1240,'Salary sheet'!$B$6:$AZ$1386,50,0)</f>
        <v>SK2</v>
      </c>
      <c r="I1240" s="607" t="str">
        <f t="shared" si="52"/>
        <v>C16168BUI THI KIM NGAN050156388251</v>
      </c>
      <c r="J1240" s="853" t="str">
        <f>+VLOOKUP(B1240,'[5]04 2025'!$B$2:$F$1371,5,0)</f>
        <v>C16168BUI THI KIM NGAN050156388251</v>
      </c>
      <c r="K1240" s="607">
        <f t="shared" si="49"/>
        <v>1</v>
      </c>
      <c r="P1240" s="685"/>
    </row>
    <row r="1241" spans="1:16" s="607" customFormat="1" ht="18" customHeight="1">
      <c r="A1241" s="826">
        <f>SUBTOTAL(3,B$6:B1241)</f>
        <v>1236</v>
      </c>
      <c r="B1241" s="824" t="s">
        <v>3258</v>
      </c>
      <c r="C1241" s="824" t="str">
        <f>+VLOOKUP(B1241,'Salary sheet'!$B$6:$AX$1386,48,0)</f>
        <v>NGUYEN THI HUYEN TRAN</v>
      </c>
      <c r="D1241" s="824" t="str">
        <f>+VLOOKUP(B1241,'Salary sheet'!$B$6:$BW$1386,49,0)</f>
        <v>050046197264</v>
      </c>
      <c r="E1241" s="620">
        <f>+VLOOKUP(B1241,'Salary sheet'!$B$6:$AT$1292,45,0)</f>
        <v>8251102</v>
      </c>
      <c r="F1241" s="1029" t="s">
        <v>5723</v>
      </c>
      <c r="G1241" s="824" t="str">
        <f>+VLOOKUP(B1241,'Salary sheet'!$B$6:$E$2281,4,0)</f>
        <v>SK2</v>
      </c>
      <c r="H1241" s="607" t="str">
        <f>+VLOOKUP(B1241,'Salary sheet'!$B$6:$AZ$1386,50,0)</f>
        <v>SK2</v>
      </c>
      <c r="I1241" s="607" t="str">
        <f t="shared" si="52"/>
        <v>C16311NGUYEN THI HUYEN TRAN050046197264</v>
      </c>
      <c r="J1241" s="853" t="str">
        <f>+VLOOKUP(B1241,'[5]04 2025'!$B$2:$F$1371,5,0)</f>
        <v>C16311NGUYEN THI HUYEN TRAN050046197264</v>
      </c>
      <c r="K1241" s="607">
        <f t="shared" si="49"/>
        <v>1</v>
      </c>
      <c r="P1241" s="685"/>
    </row>
    <row r="1242" spans="1:16" s="607" customFormat="1" ht="18" customHeight="1">
      <c r="A1242" s="826">
        <f>SUBTOTAL(3,B$6:B1242)</f>
        <v>1237</v>
      </c>
      <c r="B1242" s="824" t="s">
        <v>3259</v>
      </c>
      <c r="C1242" s="824" t="str">
        <f>+VLOOKUP(B1242,'Salary sheet'!$B$6:$AX$1386,48,0)</f>
        <v>HOANG PHUONG DUNG</v>
      </c>
      <c r="D1242" s="824" t="str">
        <f>+VLOOKUP(B1242,'Salary sheet'!$B$6:$BW$1386,49,0)</f>
        <v>050152564594</v>
      </c>
      <c r="E1242" s="620">
        <f>+VLOOKUP(B1242,'Salary sheet'!$B$6:$AT$1292,45,0)</f>
        <v>6875837</v>
      </c>
      <c r="F1242" s="1029" t="s">
        <v>5723</v>
      </c>
      <c r="G1242" s="824" t="str">
        <f>+VLOOKUP(B1242,'Salary sheet'!$B$6:$E$2281,4,0)</f>
        <v>SK2</v>
      </c>
      <c r="H1242" s="607" t="str">
        <f>+VLOOKUP(B1242,'Salary sheet'!$B$6:$AZ$1386,50,0)</f>
        <v>SK2</v>
      </c>
      <c r="I1242" s="607" t="str">
        <f t="shared" si="52"/>
        <v>C16316HOANG PHUONG DUNG050152564594</v>
      </c>
      <c r="J1242" s="853" t="str">
        <f>+VLOOKUP(B1242,'[5]04 2025'!$B$2:$F$1371,5,0)</f>
        <v>C16316HOANG PHUONG DUNG050152564594</v>
      </c>
      <c r="K1242" s="607">
        <f t="shared" si="49"/>
        <v>1</v>
      </c>
      <c r="P1242" s="685"/>
    </row>
    <row r="1243" spans="1:16" s="607" customFormat="1" ht="18" customHeight="1">
      <c r="A1243" s="826">
        <f>SUBTOTAL(3,B$6:B1243)</f>
        <v>1238</v>
      </c>
      <c r="B1243" s="824" t="s">
        <v>3261</v>
      </c>
      <c r="C1243" s="824" t="str">
        <f>+VLOOKUP(B1243,'Salary sheet'!$B$6:$AX$1386,48,0)</f>
        <v>BUI THI GIANG</v>
      </c>
      <c r="D1243" s="824" t="str">
        <f>+VLOOKUP(B1243,'Salary sheet'!$B$6:$BW$1386,49,0)</f>
        <v>050156674440</v>
      </c>
      <c r="E1243" s="620">
        <f>+VLOOKUP(B1243,'Salary sheet'!$B$6:$AT$1292,45,0)</f>
        <v>8785784</v>
      </c>
      <c r="F1243" s="1029" t="s">
        <v>5723</v>
      </c>
      <c r="G1243" s="824" t="str">
        <f>+VLOOKUP(B1243,'Salary sheet'!$B$6:$E$2281,4,0)</f>
        <v>SK2</v>
      </c>
      <c r="H1243" s="607" t="str">
        <f>+VLOOKUP(B1243,'Salary sheet'!$B$6:$AZ$1386,50,0)</f>
        <v>SK2</v>
      </c>
      <c r="I1243" s="607" t="str">
        <f t="shared" si="52"/>
        <v>C16336BUI THI GIANG050156674440</v>
      </c>
      <c r="J1243" s="853" t="str">
        <f>+VLOOKUP(B1243,'[5]04 2025'!$B$2:$F$1371,5,0)</f>
        <v>C16336BUI THI GIANG050156674440</v>
      </c>
      <c r="K1243" s="607">
        <f t="shared" si="49"/>
        <v>1</v>
      </c>
      <c r="P1243" s="685"/>
    </row>
    <row r="1244" spans="1:16" s="607" customFormat="1" ht="18" customHeight="1">
      <c r="A1244" s="826">
        <f>SUBTOTAL(3,B$6:B1244)</f>
        <v>1239</v>
      </c>
      <c r="B1244" s="824" t="s">
        <v>5815</v>
      </c>
      <c r="C1244" s="824" t="str">
        <f>+VLOOKUP(B1244,'Salary sheet'!$B$6:$AX$1386,48,0)</f>
        <v>LE THI QUYNH GIANG</v>
      </c>
      <c r="D1244" s="824" t="str">
        <f>+VLOOKUP(B1244,'Salary sheet'!$B$6:$BW$1386,49,0)</f>
        <v>050146365199</v>
      </c>
      <c r="E1244" s="620">
        <f>+VLOOKUP(B1244,'Salary sheet'!$B$6:$AT$1292,45,0)</f>
        <v>2226868</v>
      </c>
      <c r="F1244" s="1029" t="s">
        <v>5723</v>
      </c>
      <c r="G1244" s="824" t="str">
        <f>+VLOOKUP(B1244,'Salary sheet'!$B$6:$E$2281,4,0)</f>
        <v>SK2</v>
      </c>
      <c r="H1244" s="607" t="str">
        <f>+VLOOKUP(B1244,'Salary sheet'!$B$6:$AZ$1386,50,0)</f>
        <v>SK2</v>
      </c>
      <c r="I1244" s="607" t="str">
        <f t="shared" si="52"/>
        <v>C16616LE THI QUYNH GIANG050146365199</v>
      </c>
      <c r="J1244" s="853" t="str">
        <f>+VLOOKUP(B1244,'[5]04 2025'!$B$2:$F$1371,5,0)</f>
        <v>C16616LE THI QUYNH GIANG050146365199</v>
      </c>
      <c r="K1244" s="607">
        <f t="shared" si="49"/>
        <v>1</v>
      </c>
      <c r="P1244" s="685"/>
    </row>
    <row r="1245" spans="1:16" s="607" customFormat="1" ht="18" customHeight="1">
      <c r="A1245" s="826">
        <f>SUBTOTAL(3,B$6:B1245)</f>
        <v>1240</v>
      </c>
      <c r="B1245" s="824" t="s">
        <v>3263</v>
      </c>
      <c r="C1245" s="824" t="str">
        <f>+VLOOKUP(B1245,'Salary sheet'!$B$6:$AX$1386,48,0)</f>
        <v>HOANG THI THUY DUNG</v>
      </c>
      <c r="D1245" s="824" t="str">
        <f>+VLOOKUP(B1245,'Salary sheet'!$B$6:$BW$1386,49,0)</f>
        <v>050040828912</v>
      </c>
      <c r="E1245" s="620">
        <f>+VLOOKUP(B1245,'Salary sheet'!$B$6:$AT$1292,45,0)</f>
        <v>12816783</v>
      </c>
      <c r="F1245" s="1029" t="s">
        <v>5723</v>
      </c>
      <c r="G1245" s="824" t="str">
        <f>+VLOOKUP(B1245,'Salary sheet'!$B$6:$E$2281,4,0)</f>
        <v>SK2</v>
      </c>
      <c r="H1245" s="607" t="str">
        <f>+VLOOKUP(B1245,'Salary sheet'!$B$6:$AZ$1386,50,0)</f>
        <v>SK2</v>
      </c>
      <c r="I1245" s="607" t="str">
        <f t="shared" si="52"/>
        <v>C4860HOANG THI THUY DUNG050040828912</v>
      </c>
      <c r="J1245" s="853" t="str">
        <f>+VLOOKUP(B1245,'[5]04 2025'!$B$2:$F$1371,5,0)</f>
        <v>C4860HOANG THI THUY DUNG050040828912</v>
      </c>
      <c r="K1245" s="607">
        <f t="shared" si="49"/>
        <v>1</v>
      </c>
      <c r="P1245" s="685"/>
    </row>
    <row r="1246" spans="1:16" s="607" customFormat="1" ht="18" customHeight="1">
      <c r="A1246" s="826">
        <f>SUBTOTAL(3,B$6:B1246)</f>
        <v>1241</v>
      </c>
      <c r="B1246" s="824" t="s">
        <v>3265</v>
      </c>
      <c r="C1246" s="824" t="str">
        <f>+VLOOKUP(B1246,'Salary sheet'!$B$6:$AX$1386,48,0)</f>
        <v>HUYNH THI PHUONG THAO</v>
      </c>
      <c r="D1246" s="824" t="str">
        <f>+VLOOKUP(B1246,'Salary sheet'!$B$6:$BW$1386,49,0)</f>
        <v>050041644297</v>
      </c>
      <c r="E1246" s="620">
        <f>+VLOOKUP(B1246,'Salary sheet'!$B$6:$AT$1292,45,0)</f>
        <v>9991372</v>
      </c>
      <c r="F1246" s="1029" t="s">
        <v>5723</v>
      </c>
      <c r="G1246" s="824" t="str">
        <f>+VLOOKUP(B1246,'Salary sheet'!$B$6:$E$2281,4,0)</f>
        <v>SK2</v>
      </c>
      <c r="H1246" s="607" t="str">
        <f>+VLOOKUP(B1246,'Salary sheet'!$B$6:$AZ$1386,50,0)</f>
        <v>SK2</v>
      </c>
      <c r="I1246" s="607" t="str">
        <f t="shared" si="52"/>
        <v>C5238HUYNH THI PHUONG THAO050041644297</v>
      </c>
      <c r="J1246" s="853" t="str">
        <f>+VLOOKUP(B1246,'[5]04 2025'!$B$2:$F$1371,5,0)</f>
        <v>C5238HUYNH THI PHUONG THAO050041644297</v>
      </c>
      <c r="K1246" s="607">
        <f t="shared" si="49"/>
        <v>1</v>
      </c>
      <c r="P1246" s="685"/>
    </row>
    <row r="1247" spans="1:16" s="607" customFormat="1" ht="18" customHeight="1">
      <c r="A1247" s="826">
        <f>SUBTOTAL(3,B$6:B1247)</f>
        <v>1242</v>
      </c>
      <c r="B1247" s="824" t="s">
        <v>3267</v>
      </c>
      <c r="C1247" s="824" t="str">
        <f>+VLOOKUP(B1247,'Salary sheet'!$B$6:$AX$1386,48,0)</f>
        <v>VU THI HAI</v>
      </c>
      <c r="D1247" s="824" t="str">
        <f>+VLOOKUP(B1247,'Salary sheet'!$B$6:$BW$1386,49,0)</f>
        <v>050040933503</v>
      </c>
      <c r="E1247" s="620">
        <f>+VLOOKUP(B1247,'Salary sheet'!$B$6:$AT$1292,45,0)</f>
        <v>10392288</v>
      </c>
      <c r="F1247" s="1029" t="s">
        <v>5723</v>
      </c>
      <c r="G1247" s="824" t="str">
        <f>+VLOOKUP(B1247,'Salary sheet'!$B$6:$E$2281,4,0)</f>
        <v>SK2</v>
      </c>
      <c r="H1247" s="607" t="str">
        <f>+VLOOKUP(B1247,'Salary sheet'!$B$6:$AZ$1386,50,0)</f>
        <v>SK2</v>
      </c>
      <c r="I1247" s="607" t="str">
        <f t="shared" si="52"/>
        <v>C5519VU THI HAI050040933503</v>
      </c>
      <c r="J1247" s="853" t="str">
        <f>+VLOOKUP(B1247,'[5]04 2025'!$B$2:$F$1371,5,0)</f>
        <v>C5519VU THI HAI050040933503</v>
      </c>
      <c r="K1247" s="607">
        <f t="shared" si="49"/>
        <v>1</v>
      </c>
      <c r="P1247" s="685"/>
    </row>
    <row r="1248" spans="1:16" s="607" customFormat="1" ht="18" customHeight="1">
      <c r="A1248" s="826">
        <f>SUBTOTAL(3,B$6:B1248)</f>
        <v>1243</v>
      </c>
      <c r="B1248" s="824" t="s">
        <v>3269</v>
      </c>
      <c r="C1248" s="824" t="str">
        <f>+VLOOKUP(B1248,'Salary sheet'!$B$6:$AX$1386,48,0)</f>
        <v>LE THI DIEM TRINH</v>
      </c>
      <c r="D1248" s="824" t="str">
        <f>+VLOOKUP(B1248,'Salary sheet'!$B$6:$BW$1386,49,0)</f>
        <v>050055279087</v>
      </c>
      <c r="E1248" s="620">
        <f>+VLOOKUP(B1248,'Salary sheet'!$B$6:$AT$1292,45,0)</f>
        <v>10551652</v>
      </c>
      <c r="F1248" s="1029" t="s">
        <v>5723</v>
      </c>
      <c r="G1248" s="824" t="str">
        <f>+VLOOKUP(B1248,'Salary sheet'!$B$6:$E$2281,4,0)</f>
        <v>SK2</v>
      </c>
      <c r="H1248" s="607" t="str">
        <f>+VLOOKUP(B1248,'Salary sheet'!$B$6:$AZ$1386,50,0)</f>
        <v>SK2</v>
      </c>
      <c r="I1248" s="607" t="str">
        <f t="shared" si="52"/>
        <v>C6618LE THI DIEM TRINH050055279087</v>
      </c>
      <c r="J1248" s="853" t="str">
        <f>+VLOOKUP(B1248,'[5]04 2025'!$B$2:$F$1371,5,0)</f>
        <v>C6618LE THI DIEM TRINH050055279087</v>
      </c>
      <c r="K1248" s="607">
        <f t="shared" si="49"/>
        <v>1</v>
      </c>
      <c r="P1248" s="685"/>
    </row>
    <row r="1249" spans="1:16" s="607" customFormat="1" ht="18" customHeight="1">
      <c r="A1249" s="826">
        <f>SUBTOTAL(3,B$6:B1249)</f>
        <v>1244</v>
      </c>
      <c r="B1249" s="824" t="s">
        <v>3271</v>
      </c>
      <c r="C1249" s="824" t="str">
        <f>+VLOOKUP(B1249,'Salary sheet'!$B$6:$AX$1386,48,0)</f>
        <v>NGUYEN THI KIM GIAU</v>
      </c>
      <c r="D1249" s="824" t="str">
        <f>+VLOOKUP(B1249,'Salary sheet'!$B$6:$BW$1386,49,0)</f>
        <v>050104420106</v>
      </c>
      <c r="E1249" s="620">
        <f>+VLOOKUP(B1249,'Salary sheet'!$B$6:$AT$1292,45,0)</f>
        <v>6030824</v>
      </c>
      <c r="F1249" s="1029" t="s">
        <v>5723</v>
      </c>
      <c r="G1249" s="824" t="str">
        <f>+VLOOKUP(B1249,'Salary sheet'!$B$6:$E$2281,4,0)</f>
        <v>SK2</v>
      </c>
      <c r="H1249" s="607" t="str">
        <f>+VLOOKUP(B1249,'Salary sheet'!$B$6:$AZ$1386,50,0)</f>
        <v>SK2</v>
      </c>
      <c r="I1249" s="607" t="str">
        <f t="shared" si="52"/>
        <v>C8352NGUYEN THI KIM GIAU050104420106</v>
      </c>
      <c r="J1249" s="853" t="str">
        <f>+VLOOKUP(B1249,'[5]04 2025'!$B$2:$F$1371,5,0)</f>
        <v>C8352NGUYEN THI KIM GIAU050104420106</v>
      </c>
      <c r="K1249" s="607">
        <f t="shared" si="49"/>
        <v>1</v>
      </c>
      <c r="P1249" s="685"/>
    </row>
    <row r="1250" spans="1:16" s="607" customFormat="1" ht="18" customHeight="1">
      <c r="A1250" s="826">
        <f>SUBTOTAL(3,B$6:B1250)</f>
        <v>1245</v>
      </c>
      <c r="B1250" s="824" t="s">
        <v>3273</v>
      </c>
      <c r="C1250" s="824" t="str">
        <f>+VLOOKUP(B1250,'Salary sheet'!$B$6:$AX$1386,48,0)</f>
        <v>LE TIEN NAM</v>
      </c>
      <c r="D1250" s="824" t="str">
        <f>+VLOOKUP(B1250,'Salary sheet'!$B$6:$BW$1386,49,0)</f>
        <v>050112496197</v>
      </c>
      <c r="E1250" s="620">
        <f>+VLOOKUP(B1250,'Salary sheet'!$B$6:$AT$1292,45,0)</f>
        <v>10098475</v>
      </c>
      <c r="F1250" s="1029" t="s">
        <v>5723</v>
      </c>
      <c r="G1250" s="824" t="str">
        <f>+VLOOKUP(B1250,'Salary sheet'!$B$6:$E$2281,4,0)</f>
        <v>SK2</v>
      </c>
      <c r="H1250" s="607" t="str">
        <f>+VLOOKUP(B1250,'Salary sheet'!$B$6:$AZ$1386,50,0)</f>
        <v>SK2</v>
      </c>
      <c r="I1250" s="607" t="str">
        <f t="shared" si="52"/>
        <v>C13826LE TIEN NAM050112496197</v>
      </c>
      <c r="J1250" s="853" t="str">
        <f>+VLOOKUP(B1250,'[5]04 2025'!$B$2:$F$1371,5,0)</f>
        <v>C13826LE TIEN NAM050112496197</v>
      </c>
      <c r="K1250" s="607">
        <f t="shared" si="49"/>
        <v>1</v>
      </c>
      <c r="P1250" s="685"/>
    </row>
    <row r="1251" spans="1:16" s="607" customFormat="1" ht="18" customHeight="1">
      <c r="A1251" s="826">
        <f>SUBTOTAL(3,B$6:B1251)</f>
        <v>1246</v>
      </c>
      <c r="B1251" s="824" t="s">
        <v>3275</v>
      </c>
      <c r="C1251" s="824" t="str">
        <f>+VLOOKUP(B1251,'Salary sheet'!$B$6:$AX$1386,48,0)</f>
        <v>Y KHUIN KBUOR</v>
      </c>
      <c r="D1251" s="824" t="str">
        <f>+VLOOKUP(B1251,'Salary sheet'!$B$6:$BW$1386,49,0)</f>
        <v>050127859598</v>
      </c>
      <c r="E1251" s="620">
        <f>+VLOOKUP(B1251,'Salary sheet'!$B$6:$AT$1292,45,0)</f>
        <v>9840443</v>
      </c>
      <c r="F1251" s="1029" t="s">
        <v>5723</v>
      </c>
      <c r="G1251" s="824" t="str">
        <f>+VLOOKUP(B1251,'Salary sheet'!$B$6:$E$2281,4,0)</f>
        <v>SK2</v>
      </c>
      <c r="H1251" s="607" t="str">
        <f>+VLOOKUP(B1251,'Salary sheet'!$B$6:$AZ$1386,50,0)</f>
        <v>SK2</v>
      </c>
      <c r="I1251" s="607" t="str">
        <f t="shared" si="52"/>
        <v>C13980Y KHUIN KBUOR050127859598</v>
      </c>
      <c r="J1251" s="853" t="str">
        <f>+VLOOKUP(B1251,'[5]04 2025'!$B$2:$F$1371,5,0)</f>
        <v>C13980Y KHUIN KBUOR050127859598</v>
      </c>
      <c r="K1251" s="607">
        <f t="shared" si="49"/>
        <v>1</v>
      </c>
      <c r="P1251" s="685"/>
    </row>
    <row r="1252" spans="1:16" s="607" customFormat="1" ht="18" customHeight="1">
      <c r="A1252" s="826">
        <f>SUBTOTAL(3,B$6:B1252)</f>
        <v>1247</v>
      </c>
      <c r="B1252" s="824" t="s">
        <v>3277</v>
      </c>
      <c r="C1252" s="824" t="str">
        <f>+VLOOKUP(B1252,'Salary sheet'!$B$6:$AX$1386,48,0)</f>
        <v>LE VAN THAI</v>
      </c>
      <c r="D1252" s="824" t="str">
        <f>+VLOOKUP(B1252,'Salary sheet'!$B$6:$BW$1386,49,0)</f>
        <v>050134714521</v>
      </c>
      <c r="E1252" s="620">
        <f>+VLOOKUP(B1252,'Salary sheet'!$B$6:$AT$1292,45,0)</f>
        <v>9686697</v>
      </c>
      <c r="F1252" s="1029" t="s">
        <v>5723</v>
      </c>
      <c r="G1252" s="824" t="str">
        <f>+VLOOKUP(B1252,'Salary sheet'!$B$6:$E$2281,4,0)</f>
        <v>SK2</v>
      </c>
      <c r="H1252" s="607" t="str">
        <f>+VLOOKUP(B1252,'Salary sheet'!$B$6:$AZ$1386,50,0)</f>
        <v>SK2</v>
      </c>
      <c r="I1252" s="607" t="str">
        <f t="shared" si="52"/>
        <v>C14485LE VAN THAI050134714521</v>
      </c>
      <c r="J1252" s="853" t="str">
        <f>+VLOOKUP(B1252,'[5]04 2025'!$B$2:$F$1371,5,0)</f>
        <v>C14485LE VAN THAI050134714521</v>
      </c>
      <c r="K1252" s="607">
        <f t="shared" si="49"/>
        <v>1</v>
      </c>
      <c r="P1252" s="685"/>
    </row>
    <row r="1253" spans="1:16" s="607" customFormat="1" ht="18" customHeight="1">
      <c r="A1253" s="826">
        <f>SUBTOTAL(3,B$6:B1253)</f>
        <v>1248</v>
      </c>
      <c r="B1253" s="824" t="s">
        <v>3279</v>
      </c>
      <c r="C1253" s="824" t="str">
        <f>+VLOOKUP(B1253,'Salary sheet'!$B$6:$AX$1386,48,0)</f>
        <v>NGUYEN TRONG PHU</v>
      </c>
      <c r="D1253" s="824" t="str">
        <f>+VLOOKUP(B1253,'Salary sheet'!$B$6:$BW$1386,49,0)</f>
        <v>050096738266</v>
      </c>
      <c r="E1253" s="620">
        <f>+VLOOKUP(B1253,'Salary sheet'!$B$6:$AT$1292,45,0)</f>
        <v>9618926</v>
      </c>
      <c r="F1253" s="1029" t="s">
        <v>5723</v>
      </c>
      <c r="G1253" s="824" t="str">
        <f>+VLOOKUP(B1253,'Salary sheet'!$B$6:$E$2281,4,0)</f>
        <v>SK2</v>
      </c>
      <c r="H1253" s="607" t="str">
        <f>+VLOOKUP(B1253,'Salary sheet'!$B$6:$AZ$1386,50,0)</f>
        <v>SK2</v>
      </c>
      <c r="I1253" s="607" t="str">
        <f t="shared" si="52"/>
        <v>C14605NGUYEN TRONG PHU050096738266</v>
      </c>
      <c r="J1253" s="853" t="str">
        <f>+VLOOKUP(B1253,'[5]04 2025'!$B$2:$F$1371,5,0)</f>
        <v>C14605NGUYEN TRONG PHU050096738266</v>
      </c>
      <c r="K1253" s="607">
        <f t="shared" si="49"/>
        <v>1</v>
      </c>
      <c r="P1253" s="685"/>
    </row>
    <row r="1254" spans="1:16" s="607" customFormat="1" ht="18" customHeight="1">
      <c r="A1254" s="826">
        <f>SUBTOTAL(3,B$6:B1254)</f>
        <v>1249</v>
      </c>
      <c r="B1254" s="824" t="s">
        <v>3281</v>
      </c>
      <c r="C1254" s="824" t="str">
        <f>+VLOOKUP(B1254,'Salary sheet'!$B$6:$AX$1386,48,0)</f>
        <v>DIEU TAI</v>
      </c>
      <c r="D1254" s="824" t="str">
        <f>+VLOOKUP(B1254,'Salary sheet'!$B$6:$BW$1386,49,0)</f>
        <v>050110052798</v>
      </c>
      <c r="E1254" s="620">
        <f>+VLOOKUP(B1254,'Salary sheet'!$B$6:$AT$1292,45,0)</f>
        <v>9927238</v>
      </c>
      <c r="F1254" s="1029" t="s">
        <v>5723</v>
      </c>
      <c r="G1254" s="824" t="str">
        <f>+VLOOKUP(B1254,'Salary sheet'!$B$6:$E$2281,4,0)</f>
        <v>SK2</v>
      </c>
      <c r="H1254" s="607" t="str">
        <f>+VLOOKUP(B1254,'Salary sheet'!$B$6:$AZ$1386,50,0)</f>
        <v>SK2</v>
      </c>
      <c r="I1254" s="607" t="str">
        <f t="shared" ref="I1254:I1257" si="53">+CONCATENATE(B1254,C1254,D1254)</f>
        <v>C14786DIEU TAI050110052798</v>
      </c>
      <c r="J1254" s="853" t="str">
        <f>+VLOOKUP(B1254,'[5]04 2025'!$B$2:$F$1371,5,0)</f>
        <v>C14786DIEU TAI050110052798</v>
      </c>
      <c r="K1254" s="607">
        <f t="shared" ref="K1254:K1257" si="54">+IF(J1254=I1254,1,0)</f>
        <v>1</v>
      </c>
      <c r="P1254" s="685"/>
    </row>
    <row r="1255" spans="1:16" s="607" customFormat="1" ht="18" customHeight="1">
      <c r="A1255" s="826">
        <f>SUBTOTAL(3,B$6:B1255)</f>
        <v>1250</v>
      </c>
      <c r="B1255" s="824" t="s">
        <v>3283</v>
      </c>
      <c r="C1255" s="824" t="str">
        <f>+VLOOKUP(B1255,'Salary sheet'!$B$6:$AX$1386,48,0)</f>
        <v>LE THANH CHUNG</v>
      </c>
      <c r="D1255" s="824" t="str">
        <f>+VLOOKUP(B1255,'Salary sheet'!$B$6:$BW$1386,49,0)</f>
        <v>050149638171</v>
      </c>
      <c r="E1255" s="620">
        <f>+VLOOKUP(B1255,'Salary sheet'!$B$6:$AT$1292,45,0)</f>
        <v>8899133</v>
      </c>
      <c r="F1255" s="1029" t="s">
        <v>5723</v>
      </c>
      <c r="G1255" s="824" t="str">
        <f>+VLOOKUP(B1255,'Salary sheet'!$B$6:$E$2281,4,0)</f>
        <v>SK2</v>
      </c>
      <c r="H1255" s="607" t="str">
        <f>+VLOOKUP(B1255,'Salary sheet'!$B$6:$AZ$1386,50,0)</f>
        <v>SK2</v>
      </c>
      <c r="I1255" s="607" t="str">
        <f t="shared" si="53"/>
        <v>C15534LE THANH CHUNG050149638171</v>
      </c>
      <c r="J1255" s="853" t="str">
        <f>+VLOOKUP(B1255,'[5]04 2025'!$B$2:$F$1371,5,0)</f>
        <v>C15534LE THANH CHUNG050149638171</v>
      </c>
      <c r="K1255" s="607">
        <f t="shared" si="54"/>
        <v>1</v>
      </c>
      <c r="P1255" s="685"/>
    </row>
    <row r="1256" spans="1:16" s="607" customFormat="1" ht="18" customHeight="1">
      <c r="A1256" s="826">
        <f>SUBTOTAL(3,B$6:B1256)</f>
        <v>1251</v>
      </c>
      <c r="B1256" s="824" t="s">
        <v>3285</v>
      </c>
      <c r="C1256" s="824" t="str">
        <f>+VLOOKUP(B1256,'Salary sheet'!$B$6:$AX$1386,48,0)</f>
        <v>TRAN MINH CUONG</v>
      </c>
      <c r="D1256" s="824" t="str">
        <f>+VLOOKUP(B1256,'Salary sheet'!$B$6:$BW$1386,49,0)</f>
        <v>050075129650</v>
      </c>
      <c r="E1256" s="620">
        <f>+VLOOKUP(B1256,'Salary sheet'!$B$6:$AT$1292,45,0)</f>
        <v>8595629</v>
      </c>
      <c r="F1256" s="1029" t="s">
        <v>5723</v>
      </c>
      <c r="G1256" s="824" t="str">
        <f>+VLOOKUP(B1256,'Salary sheet'!$B$6:$E$2281,4,0)</f>
        <v>SK2</v>
      </c>
      <c r="H1256" s="607" t="str">
        <f>+VLOOKUP(B1256,'Salary sheet'!$B$6:$AZ$1386,50,0)</f>
        <v>SK2</v>
      </c>
      <c r="I1256" s="607" t="str">
        <f t="shared" si="53"/>
        <v>C16130TRAN MINH CUONG050075129650</v>
      </c>
      <c r="J1256" s="853" t="str">
        <f>+VLOOKUP(B1256,'[5]04 2025'!$B$2:$F$1371,5,0)</f>
        <v>C16130TRAN MINH CUONG050075129650</v>
      </c>
      <c r="K1256" s="607">
        <f t="shared" si="54"/>
        <v>1</v>
      </c>
      <c r="P1256" s="685"/>
    </row>
    <row r="1257" spans="1:16" s="607" customFormat="1" ht="18" customHeight="1">
      <c r="A1257" s="826">
        <f>SUBTOTAL(3,B$6:B1257)</f>
        <v>1252</v>
      </c>
      <c r="B1257" s="824" t="s">
        <v>3287</v>
      </c>
      <c r="C1257" s="824" t="str">
        <f>+VLOOKUP(B1257,'Salary sheet'!$B$6:$AX$1386,48,0)</f>
        <v>HUYNH VAN TUAN</v>
      </c>
      <c r="D1257" s="824" t="str">
        <f>+VLOOKUP(B1257,'Salary sheet'!$B$6:$BW$1386,49,0)</f>
        <v>050158901592</v>
      </c>
      <c r="E1257" s="620">
        <f>+VLOOKUP(B1257,'Salary sheet'!$B$6:$AT$1292,45,0)</f>
        <v>8609762</v>
      </c>
      <c r="F1257" s="1029" t="s">
        <v>5723</v>
      </c>
      <c r="G1257" s="824" t="str">
        <f>+VLOOKUP(B1257,'Salary sheet'!$B$6:$E$2281,4,0)</f>
        <v>SK2</v>
      </c>
      <c r="H1257" s="607" t="str">
        <f>+VLOOKUP(B1257,'Salary sheet'!$B$6:$AZ$1386,50,0)</f>
        <v>SK2</v>
      </c>
      <c r="I1257" s="607" t="str">
        <f t="shared" si="53"/>
        <v>C16549HUYNH VAN TUAN050158901592</v>
      </c>
      <c r="J1257" s="853" t="str">
        <f>+VLOOKUP(B1257,'[5]04 2025'!$B$2:$F$1371,5,0)</f>
        <v>C16549HUYNH VAN TUAN050158901592</v>
      </c>
      <c r="K1257" s="607">
        <f t="shared" si="54"/>
        <v>1</v>
      </c>
      <c r="P1257" s="685"/>
    </row>
    <row r="1258" spans="1:16" s="607" customFormat="1" ht="18" customHeight="1">
      <c r="A1258" s="826">
        <f>SUBTOTAL(3,B$6:B1258)</f>
        <v>1253</v>
      </c>
      <c r="B1258" s="824" t="s">
        <v>5817</v>
      </c>
      <c r="C1258" s="824" t="str">
        <f>+VLOOKUP(B1258,'Salary sheet'!$B$6:$AX$1386,48,0)</f>
        <v>DO NHU AN</v>
      </c>
      <c r="D1258" s="824" t="str">
        <f>+VLOOKUP(B1258,'Salary sheet'!$B$6:$BW$1386,49,0)</f>
        <v>050159267196</v>
      </c>
      <c r="E1258" s="620">
        <f>+VLOOKUP(B1258,'Salary sheet'!$B$6:$AT$1292,45,0)</f>
        <v>4896084</v>
      </c>
      <c r="F1258" s="1029" t="s">
        <v>5723</v>
      </c>
      <c r="G1258" s="824" t="str">
        <f>+VLOOKUP(B1258,'Salary sheet'!$B$6:$E$2281,4,0)</f>
        <v>SK2</v>
      </c>
      <c r="H1258" s="607" t="str">
        <f>+VLOOKUP(B1258,'Salary sheet'!$B$6:$AZ$1386,50,0)</f>
        <v>SK2</v>
      </c>
      <c r="I1258" s="607" t="str">
        <f t="shared" si="52"/>
        <v>C16597DO NHU AN050159267196</v>
      </c>
      <c r="J1258" s="853" t="str">
        <f>+VLOOKUP(B1258,'[5]04 2025'!$B$2:$F$1371,5,0)</f>
        <v>C16597DO NHU AN050159267196</v>
      </c>
      <c r="K1258" s="607">
        <f t="shared" si="49"/>
        <v>1</v>
      </c>
      <c r="P1258" s="685"/>
    </row>
    <row r="1259" spans="1:16" s="607" customFormat="1" ht="18" customHeight="1">
      <c r="A1259" s="826">
        <f>SUBTOTAL(3,B$6:B1259)</f>
        <v>1254</v>
      </c>
      <c r="B1259" s="824" t="s">
        <v>3289</v>
      </c>
      <c r="C1259" s="824" t="str">
        <f>+VLOOKUP(B1259,'Salary sheet'!$B$6:$AX$1386,48,0)</f>
        <v>KIM SA MUONE</v>
      </c>
      <c r="D1259" s="824" t="str">
        <f>+VLOOKUP(B1259,'Salary sheet'!$B$6:$BW$1386,49,0)</f>
        <v>050091857747</v>
      </c>
      <c r="E1259" s="620">
        <f>+VLOOKUP(B1259,'Salary sheet'!$B$6:$AT$1292,45,0)</f>
        <v>10095027</v>
      </c>
      <c r="F1259" s="1029" t="s">
        <v>5723</v>
      </c>
      <c r="G1259" s="824" t="str">
        <f>+VLOOKUP(B1259,'Salary sheet'!$B$6:$E$2281,4,0)</f>
        <v>SK2</v>
      </c>
      <c r="H1259" s="607" t="str">
        <f>+VLOOKUP(B1259,'Salary sheet'!$B$6:$AZ$1386,50,0)</f>
        <v>SK2</v>
      </c>
      <c r="I1259" s="607" t="str">
        <f t="shared" si="52"/>
        <v>C7332KIM SA MUONE050091857747</v>
      </c>
      <c r="J1259" s="853" t="str">
        <f>+VLOOKUP(B1259,'[5]04 2025'!$B$2:$F$1371,5,0)</f>
        <v>C7332KIM SA MUONE050091857747</v>
      </c>
      <c r="K1259" s="607">
        <f t="shared" si="49"/>
        <v>1</v>
      </c>
      <c r="P1259" s="685"/>
    </row>
    <row r="1260" spans="1:16" s="607" customFormat="1" ht="18" customHeight="1">
      <c r="A1260" s="826">
        <f>SUBTOTAL(3,B$6:B1260)</f>
        <v>1255</v>
      </c>
      <c r="B1260" s="824" t="s">
        <v>3291</v>
      </c>
      <c r="C1260" s="824" t="str">
        <f>+VLOOKUP(B1260,'Salary sheet'!$B$6:$AX$1386,48,0)</f>
        <v>LE VAN TUAN</v>
      </c>
      <c r="D1260" s="824" t="str">
        <f>+VLOOKUP(B1260,'Salary sheet'!$B$6:$BW$1386,49,0)</f>
        <v>050098252069</v>
      </c>
      <c r="E1260" s="620">
        <f>+VLOOKUP(B1260,'Salary sheet'!$B$6:$AT$1292,45,0)</f>
        <v>9957532</v>
      </c>
      <c r="F1260" s="1029" t="s">
        <v>5723</v>
      </c>
      <c r="G1260" s="824" t="str">
        <f>+VLOOKUP(B1260,'Salary sheet'!$B$6:$E$2281,4,0)</f>
        <v>SK2</v>
      </c>
      <c r="H1260" s="607" t="str">
        <f>+VLOOKUP(B1260,'Salary sheet'!$B$6:$AZ$1386,50,0)</f>
        <v>SK2</v>
      </c>
      <c r="I1260" s="607" t="str">
        <f t="shared" si="52"/>
        <v>C7494LE VAN TUAN050098252069</v>
      </c>
      <c r="J1260" s="853" t="str">
        <f>+VLOOKUP(B1260,'[5]04 2025'!$B$2:$F$1371,5,0)</f>
        <v>C7494LE VAN TUAN050098252069</v>
      </c>
      <c r="K1260" s="607">
        <f t="shared" si="49"/>
        <v>1</v>
      </c>
      <c r="P1260" s="685"/>
    </row>
    <row r="1261" spans="1:16" s="607" customFormat="1" ht="18" customHeight="1">
      <c r="A1261" s="826">
        <f>SUBTOTAL(3,B$6:B1261)</f>
        <v>1256</v>
      </c>
      <c r="B1261" s="824" t="s">
        <v>3293</v>
      </c>
      <c r="C1261" s="824" t="str">
        <f>+VLOOKUP(B1261,'Salary sheet'!$B$6:$AX$1386,48,0)</f>
        <v>NGUYEN VAN THANG</v>
      </c>
      <c r="D1261" s="824" t="str">
        <f>+VLOOKUP(B1261,'Salary sheet'!$B$6:$BW$1386,49,0)</f>
        <v>050102998461</v>
      </c>
      <c r="E1261" s="620">
        <f>+VLOOKUP(B1261,'Salary sheet'!$B$6:$AT$1292,45,0)</f>
        <v>12901476</v>
      </c>
      <c r="F1261" s="1029" t="s">
        <v>5723</v>
      </c>
      <c r="G1261" s="824" t="str">
        <f>+VLOOKUP(B1261,'Salary sheet'!$B$6:$E$2281,4,0)</f>
        <v>SK2</v>
      </c>
      <c r="H1261" s="607" t="str">
        <f>+VLOOKUP(B1261,'Salary sheet'!$B$6:$AZ$1386,50,0)</f>
        <v>SK2</v>
      </c>
      <c r="I1261" s="607" t="str">
        <f t="shared" si="52"/>
        <v>C7769NGUYEN VAN THANG050102998461</v>
      </c>
      <c r="J1261" s="853" t="str">
        <f>+VLOOKUP(B1261,'[5]04 2025'!$B$2:$F$1371,5,0)</f>
        <v>C7769NGUYEN VAN THANG050102998461</v>
      </c>
      <c r="K1261" s="607">
        <f t="shared" si="49"/>
        <v>1</v>
      </c>
      <c r="P1261" s="685"/>
    </row>
    <row r="1262" spans="1:16" s="607" customFormat="1" ht="18" customHeight="1">
      <c r="A1262" s="826">
        <f>SUBTOTAL(3,B$6:B1262)</f>
        <v>1257</v>
      </c>
      <c r="B1262" s="824" t="s">
        <v>3295</v>
      </c>
      <c r="C1262" s="824" t="str">
        <f>+VLOOKUP(B1262,'Salary sheet'!$B$6:$AX$1386,48,0)</f>
        <v>PHAM THI THU</v>
      </c>
      <c r="D1262" s="824" t="str">
        <f>+VLOOKUP(B1262,'Salary sheet'!$B$6:$BW$1386,49,0)</f>
        <v>050040901873</v>
      </c>
      <c r="E1262" s="620">
        <f>+VLOOKUP(B1262,'Salary sheet'!$B$6:$AT$1292,45,0)</f>
        <v>24411741</v>
      </c>
      <c r="F1262" s="1029" t="s">
        <v>5723</v>
      </c>
      <c r="G1262" s="824" t="str">
        <f>+VLOOKUP(B1262,'Salary sheet'!$B$6:$E$2281,4,0)</f>
        <v>SK2</v>
      </c>
      <c r="H1262" s="607" t="str">
        <f>+VLOOKUP(B1262,'Salary sheet'!$B$6:$AZ$1386,50,0)</f>
        <v>SK2</v>
      </c>
      <c r="I1262" s="607" t="str">
        <f t="shared" si="52"/>
        <v>C2630PHAM THI THU050040901873</v>
      </c>
      <c r="J1262" s="853" t="str">
        <f>+VLOOKUP(B1262,'[5]04 2025'!$B$2:$F$1371,5,0)</f>
        <v>C2630PHAM THI THU050040901873</v>
      </c>
      <c r="K1262" s="607">
        <f t="shared" si="49"/>
        <v>1</v>
      </c>
      <c r="P1262" s="685"/>
    </row>
    <row r="1263" spans="1:16" s="607" customFormat="1" ht="18" customHeight="1">
      <c r="A1263" s="826">
        <f>SUBTOTAL(3,B$6:B1263)</f>
        <v>1258</v>
      </c>
      <c r="B1263" s="824" t="s">
        <v>3297</v>
      </c>
      <c r="C1263" s="824" t="str">
        <f>+VLOOKUP(B1263,'Salary sheet'!$B$6:$AX$1386,48,0)</f>
        <v>DINH THI HOANG YEN</v>
      </c>
      <c r="D1263" s="824" t="str">
        <f>+VLOOKUP(B1263,'Salary sheet'!$B$6:$BW$1386,49,0)</f>
        <v>050040851051</v>
      </c>
      <c r="E1263" s="620">
        <f>+VLOOKUP(B1263,'Salary sheet'!$B$6:$AT$1292,45,0)</f>
        <v>22664389</v>
      </c>
      <c r="F1263" s="1029" t="s">
        <v>5723</v>
      </c>
      <c r="G1263" s="824" t="str">
        <f>+VLOOKUP(B1263,'Salary sheet'!$B$6:$E$2281,4,0)</f>
        <v>SK2</v>
      </c>
      <c r="H1263" s="607" t="str">
        <f>+VLOOKUP(B1263,'Salary sheet'!$B$6:$AZ$1386,50,0)</f>
        <v>SK2</v>
      </c>
      <c r="I1263" s="607" t="str">
        <f t="shared" si="52"/>
        <v>C5128DINH THI HOANG YEN050040851051</v>
      </c>
      <c r="J1263" s="853" t="str">
        <f>+VLOOKUP(B1263,'[5]04 2025'!$B$2:$F$1371,5,0)</f>
        <v>C5128DINH THI HOANG YEN050040851051</v>
      </c>
      <c r="K1263" s="607">
        <f t="shared" si="49"/>
        <v>1</v>
      </c>
      <c r="P1263" s="685"/>
    </row>
    <row r="1264" spans="1:16" s="607" customFormat="1" ht="18" customHeight="1">
      <c r="A1264" s="826">
        <f>SUBTOTAL(3,B$6:B1264)</f>
        <v>1259</v>
      </c>
      <c r="B1264" s="824" t="s">
        <v>3299</v>
      </c>
      <c r="C1264" s="824" t="str">
        <f>+VLOOKUP(B1264,'Salary sheet'!$B$6:$AX$1386,48,0)</f>
        <v>VO THI NGOC TRANG</v>
      </c>
      <c r="D1264" s="824" t="str">
        <f>+VLOOKUP(B1264,'Salary sheet'!$B$6:$BW$1386,49,0)</f>
        <v>050075949186</v>
      </c>
      <c r="E1264" s="620">
        <f>+VLOOKUP(B1264,'Salary sheet'!$B$6:$AT$1292,45,0)</f>
        <v>11539753</v>
      </c>
      <c r="F1264" s="1029" t="s">
        <v>5723</v>
      </c>
      <c r="G1264" s="824" t="str">
        <f>+VLOOKUP(B1264,'Salary sheet'!$B$6:$E$2281,4,0)</f>
        <v>SK2</v>
      </c>
      <c r="H1264" s="607" t="str">
        <f>+VLOOKUP(B1264,'Salary sheet'!$B$6:$AZ$1386,50,0)</f>
        <v>SK2</v>
      </c>
      <c r="I1264" s="607" t="str">
        <f t="shared" si="52"/>
        <v>C7722VO THI NGOC TRANG050075949186</v>
      </c>
      <c r="J1264" s="853" t="str">
        <f>+VLOOKUP(B1264,'[5]04 2025'!$B$2:$F$1371,5,0)</f>
        <v>C7722VO THI NGOC TRANG050075949186</v>
      </c>
      <c r="K1264" s="607">
        <f t="shared" si="49"/>
        <v>1</v>
      </c>
      <c r="P1264" s="685"/>
    </row>
    <row r="1265" spans="1:16" s="607" customFormat="1" ht="18" customHeight="1">
      <c r="A1265" s="826">
        <f>SUBTOTAL(3,B$6:B1265)</f>
        <v>1260</v>
      </c>
      <c r="B1265" s="824" t="s">
        <v>179</v>
      </c>
      <c r="C1265" s="824" t="str">
        <f>+VLOOKUP(B1265,'Salary sheet'!$B$6:$AX$1386,48,0)</f>
        <v>HUYNH NGOC THAO</v>
      </c>
      <c r="D1265" s="824" t="str">
        <f>+VLOOKUP(B1265,'Salary sheet'!$B$6:$BW$1386,49,0)</f>
        <v>050040849944</v>
      </c>
      <c r="E1265" s="620">
        <f>+VLOOKUP(B1265,'Salary sheet'!$B$6:$AT$1292,45,0)</f>
        <v>26551771</v>
      </c>
      <c r="F1265" s="1029" t="s">
        <v>5723</v>
      </c>
      <c r="G1265" s="824" t="str">
        <f>+VLOOKUP(B1265,'Salary sheet'!$B$6:$E$2281,4,0)</f>
        <v>SK2</v>
      </c>
      <c r="H1265" s="607" t="str">
        <f>+VLOOKUP(B1265,'Salary sheet'!$B$6:$AZ$1386,50,0)</f>
        <v>SK2</v>
      </c>
      <c r="I1265" s="607" t="str">
        <f t="shared" si="52"/>
        <v>V054HUYNH NGOC THAO050040849944</v>
      </c>
      <c r="J1265" s="853" t="str">
        <f>+VLOOKUP(B1265,'[5]04 2025'!$B$2:$F$1371,5,0)</f>
        <v>V054HUYNH NGOC THAO050040849944</v>
      </c>
      <c r="K1265" s="607">
        <f t="shared" si="49"/>
        <v>1</v>
      </c>
      <c r="P1265" s="685"/>
    </row>
    <row r="1266" spans="1:16" s="607" customFormat="1" ht="18" customHeight="1">
      <c r="A1266" s="826">
        <f>SUBTOTAL(3,B$6:B1266)</f>
        <v>1261</v>
      </c>
      <c r="B1266" s="824" t="s">
        <v>3301</v>
      </c>
      <c r="C1266" s="824" t="str">
        <f>+VLOOKUP(B1266,'Salary sheet'!$B$6:$AX$1386,48,0)</f>
        <v>NGUYEN THI KIM THUY</v>
      </c>
      <c r="D1266" s="824" t="str">
        <f>+VLOOKUP(B1266,'Salary sheet'!$B$6:$BW$1386,49,0)</f>
        <v>050143873495</v>
      </c>
      <c r="E1266" s="620">
        <f>+VLOOKUP(B1266,'Salary sheet'!$B$6:$AT$1292,45,0)</f>
        <v>10209377</v>
      </c>
      <c r="F1266" s="1029" t="s">
        <v>5723</v>
      </c>
      <c r="G1266" s="824" t="str">
        <f>+VLOOKUP(B1266,'Salary sheet'!$B$6:$E$2281,4,0)</f>
        <v>SK2</v>
      </c>
      <c r="H1266" s="607" t="str">
        <f>+VLOOKUP(B1266,'Salary sheet'!$B$6:$AZ$1386,50,0)</f>
        <v>SK2</v>
      </c>
      <c r="I1266" s="607" t="str">
        <f t="shared" si="52"/>
        <v>C15415NGUYEN THI KIM THUY050143873495</v>
      </c>
      <c r="J1266" s="853" t="str">
        <f>+VLOOKUP(B1266,'[5]04 2025'!$B$2:$F$1371,5,0)</f>
        <v>C15415NGUYEN THI KIM THUY050143873495</v>
      </c>
      <c r="K1266" s="607">
        <f t="shared" si="49"/>
        <v>1</v>
      </c>
      <c r="P1266" s="685"/>
    </row>
    <row r="1267" spans="1:16" s="607" customFormat="1" ht="18" customHeight="1">
      <c r="A1267" s="826">
        <f>SUBTOTAL(3,B$6:B1267)</f>
        <v>1262</v>
      </c>
      <c r="B1267" s="824" t="s">
        <v>3303</v>
      </c>
      <c r="C1267" s="824" t="str">
        <f>+VLOOKUP(B1267,'Salary sheet'!$B$6:$AX$1386,48,0)</f>
        <v>DAM KIM CUC</v>
      </c>
      <c r="D1267" s="824" t="str">
        <f>+VLOOKUP(B1267,'Salary sheet'!$B$6:$BW$1386,49,0)</f>
        <v>050049772383</v>
      </c>
      <c r="E1267" s="620">
        <f>+VLOOKUP(B1267,'Salary sheet'!$B$6:$AT$1292,45,0)</f>
        <v>10167644</v>
      </c>
      <c r="F1267" s="1029" t="s">
        <v>5723</v>
      </c>
      <c r="G1267" s="824" t="str">
        <f>+VLOOKUP(B1267,'Salary sheet'!$B$6:$E$2281,4,0)</f>
        <v>SK2</v>
      </c>
      <c r="H1267" s="607" t="str">
        <f>+VLOOKUP(B1267,'Salary sheet'!$B$6:$AZ$1386,50,0)</f>
        <v>SK2</v>
      </c>
      <c r="I1267" s="607" t="str">
        <f t="shared" si="52"/>
        <v>C15422DAM KIM CUC050049772383</v>
      </c>
      <c r="J1267" s="853" t="str">
        <f>+VLOOKUP(B1267,'[5]04 2025'!$B$2:$F$1371,5,0)</f>
        <v>C15422DAM KIM CUC050049772383</v>
      </c>
      <c r="K1267" s="607">
        <f t="shared" si="49"/>
        <v>1</v>
      </c>
      <c r="P1267" s="685"/>
    </row>
    <row r="1268" spans="1:16" s="607" customFormat="1" ht="18" customHeight="1">
      <c r="A1268" s="826">
        <f>SUBTOTAL(3,B$6:B1268)</f>
        <v>1263</v>
      </c>
      <c r="B1268" s="824" t="s">
        <v>3305</v>
      </c>
      <c r="C1268" s="824" t="str">
        <f>+VLOOKUP(B1268,'Salary sheet'!$B$6:$AX$1386,48,0)</f>
        <v>THAI THI DIEM TRANG</v>
      </c>
      <c r="D1268" s="824" t="str">
        <f>+VLOOKUP(B1268,'Salary sheet'!$B$6:$BW$1386,49,0)</f>
        <v>050126082891</v>
      </c>
      <c r="E1268" s="620">
        <f>+VLOOKUP(B1268,'Salary sheet'!$B$6:$AT$1292,45,0)</f>
        <v>9586388</v>
      </c>
      <c r="F1268" s="1029" t="s">
        <v>5723</v>
      </c>
      <c r="G1268" s="824" t="str">
        <f>+VLOOKUP(B1268,'Salary sheet'!$B$6:$E$2281,4,0)</f>
        <v>SK2</v>
      </c>
      <c r="H1268" s="607" t="str">
        <f>+VLOOKUP(B1268,'Salary sheet'!$B$6:$AZ$1386,50,0)</f>
        <v>SK2</v>
      </c>
      <c r="I1268" s="607" t="str">
        <f t="shared" si="52"/>
        <v>C15541THAI THI DIEM TRANG050126082891</v>
      </c>
      <c r="J1268" s="853" t="str">
        <f>+VLOOKUP(B1268,'[5]04 2025'!$B$2:$F$1371,5,0)</f>
        <v>C15541THAI THI DIEM TRANG050126082891</v>
      </c>
      <c r="K1268" s="607">
        <f t="shared" si="49"/>
        <v>1</v>
      </c>
      <c r="P1268" s="685"/>
    </row>
    <row r="1269" spans="1:16" s="607" customFormat="1" ht="18" customHeight="1">
      <c r="A1269" s="826">
        <f>SUBTOTAL(3,B$6:B1269)</f>
        <v>1264</v>
      </c>
      <c r="B1269" s="824" t="s">
        <v>3307</v>
      </c>
      <c r="C1269" s="824" t="str">
        <f>+VLOOKUP(B1269,'Salary sheet'!$B$6:$AX$1386,48,0)</f>
        <v>NGUYEN THI CAM TIEN</v>
      </c>
      <c r="D1269" s="824" t="str">
        <f>+VLOOKUP(B1269,'Salary sheet'!$B$6:$BW$1386,49,0)</f>
        <v>050068237790</v>
      </c>
      <c r="E1269" s="620">
        <f>+VLOOKUP(B1269,'Salary sheet'!$B$6:$AT$1292,45,0)</f>
        <v>9626111</v>
      </c>
      <c r="F1269" s="1029" t="s">
        <v>5723</v>
      </c>
      <c r="G1269" s="824" t="str">
        <f>+VLOOKUP(B1269,'Salary sheet'!$B$6:$E$2281,4,0)</f>
        <v>SK2</v>
      </c>
      <c r="H1269" s="607" t="str">
        <f>+VLOOKUP(B1269,'Salary sheet'!$B$6:$AZ$1386,50,0)</f>
        <v>SK2</v>
      </c>
      <c r="I1269" s="607" t="str">
        <f t="shared" si="52"/>
        <v>C15666NGUYEN THI CAM TIEN050068237790</v>
      </c>
      <c r="J1269" s="853" t="str">
        <f>+VLOOKUP(B1269,'[5]04 2025'!$B$2:$F$1371,5,0)</f>
        <v>C15666NGUYEN THI CAM TIEN050068237790</v>
      </c>
      <c r="K1269" s="607">
        <f t="shared" si="49"/>
        <v>1</v>
      </c>
      <c r="P1269" s="685"/>
    </row>
    <row r="1270" spans="1:16" s="607" customFormat="1" ht="18" customHeight="1">
      <c r="A1270" s="826">
        <f>SUBTOTAL(3,B$6:B1270)</f>
        <v>1265</v>
      </c>
      <c r="B1270" s="824" t="s">
        <v>3308</v>
      </c>
      <c r="C1270" s="824" t="str">
        <f>+VLOOKUP(B1270,'Salary sheet'!$B$6:$AX$1386,48,0)</f>
        <v>DO DUC HUY</v>
      </c>
      <c r="D1270" s="824" t="str">
        <f>+VLOOKUP(B1270,'Salary sheet'!$B$6:$BW$1386,49,0)</f>
        <v>050086759389</v>
      </c>
      <c r="E1270" s="620">
        <f>+VLOOKUP(B1270,'Salary sheet'!$B$6:$AT$1292,45,0)</f>
        <v>7045299</v>
      </c>
      <c r="F1270" s="1029" t="s">
        <v>5723</v>
      </c>
      <c r="G1270" s="824" t="str">
        <f>+VLOOKUP(B1270,'Salary sheet'!$B$6:$E$2281,4,0)</f>
        <v>SK2</v>
      </c>
      <c r="H1270" s="607" t="str">
        <f>+VLOOKUP(B1270,'Salary sheet'!$B$6:$AZ$1386,50,0)</f>
        <v>SK2</v>
      </c>
      <c r="I1270" s="607" t="str">
        <f t="shared" si="52"/>
        <v>C16144DO DUC HUY050086759389</v>
      </c>
      <c r="J1270" s="853" t="str">
        <f>+VLOOKUP(B1270,'[5]04 2025'!$B$2:$F$1371,5,0)</f>
        <v>C16144DO DUC HUY050086759389</v>
      </c>
      <c r="K1270" s="607">
        <f t="shared" si="49"/>
        <v>1</v>
      </c>
      <c r="P1270" s="685"/>
    </row>
    <row r="1271" spans="1:16" s="607" customFormat="1" ht="18" customHeight="1">
      <c r="A1271" s="826">
        <f>SUBTOTAL(3,B$6:B1271)</f>
        <v>1266</v>
      </c>
      <c r="B1271" s="824" t="s">
        <v>3310</v>
      </c>
      <c r="C1271" s="824" t="str">
        <f>+VLOOKUP(B1271,'Salary sheet'!$B$6:$AX$1386,48,0)</f>
        <v>VO THI THANH VY</v>
      </c>
      <c r="D1271" s="824" t="str">
        <f>+VLOOKUP(B1271,'Salary sheet'!$B$6:$BW$1386,49,0)</f>
        <v>050157314227</v>
      </c>
      <c r="E1271" s="620">
        <f>+VLOOKUP(B1271,'Salary sheet'!$B$6:$AT$1292,45,0)</f>
        <v>8646315</v>
      </c>
      <c r="F1271" s="1029" t="s">
        <v>5723</v>
      </c>
      <c r="G1271" s="824" t="str">
        <f>+VLOOKUP(B1271,'Salary sheet'!$B$6:$E$2281,4,0)</f>
        <v>SK2</v>
      </c>
      <c r="H1271" s="607" t="str">
        <f>+VLOOKUP(B1271,'Salary sheet'!$B$6:$AZ$1386,50,0)</f>
        <v>SK2</v>
      </c>
      <c r="I1271" s="607" t="str">
        <f t="shared" si="52"/>
        <v>C16348VO THI THANH VY050157314227</v>
      </c>
      <c r="J1271" s="853" t="str">
        <f>+VLOOKUP(B1271,'[5]04 2025'!$B$2:$F$1371,5,0)</f>
        <v>C16348VO THI THANH VY050157314227</v>
      </c>
      <c r="K1271" s="607">
        <f t="shared" si="49"/>
        <v>1</v>
      </c>
      <c r="P1271" s="685"/>
    </row>
    <row r="1272" spans="1:16" s="607" customFormat="1" ht="18" customHeight="1">
      <c r="A1272" s="826">
        <f>SUBTOTAL(3,B$6:B1272)</f>
        <v>1267</v>
      </c>
      <c r="B1272" s="824" t="s">
        <v>3312</v>
      </c>
      <c r="C1272" s="824" t="str">
        <f>+VLOOKUP(B1272,'Salary sheet'!$B$6:$AX$1386,48,0)</f>
        <v>VO THI NHU QUYNH</v>
      </c>
      <c r="D1272" s="824" t="str">
        <f>+VLOOKUP(B1272,'Salary sheet'!$B$6:$BW$1386,49,0)</f>
        <v>050158230574</v>
      </c>
      <c r="E1272" s="620">
        <f>+VLOOKUP(B1272,'Salary sheet'!$B$6:$AT$1292,45,0)</f>
        <v>5222421</v>
      </c>
      <c r="F1272" s="1029" t="s">
        <v>5723</v>
      </c>
      <c r="G1272" s="824" t="str">
        <f>+VLOOKUP(B1272,'Salary sheet'!$B$6:$E$2281,4,0)</f>
        <v>SK2</v>
      </c>
      <c r="H1272" s="607" t="str">
        <f>+VLOOKUP(B1272,'Salary sheet'!$B$6:$AZ$1386,50,0)</f>
        <v>SK2</v>
      </c>
      <c r="I1272" s="607" t="str">
        <f t="shared" si="52"/>
        <v>C16393VO THI NHU QUYNH050158230574</v>
      </c>
      <c r="J1272" s="853" t="str">
        <f>+VLOOKUP(B1272,'[5]04 2025'!$B$2:$F$1371,5,0)</f>
        <v>C16393VO THI NHU QUYNH050158230574</v>
      </c>
      <c r="K1272" s="607">
        <f t="shared" si="49"/>
        <v>1</v>
      </c>
      <c r="P1272" s="685"/>
    </row>
    <row r="1273" spans="1:16" s="607" customFormat="1" ht="18" customHeight="1">
      <c r="A1273" s="826">
        <f>SUBTOTAL(3,B$6:B1273)</f>
        <v>1268</v>
      </c>
      <c r="B1273" s="824" t="s">
        <v>3314</v>
      </c>
      <c r="C1273" s="824" t="str">
        <f>+VLOOKUP(B1273,'Salary sheet'!$B$6:$AX$1386,48,0)</f>
        <v>TRUONG THI THUY</v>
      </c>
      <c r="D1273" s="824" t="str">
        <f>+VLOOKUP(B1273,'Salary sheet'!$B$6:$BW$1386,49,0)</f>
        <v>050036263919</v>
      </c>
      <c r="E1273" s="620">
        <f>+VLOOKUP(B1273,'Salary sheet'!$B$6:$AT$1292,45,0)</f>
        <v>10189776</v>
      </c>
      <c r="F1273" s="1029" t="s">
        <v>5723</v>
      </c>
      <c r="G1273" s="824" t="str">
        <f>+VLOOKUP(B1273,'Salary sheet'!$B$6:$E$2281,4,0)</f>
        <v>SK2</v>
      </c>
      <c r="H1273" s="607" t="str">
        <f>+VLOOKUP(B1273,'Salary sheet'!$B$6:$AZ$1386,50,0)</f>
        <v>SK2</v>
      </c>
      <c r="I1273" s="607" t="str">
        <f t="shared" si="52"/>
        <v>C5996TRUONG THI THUY050036263919</v>
      </c>
      <c r="J1273" s="853" t="str">
        <f>+VLOOKUP(B1273,'[5]04 2025'!$B$2:$F$1371,5,0)</f>
        <v>C5996TRUONG THI THUY050036263919</v>
      </c>
      <c r="K1273" s="607">
        <f t="shared" si="49"/>
        <v>1</v>
      </c>
      <c r="P1273" s="685"/>
    </row>
    <row r="1274" spans="1:16" s="607" customFormat="1" ht="18" customHeight="1">
      <c r="A1274" s="826">
        <f>SUBTOTAL(3,B$6:B1274)</f>
        <v>1269</v>
      </c>
      <c r="B1274" s="824" t="s">
        <v>3316</v>
      </c>
      <c r="C1274" s="824" t="str">
        <f>+VLOOKUP(B1274,'Salary sheet'!$B$6:$AX$1386,48,0)</f>
        <v>PHAM THI CAM CHAU</v>
      </c>
      <c r="D1274" s="824" t="str">
        <f>+VLOOKUP(B1274,'Salary sheet'!$B$6:$BW$1386,49,0)</f>
        <v>050106809949</v>
      </c>
      <c r="E1274" s="620">
        <f>+VLOOKUP(B1274,'Salary sheet'!$B$6:$AT$1292,45,0)</f>
        <v>10938430</v>
      </c>
      <c r="F1274" s="1029" t="s">
        <v>5723</v>
      </c>
      <c r="G1274" s="824" t="str">
        <f>+VLOOKUP(B1274,'Salary sheet'!$B$6:$E$2281,4,0)</f>
        <v>SK2</v>
      </c>
      <c r="H1274" s="607" t="str">
        <f>+VLOOKUP(B1274,'Salary sheet'!$B$6:$AZ$1386,50,0)</f>
        <v>SK2</v>
      </c>
      <c r="I1274" s="607" t="str">
        <f t="shared" si="52"/>
        <v>C8138PHAM THI CAM CHAU050106809949</v>
      </c>
      <c r="J1274" s="853" t="str">
        <f>+VLOOKUP(B1274,'[5]04 2025'!$B$2:$F$1371,5,0)</f>
        <v>C8138PHAM THI CAM CHAU050106809949</v>
      </c>
      <c r="K1274" s="607">
        <f t="shared" si="49"/>
        <v>1</v>
      </c>
      <c r="P1274" s="685"/>
    </row>
    <row r="1275" spans="1:16" s="607" customFormat="1" ht="18" customHeight="1">
      <c r="A1275" s="826">
        <f>SUBTOTAL(3,B$6:B1275)</f>
        <v>1270</v>
      </c>
      <c r="B1275" s="824" t="s">
        <v>3317</v>
      </c>
      <c r="C1275" s="824" t="str">
        <f>+VLOOKUP(B1275,'Salary sheet'!$B$6:$AX$1386,48,0)</f>
        <v>PHAN THI THAM</v>
      </c>
      <c r="D1275" s="824" t="str">
        <f>+VLOOKUP(B1275,'Salary sheet'!$B$6:$BW$1386,49,0)</f>
        <v>050104420955</v>
      </c>
      <c r="E1275" s="620">
        <f>+VLOOKUP(B1275,'Salary sheet'!$B$6:$AT$1292,45,0)</f>
        <v>10213044</v>
      </c>
      <c r="F1275" s="1029" t="s">
        <v>5723</v>
      </c>
      <c r="G1275" s="824" t="str">
        <f>+VLOOKUP(B1275,'Salary sheet'!$B$6:$E$2281,4,0)</f>
        <v>SK2</v>
      </c>
      <c r="H1275" s="607" t="str">
        <f>+VLOOKUP(B1275,'Salary sheet'!$B$6:$AZ$1386,50,0)</f>
        <v>SK2</v>
      </c>
      <c r="I1275" s="607" t="str">
        <f t="shared" si="52"/>
        <v>C10422PHAN THI THAM050104420955</v>
      </c>
      <c r="J1275" s="853" t="str">
        <f>+VLOOKUP(B1275,'[5]04 2025'!$B$2:$F$1371,5,0)</f>
        <v>C10422PHAN THI THAM050104420955</v>
      </c>
      <c r="K1275" s="607">
        <f t="shared" si="49"/>
        <v>1</v>
      </c>
      <c r="P1275" s="685"/>
    </row>
    <row r="1276" spans="1:16" s="607" customFormat="1" ht="18" customHeight="1">
      <c r="A1276" s="826">
        <f>SUBTOTAL(3,B$6:B1276)</f>
        <v>1271</v>
      </c>
      <c r="B1276" s="824" t="s">
        <v>3319</v>
      </c>
      <c r="C1276" s="824" t="str">
        <f>+VLOOKUP(B1276,'Salary sheet'!$B$6:$AX$1386,48,0)</f>
        <v>NGUYEN HOANG BAO</v>
      </c>
      <c r="D1276" s="824" t="str">
        <f>+VLOOKUP(B1276,'Salary sheet'!$B$6:$BW$1386,49,0)</f>
        <v>050106812540</v>
      </c>
      <c r="E1276" s="620">
        <f>+VLOOKUP(B1276,'Salary sheet'!$B$6:$AT$1292,45,0)</f>
        <v>10353001</v>
      </c>
      <c r="F1276" s="1029" t="s">
        <v>5723</v>
      </c>
      <c r="G1276" s="824" t="str">
        <f>+VLOOKUP(B1276,'Salary sheet'!$B$6:$E$2281,4,0)</f>
        <v>SK2</v>
      </c>
      <c r="H1276" s="607" t="str">
        <f>+VLOOKUP(B1276,'Salary sheet'!$B$6:$AZ$1386,50,0)</f>
        <v>SK2</v>
      </c>
      <c r="I1276" s="607" t="str">
        <f t="shared" si="52"/>
        <v>C10471NGUYEN HOANG BAO050106812540</v>
      </c>
      <c r="J1276" s="853" t="str">
        <f>+VLOOKUP(B1276,'[5]04 2025'!$B$2:$F$1371,5,0)</f>
        <v>C10471NGUYEN HOANG BAO050106812540</v>
      </c>
      <c r="K1276" s="607">
        <f t="shared" si="49"/>
        <v>1</v>
      </c>
      <c r="P1276" s="685"/>
    </row>
    <row r="1277" spans="1:16" s="607" customFormat="1" ht="18" customHeight="1">
      <c r="A1277" s="826">
        <f>SUBTOTAL(3,B$6:B1277)</f>
        <v>1272</v>
      </c>
      <c r="B1277" s="824" t="s">
        <v>3321</v>
      </c>
      <c r="C1277" s="824" t="str">
        <f>+VLOOKUP(B1277,'Salary sheet'!$B$6:$AX$1386,48,0)</f>
        <v>DIEU PHUON</v>
      </c>
      <c r="D1277" s="824" t="str">
        <f>+VLOOKUP(B1277,'Salary sheet'!$B$6:$BW$1386,49,0)</f>
        <v>050114206676</v>
      </c>
      <c r="E1277" s="620">
        <f>+VLOOKUP(B1277,'Salary sheet'!$B$6:$AT$1292,45,0)</f>
        <v>10046027</v>
      </c>
      <c r="F1277" s="1029" t="s">
        <v>5723</v>
      </c>
      <c r="G1277" s="824" t="str">
        <f>+VLOOKUP(B1277,'Salary sheet'!$B$6:$E$2281,4,0)</f>
        <v>SK2</v>
      </c>
      <c r="H1277" s="607" t="str">
        <f>+VLOOKUP(B1277,'Salary sheet'!$B$6:$AZ$1386,50,0)</f>
        <v>SK2</v>
      </c>
      <c r="I1277" s="607" t="str">
        <f t="shared" si="52"/>
        <v>C11657DIEU PHUON050114206676</v>
      </c>
      <c r="J1277" s="853" t="str">
        <f>+VLOOKUP(B1277,'[5]04 2025'!$B$2:$F$1371,5,0)</f>
        <v>C11657DIEU PHUON050114206676</v>
      </c>
      <c r="K1277" s="607">
        <f t="shared" si="49"/>
        <v>1</v>
      </c>
      <c r="P1277" s="685"/>
    </row>
    <row r="1278" spans="1:16" s="607" customFormat="1" ht="18" customHeight="1">
      <c r="A1278" s="826">
        <f>SUBTOTAL(3,B$6:B1278)</f>
        <v>1273</v>
      </c>
      <c r="B1278" s="824" t="s">
        <v>3323</v>
      </c>
      <c r="C1278" s="824" t="str">
        <f>+VLOOKUP(B1278,'Salary sheet'!$B$6:$AX$1386,48,0)</f>
        <v>BUI KHAC THIN</v>
      </c>
      <c r="D1278" s="824" t="str">
        <f>+VLOOKUP(B1278,'Salary sheet'!$B$6:$BW$1386,49,0)</f>
        <v>050088957722</v>
      </c>
      <c r="E1278" s="620">
        <f>+VLOOKUP(B1278,'Salary sheet'!$B$6:$AT$1292,45,0)</f>
        <v>9723752</v>
      </c>
      <c r="F1278" s="1029" t="s">
        <v>5723</v>
      </c>
      <c r="G1278" s="824" t="str">
        <f>+VLOOKUP(B1278,'Salary sheet'!$B$6:$E$2281,4,0)</f>
        <v>SK2</v>
      </c>
      <c r="H1278" s="607" t="str">
        <f>+VLOOKUP(B1278,'Salary sheet'!$B$6:$AZ$1386,50,0)</f>
        <v>SK2</v>
      </c>
      <c r="I1278" s="607" t="str">
        <f t="shared" si="52"/>
        <v>C7271BUI KHAC THIN050088957722</v>
      </c>
      <c r="J1278" s="853" t="str">
        <f>+VLOOKUP(B1278,'[5]04 2025'!$B$2:$F$1371,5,0)</f>
        <v>C7271BUI KHAC THIN050088957722</v>
      </c>
      <c r="K1278" s="607">
        <f t="shared" si="49"/>
        <v>1</v>
      </c>
      <c r="P1278" s="685"/>
    </row>
    <row r="1279" spans="1:16" s="828" customFormat="1" ht="21" customHeight="1">
      <c r="A1279" s="827"/>
      <c r="B1279" s="827"/>
      <c r="C1279" s="827" t="s">
        <v>79</v>
      </c>
      <c r="D1279" s="827"/>
      <c r="E1279" s="829">
        <f>SUM(E6:E1278)</f>
        <v>12543686180</v>
      </c>
      <c r="F1279" s="827"/>
      <c r="G1279" s="827"/>
    </row>
    <row r="1282" spans="4:19">
      <c r="E1282" s="198" t="s">
        <v>777</v>
      </c>
      <c r="F1282" s="198"/>
      <c r="G1282" s="198"/>
      <c r="H1282" s="830">
        <f>+E1279</f>
        <v>12543686180</v>
      </c>
    </row>
    <row r="1283" spans="4:19">
      <c r="E1283" s="198" t="s">
        <v>214</v>
      </c>
      <c r="F1283" s="833">
        <f>+SUMIF($H$6:$H$1279,G1283,$E$6:$E$1279)</f>
        <v>4013601052</v>
      </c>
      <c r="G1283" s="820" t="s">
        <v>287</v>
      </c>
      <c r="H1283" s="831">
        <f>+Cash!F18</f>
        <v>42537435</v>
      </c>
      <c r="M1283" s="652"/>
      <c r="S1283" s="973"/>
    </row>
    <row r="1284" spans="4:19">
      <c r="E1284" s="198"/>
      <c r="F1284" s="834">
        <f>+SUMIF($H$6:$H$1279,G1284,$E$6:$E$1279)</f>
        <v>3102158508</v>
      </c>
      <c r="G1284" s="821" t="s">
        <v>288</v>
      </c>
      <c r="H1284" s="830">
        <f>+H1283+H1282</f>
        <v>12586223615</v>
      </c>
      <c r="M1284" s="652"/>
      <c r="S1284" s="973"/>
    </row>
    <row r="1285" spans="4:19">
      <c r="E1285" s="198"/>
      <c r="F1285" s="834">
        <f>+SUMIF($H$6:$H$1279,G1285,$E$6:$E$1279)</f>
        <v>5251244691</v>
      </c>
      <c r="G1285" s="821" t="s">
        <v>221</v>
      </c>
      <c r="H1285" s="831">
        <f>+'Salary sheet'!AT1292</f>
        <v>12586223615</v>
      </c>
      <c r="M1285" s="652"/>
      <c r="S1285" s="973"/>
    </row>
    <row r="1286" spans="4:19">
      <c r="E1286" s="198"/>
      <c r="F1286" s="834">
        <f>+SUMIF($H$6:$H$1279,G1286,$E$6:$E$1279)</f>
        <v>176681929</v>
      </c>
      <c r="G1286" s="821" t="s">
        <v>671</v>
      </c>
      <c r="H1286" s="831"/>
      <c r="M1286" s="652"/>
      <c r="S1286" s="973"/>
    </row>
    <row r="1287" spans="4:19">
      <c r="D1287" s="1054"/>
      <c r="E1287" s="198"/>
      <c r="F1287" s="835">
        <f>SUM(F1283:F1286)</f>
        <v>12543686180</v>
      </c>
      <c r="G1287" s="822" t="s">
        <v>79</v>
      </c>
      <c r="H1287" s="832">
        <f>+H1285-H1284</f>
        <v>0</v>
      </c>
      <c r="S1287" s="973"/>
    </row>
    <row r="1288" spans="4:19">
      <c r="D1288" s="1054"/>
      <c r="E1288" s="830"/>
      <c r="F1288" s="836"/>
      <c r="G1288" s="198"/>
      <c r="H1288" s="198"/>
    </row>
    <row r="1289" spans="4:19">
      <c r="D1289" s="1054"/>
      <c r="E1289" s="198"/>
      <c r="F1289" s="836"/>
      <c r="G1289" s="198"/>
      <c r="H1289" s="198" t="s">
        <v>387</v>
      </c>
      <c r="M1289" s="652"/>
    </row>
    <row r="1290" spans="4:19">
      <c r="D1290" s="1054"/>
      <c r="E1290" s="198"/>
      <c r="F1290" s="836"/>
      <c r="G1290" s="198"/>
      <c r="H1290" s="198" t="s">
        <v>388</v>
      </c>
      <c r="M1290" s="652"/>
    </row>
    <row r="1291" spans="4:19">
      <c r="D1291" s="1054"/>
      <c r="E1291" s="198"/>
      <c r="F1291" s="836"/>
      <c r="G1291" s="198"/>
      <c r="H1291" s="198" t="s">
        <v>387</v>
      </c>
      <c r="M1291" s="652"/>
    </row>
    <row r="1292" spans="4:19">
      <c r="D1292" s="1054"/>
      <c r="E1292" s="198"/>
      <c r="F1292" s="836"/>
      <c r="G1292" s="198"/>
      <c r="H1292" s="198" t="s">
        <v>288</v>
      </c>
      <c r="M1292" s="652"/>
    </row>
    <row r="1293" spans="4:19">
      <c r="D1293" s="1051"/>
      <c r="E1293" s="198"/>
      <c r="F1293" s="836"/>
      <c r="G1293" s="198"/>
      <c r="H1293" s="198" t="s">
        <v>221</v>
      </c>
      <c r="M1293" s="652"/>
    </row>
    <row r="1294" spans="4:19">
      <c r="E1294" s="198"/>
      <c r="F1294" s="836"/>
      <c r="G1294" s="198"/>
      <c r="H1294" s="198"/>
    </row>
    <row r="1295" spans="4:19">
      <c r="E1295" s="198"/>
      <c r="F1295" s="836"/>
      <c r="G1295" s="198"/>
      <c r="H1295" s="198"/>
    </row>
    <row r="1296" spans="4:19">
      <c r="E1296" s="198"/>
      <c r="F1296" s="836"/>
      <c r="G1296" s="198"/>
      <c r="H1296" s="198"/>
    </row>
  </sheetData>
  <mergeCells count="1">
    <mergeCell ref="C2:F2"/>
  </mergeCells>
  <phoneticPr fontId="113" type="noConversion"/>
  <conditionalFormatting sqref="B1:B1048576">
    <cfRule type="duplicateValues" dxfId="124" priority="1"/>
  </conditionalFormatting>
  <conditionalFormatting sqref="B2:B5">
    <cfRule type="duplicateValues" dxfId="123" priority="2"/>
  </conditionalFormatting>
  <pageMargins left="0.17" right="0.17" top="0.28999999999999998" bottom="0.26" header="0.17" footer="0.23"/>
  <pageSetup paperSize="9" scale="76" orientation="portrait" r:id="rId1"/>
  <headerFooter>
    <oddHeader>Page &amp;P of &amp;N</oddHeader>
  </headerFooter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2:M31"/>
  <sheetViews>
    <sheetView zoomScaleNormal="100" zoomScaleSheetLayoutView="80" workbookViewId="0">
      <selection activeCell="H12" sqref="H12"/>
    </sheetView>
  </sheetViews>
  <sheetFormatPr defaultColWidth="9.140625" defaultRowHeight="15"/>
  <cols>
    <col min="1" max="1" width="10.42578125" style="11" bestFit="1" customWidth="1"/>
    <col min="2" max="2" width="14.140625" style="11" customWidth="1"/>
    <col min="3" max="3" width="26.85546875" style="11" bestFit="1" customWidth="1"/>
    <col min="4" max="4" width="14.5703125" style="112" customWidth="1"/>
    <col min="5" max="5" width="23.42578125" style="112" customWidth="1"/>
    <col min="6" max="6" width="22" style="14" customWidth="1"/>
    <col min="7" max="7" width="18.140625" style="14" bestFit="1" customWidth="1"/>
    <col min="8" max="8" width="28" style="1365" customWidth="1"/>
    <col min="9" max="9" width="15.7109375" style="11" bestFit="1" customWidth="1"/>
    <col min="10" max="10" width="15.7109375" style="11" customWidth="1"/>
    <col min="11" max="11" width="7" style="11" bestFit="1" customWidth="1"/>
    <col min="12" max="12" width="9.140625" style="11"/>
    <col min="13" max="13" width="15.42578125" style="649" bestFit="1" customWidth="1"/>
    <col min="14" max="16384" width="9.140625" style="11"/>
  </cols>
  <sheetData>
    <row r="2" spans="1:13" s="10" customFormat="1" ht="42" customHeight="1">
      <c r="A2" s="1457" t="s">
        <v>5722</v>
      </c>
      <c r="B2" s="1457"/>
      <c r="C2" s="1457"/>
      <c r="D2" s="1457"/>
      <c r="E2" s="1457"/>
      <c r="F2" s="1457"/>
      <c r="G2" s="1457"/>
      <c r="H2" s="1457"/>
      <c r="M2" s="645"/>
    </row>
    <row r="3" spans="1:13" s="6" customFormat="1" ht="36.75" customHeight="1" thickBot="1">
      <c r="C3" s="9"/>
      <c r="D3" s="122"/>
      <c r="E3" s="121" t="s">
        <v>139</v>
      </c>
      <c r="F3" s="8"/>
      <c r="G3" s="8"/>
      <c r="H3" s="1358"/>
      <c r="I3" s="8"/>
      <c r="M3" s="646"/>
    </row>
    <row r="4" spans="1:13" s="7" customFormat="1" ht="39.75" customHeight="1" thickTop="1">
      <c r="A4" s="265" t="s">
        <v>10</v>
      </c>
      <c r="B4" s="266" t="s">
        <v>12</v>
      </c>
      <c r="C4" s="266" t="s">
        <v>8</v>
      </c>
      <c r="D4" s="266" t="s">
        <v>13</v>
      </c>
      <c r="E4" s="266" t="s">
        <v>7</v>
      </c>
      <c r="F4" s="266" t="s">
        <v>9</v>
      </c>
      <c r="G4" s="267" t="s">
        <v>18</v>
      </c>
      <c r="H4" s="1359" t="s">
        <v>121</v>
      </c>
      <c r="I4" s="268" t="s">
        <v>215</v>
      </c>
      <c r="J4" s="111" t="s">
        <v>283</v>
      </c>
      <c r="M4" s="647"/>
    </row>
    <row r="5" spans="1:13" s="22" customFormat="1" ht="32.25" customHeight="1">
      <c r="A5" s="661">
        <f>SUBTOTAL(3,B$5:B5)</f>
        <v>1</v>
      </c>
      <c r="B5" s="661" t="s">
        <v>5757</v>
      </c>
      <c r="C5" s="662" t="s">
        <v>5758</v>
      </c>
      <c r="D5" s="1075">
        <v>45771</v>
      </c>
      <c r="E5" s="787" t="str">
        <f>+VLOOKUP(B5,'Salary sheet'!$B$6:$AU$1432,5,0)</f>
        <v>P4 - FB2-4</v>
      </c>
      <c r="F5" s="993">
        <f>+VLOOKUP(B5,'Salary sheet'!$B$6:$AT$1292,45,0)</f>
        <v>1279230</v>
      </c>
      <c r="G5" s="663"/>
      <c r="H5" s="1360" t="s">
        <v>554</v>
      </c>
      <c r="I5" s="664" t="str">
        <f>+VLOOKUP(B5,'Salary sheet'!$B$6:$AU$1432,4,0)</f>
        <v>FACTORY D</v>
      </c>
      <c r="J5" s="279" t="str">
        <f>+VLOOKUP(B5,'Salary sheet'!$B$6:$AZ$1291,50,0)</f>
        <v>SK1 Bag</v>
      </c>
      <c r="M5" s="1360" t="s">
        <v>778</v>
      </c>
    </row>
    <row r="6" spans="1:13" s="22" customFormat="1" ht="32.25" customHeight="1">
      <c r="A6" s="661">
        <f>SUBTOTAL(3,B$5:B6)</f>
        <v>2</v>
      </c>
      <c r="B6" s="661" t="s">
        <v>5767</v>
      </c>
      <c r="C6" s="662" t="s">
        <v>5768</v>
      </c>
      <c r="D6" s="1075">
        <v>45762</v>
      </c>
      <c r="E6" s="787" t="str">
        <f>+VLOOKUP(B6,'Salary sheet'!$B$6:$AU$1432,5,0)</f>
        <v>P4 - Inspection</v>
      </c>
      <c r="F6" s="993">
        <f>+VLOOKUP(B6,'Salary sheet'!$B$6:$AT$1292,45,0)</f>
        <v>3780398</v>
      </c>
      <c r="G6" s="663"/>
      <c r="H6" s="1360" t="s">
        <v>554</v>
      </c>
      <c r="I6" s="664" t="str">
        <f>+VLOOKUP(B6,'Salary sheet'!$B$6:$AU$1432,4,0)</f>
        <v>FACTORY D</v>
      </c>
      <c r="J6" s="279" t="str">
        <f>+VLOOKUP(B6,'Salary sheet'!$B$6:$AZ$1291,50,0)</f>
        <v>SK1 Bag</v>
      </c>
      <c r="M6" s="2"/>
    </row>
    <row r="7" spans="1:13" s="22" customFormat="1" ht="32.25" customHeight="1">
      <c r="A7" s="661">
        <f>SUBTOTAL(3,B$5:B7)</f>
        <v>3</v>
      </c>
      <c r="B7" s="661" t="s">
        <v>5774</v>
      </c>
      <c r="C7" s="662" t="s">
        <v>5775</v>
      </c>
      <c r="D7" s="1075">
        <v>45771</v>
      </c>
      <c r="E7" s="787" t="str">
        <f>+VLOOKUP(B7,'Salary sheet'!$B$6:$AU$1432,5,0)</f>
        <v>P7 - FG Warehouse</v>
      </c>
      <c r="F7" s="993">
        <f>+VLOOKUP(B7,'Salary sheet'!$B$6:$AT$1292,45,0)</f>
        <v>1201096</v>
      </c>
      <c r="G7" s="663"/>
      <c r="H7" s="1360" t="s">
        <v>554</v>
      </c>
      <c r="I7" s="664" t="str">
        <f>+VLOOKUP(B7,'Salary sheet'!$B$6:$AU$1432,4,0)</f>
        <v>FACTORY O</v>
      </c>
      <c r="J7" s="279" t="str">
        <f>+VLOOKUP(B7,'Salary sheet'!$B$6:$AZ$1291,50,0)</f>
        <v>SK1 Bag</v>
      </c>
      <c r="M7" s="2"/>
    </row>
    <row r="8" spans="1:13" s="22" customFormat="1" ht="32.25" customHeight="1">
      <c r="A8" s="661">
        <f>SUBTOTAL(3,B$5:B8)</f>
        <v>4</v>
      </c>
      <c r="B8" s="661" t="s">
        <v>5778</v>
      </c>
      <c r="C8" s="662" t="s">
        <v>5779</v>
      </c>
      <c r="D8" s="1075">
        <v>45761</v>
      </c>
      <c r="E8" s="787" t="str">
        <f>+VLOOKUP(B8,'Salary sheet'!$B$6:$AU$1432,5,0)</f>
        <v>P0 - Planning</v>
      </c>
      <c r="F8" s="993">
        <f>+VLOOKUP(B8,'Salary sheet'!$B$6:$AT$1292,45,0)</f>
        <v>5769232</v>
      </c>
      <c r="G8" s="663"/>
      <c r="H8" s="1360" t="s">
        <v>554</v>
      </c>
      <c r="I8" s="664" t="str">
        <f>+VLOOKUP(B8,'Salary sheet'!$B$6:$AU$1432,4,0)</f>
        <v>SK2</v>
      </c>
      <c r="J8" s="279" t="str">
        <f>+VLOOKUP(B8,'Salary sheet'!$B$6:$AZ$1291,50,0)</f>
        <v>SK2</v>
      </c>
      <c r="M8" s="2"/>
    </row>
    <row r="9" spans="1:13" s="22" customFormat="1" ht="32.25" customHeight="1">
      <c r="A9" s="661">
        <f>SUBTOTAL(3,B$5:B9)</f>
        <v>5</v>
      </c>
      <c r="B9" s="661" t="s">
        <v>5785</v>
      </c>
      <c r="C9" s="662" t="s">
        <v>5786</v>
      </c>
      <c r="D9" s="1075">
        <v>45765</v>
      </c>
      <c r="E9" s="787" t="str">
        <f>+VLOOKUP(B9,'Salary sheet'!$B$6:$AU$1432,5,0)</f>
        <v>P2 - Inspection</v>
      </c>
      <c r="F9" s="993">
        <f>+VLOOKUP(B9,'Salary sheet'!$B$6:$AT$1292,45,0)</f>
        <v>3158346</v>
      </c>
      <c r="G9" s="663"/>
      <c r="H9" s="1360" t="s">
        <v>554</v>
      </c>
      <c r="I9" s="664" t="str">
        <f>+VLOOKUP(B9,'Salary sheet'!$B$6:$AU$1432,4,0)</f>
        <v>SK2</v>
      </c>
      <c r="J9" s="279" t="str">
        <f>+VLOOKUP(B9,'Salary sheet'!$B$6:$AZ$1291,50,0)</f>
        <v>SK2</v>
      </c>
      <c r="M9" s="2"/>
    </row>
    <row r="10" spans="1:13" s="22" customFormat="1" ht="32.25" customHeight="1">
      <c r="A10" s="661">
        <f>SUBTOTAL(3,B$5:B10)</f>
        <v>6</v>
      </c>
      <c r="B10" s="661" t="s">
        <v>5789</v>
      </c>
      <c r="C10" s="662" t="s">
        <v>5790</v>
      </c>
      <c r="D10" s="1075">
        <v>45769</v>
      </c>
      <c r="E10" s="787" t="str">
        <f>+VLOOKUP(B10,'Salary sheet'!$B$6:$AU$1432,5,0)</f>
        <v>P2 - J cut</v>
      </c>
      <c r="F10" s="993">
        <f>+VLOOKUP(B10,'Salary sheet'!$B$6:$AT$1292,45,0)</f>
        <v>1685441</v>
      </c>
      <c r="G10" s="663"/>
      <c r="H10" s="1360" t="s">
        <v>554</v>
      </c>
      <c r="I10" s="664" t="str">
        <f>+VLOOKUP(B10,'Salary sheet'!$B$6:$AU$1432,4,0)</f>
        <v>SK2</v>
      </c>
      <c r="J10" s="279" t="str">
        <f>+VLOOKUP(B10,'Salary sheet'!$B$6:$AZ$1291,50,0)</f>
        <v>SK2</v>
      </c>
      <c r="M10" s="2"/>
    </row>
    <row r="11" spans="1:13" s="22" customFormat="1" ht="32.25" customHeight="1">
      <c r="A11" s="661">
        <f>SUBTOTAL(3,B$5:B11)</f>
        <v>7</v>
      </c>
      <c r="B11" s="661" t="s">
        <v>5791</v>
      </c>
      <c r="C11" s="662" t="s">
        <v>5792</v>
      </c>
      <c r="D11" s="1075">
        <v>45772</v>
      </c>
      <c r="E11" s="787" t="str">
        <f>+VLOOKUP(B11,'Salary sheet'!$B$6:$AU$1432,5,0)</f>
        <v>P2 - QC</v>
      </c>
      <c r="F11" s="993">
        <f>+VLOOKUP(B11,'Salary sheet'!$B$6:$AT$1292,45,0)</f>
        <v>1065692</v>
      </c>
      <c r="G11" s="663"/>
      <c r="H11" s="1360" t="s">
        <v>554</v>
      </c>
      <c r="I11" s="664" t="str">
        <f>+VLOOKUP(B11,'Salary sheet'!$B$6:$AU$1432,4,0)</f>
        <v>SK2</v>
      </c>
      <c r="J11" s="279" t="str">
        <f>+VLOOKUP(B11,'Salary sheet'!$B$6:$AZ$1291,50,0)</f>
        <v>SK2</v>
      </c>
      <c r="M11" s="2"/>
    </row>
    <row r="12" spans="1:13" s="22" customFormat="1" ht="32.25" customHeight="1">
      <c r="A12" s="661">
        <f>SUBTOTAL(3,B$5:B12)</f>
        <v>8</v>
      </c>
      <c r="B12" s="661" t="s">
        <v>2934</v>
      </c>
      <c r="C12" s="662" t="s">
        <v>2935</v>
      </c>
      <c r="D12" s="1075">
        <v>45355</v>
      </c>
      <c r="E12" s="787" t="str">
        <f>+VLOOKUP(B12,'Salary sheet'!$B$6:$AU$1432,5,0)</f>
        <v>P3 - Assembly 1A</v>
      </c>
      <c r="F12" s="993">
        <f>+VLOOKUP(B12,'Salary sheet'!$B$6:$AT$1292,45,0)</f>
        <v>9238901</v>
      </c>
      <c r="G12" s="663"/>
      <c r="H12" s="1379" t="s">
        <v>778</v>
      </c>
      <c r="I12" s="664" t="str">
        <f>+VLOOKUP(B12,'Salary sheet'!$B$6:$AU$1432,4,0)</f>
        <v>SK2</v>
      </c>
      <c r="J12" s="279" t="str">
        <f>+VLOOKUP(B12,'Salary sheet'!$B$6:$AZ$1291,50,0)</f>
        <v>SK2</v>
      </c>
      <c r="M12" s="2"/>
    </row>
    <row r="13" spans="1:13" s="22" customFormat="1" ht="32.25" customHeight="1">
      <c r="A13" s="661">
        <f>SUBTOTAL(3,B$5:B13)</f>
        <v>9</v>
      </c>
      <c r="B13" s="661" t="s">
        <v>5801</v>
      </c>
      <c r="C13" s="662" t="s">
        <v>5802</v>
      </c>
      <c r="D13" s="1075">
        <v>45772</v>
      </c>
      <c r="E13" s="787" t="str">
        <f>+VLOOKUP(B13,'Salary sheet'!$B$6:$AU$1432,5,0)</f>
        <v>P3 - Assembly 2A</v>
      </c>
      <c r="F13" s="993">
        <f>+VLOOKUP(B13,'Salary sheet'!$B$6:$AT$1292,45,0)</f>
        <v>639615</v>
      </c>
      <c r="G13" s="663"/>
      <c r="H13" s="1360" t="s">
        <v>554</v>
      </c>
      <c r="I13" s="664" t="str">
        <f>+VLOOKUP(B13,'Salary sheet'!$B$6:$AU$1432,4,0)</f>
        <v>SK2</v>
      </c>
      <c r="J13" s="279" t="str">
        <f>+VLOOKUP(B13,'Salary sheet'!$B$6:$AZ$1291,50,0)</f>
        <v>SK2</v>
      </c>
      <c r="M13" s="2"/>
    </row>
    <row r="14" spans="1:13" s="22" customFormat="1" ht="32.25" customHeight="1">
      <c r="A14" s="661">
        <f>SUBTOTAL(3,B$5:B14)</f>
        <v>10</v>
      </c>
      <c r="B14" s="661" t="s">
        <v>5805</v>
      </c>
      <c r="C14" s="662" t="s">
        <v>5806</v>
      </c>
      <c r="D14" s="1075">
        <v>45757</v>
      </c>
      <c r="E14" s="787" t="str">
        <f>+VLOOKUP(B14,'Salary sheet'!$B$6:$AU$1432,5,0)</f>
        <v>P3 - Assembly 2B</v>
      </c>
      <c r="F14" s="993">
        <f>+VLOOKUP(B14,'Salary sheet'!$B$6:$AT$1292,45,0)</f>
        <v>4359442</v>
      </c>
      <c r="G14" s="663"/>
      <c r="H14" s="1360" t="s">
        <v>554</v>
      </c>
      <c r="I14" s="664" t="str">
        <f>+VLOOKUP(B14,'Salary sheet'!$B$6:$AU$1432,4,0)</f>
        <v>SK2</v>
      </c>
      <c r="J14" s="279" t="str">
        <f>+VLOOKUP(B14,'Salary sheet'!$B$6:$AZ$1291,50,0)</f>
        <v>SK2</v>
      </c>
      <c r="M14" s="2"/>
    </row>
    <row r="15" spans="1:13" s="22" customFormat="1" ht="32.25" customHeight="1">
      <c r="A15" s="661">
        <f>SUBTOTAL(3,B$5:B15)</f>
        <v>11</v>
      </c>
      <c r="B15" s="661" t="s">
        <v>5807</v>
      </c>
      <c r="C15" s="662" t="s">
        <v>5808</v>
      </c>
      <c r="D15" s="1075">
        <v>45757</v>
      </c>
      <c r="E15" s="787" t="str">
        <f>+VLOOKUP(B15,'Salary sheet'!$B$6:$AU$1432,5,0)</f>
        <v>P3 - Assembly 2B</v>
      </c>
      <c r="F15" s="993">
        <f>+VLOOKUP(B15,'Salary sheet'!$B$6:$AT$1292,45,0)</f>
        <v>5191731</v>
      </c>
      <c r="G15" s="663"/>
      <c r="H15" s="1360" t="s">
        <v>554</v>
      </c>
      <c r="I15" s="664" t="str">
        <f>+VLOOKUP(B15,'Salary sheet'!$B$6:$AU$1432,4,0)</f>
        <v>SK2</v>
      </c>
      <c r="J15" s="279" t="str">
        <f>+VLOOKUP(B15,'Salary sheet'!$B$6:$AZ$1291,50,0)</f>
        <v>SK2</v>
      </c>
      <c r="M15" s="2"/>
    </row>
    <row r="16" spans="1:13" s="22" customFormat="1" ht="32.25" customHeight="1">
      <c r="A16" s="661">
        <f>SUBTOTAL(3,B$5:B16)</f>
        <v>12</v>
      </c>
      <c r="B16" s="661" t="s">
        <v>5813</v>
      </c>
      <c r="C16" s="662" t="s">
        <v>5814</v>
      </c>
      <c r="D16" s="1075">
        <v>45761</v>
      </c>
      <c r="E16" s="787" t="str">
        <f>+VLOOKUP(B16,'Salary sheet'!$B$6:$AU$1432,5,0)</f>
        <v>P3 - Assembly 2B</v>
      </c>
      <c r="F16" s="993">
        <f>+VLOOKUP(B16,'Salary sheet'!$B$6:$AT$1292,45,0)</f>
        <v>4179754</v>
      </c>
      <c r="G16" s="663"/>
      <c r="H16" s="1360" t="s">
        <v>554</v>
      </c>
      <c r="I16" s="664" t="str">
        <f>+VLOOKUP(B16,'Salary sheet'!$B$6:$AU$1432,4,0)</f>
        <v>SK2</v>
      </c>
      <c r="J16" s="279" t="str">
        <f>+VLOOKUP(B16,'Salary sheet'!$B$6:$AZ$1291,50,0)</f>
        <v>SK2</v>
      </c>
      <c r="M16" s="2"/>
    </row>
    <row r="17" spans="1:13" s="22" customFormat="1" ht="32.25" customHeight="1">
      <c r="A17" s="661">
        <f>SUBTOTAL(3,B$5:B17)</f>
        <v>13</v>
      </c>
      <c r="B17" s="661" t="s">
        <v>5819</v>
      </c>
      <c r="C17" s="662" t="s">
        <v>5820</v>
      </c>
      <c r="D17" s="1075">
        <v>45772</v>
      </c>
      <c r="E17" s="787" t="str">
        <f>+VLOOKUP(B17,'Salary sheet'!$B$6:$AU$1432,5,0)</f>
        <v>P3 - QC</v>
      </c>
      <c r="F17" s="993">
        <f>+VLOOKUP(B17,'Salary sheet'!$B$6:$AT$1292,45,0)</f>
        <v>988557</v>
      </c>
      <c r="G17" s="663"/>
      <c r="H17" s="1360" t="s">
        <v>554</v>
      </c>
      <c r="I17" s="664" t="str">
        <f>+VLOOKUP(B17,'Salary sheet'!$B$6:$AU$1432,4,0)</f>
        <v>SK2</v>
      </c>
      <c r="J17" s="279" t="str">
        <f>+VLOOKUP(B17,'Salary sheet'!$B$6:$AZ$1291,50,0)</f>
        <v>SK2</v>
      </c>
      <c r="M17" s="2"/>
    </row>
    <row r="18" spans="1:13" s="6" customFormat="1" ht="21" customHeight="1" thickBot="1">
      <c r="A18" s="1031"/>
      <c r="B18" s="1032"/>
      <c r="C18" s="1031" t="s">
        <v>0</v>
      </c>
      <c r="D18" s="1032"/>
      <c r="E18" s="1032"/>
      <c r="F18" s="970">
        <f>SUM(F5:F17)</f>
        <v>42537435</v>
      </c>
      <c r="G18" s="970"/>
      <c r="H18" s="1361"/>
      <c r="I18" s="971"/>
      <c r="J18" s="111"/>
      <c r="M18" s="646"/>
    </row>
    <row r="19" spans="1:13" s="6" customFormat="1" thickTop="1">
      <c r="D19" s="122"/>
      <c r="E19" s="122"/>
      <c r="F19" s="8">
        <f>+F18-G31</f>
        <v>0</v>
      </c>
      <c r="G19" s="8"/>
      <c r="H19" s="1362"/>
      <c r="I19" s="8"/>
      <c r="J19" s="8"/>
      <c r="M19" s="646"/>
    </row>
    <row r="20" spans="1:13" s="6" customFormat="1" ht="14.25">
      <c r="D20" s="30"/>
      <c r="E20" s="122"/>
      <c r="F20" s="8"/>
      <c r="G20" s="30" t="s">
        <v>756</v>
      </c>
      <c r="H20" s="1362"/>
      <c r="M20" s="646"/>
    </row>
    <row r="21" spans="1:13" s="5" customFormat="1">
      <c r="B21" s="35" t="s">
        <v>2</v>
      </c>
      <c r="D21" s="36" t="s">
        <v>2</v>
      </c>
      <c r="E21" s="123"/>
      <c r="F21" s="35"/>
      <c r="G21" s="35" t="s">
        <v>4</v>
      </c>
      <c r="H21" s="1363"/>
      <c r="J21" s="6"/>
      <c r="M21" s="648"/>
    </row>
    <row r="22" spans="1:13" s="6" customFormat="1" ht="14.25">
      <c r="B22" s="8" t="s">
        <v>117</v>
      </c>
      <c r="D22" s="30" t="s">
        <v>117</v>
      </c>
      <c r="E22" s="122"/>
      <c r="F22" s="8"/>
      <c r="G22" s="8"/>
      <c r="H22" s="1364"/>
      <c r="M22" s="646"/>
    </row>
    <row r="23" spans="1:13">
      <c r="F23" s="34"/>
      <c r="G23" s="34"/>
    </row>
    <row r="25" spans="1:13" ht="9" customHeight="1"/>
    <row r="27" spans="1:13">
      <c r="G27" s="158">
        <f>+SUMIF($J$5:$J$23,H27,$F$5:$F$23)</f>
        <v>0</v>
      </c>
      <c r="H27" s="1366" t="s">
        <v>287</v>
      </c>
    </row>
    <row r="28" spans="1:13">
      <c r="G28" s="158">
        <f>+SUMIF($J$5:$J$23,H28,$F$5:$F$23)</f>
        <v>6260724</v>
      </c>
      <c r="H28" s="1366" t="s">
        <v>288</v>
      </c>
    </row>
    <row r="29" spans="1:13">
      <c r="G29" s="158">
        <f>+SUMIF($J$5:$J$23,H29,$F$5:$F$23)</f>
        <v>36276711</v>
      </c>
      <c r="H29" s="1366" t="s">
        <v>221</v>
      </c>
    </row>
    <row r="30" spans="1:13">
      <c r="G30" s="158">
        <f>+SUMIF($J$5:$J$23,H30,$F$5:$F$23)</f>
        <v>0</v>
      </c>
      <c r="H30" s="1366" t="s">
        <v>671</v>
      </c>
    </row>
    <row r="31" spans="1:13" ht="15.75">
      <c r="G31" s="201">
        <f>SUBTOTAL(9,G27:G30)</f>
        <v>42537435</v>
      </c>
      <c r="H31" s="1367" t="s">
        <v>79</v>
      </c>
    </row>
  </sheetData>
  <mergeCells count="1">
    <mergeCell ref="A2:H2"/>
  </mergeCells>
  <phoneticPr fontId="12" type="noConversion"/>
  <conditionalFormatting sqref="B1:B1048576">
    <cfRule type="duplicateValues" dxfId="122" priority="1"/>
  </conditionalFormatting>
  <pageMargins left="0.14000000000000001" right="0.13" top="0.2" bottom="0.14000000000000001" header="0.15" footer="0.16"/>
  <pageSetup paperSize="9" scale="6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9457" r:id="rId4">
          <objectPr defaultSize="0" autoPict="0" r:id="rId5">
            <anchor moveWithCells="1" sizeWithCells="1">
              <from>
                <xdr:col>2</xdr:col>
                <xdr:colOff>38100</xdr:colOff>
                <xdr:row>0</xdr:row>
                <xdr:rowOff>0</xdr:rowOff>
              </from>
              <to>
                <xdr:col>2</xdr:col>
                <xdr:colOff>1133475</xdr:colOff>
                <xdr:row>0</xdr:row>
                <xdr:rowOff>0</xdr:rowOff>
              </to>
            </anchor>
          </objectPr>
        </oleObject>
      </mc:Choice>
      <mc:Fallback>
        <oleObject progId="MSPhotoEd.3" shapeId="1945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2:T20"/>
  <sheetViews>
    <sheetView zoomScale="85" zoomScaleNormal="85" zoomScaleSheetLayoutView="100" workbookViewId="0">
      <pane ySplit="4" topLeftCell="A5" activePane="bottomLeft" state="frozen"/>
      <selection activeCell="A6" sqref="A6:XFD6"/>
      <selection pane="bottomLeft" activeCell="A16" sqref="A16:XFD16"/>
    </sheetView>
  </sheetViews>
  <sheetFormatPr defaultColWidth="9.140625" defaultRowHeight="15"/>
  <cols>
    <col min="1" max="1" width="14.5703125" style="11" customWidth="1"/>
    <col min="2" max="2" width="33.7109375" style="124" customWidth="1"/>
    <col min="3" max="3" width="29.5703125" style="12" customWidth="1"/>
    <col min="4" max="4" width="24.85546875" style="13" customWidth="1"/>
    <col min="5" max="5" width="18" style="325" hidden="1" customWidth="1"/>
    <col min="6" max="6" width="15.85546875" style="11" hidden="1" customWidth="1"/>
    <col min="7" max="19" width="9.140625" style="11"/>
    <col min="20" max="20" width="9.140625" style="11" customWidth="1"/>
    <col min="21" max="16384" width="9.140625" style="11"/>
  </cols>
  <sheetData>
    <row r="2" spans="1:20" s="10" customFormat="1" ht="42" customHeight="1">
      <c r="A2" s="1457" t="s">
        <v>5721</v>
      </c>
      <c r="B2" s="1457"/>
      <c r="C2" s="1457"/>
      <c r="D2" s="1457"/>
      <c r="E2" s="1071"/>
    </row>
    <row r="3" spans="1:20" ht="15" customHeight="1" thickBot="1"/>
    <row r="4" spans="1:20" s="79" customFormat="1" ht="39" customHeight="1" thickTop="1">
      <c r="A4" s="839" t="s">
        <v>10</v>
      </c>
      <c r="B4" s="840" t="s">
        <v>7</v>
      </c>
      <c r="C4" s="841" t="s">
        <v>9</v>
      </c>
      <c r="D4" s="842" t="s">
        <v>18</v>
      </c>
      <c r="E4" s="1072" t="s">
        <v>723</v>
      </c>
      <c r="F4" s="79" t="s">
        <v>736</v>
      </c>
    </row>
    <row r="5" spans="1:20" s="22" customFormat="1" ht="29.25" customHeight="1">
      <c r="A5" s="779">
        <f>SUBTOTAL(3,B$5:B5)</f>
        <v>1</v>
      </c>
      <c r="B5" s="843" t="s">
        <v>246</v>
      </c>
      <c r="C5" s="136">
        <f>SUMIFS(Cash!$F$5:$F$17,Cash!$E$5:$E$17,'Cash - Dep'!B5)</f>
        <v>5769232</v>
      </c>
      <c r="D5" s="844"/>
      <c r="E5" s="3">
        <f>SUMIFS(Cash!$F$4:$F$23,Cash!$K$4:$K$23,'Cash - Dep'!$E$4,Cash!$E$4:$E$23,'Cash - Dep'!B5)</f>
        <v>0</v>
      </c>
      <c r="F5" s="578">
        <f>+ROUND(C5-E5,0)</f>
        <v>5769232</v>
      </c>
    </row>
    <row r="6" spans="1:20" s="22" customFormat="1" ht="29.25" customHeight="1">
      <c r="A6" s="845">
        <f>SUBTOTAL(3,B$5:B6)</f>
        <v>2</v>
      </c>
      <c r="B6" s="664" t="s">
        <v>400</v>
      </c>
      <c r="C6" s="759">
        <f>SUMIFS(Cash!$F$5:$F$17,Cash!$E$5:$E$17,'Cash - Dep'!B6)</f>
        <v>3158346</v>
      </c>
      <c r="D6" s="846"/>
      <c r="E6" s="3">
        <f>SUMIFS(Cash!$F$4:$F$23,Cash!$K$4:$K$23,'Cash - Dep'!$E$4,Cash!$E$4:$E$23,'Cash - Dep'!B6)</f>
        <v>0</v>
      </c>
      <c r="F6" s="578">
        <f t="shared" ref="F6:F15" si="0">+ROUND(C6-E6,0)</f>
        <v>3158346</v>
      </c>
    </row>
    <row r="7" spans="1:20" s="22" customFormat="1" ht="30" customHeight="1">
      <c r="A7" s="845">
        <f>SUBTOTAL(3,B$5:B7)</f>
        <v>3</v>
      </c>
      <c r="B7" s="664" t="s">
        <v>535</v>
      </c>
      <c r="C7" s="759">
        <f>SUMIFS(Cash!$F$5:$F$17,Cash!$E$5:$E$17,'Cash - Dep'!B7)</f>
        <v>1685441</v>
      </c>
      <c r="D7" s="846"/>
      <c r="E7" s="3">
        <f>SUMIFS(Cash!$F$4:$F$23,Cash!$K$4:$K$23,'Cash - Dep'!$E$4,Cash!$E$4:$E$23,'Cash - Dep'!B7)</f>
        <v>0</v>
      </c>
      <c r="F7" s="578">
        <f t="shared" ref="F7:F13" si="1">+ROUND(C7-E7,0)</f>
        <v>1685441</v>
      </c>
    </row>
    <row r="8" spans="1:20" s="22" customFormat="1" ht="29.25" customHeight="1">
      <c r="A8" s="845">
        <f>SUBTOTAL(3,B$5:B8)</f>
        <v>4</v>
      </c>
      <c r="B8" s="664" t="s">
        <v>659</v>
      </c>
      <c r="C8" s="759">
        <f>SUMIFS(Cash!$F$5:$F$17,Cash!$E$5:$E$17,'Cash - Dep'!B8)</f>
        <v>1065692</v>
      </c>
      <c r="D8" s="846"/>
      <c r="E8" s="3">
        <f>SUMIFS(Cash!$F$4:$F$23,Cash!$K$4:$K$23,'Cash - Dep'!$E$4,Cash!$E$4:$E$23,'Cash - Dep'!B8)</f>
        <v>0</v>
      </c>
      <c r="F8" s="578">
        <f t="shared" si="1"/>
        <v>1065692</v>
      </c>
    </row>
    <row r="9" spans="1:20" s="22" customFormat="1" ht="29.25" customHeight="1">
      <c r="A9" s="845">
        <f>SUBTOTAL(3,B$5:B9)</f>
        <v>5</v>
      </c>
      <c r="B9" s="664" t="s">
        <v>282</v>
      </c>
      <c r="C9" s="759">
        <f>SUMIFS(Cash!$F$5:$F$17,Cash!$E$5:$E$17,'Cash - Dep'!B9)</f>
        <v>9238901</v>
      </c>
      <c r="D9" s="846"/>
      <c r="E9" s="3">
        <f>SUMIFS(Cash!$F$4:$F$23,Cash!$K$4:$K$23,'Cash - Dep'!$E$4,Cash!$E$4:$E$23,'Cash - Dep'!B9)</f>
        <v>0</v>
      </c>
      <c r="F9" s="578">
        <f t="shared" si="1"/>
        <v>9238901</v>
      </c>
    </row>
    <row r="10" spans="1:20" s="22" customFormat="1" ht="30" customHeight="1">
      <c r="A10" s="845">
        <f>SUBTOTAL(3,B$5:B10)</f>
        <v>6</v>
      </c>
      <c r="B10" s="664" t="s">
        <v>256</v>
      </c>
      <c r="C10" s="759">
        <f>SUMIFS(Cash!$F$5:$F$17,Cash!$E$5:$E$17,'Cash - Dep'!B10)</f>
        <v>639615</v>
      </c>
      <c r="D10" s="846"/>
      <c r="E10" s="3">
        <f>SUMIFS(Cash!$F$4:$F$23,Cash!$K$4:$K$23,'Cash - Dep'!$E$4,Cash!$E$4:$E$23,'Cash - Dep'!B10)</f>
        <v>0</v>
      </c>
      <c r="F10" s="578">
        <f t="shared" si="1"/>
        <v>639615</v>
      </c>
    </row>
    <row r="11" spans="1:20" s="22" customFormat="1" ht="29.25" customHeight="1">
      <c r="A11" s="845">
        <f>SUBTOTAL(3,B$5:B11)</f>
        <v>7</v>
      </c>
      <c r="B11" s="664" t="s">
        <v>257</v>
      </c>
      <c r="C11" s="759">
        <f>SUMIFS(Cash!$F$5:$F$17,Cash!$E$5:$E$17,'Cash - Dep'!B11)</f>
        <v>13730927</v>
      </c>
      <c r="D11" s="846"/>
      <c r="E11" s="3">
        <f>SUMIFS(Cash!$F$4:$F$23,Cash!$K$4:$K$23,'Cash - Dep'!$E$4,Cash!$E$4:$E$23,'Cash - Dep'!B11)</f>
        <v>0</v>
      </c>
      <c r="F11" s="578">
        <f t="shared" si="1"/>
        <v>13730927</v>
      </c>
    </row>
    <row r="12" spans="1:20" s="22" customFormat="1" ht="29.25" customHeight="1">
      <c r="A12" s="845">
        <f>SUBTOTAL(3,B$5:B12)</f>
        <v>8</v>
      </c>
      <c r="B12" s="664" t="s">
        <v>261</v>
      </c>
      <c r="C12" s="759">
        <f>SUMIFS(Cash!$F$5:$F$17,Cash!$E$5:$E$17,'Cash - Dep'!B12)</f>
        <v>988557</v>
      </c>
      <c r="D12" s="846"/>
      <c r="E12" s="3">
        <f>SUMIFS(Cash!$F$4:$F$23,Cash!$K$4:$K$23,'Cash - Dep'!$E$4,Cash!$E$4:$E$23,'Cash - Dep'!B12)</f>
        <v>0</v>
      </c>
      <c r="F12" s="578">
        <f t="shared" si="1"/>
        <v>988557</v>
      </c>
    </row>
    <row r="13" spans="1:20" s="22" customFormat="1" ht="30" customHeight="1">
      <c r="A13" s="845">
        <f>SUBTOTAL(3,B$5:B13)</f>
        <v>9</v>
      </c>
      <c r="B13" s="664" t="s">
        <v>519</v>
      </c>
      <c r="C13" s="759">
        <f>SUMIFS(Cash!$F$5:$F$17,Cash!$E$5:$E$17,'Cash - Dep'!B13)</f>
        <v>1279230</v>
      </c>
      <c r="D13" s="846"/>
      <c r="E13" s="3">
        <f>SUMIFS(Cash!$F$4:$F$23,Cash!$K$4:$K$23,'Cash - Dep'!$E$4,Cash!$E$4:$E$23,'Cash - Dep'!B13)</f>
        <v>0</v>
      </c>
      <c r="F13" s="578">
        <f t="shared" si="1"/>
        <v>1279230</v>
      </c>
    </row>
    <row r="14" spans="1:20" s="22" customFormat="1" ht="30" customHeight="1">
      <c r="A14" s="845">
        <f>SUBTOTAL(3,B$5:B14)</f>
        <v>10</v>
      </c>
      <c r="B14" s="664" t="s">
        <v>522</v>
      </c>
      <c r="C14" s="759">
        <f>SUMIFS(Cash!$F$5:$F$17,Cash!$E$5:$E$17,'Cash - Dep'!B14)</f>
        <v>3780398</v>
      </c>
      <c r="D14" s="846"/>
      <c r="E14" s="3">
        <f>SUMIFS(Cash!$F$4:$F$23,Cash!$K$4:$K$23,'Cash - Dep'!$E$4,Cash!$E$4:$E$23,'Cash - Dep'!B14)</f>
        <v>0</v>
      </c>
      <c r="F14" s="578">
        <f t="shared" si="0"/>
        <v>3780398</v>
      </c>
    </row>
    <row r="15" spans="1:20" s="22" customFormat="1" ht="29.25" customHeight="1">
      <c r="A15" s="845">
        <f>SUBTOTAL(3,B$5:B15)</f>
        <v>11</v>
      </c>
      <c r="B15" s="664" t="s">
        <v>266</v>
      </c>
      <c r="C15" s="759">
        <f>SUMIFS(Cash!$F$5:$F$17,Cash!$E$5:$E$17,'Cash - Dep'!B15)</f>
        <v>1201096</v>
      </c>
      <c r="D15" s="846"/>
      <c r="E15" s="3">
        <f>SUMIFS(Cash!$F$4:$F$23,Cash!$K$4:$K$23,'Cash - Dep'!$E$4,Cash!$E$4:$E$23,'Cash - Dep'!B15)</f>
        <v>0</v>
      </c>
      <c r="F15" s="578">
        <f t="shared" si="0"/>
        <v>1201096</v>
      </c>
    </row>
    <row r="16" spans="1:20" s="6" customFormat="1" ht="21" customHeight="1">
      <c r="A16" s="1458" t="s">
        <v>0</v>
      </c>
      <c r="B16" s="1458"/>
      <c r="C16" s="270">
        <f>SUM(C5:C15)</f>
        <v>42537435</v>
      </c>
      <c r="D16" s="157"/>
      <c r="E16" s="3">
        <f>SUM(E5:E15)</f>
        <v>0</v>
      </c>
      <c r="F16" s="3">
        <f>SUM(F5:F15)</f>
        <v>42537435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2:6" s="6" customFormat="1" ht="14.25">
      <c r="B17" s="125"/>
      <c r="C17" s="4">
        <f>+Cash!F18</f>
        <v>42537435</v>
      </c>
      <c r="D17" s="28"/>
      <c r="E17" s="3"/>
      <c r="F17" s="578"/>
    </row>
    <row r="18" spans="2:6" s="6" customFormat="1" ht="14.25">
      <c r="B18" s="125"/>
      <c r="C18" s="4"/>
      <c r="D18" s="8"/>
      <c r="E18" s="1073"/>
    </row>
    <row r="19" spans="2:6" s="6" customFormat="1">
      <c r="B19" s="36" t="s">
        <v>2</v>
      </c>
      <c r="C19" s="4"/>
      <c r="D19" s="36" t="s">
        <v>78</v>
      </c>
      <c r="E19" s="1073"/>
    </row>
    <row r="20" spans="2:6" s="6" customFormat="1" ht="14.25">
      <c r="B20" s="30" t="s">
        <v>3</v>
      </c>
      <c r="C20" s="4"/>
      <c r="D20" s="30" t="s">
        <v>3</v>
      </c>
      <c r="E20" s="1073"/>
    </row>
  </sheetData>
  <sortState xmlns:xlrd2="http://schemas.microsoft.com/office/spreadsheetml/2017/richdata2" ref="A5:E5">
    <sortCondition ref="B5"/>
  </sortState>
  <dataConsolidate>
    <dataRefs count="1">
      <dataRef ref="J5:K185" sheet="Cash - Dep"/>
    </dataRefs>
  </dataConsolidate>
  <mergeCells count="2">
    <mergeCell ref="A2:D2"/>
    <mergeCell ref="A16:B16"/>
  </mergeCells>
  <phoneticPr fontId="61" type="noConversion"/>
  <pageMargins left="0.14000000000000001" right="0.13" top="0.2" bottom="0.14000000000000001" header="0.15" footer="0.16"/>
  <pageSetup paperSize="9" orientation="portrait" r:id="rId1"/>
  <headerFooter alignWithMargins="0">
    <oddHeader>&amp;CPage &amp;P of &amp;N&amp;R&amp;T&amp;D</oddHeader>
  </headerFooter>
  <drawing r:id="rId2"/>
  <legacyDrawing r:id="rId3"/>
  <oleObjects>
    <mc:AlternateContent xmlns:mc="http://schemas.openxmlformats.org/markup-compatibility/2006">
      <mc:Choice Requires="x14">
        <oleObject progId="MSPhotoEd.3" shapeId="5836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MSPhotoEd.3" shapeId="5836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1BA3-5FDD-4840-9246-B94086F57DE0}">
  <sheetPr codeName="Sheet8"/>
  <dimension ref="A1:AG231"/>
  <sheetViews>
    <sheetView zoomScale="85" zoomScaleNormal="85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J26" sqref="J26:J35"/>
    </sheetView>
  </sheetViews>
  <sheetFormatPr defaultRowHeight="12.75"/>
  <cols>
    <col min="1" max="1" width="23.5703125" customWidth="1"/>
    <col min="2" max="2" width="12" customWidth="1"/>
    <col min="3" max="3" width="6.7109375" bestFit="1" customWidth="1"/>
    <col min="4" max="4" width="10.85546875" customWidth="1"/>
    <col min="5" max="5" width="20.28515625" customWidth="1"/>
    <col min="6" max="6" width="16" customWidth="1"/>
    <col min="7" max="7" width="27.140625" customWidth="1"/>
    <col min="8" max="8" width="8.5703125" customWidth="1"/>
    <col min="9" max="9" width="28.85546875" customWidth="1"/>
    <col min="10" max="10" width="11.7109375" customWidth="1"/>
    <col min="11" max="11" width="26.5703125" customWidth="1"/>
    <col min="12" max="12" width="8.5703125" customWidth="1"/>
    <col min="13" max="13" width="28.140625" customWidth="1"/>
    <col min="14" max="14" width="10.28515625" customWidth="1"/>
    <col min="15" max="15" width="21.42578125" customWidth="1"/>
    <col min="16" max="16" width="10.28515625" customWidth="1"/>
    <col min="17" max="17" width="19.5703125" customWidth="1"/>
    <col min="18" max="18" width="10" customWidth="1"/>
    <col min="19" max="19" width="20.42578125" customWidth="1"/>
    <col min="20" max="20" width="10.28515625" customWidth="1"/>
    <col min="21" max="21" width="28.140625" customWidth="1"/>
    <col min="22" max="22" width="10.28515625" customWidth="1"/>
    <col min="23" max="23" width="22.85546875" style="281" customWidth="1"/>
    <col min="24" max="24" width="10.28515625" customWidth="1"/>
    <col min="25" max="25" width="20.140625" customWidth="1"/>
    <col min="26" max="26" width="10.28515625" customWidth="1"/>
    <col min="27" max="27" width="25.7109375" customWidth="1"/>
    <col min="28" max="28" width="9.7109375" bestFit="1" customWidth="1"/>
    <col min="29" max="29" width="21.85546875" customWidth="1"/>
    <col min="30" max="30" width="9.85546875" bestFit="1" customWidth="1"/>
    <col min="31" max="31" width="20.85546875" customWidth="1"/>
  </cols>
  <sheetData>
    <row r="1" spans="1:31" s="6" customFormat="1" ht="15.75" thickBot="1">
      <c r="A1" s="967" t="s">
        <v>649</v>
      </c>
      <c r="B1" s="211"/>
      <c r="C1" s="82"/>
      <c r="D1" s="82"/>
      <c r="E1" s="82">
        <v>25550</v>
      </c>
      <c r="F1" s="82"/>
      <c r="G1" s="82">
        <v>25670</v>
      </c>
      <c r="H1" s="82"/>
      <c r="I1" s="82">
        <v>25695</v>
      </c>
      <c r="J1" s="82"/>
      <c r="K1" s="82">
        <v>26115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3"/>
    </row>
    <row r="2" spans="1:31" ht="18" customHeight="1" thickTop="1" thickBot="1">
      <c r="A2" s="1482" t="s">
        <v>754</v>
      </c>
      <c r="B2" s="1483"/>
      <c r="C2" s="947"/>
      <c r="D2" s="1482">
        <v>45658</v>
      </c>
      <c r="E2" s="1483"/>
      <c r="F2" s="1482">
        <v>45689</v>
      </c>
      <c r="G2" s="1483"/>
      <c r="H2" s="1482">
        <v>45717</v>
      </c>
      <c r="I2" s="1483"/>
      <c r="J2" s="1482">
        <v>45748</v>
      </c>
      <c r="K2" s="1483"/>
      <c r="L2" s="1482">
        <v>45778</v>
      </c>
      <c r="M2" s="1483"/>
      <c r="N2" s="1482">
        <v>45809</v>
      </c>
      <c r="O2" s="1483"/>
      <c r="P2" s="1482">
        <v>45839</v>
      </c>
      <c r="Q2" s="1483"/>
      <c r="R2" s="1482">
        <v>45870</v>
      </c>
      <c r="S2" s="1483"/>
      <c r="T2" s="1482">
        <v>45901</v>
      </c>
      <c r="U2" s="1483"/>
      <c r="V2" s="1482">
        <v>45931</v>
      </c>
      <c r="W2" s="1483"/>
      <c r="X2" s="1482">
        <v>45962</v>
      </c>
      <c r="Y2" s="1483"/>
      <c r="Z2" s="1482">
        <v>45992</v>
      </c>
      <c r="AA2" s="1483"/>
      <c r="AB2" s="1484"/>
      <c r="AC2" s="1485"/>
      <c r="AD2" s="1486"/>
      <c r="AE2" s="1487"/>
    </row>
    <row r="3" spans="1:31" ht="19.5" customHeight="1" thickTop="1">
      <c r="A3" s="1470" t="s">
        <v>231</v>
      </c>
      <c r="B3" s="937" t="s">
        <v>82</v>
      </c>
      <c r="C3" s="938"/>
      <c r="D3" s="938">
        <v>405</v>
      </c>
      <c r="E3" s="938">
        <v>6431599654</v>
      </c>
      <c r="F3" s="938">
        <v>418</v>
      </c>
      <c r="G3" s="938">
        <v>4028613932</v>
      </c>
      <c r="H3" s="938">
        <v>416</v>
      </c>
      <c r="I3" s="938">
        <v>4186786166</v>
      </c>
      <c r="J3" s="938">
        <f>+'Salary sheet'!$BC1293</f>
        <v>405</v>
      </c>
      <c r="K3" s="938">
        <f>+'Salary sheet'!$BD1293</f>
        <v>3950409416</v>
      </c>
      <c r="L3" s="938"/>
      <c r="M3" s="938"/>
      <c r="N3" s="938"/>
      <c r="O3" s="938"/>
      <c r="P3" s="938"/>
      <c r="Q3" s="938"/>
      <c r="R3" s="938"/>
      <c r="S3" s="938"/>
      <c r="T3" s="938"/>
      <c r="U3" s="938"/>
      <c r="V3" s="938"/>
      <c r="W3" s="938"/>
      <c r="X3" s="938"/>
      <c r="Y3" s="938"/>
      <c r="Z3" s="938"/>
      <c r="AA3" s="938"/>
      <c r="AB3" s="979">
        <f>SUM(D3,F3,H3,J3,L3,N3,P3,R3,T3,V3,X3,Z3)</f>
        <v>1644</v>
      </c>
      <c r="AC3" s="979">
        <f>SUM(E3,G3,I3,K3,M3,O3,Q3,S3,U3,W3,Y3,AA3)</f>
        <v>18597409168</v>
      </c>
      <c r="AD3" s="956">
        <f>+AVERAGE(D3,F3,H3,J3,L3,N3,P3,R3,T3,V3,X3,Z3)</f>
        <v>411</v>
      </c>
      <c r="AE3" s="956">
        <f>+AVERAGE(E3,G3,I3,K3,M3,O3,Q3,S3,U3,W3,Y3,AA3)</f>
        <v>4649352292</v>
      </c>
    </row>
    <row r="4" spans="1:31" ht="19.5" customHeight="1">
      <c r="A4" s="1471"/>
      <c r="B4" s="1468" t="s">
        <v>232</v>
      </c>
      <c r="C4" s="939" t="s">
        <v>75</v>
      </c>
      <c r="D4" s="939"/>
      <c r="E4" s="939">
        <f>+E3/D3</f>
        <v>15880492.972839506</v>
      </c>
      <c r="F4" s="939"/>
      <c r="G4" s="939">
        <f>+G3/F3</f>
        <v>9637832.3732057419</v>
      </c>
      <c r="H4" s="939"/>
      <c r="I4" s="939">
        <v>10064389.822115384</v>
      </c>
      <c r="J4" s="939"/>
      <c r="K4" s="939">
        <f>+K3/J3</f>
        <v>9754097.3234567903</v>
      </c>
      <c r="L4" s="939"/>
      <c r="M4" s="939"/>
      <c r="N4" s="939"/>
      <c r="O4" s="939"/>
      <c r="P4" s="939"/>
      <c r="Q4" s="939"/>
      <c r="R4" s="939"/>
      <c r="S4" s="939"/>
      <c r="T4" s="939"/>
      <c r="U4" s="939"/>
      <c r="V4" s="939"/>
      <c r="W4" s="939"/>
      <c r="X4" s="939"/>
      <c r="Y4" s="939"/>
      <c r="Z4" s="939"/>
      <c r="AA4" s="939"/>
      <c r="AB4" s="958"/>
      <c r="AC4" s="949">
        <f>SUM(E4,G4,I4,K4,M4,O4,Q4,S4,U4,W4,Y4,AA4)</f>
        <v>45336812.491617426</v>
      </c>
      <c r="AD4" s="949"/>
      <c r="AE4" s="950">
        <f>+AVERAGE(E4,G4,I4,K4,M4,O4,Q4,S4,U4,W4,Y4,AA4)</f>
        <v>11334203.122904357</v>
      </c>
    </row>
    <row r="5" spans="1:31" ht="19.5" customHeight="1" thickBot="1">
      <c r="A5" s="1472"/>
      <c r="B5" s="1469"/>
      <c r="C5" s="943" t="s">
        <v>76</v>
      </c>
      <c r="D5" s="944"/>
      <c r="E5" s="991">
        <f>+E4/E1</f>
        <v>621.54571322268123</v>
      </c>
      <c r="F5" s="944"/>
      <c r="G5" s="991">
        <f>+G4/G1</f>
        <v>375.45120269597749</v>
      </c>
      <c r="H5" s="944"/>
      <c r="I5" s="991">
        <v>391.68670255362457</v>
      </c>
      <c r="J5" s="944"/>
      <c r="K5" s="1024">
        <f>+K4/K1</f>
        <v>373.50554560431897</v>
      </c>
      <c r="L5" s="944"/>
      <c r="M5" s="1024"/>
      <c r="N5" s="944"/>
      <c r="O5" s="991"/>
      <c r="P5" s="944"/>
      <c r="Q5" s="1024"/>
      <c r="R5" s="944"/>
      <c r="S5" s="1024"/>
      <c r="T5" s="944"/>
      <c r="U5" s="1024"/>
      <c r="V5" s="944"/>
      <c r="W5" s="1024"/>
      <c r="X5" s="944"/>
      <c r="Y5" s="1024"/>
      <c r="Z5" s="944"/>
      <c r="AA5" s="1024"/>
      <c r="AB5" s="959"/>
      <c r="AC5" s="953">
        <f>SUM(E5,G5,I5,K5,M5,O5,Q5,S5,U5,W5,Y5,AA5)</f>
        <v>1762.1891640766023</v>
      </c>
      <c r="AD5" s="960"/>
      <c r="AE5" s="955">
        <f>+AVERAGE(E5,G5,I5,K5,M5,O5,Q5,S5,U5,W5,Y5,AA5)</f>
        <v>440.54729101915058</v>
      </c>
    </row>
    <row r="6" spans="1:31" ht="19.5" customHeight="1" thickTop="1">
      <c r="A6" s="1470" t="s">
        <v>233</v>
      </c>
      <c r="B6" s="937" t="s">
        <v>82</v>
      </c>
      <c r="C6" s="938"/>
      <c r="D6" s="938">
        <v>755</v>
      </c>
      <c r="E6" s="938">
        <v>11612650194</v>
      </c>
      <c r="F6" s="938">
        <v>772</v>
      </c>
      <c r="G6" s="938">
        <v>6920451968</v>
      </c>
      <c r="H6" s="938">
        <v>791</v>
      </c>
      <c r="I6" s="938">
        <v>7639304653</v>
      </c>
      <c r="J6" s="938">
        <f>+'Salary sheet'!$BC1294</f>
        <v>796</v>
      </c>
      <c r="K6" s="938">
        <f>+'Salary sheet'!$BD1294</f>
        <v>8140013939</v>
      </c>
      <c r="L6" s="938"/>
      <c r="M6" s="938"/>
      <c r="N6" s="938"/>
      <c r="O6" s="938"/>
      <c r="P6" s="938"/>
      <c r="Q6" s="938"/>
      <c r="R6" s="938"/>
      <c r="S6" s="938"/>
      <c r="T6" s="938"/>
      <c r="U6" s="938"/>
      <c r="V6" s="938"/>
      <c r="W6" s="938"/>
      <c r="X6" s="938"/>
      <c r="Y6" s="938"/>
      <c r="Z6" s="938"/>
      <c r="AA6" s="938"/>
      <c r="AB6" s="979">
        <f t="shared" ref="AB6" si="0">SUM(D6,F6,H6,J6,L6,N6,P6,R6,T6,V6,X6,Z6)</f>
        <v>3114</v>
      </c>
      <c r="AC6" s="956">
        <f t="shared" ref="AC6:AC20" si="1">SUM(E6,G6,I6,K6,M6,O6,Q6,S6,U6,W6,Y6,AA6)</f>
        <v>34312420754</v>
      </c>
      <c r="AD6" s="956">
        <f t="shared" ref="AD6" si="2">+AVERAGE(D6,F6,H6,J6,L6,N6,P6,R6,T6,V6,X6,Z6)</f>
        <v>778.5</v>
      </c>
      <c r="AE6" s="957">
        <f t="shared" ref="AE6:AE20" si="3">+AVERAGE(E6,G6,I6,K6,M6,O6,Q6,S6,U6,W6,Y6,AA6)</f>
        <v>8578105188.5</v>
      </c>
    </row>
    <row r="7" spans="1:31" ht="19.5" customHeight="1">
      <c r="A7" s="1471"/>
      <c r="B7" s="1468" t="s">
        <v>232</v>
      </c>
      <c r="C7" s="939" t="s">
        <v>75</v>
      </c>
      <c r="D7" s="939"/>
      <c r="E7" s="939">
        <f>+E6/D6</f>
        <v>15380993.634437086</v>
      </c>
      <c r="F7" s="939"/>
      <c r="G7" s="939">
        <f>+G6/F6</f>
        <v>8964316.0207253881</v>
      </c>
      <c r="H7" s="939"/>
      <c r="I7" s="939">
        <v>9657780.8508217447</v>
      </c>
      <c r="J7" s="939"/>
      <c r="K7" s="939">
        <f>+K6/J6</f>
        <v>10226148.164572865</v>
      </c>
      <c r="L7" s="939"/>
      <c r="M7" s="939"/>
      <c r="N7" s="939"/>
      <c r="O7" s="939"/>
      <c r="P7" s="939"/>
      <c r="Q7" s="939"/>
      <c r="R7" s="939"/>
      <c r="S7" s="939"/>
      <c r="T7" s="939"/>
      <c r="U7" s="939"/>
      <c r="V7" s="939"/>
      <c r="W7" s="939"/>
      <c r="X7" s="939"/>
      <c r="Y7" s="939"/>
      <c r="Z7" s="939"/>
      <c r="AA7" s="939"/>
      <c r="AB7" s="958"/>
      <c r="AC7" s="949">
        <f t="shared" si="1"/>
        <v>44229238.670557082</v>
      </c>
      <c r="AD7" s="949"/>
      <c r="AE7" s="950">
        <f t="shared" si="3"/>
        <v>11057309.66763927</v>
      </c>
    </row>
    <row r="8" spans="1:31" ht="19.5" customHeight="1" thickBot="1">
      <c r="A8" s="1472"/>
      <c r="B8" s="1469"/>
      <c r="C8" s="943" t="s">
        <v>76</v>
      </c>
      <c r="D8" s="944"/>
      <c r="E8" s="991">
        <f>+E7/E1</f>
        <v>601.99583696426953</v>
      </c>
      <c r="F8" s="944"/>
      <c r="G8" s="991">
        <f>+G7/G1</f>
        <v>349.21371331224731</v>
      </c>
      <c r="H8" s="944"/>
      <c r="I8" s="991">
        <v>375.86226311818427</v>
      </c>
      <c r="J8" s="944"/>
      <c r="K8" s="1024">
        <f>+K7/K1</f>
        <v>391.58139630759581</v>
      </c>
      <c r="L8" s="944"/>
      <c r="M8" s="1024"/>
      <c r="N8" s="944"/>
      <c r="O8" s="991"/>
      <c r="P8" s="944"/>
      <c r="Q8" s="1024"/>
      <c r="R8" s="944"/>
      <c r="S8" s="1024"/>
      <c r="T8" s="944"/>
      <c r="U8" s="1024"/>
      <c r="V8" s="944"/>
      <c r="W8" s="1024"/>
      <c r="X8" s="944"/>
      <c r="Y8" s="1024"/>
      <c r="Z8" s="944"/>
      <c r="AA8" s="1024"/>
      <c r="AB8" s="959"/>
      <c r="AC8" s="953">
        <f t="shared" si="1"/>
        <v>1718.6532097022969</v>
      </c>
      <c r="AD8" s="960"/>
      <c r="AE8" s="955">
        <f t="shared" si="3"/>
        <v>429.66330242557422</v>
      </c>
    </row>
    <row r="9" spans="1:31" ht="19.5" customHeight="1" thickTop="1">
      <c r="A9" s="1465" t="s">
        <v>681</v>
      </c>
      <c r="B9" s="937" t="s">
        <v>82</v>
      </c>
      <c r="C9" s="938"/>
      <c r="D9" s="938">
        <v>13</v>
      </c>
      <c r="E9" s="938">
        <v>212168769</v>
      </c>
      <c r="F9" s="938">
        <v>15</v>
      </c>
      <c r="G9" s="938">
        <v>144580600</v>
      </c>
      <c r="H9" s="938">
        <v>15</v>
      </c>
      <c r="I9" s="938">
        <v>153788553</v>
      </c>
      <c r="J9" s="938">
        <f>+'Salary sheet'!$BC1297</f>
        <v>16</v>
      </c>
      <c r="K9" s="938">
        <f>+'Salary sheet'!$BD1297</f>
        <v>165480314</v>
      </c>
      <c r="L9" s="938"/>
      <c r="M9" s="938"/>
      <c r="N9" s="938"/>
      <c r="O9" s="938"/>
      <c r="P9" s="938"/>
      <c r="Q9" s="938"/>
      <c r="R9" s="1052"/>
      <c r="S9" s="1052"/>
      <c r="T9" s="1052"/>
      <c r="U9" s="1052"/>
      <c r="V9" s="1052"/>
      <c r="W9" s="1052"/>
      <c r="X9" s="1052"/>
      <c r="Y9" s="1052"/>
      <c r="Z9" s="1052"/>
      <c r="AA9" s="1052"/>
      <c r="AB9" s="979">
        <f t="shared" ref="AB9" si="4">SUM(D9,F9,H9,J9,L9,N9,P9,R9,T9,V9,X9,Z9)</f>
        <v>59</v>
      </c>
      <c r="AC9" s="956">
        <f t="shared" si="1"/>
        <v>676018236</v>
      </c>
      <c r="AD9" s="956">
        <f t="shared" ref="AD9" si="5">+AVERAGE(D9,F9,H9,J9,L9,N9,P9,R9,T9,V9,X9,Z9)</f>
        <v>14.75</v>
      </c>
      <c r="AE9" s="957">
        <f t="shared" si="3"/>
        <v>169004559</v>
      </c>
    </row>
    <row r="10" spans="1:31" ht="19.5" customHeight="1">
      <c r="A10" s="1466"/>
      <c r="B10" s="1468" t="s">
        <v>232</v>
      </c>
      <c r="C10" s="939" t="s">
        <v>75</v>
      </c>
      <c r="D10" s="939"/>
      <c r="E10" s="939">
        <f>+E9/D9</f>
        <v>16320674.538461538</v>
      </c>
      <c r="F10" s="939"/>
      <c r="G10" s="939">
        <f>+G9/F9</f>
        <v>9638706.666666666</v>
      </c>
      <c r="H10" s="939"/>
      <c r="I10" s="939">
        <v>10252570.199999999</v>
      </c>
      <c r="J10" s="939"/>
      <c r="K10" s="939">
        <f>+K9/J9</f>
        <v>10342519.625</v>
      </c>
      <c r="L10" s="939"/>
      <c r="M10" s="939"/>
      <c r="N10" s="939"/>
      <c r="O10" s="939"/>
      <c r="P10" s="1046"/>
      <c r="Q10" s="939"/>
      <c r="R10" s="1046"/>
      <c r="S10" s="939"/>
      <c r="T10" s="1046"/>
      <c r="U10" s="939"/>
      <c r="V10" s="1046"/>
      <c r="W10" s="939"/>
      <c r="X10" s="1046"/>
      <c r="Y10" s="939"/>
      <c r="Z10" s="1046"/>
      <c r="AA10" s="939"/>
      <c r="AB10" s="958"/>
      <c r="AC10" s="949">
        <f t="shared" si="1"/>
        <v>46554471.030128203</v>
      </c>
      <c r="AD10" s="949"/>
      <c r="AE10" s="950">
        <f t="shared" si="3"/>
        <v>11638617.757532051</v>
      </c>
    </row>
    <row r="11" spans="1:31" ht="19.5" customHeight="1" thickBot="1">
      <c r="A11" s="1467"/>
      <c r="B11" s="1469"/>
      <c r="C11" s="943" t="s">
        <v>76</v>
      </c>
      <c r="D11" s="944"/>
      <c r="E11" s="991">
        <f>+E10/E1</f>
        <v>638.77395453861209</v>
      </c>
      <c r="F11" s="944"/>
      <c r="G11" s="991">
        <f>+G10/G1</f>
        <v>375.4852616543306</v>
      </c>
      <c r="H11" s="944"/>
      <c r="I11" s="991">
        <v>399.01032107413891</v>
      </c>
      <c r="J11" s="944"/>
      <c r="K11" s="991">
        <f>+K10/K1</f>
        <v>396.03751196630287</v>
      </c>
      <c r="L11" s="944"/>
      <c r="M11" s="991"/>
      <c r="N11" s="944"/>
      <c r="O11" s="991"/>
      <c r="P11" s="1046"/>
      <c r="Q11" s="991"/>
      <c r="R11" s="1046"/>
      <c r="S11" s="991"/>
      <c r="T11" s="1046"/>
      <c r="U11" s="991"/>
      <c r="V11" s="1046"/>
      <c r="W11" s="991"/>
      <c r="X11" s="1046"/>
      <c r="Y11" s="991"/>
      <c r="Z11" s="1046"/>
      <c r="AA11" s="991"/>
      <c r="AB11" s="959"/>
      <c r="AC11" s="953">
        <f t="shared" si="1"/>
        <v>1809.3070492333843</v>
      </c>
      <c r="AD11" s="960"/>
      <c r="AE11" s="955">
        <f t="shared" si="3"/>
        <v>452.32676230834608</v>
      </c>
    </row>
    <row r="12" spans="1:31" ht="19.5" customHeight="1" thickTop="1">
      <c r="A12" s="1470" t="s">
        <v>682</v>
      </c>
      <c r="B12" s="937" t="s">
        <v>82</v>
      </c>
      <c r="C12" s="938"/>
      <c r="D12" s="938">
        <f t="shared" ref="D12:G12" si="6">+D6+D3+D9</f>
        <v>1173</v>
      </c>
      <c r="E12" s="938">
        <f t="shared" si="6"/>
        <v>18256418617</v>
      </c>
      <c r="F12" s="938">
        <f t="shared" si="6"/>
        <v>1205</v>
      </c>
      <c r="G12" s="938">
        <f t="shared" si="6"/>
        <v>11093646500</v>
      </c>
      <c r="H12" s="938">
        <v>1222</v>
      </c>
      <c r="I12" s="938">
        <v>11979879372</v>
      </c>
      <c r="J12" s="938">
        <f t="shared" ref="J12:K12" si="7">+J6+J3+J9</f>
        <v>1217</v>
      </c>
      <c r="K12" s="938">
        <f t="shared" si="7"/>
        <v>12255903669</v>
      </c>
      <c r="L12" s="938"/>
      <c r="M12" s="938"/>
      <c r="N12" s="938"/>
      <c r="O12" s="938"/>
      <c r="P12" s="938"/>
      <c r="Q12" s="938"/>
      <c r="R12" s="938"/>
      <c r="S12" s="938"/>
      <c r="T12" s="938"/>
      <c r="U12" s="938"/>
      <c r="V12" s="938"/>
      <c r="W12" s="938"/>
      <c r="X12" s="938"/>
      <c r="Y12" s="938"/>
      <c r="Z12" s="938"/>
      <c r="AA12" s="938"/>
      <c r="AB12" s="979">
        <f t="shared" ref="AB12" si="8">SUM(D12,F12,H12,J12,L12,N12,P12,R12,T12,V12,X12,Z12)</f>
        <v>4817</v>
      </c>
      <c r="AC12" s="956">
        <f t="shared" si="1"/>
        <v>53585848158</v>
      </c>
      <c r="AD12" s="956">
        <f t="shared" ref="AD12" si="9">+AVERAGE(D12,F12,H12,J12,L12,N12,P12,R12,T12,V12,X12,Z12)</f>
        <v>1204.25</v>
      </c>
      <c r="AE12" s="957">
        <f t="shared" si="3"/>
        <v>13396462039.5</v>
      </c>
    </row>
    <row r="13" spans="1:31" ht="19.5" customHeight="1">
      <c r="A13" s="1471"/>
      <c r="B13" s="1468" t="s">
        <v>89</v>
      </c>
      <c r="C13" s="939" t="s">
        <v>75</v>
      </c>
      <c r="D13" s="939"/>
      <c r="E13" s="939">
        <f>+E12/D12</f>
        <v>15563869.238704177</v>
      </c>
      <c r="F13" s="939"/>
      <c r="G13" s="939">
        <f>+G12/F12</f>
        <v>9206345.6431535278</v>
      </c>
      <c r="H13" s="939"/>
      <c r="I13" s="939">
        <v>9803501.9410801958</v>
      </c>
      <c r="J13" s="939"/>
      <c r="K13" s="939">
        <f>+K12/J12</f>
        <v>10070586.416598191</v>
      </c>
      <c r="L13" s="939"/>
      <c r="M13" s="939"/>
      <c r="N13" s="939"/>
      <c r="O13" s="939"/>
      <c r="P13" s="939"/>
      <c r="Q13" s="939"/>
      <c r="R13" s="939"/>
      <c r="S13" s="939"/>
      <c r="T13" s="939"/>
      <c r="U13" s="939"/>
      <c r="V13" s="939"/>
      <c r="W13" s="939"/>
      <c r="X13" s="939"/>
      <c r="Y13" s="939"/>
      <c r="Z13" s="939"/>
      <c r="AA13" s="939"/>
      <c r="AB13" s="958"/>
      <c r="AC13" s="949">
        <f t="shared" si="1"/>
        <v>44644303.239536092</v>
      </c>
      <c r="AD13" s="949"/>
      <c r="AE13" s="950">
        <f t="shared" si="3"/>
        <v>11161075.809884023</v>
      </c>
    </row>
    <row r="14" spans="1:31" ht="19.5" customHeight="1" thickBot="1">
      <c r="A14" s="1472"/>
      <c r="B14" s="1469"/>
      <c r="C14" s="943" t="s">
        <v>76</v>
      </c>
      <c r="D14" s="944"/>
      <c r="E14" s="991">
        <f>+E13/E1</f>
        <v>609.15339486122025</v>
      </c>
      <c r="F14" s="944"/>
      <c r="G14" s="991">
        <f>+G13/G1</f>
        <v>358.64221438073736</v>
      </c>
      <c r="H14" s="944"/>
      <c r="I14" s="991">
        <v>381.53344779452016</v>
      </c>
      <c r="J14" s="944"/>
      <c r="K14" s="1024">
        <f>+K13/K1</f>
        <v>385.62459952510784</v>
      </c>
      <c r="L14" s="944"/>
      <c r="M14" s="1024"/>
      <c r="N14" s="944"/>
      <c r="O14" s="991"/>
      <c r="P14" s="944"/>
      <c r="Q14" s="1024"/>
      <c r="R14" s="944"/>
      <c r="S14" s="1024"/>
      <c r="T14" s="944"/>
      <c r="U14" s="1024"/>
      <c r="V14" s="944"/>
      <c r="W14" s="1024"/>
      <c r="X14" s="944"/>
      <c r="Y14" s="1024"/>
      <c r="Z14" s="944"/>
      <c r="AA14" s="1024"/>
      <c r="AB14" s="959"/>
      <c r="AC14" s="953">
        <f t="shared" si="1"/>
        <v>1734.9536565615858</v>
      </c>
      <c r="AD14" s="960"/>
      <c r="AE14" s="955">
        <f t="shared" si="3"/>
        <v>433.73841414039646</v>
      </c>
    </row>
    <row r="15" spans="1:31" ht="19.5" customHeight="1" thickTop="1">
      <c r="A15" s="1470" t="s">
        <v>1</v>
      </c>
      <c r="B15" s="937" t="s">
        <v>82</v>
      </c>
      <c r="C15" s="938"/>
      <c r="D15" s="938">
        <v>41</v>
      </c>
      <c r="E15" s="938">
        <v>1180632392</v>
      </c>
      <c r="F15" s="938">
        <v>41</v>
      </c>
      <c r="G15" s="938">
        <v>621832594</v>
      </c>
      <c r="H15" s="938">
        <v>42</v>
      </c>
      <c r="I15" s="938">
        <v>613137490</v>
      </c>
      <c r="J15" s="938">
        <f>+'Salary sheet'!$BC1296</f>
        <v>42</v>
      </c>
      <c r="K15" s="938">
        <f>+'Salary sheet'!$BD1296</f>
        <v>613650690</v>
      </c>
      <c r="L15" s="938"/>
      <c r="M15" s="938"/>
      <c r="N15" s="938"/>
      <c r="O15" s="938"/>
      <c r="P15" s="938"/>
      <c r="Q15" s="938"/>
      <c r="R15" s="938"/>
      <c r="S15" s="938"/>
      <c r="T15" s="938"/>
      <c r="U15" s="938"/>
      <c r="V15" s="938"/>
      <c r="W15" s="938"/>
      <c r="X15" s="938"/>
      <c r="Y15" s="938"/>
      <c r="Z15" s="938"/>
      <c r="AA15" s="938"/>
      <c r="AB15" s="979">
        <f t="shared" ref="AB15" si="10">SUM(D15,F15,H15,J15,L15,N15,P15,R15,T15,V15,X15,Z15)</f>
        <v>166</v>
      </c>
      <c r="AC15" s="956">
        <f t="shared" si="1"/>
        <v>3029253166</v>
      </c>
      <c r="AD15" s="956">
        <f t="shared" ref="AD15" si="11">+AVERAGE(D15,F15,H15,J15,L15,N15,P15,R15,T15,V15,X15,Z15)</f>
        <v>41.5</v>
      </c>
      <c r="AE15" s="957">
        <f t="shared" si="3"/>
        <v>757313291.5</v>
      </c>
    </row>
    <row r="16" spans="1:31" ht="19.5" customHeight="1">
      <c r="A16" s="1471"/>
      <c r="B16" s="1468" t="s">
        <v>89</v>
      </c>
      <c r="C16" s="939" t="s">
        <v>75</v>
      </c>
      <c r="D16" s="939"/>
      <c r="E16" s="939">
        <f>+E15/D15</f>
        <v>28795912</v>
      </c>
      <c r="F16" s="939"/>
      <c r="G16" s="939">
        <f>+G15/F15</f>
        <v>15166648.634146342</v>
      </c>
      <c r="H16" s="939"/>
      <c r="I16" s="939">
        <v>14598511.666666666</v>
      </c>
      <c r="J16" s="939"/>
      <c r="K16" s="939">
        <f>+K15/J15</f>
        <v>14610730.714285715</v>
      </c>
      <c r="L16" s="939"/>
      <c r="M16" s="939"/>
      <c r="N16" s="939"/>
      <c r="O16" s="939"/>
      <c r="P16" s="939"/>
      <c r="Q16" s="939"/>
      <c r="R16" s="939"/>
      <c r="S16" s="939"/>
      <c r="T16" s="939"/>
      <c r="U16" s="939"/>
      <c r="V16" s="939"/>
      <c r="W16" s="939"/>
      <c r="X16" s="939"/>
      <c r="Y16" s="939"/>
      <c r="Z16" s="939"/>
      <c r="AA16" s="939"/>
      <c r="AB16" s="958"/>
      <c r="AC16" s="949">
        <f t="shared" si="1"/>
        <v>73171803.015098721</v>
      </c>
      <c r="AD16" s="949"/>
      <c r="AE16" s="950">
        <f t="shared" si="3"/>
        <v>18292950.75377468</v>
      </c>
    </row>
    <row r="17" spans="1:33" ht="19.5" customHeight="1" thickBot="1">
      <c r="A17" s="1472"/>
      <c r="B17" s="1469"/>
      <c r="C17" s="943" t="s">
        <v>76</v>
      </c>
      <c r="D17" s="944"/>
      <c r="E17" s="991">
        <f>+E16/E1</f>
        <v>1127.0415655577299</v>
      </c>
      <c r="F17" s="944"/>
      <c r="G17" s="991">
        <f>+G16/G1</f>
        <v>590.83165695934326</v>
      </c>
      <c r="H17" s="944"/>
      <c r="I17" s="991">
        <v>568.14600765388855</v>
      </c>
      <c r="J17" s="944"/>
      <c r="K17" s="1024">
        <f>+K16/K1</f>
        <v>559.47657339788304</v>
      </c>
      <c r="L17" s="944"/>
      <c r="M17" s="1024"/>
      <c r="N17" s="944"/>
      <c r="O17" s="991"/>
      <c r="P17" s="944"/>
      <c r="Q17" s="1024"/>
      <c r="R17" s="944"/>
      <c r="S17" s="1024"/>
      <c r="T17" s="944"/>
      <c r="U17" s="1024"/>
      <c r="V17" s="944"/>
      <c r="W17" s="1024"/>
      <c r="X17" s="944"/>
      <c r="Y17" s="1024"/>
      <c r="Z17" s="944"/>
      <c r="AA17" s="1024"/>
      <c r="AB17" s="959"/>
      <c r="AC17" s="953">
        <f t="shared" si="1"/>
        <v>2845.4958035688446</v>
      </c>
      <c r="AD17" s="960"/>
      <c r="AE17" s="955">
        <f t="shared" si="3"/>
        <v>711.37395089221116</v>
      </c>
    </row>
    <row r="18" spans="1:33" ht="19.5" customHeight="1" thickTop="1">
      <c r="A18" s="1470" t="s">
        <v>78</v>
      </c>
      <c r="B18" s="937" t="s">
        <v>82</v>
      </c>
      <c r="C18" s="938"/>
      <c r="D18" s="938">
        <v>27</v>
      </c>
      <c r="E18" s="938">
        <v>1457480963</v>
      </c>
      <c r="F18" s="938">
        <v>27</v>
      </c>
      <c r="G18" s="938">
        <v>765859284</v>
      </c>
      <c r="H18" s="938">
        <v>27</v>
      </c>
      <c r="I18" s="938">
        <v>743406762</v>
      </c>
      <c r="J18" s="938">
        <f>+'Salary sheet'!$BC1295</f>
        <v>27</v>
      </c>
      <c r="K18" s="938">
        <f>+'Salary sheet'!$BD1295</f>
        <v>773244725</v>
      </c>
      <c r="L18" s="938"/>
      <c r="M18" s="938"/>
      <c r="N18" s="938"/>
      <c r="O18" s="938"/>
      <c r="P18" s="938"/>
      <c r="Q18" s="938"/>
      <c r="R18" s="938"/>
      <c r="S18" s="938"/>
      <c r="T18" s="938"/>
      <c r="U18" s="938"/>
      <c r="V18" s="938"/>
      <c r="W18" s="938"/>
      <c r="X18" s="938"/>
      <c r="Y18" s="938"/>
      <c r="Z18" s="938"/>
      <c r="AA18" s="938"/>
      <c r="AB18" s="979">
        <f t="shared" ref="AB18" si="12">SUM(D18,F18,H18,J18,L18,N18,P18,R18,T18,V18,X18,Z18)</f>
        <v>108</v>
      </c>
      <c r="AC18" s="956">
        <f t="shared" si="1"/>
        <v>3739991734</v>
      </c>
      <c r="AD18" s="956">
        <f t="shared" ref="AD18" si="13">+AVERAGE(D18,F18,H18,J18,L18,N18,P18,R18,T18,V18,X18,Z18)</f>
        <v>27</v>
      </c>
      <c r="AE18" s="957">
        <f t="shared" si="3"/>
        <v>934997933.5</v>
      </c>
    </row>
    <row r="19" spans="1:33" ht="19.5" customHeight="1">
      <c r="A19" s="1471"/>
      <c r="B19" s="1468" t="s">
        <v>89</v>
      </c>
      <c r="C19" s="939" t="s">
        <v>75</v>
      </c>
      <c r="D19" s="939"/>
      <c r="E19" s="939">
        <f>+E18/D18</f>
        <v>53980776.40740741</v>
      </c>
      <c r="F19" s="939"/>
      <c r="G19" s="939">
        <f>+G18/F18</f>
        <v>28365158.666666668</v>
      </c>
      <c r="H19" s="939"/>
      <c r="I19" s="939">
        <v>27533583.777777776</v>
      </c>
      <c r="J19" s="939"/>
      <c r="K19" s="939">
        <f>+K18/J18</f>
        <v>28638693.518518519</v>
      </c>
      <c r="L19" s="939"/>
      <c r="M19" s="939"/>
      <c r="N19" s="939"/>
      <c r="O19" s="939"/>
      <c r="P19" s="939"/>
      <c r="Q19" s="939"/>
      <c r="R19" s="939"/>
      <c r="S19" s="939"/>
      <c r="T19" s="939"/>
      <c r="U19" s="939"/>
      <c r="V19" s="939"/>
      <c r="W19" s="939"/>
      <c r="X19" s="939"/>
      <c r="Y19" s="939"/>
      <c r="Z19" s="939"/>
      <c r="AA19" s="939"/>
      <c r="AB19" s="958"/>
      <c r="AC19" s="949">
        <f t="shared" si="1"/>
        <v>138518212.37037036</v>
      </c>
      <c r="AD19" s="949"/>
      <c r="AE19" s="950">
        <f t="shared" si="3"/>
        <v>34629553.09259259</v>
      </c>
    </row>
    <row r="20" spans="1:33" ht="19.5" customHeight="1" thickBot="1">
      <c r="A20" s="1472"/>
      <c r="B20" s="1469"/>
      <c r="C20" s="943" t="s">
        <v>76</v>
      </c>
      <c r="D20" s="944"/>
      <c r="E20" s="991">
        <f>+E19/E1</f>
        <v>2112.7505443212294</v>
      </c>
      <c r="F20" s="944"/>
      <c r="G20" s="991">
        <f>+G19/G1</f>
        <v>1104.9925464225425</v>
      </c>
      <c r="H20" s="944"/>
      <c r="I20" s="991">
        <v>1071.5541458563057</v>
      </c>
      <c r="J20" s="944"/>
      <c r="K20" s="1024">
        <f>+K19/K1</f>
        <v>1096.6376993497422</v>
      </c>
      <c r="L20" s="944"/>
      <c r="M20" s="1024"/>
      <c r="N20" s="944"/>
      <c r="O20" s="991"/>
      <c r="P20" s="944"/>
      <c r="Q20" s="1024"/>
      <c r="R20" s="944"/>
      <c r="S20" s="1024"/>
      <c r="T20" s="944"/>
      <c r="U20" s="1024"/>
      <c r="V20" s="944"/>
      <c r="W20" s="1024"/>
      <c r="X20" s="944"/>
      <c r="Y20" s="1024"/>
      <c r="Z20" s="944"/>
      <c r="AA20" s="1024"/>
      <c r="AB20" s="959"/>
      <c r="AC20" s="953">
        <f t="shared" si="1"/>
        <v>5385.9349359498201</v>
      </c>
      <c r="AD20" s="960"/>
      <c r="AE20" s="955">
        <f t="shared" si="3"/>
        <v>1346.483733987455</v>
      </c>
    </row>
    <row r="21" spans="1:33" ht="19.5" customHeight="1" thickTop="1">
      <c r="A21" s="1471" t="s">
        <v>79</v>
      </c>
      <c r="B21" s="1473" t="s">
        <v>82</v>
      </c>
      <c r="C21" s="939" t="s">
        <v>75</v>
      </c>
      <c r="D21" s="939">
        <f t="shared" ref="D21:G21" si="14">SUM(D18,D15,D12)</f>
        <v>1241</v>
      </c>
      <c r="E21" s="939">
        <f t="shared" si="14"/>
        <v>20894531972</v>
      </c>
      <c r="F21" s="939">
        <f t="shared" si="14"/>
        <v>1273</v>
      </c>
      <c r="G21" s="939">
        <f t="shared" si="14"/>
        <v>12481338378</v>
      </c>
      <c r="H21" s="939">
        <v>1291</v>
      </c>
      <c r="I21" s="939">
        <v>13336423624</v>
      </c>
      <c r="J21" s="939">
        <f t="shared" ref="J21:K21" si="15">SUM(J18,J15,J12)</f>
        <v>1286</v>
      </c>
      <c r="K21" s="939">
        <f t="shared" si="15"/>
        <v>13642799084</v>
      </c>
      <c r="L21" s="939"/>
      <c r="M21" s="939"/>
      <c r="N21" s="939"/>
      <c r="O21" s="939"/>
      <c r="P21" s="940"/>
      <c r="Q21" s="939"/>
      <c r="R21" s="940"/>
      <c r="S21" s="939"/>
      <c r="T21" s="940"/>
      <c r="U21" s="939"/>
      <c r="V21" s="940"/>
      <c r="W21" s="939"/>
      <c r="X21" s="939"/>
      <c r="Y21" s="939"/>
      <c r="Z21" s="939"/>
      <c r="AA21" s="939"/>
      <c r="AB21" s="948">
        <f t="shared" ref="AB21" si="16">SUM(D21,F21,H21,J21,L21,N21,P21,R21,T21,V21,X21,Z21)</f>
        <v>5091</v>
      </c>
      <c r="AC21" s="949">
        <f>SUM(E21,G21,I21,K21,M21,O21,Q21,S21,U21,W21,Y21,AA21)</f>
        <v>60355093058</v>
      </c>
      <c r="AD21" s="949">
        <f t="shared" ref="AD21" si="17">+AVERAGE(D21,F21,H21,J21,L21,N21,P21,R21,T21,V21,X21,Z21)</f>
        <v>1272.75</v>
      </c>
      <c r="AE21" s="950">
        <f t="shared" ref="AE21:AE23" si="18">+AVERAGE(E21,G21,I21,K21,M21,O21,Q21,S21,U21,W21,Y21,AA21)</f>
        <v>15088773264.5</v>
      </c>
    </row>
    <row r="22" spans="1:33" ht="19.5" customHeight="1">
      <c r="A22" s="1471"/>
      <c r="B22" s="1473"/>
      <c r="C22" s="941" t="s">
        <v>76</v>
      </c>
      <c r="D22" s="942"/>
      <c r="E22" s="989">
        <f>+E21/E1</f>
        <v>817789.90105675149</v>
      </c>
      <c r="F22" s="942"/>
      <c r="G22" s="992">
        <f>+G21/G1</f>
        <v>486222.76501753018</v>
      </c>
      <c r="H22" s="942"/>
      <c r="I22" s="992">
        <v>519027.96746448724</v>
      </c>
      <c r="J22" s="942"/>
      <c r="K22" s="942">
        <f>+K21/K1</f>
        <v>522412.37158721039</v>
      </c>
      <c r="L22" s="942"/>
      <c r="M22" s="942"/>
      <c r="N22" s="942"/>
      <c r="O22" s="942"/>
      <c r="P22" s="942"/>
      <c r="Q22" s="942"/>
      <c r="R22" s="942"/>
      <c r="S22" s="942"/>
      <c r="T22" s="942"/>
      <c r="U22" s="942"/>
      <c r="V22" s="942"/>
      <c r="W22" s="942"/>
      <c r="X22" s="942"/>
      <c r="Y22" s="942"/>
      <c r="Z22" s="942"/>
      <c r="AA22" s="942"/>
      <c r="AB22" s="961"/>
      <c r="AC22" s="962">
        <f t="shared" ref="AC22" si="19">SUM(E22,G22,I22,K22,M22,O22,Q22,S22,U22,W22,Y22,AA22)</f>
        <v>2345453.0051259794</v>
      </c>
      <c r="AD22" s="962"/>
      <c r="AE22" s="963">
        <f t="shared" si="18"/>
        <v>586363.25128149486</v>
      </c>
    </row>
    <row r="23" spans="1:33" ht="19.5" customHeight="1">
      <c r="A23" s="1471"/>
      <c r="B23" s="1474" t="s">
        <v>89</v>
      </c>
      <c r="C23" s="948" t="s">
        <v>75</v>
      </c>
      <c r="D23" s="948"/>
      <c r="E23" s="948">
        <f>+E21/D21</f>
        <v>16836850.90410959</v>
      </c>
      <c r="F23" s="948"/>
      <c r="G23" s="948">
        <f>+G21/F21</f>
        <v>9804664.8688138258</v>
      </c>
      <c r="H23" s="948"/>
      <c r="I23" s="948">
        <v>10330304.898528272</v>
      </c>
      <c r="J23" s="948"/>
      <c r="K23" s="948">
        <f>+K21/J21</f>
        <v>10608708.463452566</v>
      </c>
      <c r="L23" s="948"/>
      <c r="M23" s="948"/>
      <c r="N23" s="948"/>
      <c r="O23" s="948"/>
      <c r="P23" s="948"/>
      <c r="Q23" s="948"/>
      <c r="R23" s="948"/>
      <c r="S23" s="948"/>
      <c r="T23" s="948"/>
      <c r="U23" s="948"/>
      <c r="V23" s="948"/>
      <c r="W23" s="948"/>
      <c r="X23" s="948"/>
      <c r="Y23" s="948"/>
      <c r="Z23" s="948"/>
      <c r="AA23" s="948"/>
      <c r="AB23" s="948"/>
      <c r="AC23" s="949">
        <f>SUM(E23,G23,I23,K23,M23,O23,Q23,S23,U23,W23,Y23,AA23)</f>
        <v>47580529.134904251</v>
      </c>
      <c r="AD23" s="949"/>
      <c r="AE23" s="950">
        <f t="shared" si="18"/>
        <v>11895132.283726063</v>
      </c>
    </row>
    <row r="24" spans="1:33" ht="19.5" customHeight="1" thickBot="1">
      <c r="A24" s="1472"/>
      <c r="B24" s="1475"/>
      <c r="C24" s="951" t="s">
        <v>76</v>
      </c>
      <c r="D24" s="952"/>
      <c r="E24" s="990">
        <f>+E23/E1</f>
        <v>658.97655201994485</v>
      </c>
      <c r="F24" s="952"/>
      <c r="G24" s="990">
        <f>+G23/G1</f>
        <v>381.95032601534189</v>
      </c>
      <c r="H24" s="952"/>
      <c r="I24" s="990">
        <v>402.03560609177941</v>
      </c>
      <c r="J24" s="952"/>
      <c r="K24" s="1025">
        <f>+K23/K1</f>
        <v>406.23046002115899</v>
      </c>
      <c r="L24" s="952"/>
      <c r="M24" s="1025"/>
      <c r="N24" s="952"/>
      <c r="O24" s="990"/>
      <c r="P24" s="952"/>
      <c r="Q24" s="1025"/>
      <c r="R24" s="952"/>
      <c r="S24" s="1025"/>
      <c r="T24" s="952"/>
      <c r="U24" s="1025"/>
      <c r="V24" s="952"/>
      <c r="W24" s="1025"/>
      <c r="X24" s="952"/>
      <c r="Y24" s="1025"/>
      <c r="Z24" s="952"/>
      <c r="AA24" s="1025"/>
      <c r="AB24" s="952"/>
      <c r="AC24" s="953">
        <f t="shared" ref="AC24" si="20">SUM(E24,G24,I24,K24,M24,O24,Q24,S24,U24,W24,Y24,AA24)</f>
        <v>1849.192944148225</v>
      </c>
      <c r="AD24" s="954"/>
      <c r="AE24" s="955">
        <f>+AVERAGE(E24,G24,I24,K24,M24,O24,Q24,S24,U24,W24,Y24,AA24)</f>
        <v>462.29823603705626</v>
      </c>
    </row>
    <row r="25" spans="1:33" ht="76.5" customHeight="1" thickTop="1" thickBot="1">
      <c r="D25" s="1463" t="s">
        <v>781</v>
      </c>
      <c r="E25" s="1464"/>
      <c r="G25" s="1463" t="s">
        <v>782</v>
      </c>
      <c r="H25" s="1464"/>
      <c r="I25" s="1026" t="s">
        <v>5712</v>
      </c>
      <c r="K25" s="1026" t="s">
        <v>5917</v>
      </c>
      <c r="M25" s="1026"/>
      <c r="O25" s="1026"/>
      <c r="Q25" s="1026"/>
      <c r="S25" s="1026"/>
      <c r="U25" s="1026"/>
      <c r="W25" s="1070"/>
      <c r="Y25" s="1026"/>
      <c r="AA25" s="1026"/>
      <c r="AB25" s="476"/>
      <c r="AC25" s="652"/>
      <c r="AD25" s="476"/>
      <c r="AG25" s="652"/>
    </row>
    <row r="26" spans="1:33" s="945" customFormat="1" ht="21.75" customHeight="1" thickTop="1" thickBot="1">
      <c r="A26" s="1476" t="s">
        <v>754</v>
      </c>
      <c r="B26" s="1477"/>
      <c r="C26" s="719"/>
      <c r="D26" s="719" t="s">
        <v>63</v>
      </c>
      <c r="E26" s="719" t="s">
        <v>755</v>
      </c>
      <c r="F26" s="719" t="s">
        <v>64</v>
      </c>
      <c r="G26" s="719" t="str">
        <f>+F26&amp;" Vs "&amp;D26</f>
        <v>Feb Vs Jan</v>
      </c>
      <c r="H26" s="719" t="s">
        <v>65</v>
      </c>
      <c r="I26" s="719" t="str">
        <f>+H26&amp;" Vs "&amp;F26</f>
        <v>Mar Vs Feb</v>
      </c>
      <c r="J26" s="719" t="s">
        <v>66</v>
      </c>
      <c r="K26" s="719" t="str">
        <f>+J26&amp;" Vs "&amp;H26</f>
        <v>Apr Vs Mar</v>
      </c>
      <c r="L26" s="719" t="s">
        <v>67</v>
      </c>
      <c r="M26" s="719" t="str">
        <f>+L26&amp;" Vs "&amp;J26</f>
        <v>May Vs Apr</v>
      </c>
      <c r="N26" s="719" t="s">
        <v>68</v>
      </c>
      <c r="O26" s="719" t="str">
        <f>+N26&amp;" Vs "&amp;L26</f>
        <v>Jun Vs May</v>
      </c>
      <c r="P26" s="719" t="s">
        <v>69</v>
      </c>
      <c r="Q26" s="719" t="str">
        <f>+P26&amp;" Vs "&amp;N26</f>
        <v>Jul Vs Jun</v>
      </c>
      <c r="R26" s="719" t="s">
        <v>70</v>
      </c>
      <c r="S26" s="719" t="str">
        <f>+R26&amp;" Vs "&amp;P26</f>
        <v>Aug Vs Jul</v>
      </c>
      <c r="T26" s="719" t="s">
        <v>71</v>
      </c>
      <c r="U26" s="719" t="str">
        <f>+T26&amp;" Vs "&amp;R26</f>
        <v>Sep Vs Aug</v>
      </c>
      <c r="V26" s="719" t="s">
        <v>72</v>
      </c>
      <c r="W26" s="719" t="str">
        <f>+V26&amp;" Vs "&amp;T26</f>
        <v>Oct Vs Sep</v>
      </c>
      <c r="X26" s="719" t="s">
        <v>73</v>
      </c>
      <c r="Y26" s="719" t="str">
        <f>+X26&amp;" Vs "&amp;V26</f>
        <v>Nov Vs Oct</v>
      </c>
      <c r="Z26" s="719" t="s">
        <v>74</v>
      </c>
      <c r="AA26" s="719" t="str">
        <f>+Z26&amp;" Vs "&amp;X26</f>
        <v>Dec Vs Nov</v>
      </c>
      <c r="AB26" s="1478" t="s">
        <v>647</v>
      </c>
      <c r="AC26" s="1479"/>
      <c r="AD26" s="1480" t="s">
        <v>648</v>
      </c>
      <c r="AE26" s="1481"/>
      <c r="AG26" s="1057"/>
    </row>
    <row r="27" spans="1:33" s="945" customFormat="1" ht="21.75" customHeight="1" thickTop="1">
      <c r="A27" s="629" t="s">
        <v>315</v>
      </c>
      <c r="B27" s="1284"/>
      <c r="C27" s="629" t="s">
        <v>428</v>
      </c>
      <c r="D27" s="720">
        <v>23468.699999999997</v>
      </c>
      <c r="E27" s="819">
        <f>+D27/Z64-1</f>
        <v>-0.24923463756849851</v>
      </c>
      <c r="F27" s="721">
        <v>25659.4</v>
      </c>
      <c r="G27" s="819">
        <f>+F27/D27-1</f>
        <v>9.3345604997294496E-2</v>
      </c>
      <c r="H27" s="721">
        <v>31007.899999999991</v>
      </c>
      <c r="I27" s="819">
        <f>+H27/F27-1</f>
        <v>0.20844213036937687</v>
      </c>
      <c r="J27" s="721">
        <f>+'So sánh giờ'!$M$116</f>
        <v>28967.600000000009</v>
      </c>
      <c r="K27" s="819">
        <f>+J27/H27-1</f>
        <v>-6.5799360808051599E-2</v>
      </c>
      <c r="L27" s="721"/>
      <c r="M27" s="819"/>
      <c r="N27" s="722"/>
      <c r="O27" s="819"/>
      <c r="P27" s="720"/>
      <c r="Q27" s="819"/>
      <c r="R27" s="722"/>
      <c r="S27" s="819"/>
      <c r="T27" s="720"/>
      <c r="U27" s="819"/>
      <c r="V27" s="720"/>
      <c r="W27" s="819"/>
      <c r="X27" s="720"/>
      <c r="Y27" s="819"/>
      <c r="Z27" s="720"/>
      <c r="AA27" s="819"/>
      <c r="AB27" s="1461">
        <f>SUM(D27,F27,H27,J27,L27,N27,P27,R27,T27,V27,X27,Z27)</f>
        <v>109103.59999999999</v>
      </c>
      <c r="AC27" s="1462"/>
      <c r="AD27" s="1459">
        <f>+AVERAGE(D27,F27,H27,J27,L27,N27,P27,R27,T27,V27,X27,Z27)</f>
        <v>27275.899999999998</v>
      </c>
      <c r="AE27" s="1460"/>
      <c r="AF27" s="1033"/>
      <c r="AG27" s="1057"/>
    </row>
    <row r="28" spans="1:33" s="945" customFormat="1" ht="21.75" customHeight="1">
      <c r="A28" s="630" t="s">
        <v>308</v>
      </c>
      <c r="B28" s="1285"/>
      <c r="C28" s="630" t="s">
        <v>428</v>
      </c>
      <c r="D28" s="720">
        <v>8657</v>
      </c>
      <c r="E28" s="819">
        <f t="shared" ref="E28:E33" si="21">+D28/Z65-1</f>
        <v>9.3059523809523803</v>
      </c>
      <c r="F28" s="721">
        <v>2435</v>
      </c>
      <c r="G28" s="819">
        <f t="shared" ref="G28:I33" si="22">+F28/D28-1</f>
        <v>-0.71872473143121174</v>
      </c>
      <c r="H28" s="721">
        <v>87</v>
      </c>
      <c r="I28" s="819">
        <f t="shared" si="22"/>
        <v>-0.96427104722792611</v>
      </c>
      <c r="J28" s="721">
        <f>+'So sánh giờ'!$N$116</f>
        <v>2981</v>
      </c>
      <c r="K28" s="819">
        <f t="shared" ref="K28" si="23">+J28/H28-1</f>
        <v>33.264367816091955</v>
      </c>
      <c r="L28" s="721"/>
      <c r="M28" s="819"/>
      <c r="N28" s="722"/>
      <c r="O28" s="819"/>
      <c r="P28" s="720"/>
      <c r="Q28" s="819"/>
      <c r="R28" s="722"/>
      <c r="S28" s="819"/>
      <c r="T28" s="720"/>
      <c r="U28" s="819"/>
      <c r="V28" s="720"/>
      <c r="W28" s="819"/>
      <c r="X28" s="720"/>
      <c r="Y28" s="819"/>
      <c r="Z28" s="720"/>
      <c r="AA28" s="819"/>
      <c r="AB28" s="1461">
        <f t="shared" ref="AB28:AB33" si="24">SUM(D28,F28,H28,J28,L28,N28,P28,R28,T28,V28,X28,Z28)</f>
        <v>14160</v>
      </c>
      <c r="AC28" s="1462"/>
      <c r="AD28" s="1459">
        <f t="shared" ref="AD28:AD33" si="25">+AVERAGE(D28,F28,H28,J28,L28,N28,P28,R28,T28,V28,X28,Z28)</f>
        <v>3540</v>
      </c>
      <c r="AE28" s="1460"/>
      <c r="AF28" s="1033"/>
      <c r="AG28" s="1057"/>
    </row>
    <row r="29" spans="1:33" s="945" customFormat="1" ht="21.75" customHeight="1">
      <c r="A29" s="630" t="s">
        <v>309</v>
      </c>
      <c r="B29" s="1285"/>
      <c r="C29" s="630" t="s">
        <v>428</v>
      </c>
      <c r="D29" s="720"/>
      <c r="E29" s="819">
        <f t="shared" si="21"/>
        <v>-1</v>
      </c>
      <c r="F29" s="721"/>
      <c r="G29" s="819"/>
      <c r="H29" s="721"/>
      <c r="I29" s="819"/>
      <c r="J29" s="721"/>
      <c r="K29" s="819"/>
      <c r="L29" s="721"/>
      <c r="M29" s="819"/>
      <c r="N29" s="722"/>
      <c r="O29" s="819"/>
      <c r="P29" s="720"/>
      <c r="Q29" s="819"/>
      <c r="R29" s="722"/>
      <c r="S29" s="819"/>
      <c r="T29" s="720"/>
      <c r="U29" s="819"/>
      <c r="V29" s="720"/>
      <c r="W29" s="819"/>
      <c r="X29" s="720"/>
      <c r="Y29" s="819"/>
      <c r="Z29" s="720"/>
      <c r="AA29" s="819"/>
      <c r="AB29" s="1461">
        <f>SUM(D29,F29,H29,J29,L29,N29,P29,R29,T29,V29,X29,Z29)</f>
        <v>0</v>
      </c>
      <c r="AC29" s="1462"/>
      <c r="AD29" s="1459" t="e">
        <f>+AVERAGE(D29,F29,H29,J29,L29,N29,P29,R29,T29,V29,X29,Z29)</f>
        <v>#DIV/0!</v>
      </c>
      <c r="AE29" s="1460"/>
    </row>
    <row r="30" spans="1:33" s="945" customFormat="1" ht="21.75" customHeight="1">
      <c r="A30" s="1287" t="s">
        <v>310</v>
      </c>
      <c r="B30" s="1286"/>
      <c r="C30" s="630" t="s">
        <v>429</v>
      </c>
      <c r="D30" s="720">
        <v>2470</v>
      </c>
      <c r="E30" s="819">
        <f t="shared" si="21"/>
        <v>-0.50938524183136358</v>
      </c>
      <c r="F30" s="721">
        <v>3546.5</v>
      </c>
      <c r="G30" s="819">
        <f>+F30/D30-1</f>
        <v>0.43582995951417014</v>
      </c>
      <c r="H30" s="721">
        <v>4387</v>
      </c>
      <c r="I30" s="819">
        <f>+H30/F30-1</f>
        <v>0.23699421965317913</v>
      </c>
      <c r="J30" s="721">
        <f>+'So sánh giờ'!$P$116</f>
        <v>4497</v>
      </c>
      <c r="K30" s="819">
        <f>+J30/H30-1</f>
        <v>2.5074082516526097E-2</v>
      </c>
      <c r="L30" s="721"/>
      <c r="M30" s="819"/>
      <c r="N30" s="722"/>
      <c r="O30" s="819"/>
      <c r="P30" s="720"/>
      <c r="Q30" s="819"/>
      <c r="R30" s="722"/>
      <c r="S30" s="819"/>
      <c r="T30" s="720"/>
      <c r="U30" s="819"/>
      <c r="V30" s="720"/>
      <c r="W30" s="819"/>
      <c r="X30" s="720"/>
      <c r="Y30" s="819"/>
      <c r="Z30" s="720"/>
      <c r="AA30" s="819"/>
      <c r="AB30" s="1461">
        <f t="shared" si="24"/>
        <v>14900.5</v>
      </c>
      <c r="AC30" s="1462"/>
      <c r="AD30" s="1459">
        <f t="shared" si="25"/>
        <v>3725.125</v>
      </c>
      <c r="AE30" s="1460"/>
    </row>
    <row r="31" spans="1:33" s="945" customFormat="1" ht="21.75" customHeight="1">
      <c r="A31" s="1288" t="s">
        <v>311</v>
      </c>
      <c r="B31" s="1283"/>
      <c r="C31" s="630" t="s">
        <v>429</v>
      </c>
      <c r="D31" s="720">
        <v>44556</v>
      </c>
      <c r="E31" s="819">
        <f t="shared" si="21"/>
        <v>-0.18575305415703436</v>
      </c>
      <c r="F31" s="721">
        <v>32182</v>
      </c>
      <c r="G31" s="819">
        <f t="shared" si="22"/>
        <v>-0.27771792800071815</v>
      </c>
      <c r="H31" s="721">
        <v>46222.5</v>
      </c>
      <c r="I31" s="819">
        <f t="shared" si="22"/>
        <v>0.43628425828102668</v>
      </c>
      <c r="J31" s="721">
        <f>+'So sánh giờ'!$Q$116</f>
        <v>46478.5</v>
      </c>
      <c r="K31" s="819">
        <f t="shared" ref="K31:K33" si="26">+J31/H31-1</f>
        <v>5.538428254637795E-3</v>
      </c>
      <c r="L31" s="721"/>
      <c r="M31" s="819"/>
      <c r="N31" s="722"/>
      <c r="O31" s="819"/>
      <c r="P31" s="720"/>
      <c r="Q31" s="819"/>
      <c r="R31" s="722"/>
      <c r="S31" s="819"/>
      <c r="T31" s="720"/>
      <c r="U31" s="819"/>
      <c r="V31" s="720"/>
      <c r="W31" s="819"/>
      <c r="X31" s="720"/>
      <c r="Y31" s="819"/>
      <c r="Z31" s="720"/>
      <c r="AA31" s="819"/>
      <c r="AB31" s="1461">
        <f t="shared" si="24"/>
        <v>169439</v>
      </c>
      <c r="AC31" s="1462"/>
      <c r="AD31" s="1459">
        <f t="shared" si="25"/>
        <v>42359.75</v>
      </c>
      <c r="AE31" s="1460"/>
    </row>
    <row r="32" spans="1:33" s="945" customFormat="1" ht="21.75" customHeight="1">
      <c r="A32" s="1288" t="s">
        <v>312</v>
      </c>
      <c r="B32" s="1283"/>
      <c r="C32" s="630" t="s">
        <v>429</v>
      </c>
      <c r="D32" s="720">
        <v>1159.5</v>
      </c>
      <c r="E32" s="819">
        <f t="shared" si="21"/>
        <v>10.771573604060913</v>
      </c>
      <c r="F32" s="721">
        <v>185.5</v>
      </c>
      <c r="G32" s="819">
        <f t="shared" si="22"/>
        <v>-0.84001724881414397</v>
      </c>
      <c r="H32" s="721">
        <v>199.5</v>
      </c>
      <c r="I32" s="819">
        <f t="shared" si="22"/>
        <v>7.547169811320753E-2</v>
      </c>
      <c r="J32" s="721">
        <f>+'So sánh giờ'!$R$116</f>
        <v>568</v>
      </c>
      <c r="K32" s="819">
        <f t="shared" si="26"/>
        <v>1.8471177944862154</v>
      </c>
      <c r="L32" s="721"/>
      <c r="M32" s="819"/>
      <c r="N32" s="722"/>
      <c r="O32" s="819"/>
      <c r="P32" s="720"/>
      <c r="Q32" s="819"/>
      <c r="R32" s="722"/>
      <c r="S32" s="819"/>
      <c r="T32" s="720"/>
      <c r="U32" s="819"/>
      <c r="V32" s="720"/>
      <c r="W32" s="819"/>
      <c r="X32" s="720"/>
      <c r="Y32" s="819"/>
      <c r="Z32" s="720"/>
      <c r="AA32" s="819"/>
      <c r="AB32" s="1461">
        <f t="shared" si="24"/>
        <v>2112.5</v>
      </c>
      <c r="AC32" s="1462"/>
      <c r="AD32" s="1459">
        <f t="shared" si="25"/>
        <v>528.125</v>
      </c>
      <c r="AE32" s="1460"/>
    </row>
    <row r="33" spans="1:31" s="945" customFormat="1" ht="21.75" customHeight="1">
      <c r="A33" s="1288" t="s">
        <v>313</v>
      </c>
      <c r="B33" s="1283"/>
      <c r="C33" s="630" t="s">
        <v>429</v>
      </c>
      <c r="D33" s="720">
        <v>142</v>
      </c>
      <c r="E33" s="1300">
        <f t="shared" si="21"/>
        <v>-0.67727272727272725</v>
      </c>
      <c r="F33" s="721">
        <v>240</v>
      </c>
      <c r="G33" s="819">
        <f t="shared" si="22"/>
        <v>0.6901408450704225</v>
      </c>
      <c r="H33" s="721">
        <v>506.5</v>
      </c>
      <c r="I33" s="819">
        <f t="shared" si="22"/>
        <v>1.1104166666666666</v>
      </c>
      <c r="J33" s="721">
        <f>+'So sánh giờ'!$S$116</f>
        <v>423</v>
      </c>
      <c r="K33" s="819">
        <f t="shared" si="26"/>
        <v>-0.16485686080947681</v>
      </c>
      <c r="L33" s="721"/>
      <c r="M33" s="819"/>
      <c r="N33" s="722"/>
      <c r="O33" s="819"/>
      <c r="P33" s="720"/>
      <c r="Q33" s="819"/>
      <c r="R33" s="722"/>
      <c r="S33" s="819"/>
      <c r="T33" s="720"/>
      <c r="U33" s="819"/>
      <c r="V33" s="720"/>
      <c r="W33" s="819"/>
      <c r="X33" s="720"/>
      <c r="Y33" s="819"/>
      <c r="Z33" s="720"/>
      <c r="AA33" s="819"/>
      <c r="AB33" s="1461">
        <f t="shared" si="24"/>
        <v>1311.5</v>
      </c>
      <c r="AC33" s="1462"/>
      <c r="AD33" s="1459">
        <f t="shared" si="25"/>
        <v>327.875</v>
      </c>
      <c r="AE33" s="1460"/>
    </row>
    <row r="34" spans="1:31" s="945" customFormat="1" ht="21.75" customHeight="1">
      <c r="A34" s="1288" t="s">
        <v>172</v>
      </c>
      <c r="B34" s="1283"/>
      <c r="C34" s="630"/>
      <c r="D34" s="720"/>
      <c r="E34" s="819"/>
      <c r="F34" s="721"/>
      <c r="G34" s="819"/>
      <c r="H34" s="721"/>
      <c r="I34" s="819"/>
      <c r="J34" s="721">
        <f>+'So sánh giờ'!$T116</f>
        <v>0</v>
      </c>
      <c r="K34" s="819"/>
      <c r="L34" s="721"/>
      <c r="M34" s="819"/>
      <c r="N34" s="722"/>
      <c r="O34" s="819"/>
      <c r="P34" s="720"/>
      <c r="Q34" s="819"/>
      <c r="R34" s="722"/>
      <c r="S34" s="819"/>
      <c r="T34" s="720"/>
      <c r="U34" s="819"/>
      <c r="V34" s="720"/>
      <c r="W34" s="819"/>
      <c r="X34" s="720"/>
      <c r="Y34" s="819"/>
      <c r="Z34" s="720"/>
      <c r="AA34" s="819"/>
      <c r="AB34" s="1461"/>
      <c r="AC34" s="1462"/>
      <c r="AD34" s="1459"/>
      <c r="AE34" s="1460"/>
    </row>
    <row r="35" spans="1:31" s="945" customFormat="1" ht="21.75" customHeight="1">
      <c r="A35" s="1288" t="s">
        <v>173</v>
      </c>
      <c r="B35" s="1283"/>
      <c r="C35" s="630"/>
      <c r="D35" s="720"/>
      <c r="E35" s="819"/>
      <c r="F35" s="721"/>
      <c r="G35" s="819"/>
      <c r="H35" s="721"/>
      <c r="I35" s="819"/>
      <c r="J35" s="721">
        <f>+'So sánh giờ'!$U116</f>
        <v>136</v>
      </c>
      <c r="K35" s="819"/>
      <c r="L35" s="721"/>
      <c r="M35" s="819"/>
      <c r="N35" s="722"/>
      <c r="O35" s="819"/>
      <c r="P35" s="720"/>
      <c r="Q35" s="819"/>
      <c r="R35" s="722"/>
      <c r="S35" s="819"/>
      <c r="T35" s="720"/>
      <c r="U35" s="819"/>
      <c r="V35" s="720" t="e">
        <f>+'TOTAL(payment)'!#REF!</f>
        <v>#REF!</v>
      </c>
      <c r="W35" s="819"/>
      <c r="X35" s="720"/>
      <c r="Y35" s="819"/>
      <c r="Z35" s="720"/>
      <c r="AA35" s="819"/>
      <c r="AB35" s="1461"/>
      <c r="AC35" s="1462"/>
      <c r="AD35" s="1459"/>
      <c r="AE35" s="1460"/>
    </row>
    <row r="37" spans="1:31" s="6" customFormat="1" ht="15.75" thickBot="1">
      <c r="A37" s="967" t="s">
        <v>649</v>
      </c>
      <c r="B37" s="211"/>
      <c r="C37" s="82"/>
      <c r="D37" s="82"/>
      <c r="E37" s="82">
        <v>24525</v>
      </c>
      <c r="F37" s="82"/>
      <c r="G37" s="82">
        <v>24770</v>
      </c>
      <c r="H37" s="82"/>
      <c r="I37" s="82">
        <v>24915</v>
      </c>
      <c r="J37" s="82"/>
      <c r="K37" s="82">
        <v>25435</v>
      </c>
      <c r="L37" s="82"/>
      <c r="M37" s="82">
        <v>25474</v>
      </c>
      <c r="N37" s="82"/>
      <c r="O37" s="82">
        <v>25473</v>
      </c>
      <c r="P37" s="82"/>
      <c r="Q37" s="82">
        <v>25400</v>
      </c>
      <c r="R37" s="82"/>
      <c r="S37" s="82">
        <v>25000</v>
      </c>
      <c r="T37" s="82"/>
      <c r="U37" s="82">
        <v>24695</v>
      </c>
      <c r="V37" s="82"/>
      <c r="W37" s="82">
        <v>25410</v>
      </c>
      <c r="X37" s="82"/>
      <c r="Y37" s="82">
        <v>25460</v>
      </c>
      <c r="Z37" s="82"/>
      <c r="AA37" s="82">
        <v>25550</v>
      </c>
      <c r="AB37" s="82"/>
      <c r="AC37" s="82"/>
      <c r="AD37" s="82"/>
      <c r="AE37" s="83"/>
    </row>
    <row r="38" spans="1:31" ht="18" customHeight="1" thickTop="1" thickBot="1">
      <c r="A38" s="1488" t="s">
        <v>646</v>
      </c>
      <c r="B38" s="1489"/>
      <c r="C38" s="947"/>
      <c r="D38" s="1482">
        <v>45292</v>
      </c>
      <c r="E38" s="1483"/>
      <c r="F38" s="1482">
        <v>45323</v>
      </c>
      <c r="G38" s="1483"/>
      <c r="H38" s="1482">
        <v>45352</v>
      </c>
      <c r="I38" s="1483"/>
      <c r="J38" s="1482">
        <v>45383</v>
      </c>
      <c r="K38" s="1483"/>
      <c r="L38" s="1482">
        <v>45413</v>
      </c>
      <c r="M38" s="1483"/>
      <c r="N38" s="1482">
        <v>45444</v>
      </c>
      <c r="O38" s="1483"/>
      <c r="P38" s="1482">
        <v>45474</v>
      </c>
      <c r="Q38" s="1483"/>
      <c r="R38" s="1482">
        <v>45505</v>
      </c>
      <c r="S38" s="1483"/>
      <c r="T38" s="1482">
        <v>45536</v>
      </c>
      <c r="U38" s="1483"/>
      <c r="V38" s="1482">
        <v>45566</v>
      </c>
      <c r="W38" s="1483"/>
      <c r="X38" s="1482">
        <v>45597</v>
      </c>
      <c r="Y38" s="1483"/>
      <c r="Z38" s="1482">
        <v>45627</v>
      </c>
      <c r="AA38" s="1483"/>
      <c r="AB38" s="1484" t="s">
        <v>647</v>
      </c>
      <c r="AC38" s="1485"/>
      <c r="AD38" s="1486" t="s">
        <v>648</v>
      </c>
      <c r="AE38" s="1487"/>
    </row>
    <row r="39" spans="1:31" ht="19.5" customHeight="1" thickTop="1">
      <c r="A39" s="1470" t="s">
        <v>231</v>
      </c>
      <c r="B39" s="937" t="s">
        <v>82</v>
      </c>
      <c r="C39" s="938"/>
      <c r="D39" s="938">
        <v>402</v>
      </c>
      <c r="E39" s="938">
        <v>5942393060</v>
      </c>
      <c r="F39" s="938">
        <v>405</v>
      </c>
      <c r="G39" s="938">
        <v>2889963976</v>
      </c>
      <c r="H39" s="938">
        <v>411</v>
      </c>
      <c r="I39" s="938">
        <v>3665077211</v>
      </c>
      <c r="J39" s="938">
        <v>413</v>
      </c>
      <c r="K39" s="938">
        <v>3459677453</v>
      </c>
      <c r="L39" s="938">
        <v>405</v>
      </c>
      <c r="M39" s="938">
        <v>3733743583</v>
      </c>
      <c r="N39" s="938">
        <v>390</v>
      </c>
      <c r="O39" s="938">
        <v>3181358417</v>
      </c>
      <c r="P39" s="938">
        <v>385</v>
      </c>
      <c r="Q39" s="938">
        <v>3963937888</v>
      </c>
      <c r="R39" s="938">
        <v>382</v>
      </c>
      <c r="S39" s="938">
        <v>4260219221</v>
      </c>
      <c r="T39" s="938">
        <v>398</v>
      </c>
      <c r="U39" s="938">
        <v>4357881376</v>
      </c>
      <c r="V39" s="938">
        <v>403</v>
      </c>
      <c r="W39" s="938">
        <v>4953577257</v>
      </c>
      <c r="X39" s="938">
        <v>410</v>
      </c>
      <c r="Y39" s="938">
        <v>4004818743</v>
      </c>
      <c r="Z39" s="938">
        <v>425</v>
      </c>
      <c r="AA39" s="938">
        <v>4771275135</v>
      </c>
      <c r="AB39" s="979">
        <v>4829</v>
      </c>
      <c r="AC39" s="979">
        <v>49183923320</v>
      </c>
      <c r="AD39" s="956">
        <v>402.41666666666669</v>
      </c>
      <c r="AE39" s="956">
        <v>4098660276.6666665</v>
      </c>
    </row>
    <row r="40" spans="1:31" ht="19.5" customHeight="1">
      <c r="A40" s="1471"/>
      <c r="B40" s="1468" t="s">
        <v>232</v>
      </c>
      <c r="C40" s="939" t="s">
        <v>75</v>
      </c>
      <c r="D40" s="939"/>
      <c r="E40" s="939">
        <v>14782072.288557215</v>
      </c>
      <c r="F40" s="939"/>
      <c r="G40" s="939">
        <v>7135713.5209876541</v>
      </c>
      <c r="H40" s="939"/>
      <c r="I40" s="939">
        <v>8917462.8004866187</v>
      </c>
      <c r="J40" s="939"/>
      <c r="K40" s="939">
        <v>8376942.9854721548</v>
      </c>
      <c r="L40" s="939"/>
      <c r="M40" s="939">
        <v>9219119.9580246918</v>
      </c>
      <c r="N40" s="939"/>
      <c r="O40" s="939">
        <v>8157329.2743589748</v>
      </c>
      <c r="P40" s="939"/>
      <c r="Q40" s="939">
        <v>10295942.566233765</v>
      </c>
      <c r="R40" s="939"/>
      <c r="S40" s="939">
        <v>11152406.337696334</v>
      </c>
      <c r="T40" s="939"/>
      <c r="U40" s="939">
        <v>10949450.693467336</v>
      </c>
      <c r="V40" s="939"/>
      <c r="W40" s="939">
        <v>12291754.980148884</v>
      </c>
      <c r="X40" s="939"/>
      <c r="Y40" s="939">
        <v>9767850.592682926</v>
      </c>
      <c r="Z40" s="939"/>
      <c r="AA40" s="939">
        <v>11226529.729411764</v>
      </c>
      <c r="AB40" s="958"/>
      <c r="AC40" s="949">
        <v>122272575.72752832</v>
      </c>
      <c r="AD40" s="949"/>
      <c r="AE40" s="950">
        <v>10189381.31062736</v>
      </c>
    </row>
    <row r="41" spans="1:31" ht="19.5" customHeight="1" thickBot="1">
      <c r="A41" s="1472"/>
      <c r="B41" s="1469"/>
      <c r="C41" s="943" t="s">
        <v>76</v>
      </c>
      <c r="D41" s="944"/>
      <c r="E41" s="991">
        <v>602.73485376380086</v>
      </c>
      <c r="F41" s="944"/>
      <c r="G41" s="991">
        <v>288.07886641048259</v>
      </c>
      <c r="H41" s="944"/>
      <c r="I41" s="991">
        <v>357.9154244626377</v>
      </c>
      <c r="J41" s="944"/>
      <c r="K41" s="1024">
        <v>329.34708022300589</v>
      </c>
      <c r="L41" s="944"/>
      <c r="M41" s="1024">
        <v>361.90311525573884</v>
      </c>
      <c r="N41" s="944"/>
      <c r="O41" s="991">
        <v>320.23433731240823</v>
      </c>
      <c r="P41" s="944"/>
      <c r="Q41" s="1024">
        <v>405.35206953676243</v>
      </c>
      <c r="R41" s="944"/>
      <c r="S41" s="1024">
        <v>446.09625350785336</v>
      </c>
      <c r="T41" s="944"/>
      <c r="U41" s="1024">
        <v>443.38735345079311</v>
      </c>
      <c r="V41" s="944"/>
      <c r="W41" s="1024">
        <v>483.73691381931854</v>
      </c>
      <c r="X41" s="944"/>
      <c r="Y41" s="1024">
        <v>383.65477583200811</v>
      </c>
      <c r="Z41" s="944"/>
      <c r="AA41" s="1024">
        <v>439.39450995740759</v>
      </c>
      <c r="AB41" s="959"/>
      <c r="AC41" s="953">
        <v>4861.8355535322171</v>
      </c>
      <c r="AD41" s="960"/>
      <c r="AE41" s="955">
        <v>405.15296279435142</v>
      </c>
    </row>
    <row r="42" spans="1:31" ht="19.5" customHeight="1" thickTop="1">
      <c r="A42" s="1470" t="s">
        <v>233</v>
      </c>
      <c r="B42" s="937" t="s">
        <v>82</v>
      </c>
      <c r="C42" s="938"/>
      <c r="D42" s="938">
        <v>703</v>
      </c>
      <c r="E42" s="938">
        <v>10674736428</v>
      </c>
      <c r="F42" s="938">
        <v>722</v>
      </c>
      <c r="G42" s="938">
        <v>5405389852</v>
      </c>
      <c r="H42" s="938">
        <v>774</v>
      </c>
      <c r="I42" s="938">
        <v>6681900591</v>
      </c>
      <c r="J42" s="938">
        <v>775</v>
      </c>
      <c r="K42" s="938">
        <v>7208638775</v>
      </c>
      <c r="L42" s="938">
        <v>759</v>
      </c>
      <c r="M42" s="938">
        <v>7924471204</v>
      </c>
      <c r="N42" s="938">
        <v>743</v>
      </c>
      <c r="O42" s="938">
        <v>6881159907</v>
      </c>
      <c r="P42" s="938">
        <v>749</v>
      </c>
      <c r="Q42" s="938">
        <v>8426584970</v>
      </c>
      <c r="R42" s="938">
        <v>759</v>
      </c>
      <c r="S42" s="938">
        <v>8656448572</v>
      </c>
      <c r="T42" s="938">
        <v>787</v>
      </c>
      <c r="U42" s="938">
        <v>8579965659</v>
      </c>
      <c r="V42" s="938">
        <v>809</v>
      </c>
      <c r="W42" s="938">
        <v>8728022573</v>
      </c>
      <c r="X42" s="938">
        <v>814</v>
      </c>
      <c r="Y42" s="938">
        <v>8023100956</v>
      </c>
      <c r="Z42" s="938">
        <v>796</v>
      </c>
      <c r="AA42" s="938">
        <v>9060509367</v>
      </c>
      <c r="AB42" s="979">
        <v>9190</v>
      </c>
      <c r="AC42" s="956">
        <v>96250928854</v>
      </c>
      <c r="AD42" s="956">
        <v>765.83333333333337</v>
      </c>
      <c r="AE42" s="957">
        <v>8020910737.833333</v>
      </c>
    </row>
    <row r="43" spans="1:31" ht="19.5" customHeight="1">
      <c r="A43" s="1471"/>
      <c r="B43" s="1468" t="s">
        <v>232</v>
      </c>
      <c r="C43" s="939" t="s">
        <v>75</v>
      </c>
      <c r="D43" s="939"/>
      <c r="E43" s="939">
        <v>15184546.839260314</v>
      </c>
      <c r="F43" s="939"/>
      <c r="G43" s="939">
        <v>7486689.5457063708</v>
      </c>
      <c r="H43" s="939"/>
      <c r="I43" s="939">
        <v>8632946.5</v>
      </c>
      <c r="J43" s="939"/>
      <c r="K43" s="939">
        <v>9301469.3870967738</v>
      </c>
      <c r="L43" s="939"/>
      <c r="M43" s="939">
        <v>10440673.523056654</v>
      </c>
      <c r="N43" s="939"/>
      <c r="O43" s="939">
        <v>9261318.851951547</v>
      </c>
      <c r="P43" s="939"/>
      <c r="Q43" s="939">
        <v>11250447.222963952</v>
      </c>
      <c r="R43" s="939"/>
      <c r="S43" s="939">
        <v>11405070.582345191</v>
      </c>
      <c r="T43" s="939"/>
      <c r="U43" s="939">
        <v>10902116.466327827</v>
      </c>
      <c r="V43" s="939"/>
      <c r="W43" s="939">
        <v>10788655.838071693</v>
      </c>
      <c r="X43" s="939"/>
      <c r="Y43" s="939">
        <v>9856389.3808353804</v>
      </c>
      <c r="Z43" s="939"/>
      <c r="AA43" s="939">
        <v>11382549.456030151</v>
      </c>
      <c r="AB43" s="958"/>
      <c r="AC43" s="949">
        <v>125892873.59364586</v>
      </c>
      <c r="AD43" s="949"/>
      <c r="AE43" s="950">
        <v>10491072.799470488</v>
      </c>
    </row>
    <row r="44" spans="1:31" ht="19.5" customHeight="1" thickBot="1">
      <c r="A44" s="1472"/>
      <c r="B44" s="1469"/>
      <c r="C44" s="943" t="s">
        <v>76</v>
      </c>
      <c r="D44" s="944"/>
      <c r="E44" s="991">
        <v>619.14564074455916</v>
      </c>
      <c r="F44" s="944"/>
      <c r="G44" s="991">
        <v>302.2482658742984</v>
      </c>
      <c r="H44" s="944"/>
      <c r="I44" s="991">
        <v>346.49594621713828</v>
      </c>
      <c r="J44" s="944"/>
      <c r="K44" s="1024">
        <v>365.69567081174654</v>
      </c>
      <c r="L44" s="944"/>
      <c r="M44" s="1024">
        <v>409.85606983813511</v>
      </c>
      <c r="N44" s="944"/>
      <c r="O44" s="991">
        <v>363.57393522363077</v>
      </c>
      <c r="P44" s="944"/>
      <c r="Q44" s="1024">
        <v>442.93099303007682</v>
      </c>
      <c r="R44" s="944"/>
      <c r="S44" s="1024">
        <v>456.20282329380768</v>
      </c>
      <c r="T44" s="944"/>
      <c r="U44" s="1024">
        <v>441.47059997278103</v>
      </c>
      <c r="V44" s="944"/>
      <c r="W44" s="1024">
        <v>424.58307115591077</v>
      </c>
      <c r="X44" s="944"/>
      <c r="Y44" s="1024">
        <v>387.13234017420973</v>
      </c>
      <c r="Z44" s="944"/>
      <c r="AA44" s="1024">
        <v>445.50095718317618</v>
      </c>
      <c r="AB44" s="959"/>
      <c r="AC44" s="953">
        <v>5004.8363135194704</v>
      </c>
      <c r="AD44" s="960"/>
      <c r="AE44" s="955">
        <v>417.06969279328922</v>
      </c>
    </row>
    <row r="45" spans="1:31" ht="19.5" customHeight="1" thickTop="1">
      <c r="A45" s="1465" t="s">
        <v>681</v>
      </c>
      <c r="B45" s="937" t="s">
        <v>82</v>
      </c>
      <c r="C45" s="938"/>
      <c r="D45" s="938"/>
      <c r="E45" s="938"/>
      <c r="F45" s="938"/>
      <c r="G45" s="938"/>
      <c r="H45" s="938"/>
      <c r="I45" s="938"/>
      <c r="J45" s="938"/>
      <c r="K45" s="938"/>
      <c r="L45" s="938"/>
      <c r="M45" s="938"/>
      <c r="N45" s="938">
        <v>10</v>
      </c>
      <c r="O45" s="938">
        <v>68956579</v>
      </c>
      <c r="P45" s="938">
        <v>15</v>
      </c>
      <c r="Q45" s="938">
        <v>108014880</v>
      </c>
      <c r="R45" s="1052">
        <v>15</v>
      </c>
      <c r="S45" s="1052">
        <v>157145536</v>
      </c>
      <c r="T45" s="1052">
        <v>15</v>
      </c>
      <c r="U45" s="1052">
        <v>164995839</v>
      </c>
      <c r="V45" s="1052">
        <v>14</v>
      </c>
      <c r="W45" s="1052">
        <v>172565603</v>
      </c>
      <c r="X45" s="1052">
        <v>0</v>
      </c>
      <c r="Y45" s="1052">
        <v>0</v>
      </c>
      <c r="Z45" s="1052">
        <v>14</v>
      </c>
      <c r="AA45" s="1052">
        <v>165990924</v>
      </c>
      <c r="AB45" s="979">
        <v>83</v>
      </c>
      <c r="AC45" s="956">
        <v>837669361</v>
      </c>
      <c r="AD45" s="956">
        <v>11.857142857142858</v>
      </c>
      <c r="AE45" s="957">
        <v>119667051.57142857</v>
      </c>
    </row>
    <row r="46" spans="1:31" ht="19.5" customHeight="1">
      <c r="A46" s="1466"/>
      <c r="B46" s="1468" t="s">
        <v>232</v>
      </c>
      <c r="C46" s="939" t="s">
        <v>75</v>
      </c>
      <c r="D46" s="939"/>
      <c r="E46" s="939"/>
      <c r="F46" s="939"/>
      <c r="G46" s="939"/>
      <c r="H46" s="939"/>
      <c r="I46" s="939"/>
      <c r="J46" s="939"/>
      <c r="K46" s="939"/>
      <c r="L46" s="939"/>
      <c r="M46" s="939"/>
      <c r="N46" s="939"/>
      <c r="O46" s="939">
        <v>6895657.9000000004</v>
      </c>
      <c r="P46" s="1046"/>
      <c r="Q46" s="939">
        <v>7200992</v>
      </c>
      <c r="R46" s="1046"/>
      <c r="S46" s="1053">
        <v>10476369.066666666</v>
      </c>
      <c r="T46" s="1046"/>
      <c r="U46" s="1053">
        <v>10999722.6</v>
      </c>
      <c r="V46" s="1046"/>
      <c r="W46" s="1053">
        <v>12326114.5</v>
      </c>
      <c r="X46" s="1046"/>
      <c r="Y46" s="1053">
        <v>0</v>
      </c>
      <c r="Z46" s="1046"/>
      <c r="AA46" s="1053">
        <v>11856494.571428571</v>
      </c>
      <c r="AB46" s="958"/>
      <c r="AC46" s="949">
        <v>59755350.638095245</v>
      </c>
      <c r="AD46" s="949"/>
      <c r="AE46" s="950">
        <v>8536478.662585035</v>
      </c>
    </row>
    <row r="47" spans="1:31" ht="19.5" customHeight="1" thickBot="1">
      <c r="A47" s="1467"/>
      <c r="B47" s="1469"/>
      <c r="C47" s="943" t="s">
        <v>76</v>
      </c>
      <c r="D47" s="944"/>
      <c r="E47" s="991"/>
      <c r="F47" s="944"/>
      <c r="G47" s="991"/>
      <c r="H47" s="944"/>
      <c r="I47" s="991"/>
      <c r="J47" s="944"/>
      <c r="K47" s="1024"/>
      <c r="L47" s="944"/>
      <c r="M47" s="1024"/>
      <c r="N47" s="944"/>
      <c r="O47" s="991">
        <v>270.70458524712444</v>
      </c>
      <c r="P47" s="1046"/>
      <c r="Q47" s="991">
        <v>283.50362204724411</v>
      </c>
      <c r="R47" s="1046"/>
      <c r="S47" s="1024">
        <v>419.05476266666665</v>
      </c>
      <c r="T47" s="1046"/>
      <c r="U47" s="1024">
        <v>445.4230653978538</v>
      </c>
      <c r="V47" s="1046"/>
      <c r="W47" s="1069">
        <v>485.08911845730029</v>
      </c>
      <c r="X47" s="1046"/>
      <c r="Y47" s="1069">
        <v>0</v>
      </c>
      <c r="Z47" s="1046"/>
      <c r="AA47" s="1069">
        <v>464.05066815767401</v>
      </c>
      <c r="AB47" s="959"/>
      <c r="AC47" s="953">
        <v>2367.8258219738632</v>
      </c>
      <c r="AD47" s="960"/>
      <c r="AE47" s="955">
        <v>338.26083171055188</v>
      </c>
    </row>
    <row r="48" spans="1:31" ht="19.5" customHeight="1" thickTop="1">
      <c r="A48" s="1470" t="s">
        <v>682</v>
      </c>
      <c r="B48" s="937" t="s">
        <v>82</v>
      </c>
      <c r="C48" s="938"/>
      <c r="D48" s="938">
        <v>1105</v>
      </c>
      <c r="E48" s="938">
        <v>16617129488</v>
      </c>
      <c r="F48" s="938">
        <v>1127</v>
      </c>
      <c r="G48" s="938">
        <v>8295353828</v>
      </c>
      <c r="H48" s="938">
        <v>1185</v>
      </c>
      <c r="I48" s="938">
        <v>10346977802</v>
      </c>
      <c r="J48" s="938">
        <v>1188</v>
      </c>
      <c r="K48" s="938">
        <v>10668316228</v>
      </c>
      <c r="L48" s="938">
        <v>1164</v>
      </c>
      <c r="M48" s="938">
        <v>11658214787</v>
      </c>
      <c r="N48" s="938">
        <v>1143</v>
      </c>
      <c r="O48" s="938">
        <v>10131474903</v>
      </c>
      <c r="P48" s="938">
        <v>1149</v>
      </c>
      <c r="Q48" s="938">
        <v>12498537738</v>
      </c>
      <c r="R48" s="938">
        <v>1156</v>
      </c>
      <c r="S48" s="938">
        <v>13073813329</v>
      </c>
      <c r="T48" s="938">
        <v>1200</v>
      </c>
      <c r="U48" s="938">
        <v>13102842874</v>
      </c>
      <c r="V48" s="938">
        <v>1226</v>
      </c>
      <c r="W48" s="938">
        <v>13854165433</v>
      </c>
      <c r="X48" s="938">
        <v>1224</v>
      </c>
      <c r="Y48" s="938">
        <v>12027919699</v>
      </c>
      <c r="Z48" s="938">
        <v>1235</v>
      </c>
      <c r="AA48" s="938">
        <v>13997775426</v>
      </c>
      <c r="AB48" s="979">
        <v>14102</v>
      </c>
      <c r="AC48" s="956">
        <v>146272521535</v>
      </c>
      <c r="AD48" s="956">
        <v>1175.1666666666667</v>
      </c>
      <c r="AE48" s="957">
        <v>12189376794.583334</v>
      </c>
    </row>
    <row r="49" spans="1:33" ht="19.5" customHeight="1">
      <c r="A49" s="1471"/>
      <c r="B49" s="1468" t="s">
        <v>89</v>
      </c>
      <c r="C49" s="939" t="s">
        <v>75</v>
      </c>
      <c r="D49" s="939"/>
      <c r="E49" s="939">
        <v>15038126.233484162</v>
      </c>
      <c r="F49" s="939"/>
      <c r="G49" s="939">
        <v>7360562.4028393971</v>
      </c>
      <c r="H49" s="939"/>
      <c r="I49" s="939">
        <v>8731626.8371308018</v>
      </c>
      <c r="J49" s="939"/>
      <c r="K49" s="939">
        <v>8980064.1649831645</v>
      </c>
      <c r="L49" s="939"/>
      <c r="M49" s="939">
        <v>10015648.442439863</v>
      </c>
      <c r="N49" s="939"/>
      <c r="O49" s="939">
        <v>8863932.5485564303</v>
      </c>
      <c r="P49" s="939"/>
      <c r="Q49" s="939">
        <v>10877752.600522194</v>
      </c>
      <c r="R49" s="939"/>
      <c r="S49" s="939">
        <v>11309527.101211073</v>
      </c>
      <c r="T49" s="939"/>
      <c r="U49" s="939">
        <v>10919035.728333334</v>
      </c>
      <c r="V49" s="939"/>
      <c r="W49" s="939">
        <v>11300298.069331158</v>
      </c>
      <c r="X49" s="939"/>
      <c r="Y49" s="939">
        <v>9826731.7802287582</v>
      </c>
      <c r="Z49" s="939"/>
      <c r="AA49" s="939">
        <v>11334231.114170041</v>
      </c>
      <c r="AB49" s="958"/>
      <c r="AC49" s="949">
        <v>124557537.02323039</v>
      </c>
      <c r="AD49" s="949"/>
      <c r="AE49" s="950">
        <v>10379794.751935866</v>
      </c>
    </row>
    <row r="50" spans="1:33" ht="19.5" customHeight="1" thickBot="1">
      <c r="A50" s="1472"/>
      <c r="B50" s="1469"/>
      <c r="C50" s="943" t="s">
        <v>76</v>
      </c>
      <c r="D50" s="944"/>
      <c r="E50" s="991">
        <v>613.17538158956825</v>
      </c>
      <c r="F50" s="944"/>
      <c r="G50" s="991">
        <v>297.15633438996355</v>
      </c>
      <c r="H50" s="944"/>
      <c r="I50" s="991">
        <v>350.4566260136786</v>
      </c>
      <c r="J50" s="944"/>
      <c r="K50" s="1024">
        <v>353.05933418451599</v>
      </c>
      <c r="L50" s="944"/>
      <c r="M50" s="1024">
        <v>393.17140780560038</v>
      </c>
      <c r="N50" s="944"/>
      <c r="O50" s="991">
        <v>347.97364066095201</v>
      </c>
      <c r="P50" s="944"/>
      <c r="Q50" s="1024">
        <v>428.25797639851157</v>
      </c>
      <c r="R50" s="944"/>
      <c r="S50" s="1024">
        <v>452.38108404844291</v>
      </c>
      <c r="T50" s="944"/>
      <c r="U50" s="1024">
        <v>442.15572902746845</v>
      </c>
      <c r="V50" s="944"/>
      <c r="W50" s="1024">
        <v>444.71853873794402</v>
      </c>
      <c r="X50" s="944"/>
      <c r="Y50" s="1024">
        <v>385.96746976546575</v>
      </c>
      <c r="Z50" s="944"/>
      <c r="AA50" s="1024">
        <v>443.60982834325011</v>
      </c>
      <c r="AB50" s="959"/>
      <c r="AC50" s="953">
        <v>4952.0833509653621</v>
      </c>
      <c r="AD50" s="960"/>
      <c r="AE50" s="955">
        <v>412.67361258044684</v>
      </c>
    </row>
    <row r="51" spans="1:33" ht="19.5" customHeight="1" thickTop="1">
      <c r="A51" s="1470" t="s">
        <v>1</v>
      </c>
      <c r="B51" s="937" t="s">
        <v>82</v>
      </c>
      <c r="C51" s="938"/>
      <c r="D51" s="938">
        <v>39</v>
      </c>
      <c r="E51" s="938">
        <v>1044075658</v>
      </c>
      <c r="F51" s="938">
        <v>39</v>
      </c>
      <c r="G51" s="938">
        <v>483621050</v>
      </c>
      <c r="H51" s="938">
        <v>37</v>
      </c>
      <c r="I51" s="938">
        <v>502346834</v>
      </c>
      <c r="J51" s="938">
        <v>38</v>
      </c>
      <c r="K51" s="938">
        <v>523018655</v>
      </c>
      <c r="L51" s="938">
        <v>39</v>
      </c>
      <c r="M51" s="938">
        <v>547784839</v>
      </c>
      <c r="N51" s="938">
        <v>40</v>
      </c>
      <c r="O51" s="938">
        <v>556516050</v>
      </c>
      <c r="P51" s="938">
        <v>40</v>
      </c>
      <c r="Q51" s="938">
        <v>580694389</v>
      </c>
      <c r="R51" s="938">
        <v>40</v>
      </c>
      <c r="S51" s="938">
        <v>582236140</v>
      </c>
      <c r="T51" s="938">
        <v>41</v>
      </c>
      <c r="U51" s="938">
        <v>547843800</v>
      </c>
      <c r="V51" s="938">
        <v>40</v>
      </c>
      <c r="W51" s="938">
        <v>569814608</v>
      </c>
      <c r="X51" s="938">
        <v>40</v>
      </c>
      <c r="Y51" s="938">
        <v>538309777</v>
      </c>
      <c r="Z51" s="938">
        <v>41</v>
      </c>
      <c r="AA51" s="938">
        <v>679718502</v>
      </c>
      <c r="AB51" s="979">
        <v>474</v>
      </c>
      <c r="AC51" s="956">
        <v>7155980302</v>
      </c>
      <c r="AD51" s="956">
        <v>39.5</v>
      </c>
      <c r="AE51" s="957">
        <v>596331691.83333337</v>
      </c>
    </row>
    <row r="52" spans="1:33" ht="19.5" customHeight="1">
      <c r="A52" s="1471"/>
      <c r="B52" s="1468" t="s">
        <v>89</v>
      </c>
      <c r="C52" s="939" t="s">
        <v>75</v>
      </c>
      <c r="D52" s="939"/>
      <c r="E52" s="939">
        <v>26771170.717948716</v>
      </c>
      <c r="F52" s="939"/>
      <c r="G52" s="939">
        <v>12400539.743589744</v>
      </c>
      <c r="H52" s="939"/>
      <c r="I52" s="939">
        <v>13576941.459459459</v>
      </c>
      <c r="J52" s="939"/>
      <c r="K52" s="939">
        <v>13763648.815789474</v>
      </c>
      <c r="L52" s="939"/>
      <c r="M52" s="939">
        <v>14045765.102564102</v>
      </c>
      <c r="N52" s="939"/>
      <c r="O52" s="939">
        <v>13912901.25</v>
      </c>
      <c r="P52" s="939"/>
      <c r="Q52" s="939">
        <v>14517359.725</v>
      </c>
      <c r="R52" s="939"/>
      <c r="S52" s="939">
        <v>14555903.5</v>
      </c>
      <c r="T52" s="939"/>
      <c r="U52" s="939">
        <v>13362043.902439024</v>
      </c>
      <c r="V52" s="939"/>
      <c r="W52" s="939">
        <v>14245365.199999999</v>
      </c>
      <c r="X52" s="939"/>
      <c r="Y52" s="939">
        <v>13457744.425000001</v>
      </c>
      <c r="Z52" s="939"/>
      <c r="AA52" s="939">
        <v>16578500.048780488</v>
      </c>
      <c r="AB52" s="958"/>
      <c r="AC52" s="949">
        <v>181187883.89057103</v>
      </c>
      <c r="AD52" s="949"/>
      <c r="AE52" s="950">
        <v>15098990.324214252</v>
      </c>
    </row>
    <row r="53" spans="1:33" ht="19.5" customHeight="1" thickBot="1">
      <c r="A53" s="1472"/>
      <c r="B53" s="1469"/>
      <c r="C53" s="943" t="s">
        <v>76</v>
      </c>
      <c r="D53" s="944"/>
      <c r="E53" s="991">
        <v>1091.5869813638619</v>
      </c>
      <c r="F53" s="944"/>
      <c r="G53" s="991">
        <v>500.62736146910555</v>
      </c>
      <c r="H53" s="944"/>
      <c r="I53" s="991">
        <v>544.930421812541</v>
      </c>
      <c r="J53" s="944"/>
      <c r="K53" s="1023">
        <v>541.13028566107619</v>
      </c>
      <c r="L53" s="944"/>
      <c r="M53" s="1024">
        <v>551.37650555719961</v>
      </c>
      <c r="N53" s="944"/>
      <c r="O53" s="991">
        <v>546.18228123895892</v>
      </c>
      <c r="P53" s="944"/>
      <c r="Q53" s="1024">
        <v>571.54959547244096</v>
      </c>
      <c r="R53" s="944"/>
      <c r="S53" s="1024">
        <v>582.23613999999998</v>
      </c>
      <c r="T53" s="944"/>
      <c r="U53" s="1024">
        <v>541.08296831095458</v>
      </c>
      <c r="V53" s="944"/>
      <c r="W53" s="1024">
        <v>560.62043290043289</v>
      </c>
      <c r="X53" s="944"/>
      <c r="Y53" s="1024">
        <v>528.58383444619017</v>
      </c>
      <c r="Z53" s="944"/>
      <c r="AA53" s="1024">
        <v>648.86497255500933</v>
      </c>
      <c r="AB53" s="959"/>
      <c r="AC53" s="953">
        <v>7208.7717807877716</v>
      </c>
      <c r="AD53" s="960"/>
      <c r="AE53" s="955">
        <v>600.73098173231426</v>
      </c>
    </row>
    <row r="54" spans="1:33" ht="19.5" customHeight="1" thickTop="1">
      <c r="A54" s="1470" t="s">
        <v>78</v>
      </c>
      <c r="B54" s="937" t="s">
        <v>82</v>
      </c>
      <c r="C54" s="938"/>
      <c r="D54" s="938">
        <v>24</v>
      </c>
      <c r="E54" s="938">
        <v>1269400227</v>
      </c>
      <c r="F54" s="938">
        <v>24</v>
      </c>
      <c r="G54" s="938">
        <v>562546190</v>
      </c>
      <c r="H54" s="938">
        <v>24</v>
      </c>
      <c r="I54" s="938">
        <v>602055077</v>
      </c>
      <c r="J54" s="938">
        <v>24</v>
      </c>
      <c r="K54" s="938">
        <v>613564453</v>
      </c>
      <c r="L54" s="938">
        <v>25</v>
      </c>
      <c r="M54" s="938">
        <v>662328915</v>
      </c>
      <c r="N54" s="938">
        <v>25</v>
      </c>
      <c r="O54" s="938">
        <v>633044910</v>
      </c>
      <c r="P54" s="938">
        <v>25</v>
      </c>
      <c r="Q54" s="938">
        <v>659697808</v>
      </c>
      <c r="R54" s="938">
        <v>26</v>
      </c>
      <c r="S54" s="938">
        <v>690652625</v>
      </c>
      <c r="T54" s="938">
        <v>26</v>
      </c>
      <c r="U54" s="938">
        <v>650515840</v>
      </c>
      <c r="V54" s="938">
        <v>25</v>
      </c>
      <c r="W54" s="938">
        <v>666988308</v>
      </c>
      <c r="X54" s="938">
        <v>25</v>
      </c>
      <c r="Y54" s="938">
        <v>623130849</v>
      </c>
      <c r="Z54" s="938">
        <v>25</v>
      </c>
      <c r="AA54" s="938">
        <v>773436499</v>
      </c>
      <c r="AB54" s="979">
        <v>298</v>
      </c>
      <c r="AC54" s="956">
        <v>8407361701</v>
      </c>
      <c r="AD54" s="956">
        <v>24.833333333333332</v>
      </c>
      <c r="AE54" s="957">
        <v>700613475.08333337</v>
      </c>
    </row>
    <row r="55" spans="1:33" ht="19.5" customHeight="1">
      <c r="A55" s="1471"/>
      <c r="B55" s="1468" t="s">
        <v>89</v>
      </c>
      <c r="C55" s="939" t="s">
        <v>75</v>
      </c>
      <c r="D55" s="939"/>
      <c r="E55" s="939">
        <v>52891676.125</v>
      </c>
      <c r="F55" s="939"/>
      <c r="G55" s="939">
        <v>23439424.583333332</v>
      </c>
      <c r="H55" s="939"/>
      <c r="I55" s="939">
        <v>25085628.208333332</v>
      </c>
      <c r="J55" s="939"/>
      <c r="K55" s="939">
        <v>25565185.541666668</v>
      </c>
      <c r="L55" s="939"/>
      <c r="M55" s="939">
        <v>26493156.600000001</v>
      </c>
      <c r="N55" s="939"/>
      <c r="O55" s="939">
        <v>25321796.399999999</v>
      </c>
      <c r="P55" s="939"/>
      <c r="Q55" s="939">
        <v>26387912.32</v>
      </c>
      <c r="R55" s="939"/>
      <c r="S55" s="939">
        <v>26563562.5</v>
      </c>
      <c r="T55" s="939"/>
      <c r="U55" s="939">
        <v>25019840</v>
      </c>
      <c r="V55" s="939"/>
      <c r="W55" s="939">
        <v>26679532.32</v>
      </c>
      <c r="X55" s="939"/>
      <c r="Y55" s="939">
        <v>24925233.960000001</v>
      </c>
      <c r="Z55" s="939"/>
      <c r="AA55" s="939">
        <v>30937459.960000001</v>
      </c>
      <c r="AB55" s="958"/>
      <c r="AC55" s="949">
        <v>339310408.51833332</v>
      </c>
      <c r="AD55" s="949"/>
      <c r="AE55" s="950">
        <v>28275867.376527775</v>
      </c>
    </row>
    <row r="56" spans="1:33" ht="19.5" customHeight="1" thickBot="1">
      <c r="A56" s="1472"/>
      <c r="B56" s="1469"/>
      <c r="C56" s="943" t="s">
        <v>76</v>
      </c>
      <c r="D56" s="944"/>
      <c r="E56" s="991">
        <v>2156.6432670744139</v>
      </c>
      <c r="F56" s="944"/>
      <c r="G56" s="991">
        <v>946.2827849549185</v>
      </c>
      <c r="H56" s="944"/>
      <c r="I56" s="991">
        <v>1006.8484129373202</v>
      </c>
      <c r="J56" s="944"/>
      <c r="K56" s="1024">
        <v>1005.1183621649958</v>
      </c>
      <c r="L56" s="944"/>
      <c r="M56" s="1024">
        <v>1040.0077176729214</v>
      </c>
      <c r="N56" s="944"/>
      <c r="O56" s="991">
        <v>994.06416205393941</v>
      </c>
      <c r="P56" s="944"/>
      <c r="Q56" s="1024">
        <v>1038.8941858267717</v>
      </c>
      <c r="R56" s="944"/>
      <c r="S56" s="1024">
        <v>1062.5425</v>
      </c>
      <c r="T56" s="944"/>
      <c r="U56" s="1024">
        <v>1013.1540797732334</v>
      </c>
      <c r="V56" s="944"/>
      <c r="W56" s="1024">
        <v>1049.961917355372</v>
      </c>
      <c r="X56" s="944"/>
      <c r="Y56" s="1024">
        <v>978.99583503534961</v>
      </c>
      <c r="Z56" s="944"/>
      <c r="AA56" s="1024">
        <v>1210.85948962818</v>
      </c>
      <c r="AB56" s="959"/>
      <c r="AC56" s="953">
        <v>13503.372714477415</v>
      </c>
      <c r="AD56" s="960"/>
      <c r="AE56" s="955">
        <v>1125.2810595397846</v>
      </c>
    </row>
    <row r="57" spans="1:33" ht="19.5" customHeight="1" thickTop="1">
      <c r="A57" s="1471" t="s">
        <v>79</v>
      </c>
      <c r="B57" s="1473" t="s">
        <v>82</v>
      </c>
      <c r="C57" s="939" t="s">
        <v>75</v>
      </c>
      <c r="D57" s="939">
        <v>1168</v>
      </c>
      <c r="E57" s="939">
        <v>18930605373</v>
      </c>
      <c r="F57" s="939">
        <v>1190</v>
      </c>
      <c r="G57" s="939">
        <v>9341521068</v>
      </c>
      <c r="H57" s="939">
        <v>1246</v>
      </c>
      <c r="I57" s="939">
        <v>11451379713</v>
      </c>
      <c r="J57" s="939">
        <v>1250</v>
      </c>
      <c r="K57" s="939">
        <v>11804899336</v>
      </c>
      <c r="L57" s="939">
        <v>1228</v>
      </c>
      <c r="M57" s="939">
        <v>12868328541</v>
      </c>
      <c r="N57" s="939">
        <v>1208</v>
      </c>
      <c r="O57" s="939">
        <v>11321035863</v>
      </c>
      <c r="P57" s="940">
        <v>1214</v>
      </c>
      <c r="Q57" s="939">
        <v>13738929935</v>
      </c>
      <c r="R57" s="940">
        <v>1222</v>
      </c>
      <c r="S57" s="939">
        <v>14346702094</v>
      </c>
      <c r="T57" s="940">
        <v>1267</v>
      </c>
      <c r="U57" s="939">
        <v>14301202514</v>
      </c>
      <c r="V57" s="940">
        <v>1291</v>
      </c>
      <c r="W57" s="939">
        <v>15090968349</v>
      </c>
      <c r="X57" s="939">
        <v>1289</v>
      </c>
      <c r="Y57" s="939">
        <v>13189360325</v>
      </c>
      <c r="Z57" s="939">
        <v>1301</v>
      </c>
      <c r="AA57" s="939">
        <v>15450930427</v>
      </c>
      <c r="AB57" s="948">
        <v>14874</v>
      </c>
      <c r="AC57" s="949">
        <v>161835863538</v>
      </c>
      <c r="AD57" s="949">
        <v>1239.5</v>
      </c>
      <c r="AE57" s="950">
        <v>13486321961.5</v>
      </c>
    </row>
    <row r="58" spans="1:33" ht="19.5" customHeight="1">
      <c r="A58" s="1471"/>
      <c r="B58" s="1473"/>
      <c r="C58" s="941" t="s">
        <v>76</v>
      </c>
      <c r="D58" s="942"/>
      <c r="E58" s="989">
        <v>771890.12733944959</v>
      </c>
      <c r="F58" s="942"/>
      <c r="G58" s="992">
        <v>377130.44279370207</v>
      </c>
      <c r="H58" s="942"/>
      <c r="I58" s="992">
        <v>459617.88934376882</v>
      </c>
      <c r="J58" s="942"/>
      <c r="K58" s="942">
        <v>464120.28055828583</v>
      </c>
      <c r="L58" s="942"/>
      <c r="M58" s="942">
        <v>505155.39534427261</v>
      </c>
      <c r="N58" s="942"/>
      <c r="O58" s="942">
        <v>444432.766576375</v>
      </c>
      <c r="P58" s="942"/>
      <c r="Q58" s="942">
        <v>540902.75334645668</v>
      </c>
      <c r="R58" s="942"/>
      <c r="S58" s="942">
        <v>573868.08375999995</v>
      </c>
      <c r="T58" s="942"/>
      <c r="U58" s="942">
        <v>579113.28260781534</v>
      </c>
      <c r="V58" s="942"/>
      <c r="W58" s="942">
        <v>593898.79374262097</v>
      </c>
      <c r="X58" s="942"/>
      <c r="Y58" s="942">
        <v>518042.43224666145</v>
      </c>
      <c r="Z58" s="942"/>
      <c r="AA58" s="942">
        <v>604733.08911937382</v>
      </c>
      <c r="AB58" s="961"/>
      <c r="AC58" s="962">
        <v>6432905.3367787823</v>
      </c>
      <c r="AD58" s="962"/>
      <c r="AE58" s="963">
        <v>536075.44473156519</v>
      </c>
    </row>
    <row r="59" spans="1:33" ht="19.5" customHeight="1">
      <c r="A59" s="1471"/>
      <c r="B59" s="1474" t="s">
        <v>89</v>
      </c>
      <c r="C59" s="948" t="s">
        <v>75</v>
      </c>
      <c r="D59" s="948"/>
      <c r="E59" s="948">
        <v>16207710.079623288</v>
      </c>
      <c r="F59" s="948"/>
      <c r="G59" s="948">
        <v>7850017.7042016806</v>
      </c>
      <c r="H59" s="948"/>
      <c r="I59" s="948">
        <v>9190513.4133226331</v>
      </c>
      <c r="J59" s="948"/>
      <c r="K59" s="948">
        <v>9443919.4688000008</v>
      </c>
      <c r="L59" s="948"/>
      <c r="M59" s="948">
        <v>10479094.903094463</v>
      </c>
      <c r="N59" s="948"/>
      <c r="O59" s="948">
        <v>9371718.4296357613</v>
      </c>
      <c r="P59" s="948"/>
      <c r="Q59" s="948">
        <v>11317075.728995057</v>
      </c>
      <c r="R59" s="948"/>
      <c r="S59" s="948">
        <v>11740345.412438625</v>
      </c>
      <c r="T59" s="948"/>
      <c r="U59" s="948">
        <v>11287452.655090766</v>
      </c>
      <c r="V59" s="948"/>
      <c r="W59" s="948">
        <v>11689363.554608831</v>
      </c>
      <c r="X59" s="948"/>
      <c r="Y59" s="948">
        <v>10232242.300232738</v>
      </c>
      <c r="Z59" s="948"/>
      <c r="AA59" s="948">
        <v>11876195.56264412</v>
      </c>
      <c r="AB59" s="948"/>
      <c r="AC59" s="949">
        <v>130685649.21268798</v>
      </c>
      <c r="AD59" s="949"/>
      <c r="AE59" s="950">
        <v>10890470.767723998</v>
      </c>
    </row>
    <row r="60" spans="1:33" ht="19.5" customHeight="1" thickBot="1">
      <c r="A60" s="1472"/>
      <c r="B60" s="1475"/>
      <c r="C60" s="951" t="s">
        <v>76</v>
      </c>
      <c r="D60" s="952"/>
      <c r="E60" s="990">
        <v>660.86483505089859</v>
      </c>
      <c r="F60" s="952"/>
      <c r="G60" s="990">
        <v>316.91633848210256</v>
      </c>
      <c r="H60" s="952"/>
      <c r="I60" s="990">
        <v>368.87471054877113</v>
      </c>
      <c r="J60" s="952"/>
      <c r="K60" s="1025">
        <v>371.29622444662868</v>
      </c>
      <c r="L60" s="952"/>
      <c r="M60" s="1025">
        <v>411.36432845624807</v>
      </c>
      <c r="N60" s="952"/>
      <c r="O60" s="990">
        <v>367.9079193513038</v>
      </c>
      <c r="P60" s="952"/>
      <c r="Q60" s="1025">
        <v>445.55416255886053</v>
      </c>
      <c r="R60" s="952"/>
      <c r="S60" s="1025">
        <v>469.61381649754503</v>
      </c>
      <c r="T60" s="952"/>
      <c r="U60" s="1025">
        <v>457.07441405510292</v>
      </c>
      <c r="V60" s="952"/>
      <c r="W60" s="1025">
        <v>460.03004937460963</v>
      </c>
      <c r="X60" s="952"/>
      <c r="Y60" s="1025">
        <v>401.89482718903133</v>
      </c>
      <c r="Z60" s="952"/>
      <c r="AA60" s="1025">
        <v>464.82174413479925</v>
      </c>
      <c r="AB60" s="952"/>
      <c r="AC60" s="953">
        <v>5196.2133701459024</v>
      </c>
      <c r="AD60" s="954"/>
      <c r="AE60" s="955">
        <v>433.01778084549187</v>
      </c>
    </row>
    <row r="61" spans="1:33" ht="96.75" customHeight="1" thickTop="1">
      <c r="D61" s="1513" t="s">
        <v>669</v>
      </c>
      <c r="E61" s="1514"/>
      <c r="G61" s="994" t="s">
        <v>668</v>
      </c>
      <c r="I61" s="1026" t="s">
        <v>660</v>
      </c>
      <c r="K61" s="1026" t="s">
        <v>667</v>
      </c>
      <c r="M61" s="1026" t="s">
        <v>670</v>
      </c>
      <c r="O61" s="1026" t="s">
        <v>683</v>
      </c>
      <c r="Q61" s="1026" t="s">
        <v>689</v>
      </c>
      <c r="S61" s="1026" t="s">
        <v>700</v>
      </c>
      <c r="U61" s="1026" t="s">
        <v>720</v>
      </c>
      <c r="W61" s="1070" t="s">
        <v>722</v>
      </c>
      <c r="Y61" s="1026" t="s">
        <v>735</v>
      </c>
      <c r="AA61" s="1026" t="s">
        <v>740</v>
      </c>
      <c r="AB61" s="476"/>
      <c r="AC61" s="652"/>
      <c r="AD61" s="476"/>
      <c r="AG61" s="652"/>
    </row>
    <row r="62" spans="1:33" ht="13.5" hidden="1" thickBot="1">
      <c r="E62">
        <v>25</v>
      </c>
      <c r="G62">
        <v>15</v>
      </c>
      <c r="I62">
        <v>26</v>
      </c>
      <c r="K62">
        <v>23</v>
      </c>
      <c r="M62">
        <v>26</v>
      </c>
      <c r="O62">
        <v>25</v>
      </c>
      <c r="Q62">
        <v>27</v>
      </c>
      <c r="S62">
        <v>27</v>
      </c>
      <c r="U62">
        <v>25</v>
      </c>
      <c r="AC62">
        <f>SUM(D62:U62)</f>
        <v>219</v>
      </c>
      <c r="AG62" s="652"/>
    </row>
    <row r="63" spans="1:33" s="945" customFormat="1" ht="21.75" hidden="1" customHeight="1" thickTop="1" thickBot="1">
      <c r="A63" s="1488" t="str">
        <f>+A38</f>
        <v>CONTENT 2024</v>
      </c>
      <c r="B63" s="1489"/>
      <c r="C63" s="477"/>
      <c r="D63" s="719" t="s">
        <v>63</v>
      </c>
      <c r="E63" s="719" t="s">
        <v>650</v>
      </c>
      <c r="F63" s="719" t="s">
        <v>64</v>
      </c>
      <c r="G63" s="719" t="str">
        <f>+F63&amp;" Vs "&amp;D63</f>
        <v>Feb Vs Jan</v>
      </c>
      <c r="H63" s="719" t="s">
        <v>65</v>
      </c>
      <c r="I63" s="719" t="str">
        <f>+H63&amp;" Vs "&amp;F63</f>
        <v>Mar Vs Feb</v>
      </c>
      <c r="J63" s="719" t="s">
        <v>66</v>
      </c>
      <c r="K63" s="719" t="str">
        <f>+J63&amp;" Vs "&amp;H63</f>
        <v>Apr Vs Mar</v>
      </c>
      <c r="L63" s="719" t="s">
        <v>67</v>
      </c>
      <c r="M63" s="719" t="str">
        <f>+L63&amp;" Vs "&amp;J63</f>
        <v>May Vs Apr</v>
      </c>
      <c r="N63" s="719" t="s">
        <v>68</v>
      </c>
      <c r="O63" s="719" t="str">
        <f>+N63&amp;" Vs "&amp;L63</f>
        <v>Jun Vs May</v>
      </c>
      <c r="P63" s="719" t="s">
        <v>69</v>
      </c>
      <c r="Q63" s="719" t="str">
        <f>+P63&amp;" Vs "&amp;N63</f>
        <v>Jul Vs Jun</v>
      </c>
      <c r="R63" s="719" t="s">
        <v>70</v>
      </c>
      <c r="S63" s="719" t="str">
        <f>+R63&amp;" Vs "&amp;P63</f>
        <v>Aug Vs Jul</v>
      </c>
      <c r="T63" s="719" t="s">
        <v>71</v>
      </c>
      <c r="U63" s="719" t="str">
        <f>+T63&amp;" Vs "&amp;R63</f>
        <v>Sep Vs Aug</v>
      </c>
      <c r="V63" s="719" t="s">
        <v>72</v>
      </c>
      <c r="W63" s="719" t="str">
        <f>+V63&amp;" Vs "&amp;T63</f>
        <v>Oct Vs Sep</v>
      </c>
      <c r="X63" s="719" t="s">
        <v>73</v>
      </c>
      <c r="Y63" s="719" t="str">
        <f>+X63&amp;" Vs "&amp;V63</f>
        <v>Nov Vs Oct</v>
      </c>
      <c r="Z63" s="719" t="s">
        <v>74</v>
      </c>
      <c r="AA63" s="719" t="str">
        <f>+Z63&amp;" Vs "&amp;X63</f>
        <v>Dec Vs Nov</v>
      </c>
      <c r="AB63" s="1478" t="s">
        <v>647</v>
      </c>
      <c r="AC63" s="1479"/>
      <c r="AD63" s="1480" t="s">
        <v>648</v>
      </c>
      <c r="AE63" s="1481"/>
      <c r="AG63" s="1057"/>
    </row>
    <row r="64" spans="1:33" s="945" customFormat="1" ht="21.75" hidden="1" customHeight="1" thickTop="1">
      <c r="A64" s="1490" t="s">
        <v>315</v>
      </c>
      <c r="B64" s="1490"/>
      <c r="C64" s="629" t="s">
        <v>428</v>
      </c>
      <c r="D64" s="720">
        <v>27859.799999999992</v>
      </c>
      <c r="E64" s="819">
        <f>+D64/Z98-1</f>
        <v>-1.3578441612701497E-2</v>
      </c>
      <c r="F64" s="721">
        <v>16240.3</v>
      </c>
      <c r="G64" s="819">
        <f>+F64/D64-1</f>
        <v>-0.41707047430347655</v>
      </c>
      <c r="H64" s="721">
        <v>29883.4</v>
      </c>
      <c r="I64" s="819">
        <f>+H64/F64-1</f>
        <v>0.8400768458710739</v>
      </c>
      <c r="J64" s="721">
        <v>26772.500000000004</v>
      </c>
      <c r="K64" s="819">
        <f>+J64/H64-1</f>
        <v>-0.10410127361679056</v>
      </c>
      <c r="L64" s="721">
        <v>29857.399999999998</v>
      </c>
      <c r="M64" s="819">
        <f>+L64/J64-1</f>
        <v>0.11522644504622259</v>
      </c>
      <c r="N64" s="722">
        <v>28259.199999999993</v>
      </c>
      <c r="O64" s="819">
        <f>+N64/L64-1</f>
        <v>-5.3527768660365793E-2</v>
      </c>
      <c r="P64" s="720">
        <v>30516.799999999992</v>
      </c>
      <c r="Q64" s="819">
        <f>+P64/N64-1</f>
        <v>7.988902729022751E-2</v>
      </c>
      <c r="R64" s="722">
        <v>30866.2</v>
      </c>
      <c r="S64" s="819">
        <f>+R64/P64-1</f>
        <v>1.1449431133015553E-2</v>
      </c>
      <c r="T64" s="720">
        <v>26807.200000000001</v>
      </c>
      <c r="U64" s="819">
        <f>+T64/R64-1</f>
        <v>-0.13150306808094292</v>
      </c>
      <c r="V64" s="720">
        <v>32358.6</v>
      </c>
      <c r="W64" s="819">
        <f>+V64/T64-1</f>
        <v>0.20708615595810076</v>
      </c>
      <c r="X64" s="720">
        <v>31241.900000000009</v>
      </c>
      <c r="Y64" s="819">
        <f>+X64/V64-1</f>
        <v>-3.4510145679973458E-2</v>
      </c>
      <c r="Z64" s="720">
        <v>31259.699999999986</v>
      </c>
      <c r="AA64" s="819">
        <f>+Z64/X64-1</f>
        <v>5.6974767859752085E-4</v>
      </c>
      <c r="AB64" s="1461">
        <f>SUM(D64,F64,H64,J64,L64,N64,P64,R64,T64,V64,X64,Z64)</f>
        <v>341923</v>
      </c>
      <c r="AC64" s="1462"/>
      <c r="AD64" s="1459">
        <f>+AVERAGE(D64,F64,H64,J64,L64,N64,P64,R64,T64,V64,X64,Z64)</f>
        <v>28493.583333333332</v>
      </c>
      <c r="AE64" s="1460"/>
      <c r="AF64" s="1033"/>
      <c r="AG64" s="1057"/>
    </row>
    <row r="65" spans="1:33" s="945" customFormat="1" ht="21.75" hidden="1" customHeight="1">
      <c r="A65" s="1491" t="s">
        <v>308</v>
      </c>
      <c r="B65" s="1491"/>
      <c r="C65" s="630" t="s">
        <v>428</v>
      </c>
      <c r="D65" s="720">
        <v>2256</v>
      </c>
      <c r="E65" s="819">
        <f>+D65/Z99-1</f>
        <v>0.24366041896361623</v>
      </c>
      <c r="F65" s="721">
        <v>8965</v>
      </c>
      <c r="G65" s="819">
        <f t="shared" ref="G65:O70" si="27">+F65/D65-1</f>
        <v>2.9738475177304964</v>
      </c>
      <c r="H65" s="721">
        <v>52</v>
      </c>
      <c r="I65" s="819">
        <f t="shared" si="27"/>
        <v>-0.99419966536530957</v>
      </c>
      <c r="J65" s="721">
        <v>3784</v>
      </c>
      <c r="K65" s="819">
        <f t="shared" si="27"/>
        <v>71.769230769230774</v>
      </c>
      <c r="L65" s="721">
        <v>1268</v>
      </c>
      <c r="M65" s="819">
        <f t="shared" si="27"/>
        <v>-0.66490486257928116</v>
      </c>
      <c r="N65" s="722">
        <v>534</v>
      </c>
      <c r="O65" s="819">
        <f t="shared" si="27"/>
        <v>-0.57886435331230279</v>
      </c>
      <c r="P65" s="720">
        <v>517</v>
      </c>
      <c r="Q65" s="819">
        <f t="shared" ref="Q65" si="28">+P65/N65-1</f>
        <v>-3.183520599250933E-2</v>
      </c>
      <c r="R65" s="722">
        <v>569</v>
      </c>
      <c r="S65" s="819">
        <f>+R65/P65-1</f>
        <v>0.10058027079303677</v>
      </c>
      <c r="T65" s="720">
        <v>2949</v>
      </c>
      <c r="U65" s="819">
        <f>+T65/R65-1</f>
        <v>4.182776801405975</v>
      </c>
      <c r="V65" s="720">
        <v>731</v>
      </c>
      <c r="W65" s="819">
        <f>+V65/T65-1</f>
        <v>-0.75211936249576128</v>
      </c>
      <c r="X65" s="720">
        <v>874</v>
      </c>
      <c r="Y65" s="819">
        <f>+X65/V65-1</f>
        <v>0.19562243502051979</v>
      </c>
      <c r="Z65" s="720">
        <v>840</v>
      </c>
      <c r="AA65" s="819">
        <f>+Z65/X65-1</f>
        <v>-3.8901601830663601E-2</v>
      </c>
      <c r="AB65" s="1461">
        <f t="shared" ref="AB65:AB70" si="29">SUM(D65,F65,H65,J65,L65,N65,P65,R65,T65,V65,X65,Z65)</f>
        <v>23339</v>
      </c>
      <c r="AC65" s="1462"/>
      <c r="AD65" s="1459">
        <f t="shared" ref="AD65:AD70" si="30">+AVERAGE(D65,F65,H65,J65,L65,N65,P65,R65,T65,V65,X65,Z65)</f>
        <v>1944.9166666666667</v>
      </c>
      <c r="AE65" s="1460"/>
      <c r="AF65" s="1033"/>
      <c r="AG65" s="1057"/>
    </row>
    <row r="66" spans="1:33" s="945" customFormat="1" ht="21.75" hidden="1" customHeight="1">
      <c r="A66" s="1491" t="s">
        <v>309</v>
      </c>
      <c r="B66" s="1491"/>
      <c r="C66" s="630" t="s">
        <v>428</v>
      </c>
      <c r="D66" s="720">
        <v>0</v>
      </c>
      <c r="E66" s="819">
        <f>+D66/Z100-1</f>
        <v>-1</v>
      </c>
      <c r="F66" s="721"/>
      <c r="G66" s="819"/>
      <c r="H66" s="721"/>
      <c r="I66" s="819"/>
      <c r="J66" s="721"/>
      <c r="K66" s="819"/>
      <c r="L66" s="721"/>
      <c r="M66" s="819"/>
      <c r="N66" s="722"/>
      <c r="O66" s="819"/>
      <c r="P66" s="720"/>
      <c r="Q66" s="819"/>
      <c r="R66" s="722"/>
      <c r="S66" s="819"/>
      <c r="T66" s="720"/>
      <c r="U66" s="819"/>
      <c r="V66" s="720"/>
      <c r="W66" s="819"/>
      <c r="X66" s="720"/>
      <c r="Y66" s="819"/>
      <c r="Z66" s="720">
        <v>5582.8060167836938</v>
      </c>
      <c r="AA66" s="819"/>
      <c r="AB66" s="1461">
        <f t="shared" si="29"/>
        <v>5582.8060167836938</v>
      </c>
      <c r="AC66" s="1462"/>
      <c r="AD66" s="1459">
        <f t="shared" si="30"/>
        <v>2791.4030083918469</v>
      </c>
      <c r="AE66" s="1460"/>
    </row>
    <row r="67" spans="1:33" s="945" customFormat="1" ht="21.75" hidden="1" customHeight="1">
      <c r="A67" s="1492" t="s">
        <v>310</v>
      </c>
      <c r="B67" s="1492"/>
      <c r="C67" s="630" t="s">
        <v>429</v>
      </c>
      <c r="D67" s="720">
        <v>2821</v>
      </c>
      <c r="E67" s="819">
        <f>+D67/Z101-1</f>
        <v>4.8309178743961345E-2</v>
      </c>
      <c r="F67" s="721">
        <v>663</v>
      </c>
      <c r="G67" s="819">
        <f t="shared" si="27"/>
        <v>-0.76497695852534564</v>
      </c>
      <c r="H67" s="721">
        <v>3703.3</v>
      </c>
      <c r="I67" s="819">
        <f t="shared" si="27"/>
        <v>4.5856711915535451</v>
      </c>
      <c r="J67" s="721">
        <v>3969.6</v>
      </c>
      <c r="K67" s="819">
        <f t="shared" si="27"/>
        <v>7.1908838063348801E-2</v>
      </c>
      <c r="L67" s="721">
        <v>4824.6000000000004</v>
      </c>
      <c r="M67" s="819">
        <f t="shared" si="27"/>
        <v>0.21538694074969778</v>
      </c>
      <c r="N67" s="722">
        <v>4152.7</v>
      </c>
      <c r="O67" s="819">
        <f t="shared" si="27"/>
        <v>-0.13926543133109492</v>
      </c>
      <c r="P67" s="720">
        <v>5458.5</v>
      </c>
      <c r="Q67" s="819">
        <f t="shared" ref="Q67" si="31">+P67/N67-1</f>
        <v>0.31444602306932845</v>
      </c>
      <c r="R67" s="722">
        <v>4601.5</v>
      </c>
      <c r="S67" s="819">
        <f>+R67/P67-1</f>
        <v>-0.15700283960795092</v>
      </c>
      <c r="T67" s="720">
        <v>4913</v>
      </c>
      <c r="U67" s="819">
        <f>+T67/R67-1</f>
        <v>6.7695316744539769E-2</v>
      </c>
      <c r="V67" s="720">
        <v>4541.5</v>
      </c>
      <c r="W67" s="819">
        <f>+V67/T67-1</f>
        <v>-7.5615713413393015E-2</v>
      </c>
      <c r="X67" s="720">
        <v>4525</v>
      </c>
      <c r="Y67" s="819">
        <f>+X67/V67-1</f>
        <v>-3.6331608499394763E-3</v>
      </c>
      <c r="Z67" s="720">
        <v>5034.5</v>
      </c>
      <c r="AA67" s="819">
        <f>+Z67/X67-1</f>
        <v>0.11259668508287302</v>
      </c>
      <c r="AB67" s="1461">
        <f t="shared" si="29"/>
        <v>49208.2</v>
      </c>
      <c r="AC67" s="1462"/>
      <c r="AD67" s="1459">
        <f t="shared" si="30"/>
        <v>4100.6833333333334</v>
      </c>
      <c r="AE67" s="1460"/>
    </row>
    <row r="68" spans="1:33" s="945" customFormat="1" ht="21.75" hidden="1" customHeight="1">
      <c r="A68" s="1502" t="s">
        <v>311</v>
      </c>
      <c r="B68" s="1502"/>
      <c r="C68" s="630" t="s">
        <v>429</v>
      </c>
      <c r="D68" s="720">
        <v>26626.799999999999</v>
      </c>
      <c r="E68" s="819">
        <f>+D68/Z102-1</f>
        <v>0.84306776493389624</v>
      </c>
      <c r="F68" s="721">
        <v>10713</v>
      </c>
      <c r="G68" s="819">
        <f t="shared" si="27"/>
        <v>-0.59766100319978366</v>
      </c>
      <c r="H68" s="721">
        <v>28778.5</v>
      </c>
      <c r="I68" s="819">
        <f t="shared" si="27"/>
        <v>1.6863156912162793</v>
      </c>
      <c r="J68" s="721">
        <v>34495</v>
      </c>
      <c r="K68" s="819">
        <f t="shared" si="27"/>
        <v>0.19863787202251681</v>
      </c>
      <c r="L68" s="721">
        <v>52607.5</v>
      </c>
      <c r="M68" s="819">
        <f>+L68/J68-1</f>
        <v>0.52507609798521515</v>
      </c>
      <c r="N68" s="722">
        <v>24156.5</v>
      </c>
      <c r="O68" s="819">
        <f>+N68/L68-1</f>
        <v>-0.54081642351375758</v>
      </c>
      <c r="P68" s="720">
        <v>55532.5</v>
      </c>
      <c r="Q68" s="819">
        <f>+P68/N68-1</f>
        <v>1.2988636598845029</v>
      </c>
      <c r="R68" s="722">
        <v>65017.5</v>
      </c>
      <c r="S68" s="819">
        <f>+R68/P68-1</f>
        <v>0.17080088236618196</v>
      </c>
      <c r="T68" s="720">
        <v>68153.5</v>
      </c>
      <c r="U68" s="819">
        <f>+T68/R68-1</f>
        <v>4.8233167993232628E-2</v>
      </c>
      <c r="V68" s="720">
        <v>75219.5</v>
      </c>
      <c r="W68" s="819">
        <f>+V68/T68-1</f>
        <v>0.10367772748281445</v>
      </c>
      <c r="X68" s="720">
        <v>46734.5</v>
      </c>
      <c r="Y68" s="819">
        <f>+X68/V68-1</f>
        <v>-0.37869169563743443</v>
      </c>
      <c r="Z68" s="720">
        <v>54720.5</v>
      </c>
      <c r="AA68" s="819">
        <f>+Z68/X68-1</f>
        <v>0.17088018487412948</v>
      </c>
      <c r="AB68" s="1461">
        <f t="shared" si="29"/>
        <v>542755.30000000005</v>
      </c>
      <c r="AC68" s="1462"/>
      <c r="AD68" s="1459">
        <f t="shared" si="30"/>
        <v>45229.608333333337</v>
      </c>
      <c r="AE68" s="1460"/>
    </row>
    <row r="69" spans="1:33" s="945" customFormat="1" ht="21.75" hidden="1" customHeight="1">
      <c r="A69" s="1502" t="s">
        <v>312</v>
      </c>
      <c r="B69" s="1502"/>
      <c r="C69" s="630" t="s">
        <v>429</v>
      </c>
      <c r="D69" s="720">
        <v>228.5</v>
      </c>
      <c r="E69" s="972"/>
      <c r="F69" s="721">
        <v>8</v>
      </c>
      <c r="G69" s="819">
        <f t="shared" si="27"/>
        <v>-0.96498905908096277</v>
      </c>
      <c r="H69" s="721">
        <v>526.5</v>
      </c>
      <c r="I69" s="819">
        <f t="shared" si="27"/>
        <v>64.8125</v>
      </c>
      <c r="J69" s="721">
        <v>207.5</v>
      </c>
      <c r="K69" s="819">
        <f t="shared" si="27"/>
        <v>-0.6058879392212726</v>
      </c>
      <c r="L69" s="721">
        <v>218.5</v>
      </c>
      <c r="M69" s="819">
        <f t="shared" si="27"/>
        <v>5.3012048192771166E-2</v>
      </c>
      <c r="N69" s="722">
        <v>501.5</v>
      </c>
      <c r="O69" s="819">
        <f t="shared" si="27"/>
        <v>1.2951945080091534</v>
      </c>
      <c r="P69" s="720">
        <v>1510</v>
      </c>
      <c r="Q69" s="819">
        <f t="shared" ref="Q69:AA70" si="32">+P69/N69-1</f>
        <v>2.0109670987038881</v>
      </c>
      <c r="R69" s="722">
        <v>1967.5</v>
      </c>
      <c r="S69" s="819">
        <f t="shared" si="32"/>
        <v>0.30298013245033117</v>
      </c>
      <c r="T69" s="720">
        <v>2810</v>
      </c>
      <c r="U69" s="819">
        <f t="shared" si="32"/>
        <v>0.4282083862770012</v>
      </c>
      <c r="V69" s="720">
        <v>2399</v>
      </c>
      <c r="W69" s="819">
        <f t="shared" si="32"/>
        <v>-0.14626334519572959</v>
      </c>
      <c r="X69" s="720">
        <v>144</v>
      </c>
      <c r="Y69" s="819">
        <f t="shared" si="32"/>
        <v>-0.93997498957899128</v>
      </c>
      <c r="Z69" s="720">
        <v>98.5</v>
      </c>
      <c r="AA69" s="819">
        <f t="shared" si="32"/>
        <v>-0.31597222222222221</v>
      </c>
      <c r="AB69" s="1461">
        <f t="shared" si="29"/>
        <v>10619.5</v>
      </c>
      <c r="AC69" s="1462"/>
      <c r="AD69" s="1459">
        <f t="shared" si="30"/>
        <v>884.95833333333337</v>
      </c>
      <c r="AE69" s="1460"/>
    </row>
    <row r="70" spans="1:33" s="945" customFormat="1" ht="21.75" hidden="1" customHeight="1">
      <c r="A70" s="1502" t="s">
        <v>313</v>
      </c>
      <c r="B70" s="1502"/>
      <c r="C70" s="630" t="s">
        <v>429</v>
      </c>
      <c r="D70" s="720">
        <v>202</v>
      </c>
      <c r="E70" s="819">
        <f>+D70/Z104-1</f>
        <v>0.77192982456140347</v>
      </c>
      <c r="F70" s="721">
        <v>4</v>
      </c>
      <c r="G70" s="819">
        <f t="shared" si="27"/>
        <v>-0.98019801980198018</v>
      </c>
      <c r="H70" s="721">
        <v>156</v>
      </c>
      <c r="I70" s="819">
        <f t="shared" si="27"/>
        <v>38</v>
      </c>
      <c r="J70" s="721">
        <v>306</v>
      </c>
      <c r="K70" s="819">
        <f t="shared" si="27"/>
        <v>0.96153846153846145</v>
      </c>
      <c r="L70" s="721">
        <v>882</v>
      </c>
      <c r="M70" s="819">
        <f t="shared" si="27"/>
        <v>1.8823529411764706</v>
      </c>
      <c r="N70" s="722">
        <v>223</v>
      </c>
      <c r="O70" s="819">
        <f t="shared" si="27"/>
        <v>-0.74716553287981857</v>
      </c>
      <c r="P70" s="720">
        <v>1068</v>
      </c>
      <c r="Q70" s="819">
        <f t="shared" si="32"/>
        <v>3.7892376681614346</v>
      </c>
      <c r="R70" s="722">
        <v>620</v>
      </c>
      <c r="S70" s="819">
        <f t="shared" si="32"/>
        <v>-0.41947565543071164</v>
      </c>
      <c r="T70" s="720">
        <v>661</v>
      </c>
      <c r="U70" s="819">
        <f t="shared" si="32"/>
        <v>6.6129032258064546E-2</v>
      </c>
      <c r="V70" s="720">
        <v>498.5</v>
      </c>
      <c r="W70" s="819">
        <f t="shared" si="32"/>
        <v>-0.24583963691376698</v>
      </c>
      <c r="X70" s="720">
        <v>314.5</v>
      </c>
      <c r="Y70" s="819">
        <f t="shared" si="32"/>
        <v>-0.36910732196589768</v>
      </c>
      <c r="Z70" s="720">
        <v>440</v>
      </c>
      <c r="AA70" s="819">
        <f t="shared" si="32"/>
        <v>0.39904610492845793</v>
      </c>
      <c r="AB70" s="1461">
        <f t="shared" si="29"/>
        <v>5375</v>
      </c>
      <c r="AC70" s="1462"/>
      <c r="AD70" s="1459">
        <f t="shared" si="30"/>
        <v>447.91666666666669</v>
      </c>
      <c r="AE70" s="1460"/>
    </row>
    <row r="71" spans="1:33" s="945" customFormat="1" ht="21.75" hidden="1" customHeight="1">
      <c r="A71" s="1502" t="s">
        <v>172</v>
      </c>
      <c r="B71" s="1502"/>
      <c r="C71" s="630"/>
      <c r="D71" s="720"/>
      <c r="E71" s="819"/>
      <c r="F71" s="721"/>
      <c r="G71" s="819"/>
      <c r="H71" s="721"/>
      <c r="I71" s="819"/>
      <c r="J71" s="721"/>
      <c r="K71" s="819"/>
      <c r="L71" s="721"/>
      <c r="M71" s="819"/>
      <c r="N71" s="722"/>
      <c r="O71" s="819"/>
      <c r="P71" s="720"/>
      <c r="Q71" s="819"/>
      <c r="R71" s="722"/>
      <c r="S71" s="819"/>
      <c r="T71" s="720"/>
      <c r="U71" s="819"/>
      <c r="V71" s="720">
        <v>16.5</v>
      </c>
      <c r="W71" s="819"/>
      <c r="X71" s="720">
        <v>0</v>
      </c>
      <c r="Y71" s="819"/>
      <c r="Z71" s="720"/>
      <c r="AA71" s="819"/>
      <c r="AB71" s="1461"/>
      <c r="AC71" s="1462"/>
      <c r="AD71" s="1459"/>
      <c r="AE71" s="1460"/>
    </row>
    <row r="72" spans="1:33" s="945" customFormat="1" ht="21.75" hidden="1" customHeight="1">
      <c r="A72" s="1502" t="s">
        <v>173</v>
      </c>
      <c r="B72" s="1502"/>
      <c r="C72" s="630"/>
      <c r="D72" s="720"/>
      <c r="E72" s="819"/>
      <c r="F72" s="721"/>
      <c r="G72" s="819"/>
      <c r="H72" s="721"/>
      <c r="I72" s="819"/>
      <c r="J72" s="721"/>
      <c r="K72" s="819"/>
      <c r="L72" s="721"/>
      <c r="M72" s="819"/>
      <c r="N72" s="722"/>
      <c r="O72" s="819"/>
      <c r="P72" s="720"/>
      <c r="Q72" s="819"/>
      <c r="R72" s="722"/>
      <c r="S72" s="819"/>
      <c r="T72" s="720"/>
      <c r="U72" s="819"/>
      <c r="V72" s="720"/>
      <c r="W72" s="819"/>
      <c r="X72" s="720"/>
      <c r="Y72" s="819"/>
      <c r="Z72" s="720"/>
      <c r="AA72" s="819"/>
      <c r="AB72" s="1461"/>
      <c r="AC72" s="1462"/>
      <c r="AD72" s="1459"/>
      <c r="AE72" s="1460"/>
    </row>
    <row r="74" spans="1:33" ht="16.5" thickBot="1">
      <c r="A74" s="82" t="s">
        <v>649</v>
      </c>
      <c r="B74" s="211"/>
      <c r="C74" s="82"/>
      <c r="D74" s="82"/>
      <c r="E74" s="82">
        <v>23570</v>
      </c>
      <c r="F74" s="82"/>
      <c r="G74" s="82">
        <v>23895</v>
      </c>
      <c r="H74" s="82"/>
      <c r="I74" s="82">
        <v>23585</v>
      </c>
      <c r="J74" s="82"/>
      <c r="K74" s="82">
        <v>23580</v>
      </c>
      <c r="L74" s="82"/>
      <c r="M74" s="82">
        <v>23610</v>
      </c>
      <c r="N74" s="82"/>
      <c r="O74" s="82">
        <v>23700</v>
      </c>
      <c r="P74" s="82"/>
      <c r="Q74" s="82">
        <v>23805</v>
      </c>
      <c r="R74" s="82"/>
      <c r="S74" s="82">
        <v>24180</v>
      </c>
      <c r="T74" s="82"/>
      <c r="U74" s="82">
        <v>24450</v>
      </c>
      <c r="V74" s="82"/>
      <c r="W74" s="82">
        <v>24680</v>
      </c>
      <c r="X74" s="82"/>
      <c r="Y74" s="82">
        <v>24380</v>
      </c>
      <c r="Z74" s="82"/>
      <c r="AA74" s="82">
        <v>24350</v>
      </c>
      <c r="AB74" s="82"/>
      <c r="AC74" s="225"/>
      <c r="AD74" s="225"/>
      <c r="AE74" s="225"/>
    </row>
    <row r="75" spans="1:33" ht="18" customHeight="1" thickTop="1" thickBot="1">
      <c r="A75" s="1488" t="s">
        <v>639</v>
      </c>
      <c r="B75" s="1489"/>
      <c r="C75" s="244"/>
      <c r="D75" s="1494">
        <v>44927</v>
      </c>
      <c r="E75" s="1495"/>
      <c r="F75" s="1494">
        <v>44958</v>
      </c>
      <c r="G75" s="1495"/>
      <c r="H75" s="1494">
        <v>44986</v>
      </c>
      <c r="I75" s="1495"/>
      <c r="J75" s="1494">
        <v>45017</v>
      </c>
      <c r="K75" s="1495"/>
      <c r="L75" s="1494">
        <v>45047</v>
      </c>
      <c r="M75" s="1495"/>
      <c r="N75" s="1494">
        <v>45078</v>
      </c>
      <c r="O75" s="1495"/>
      <c r="P75" s="1494">
        <v>45108</v>
      </c>
      <c r="Q75" s="1495"/>
      <c r="R75" s="1494">
        <v>45139</v>
      </c>
      <c r="S75" s="1495"/>
      <c r="T75" s="1494">
        <v>45170</v>
      </c>
      <c r="U75" s="1495"/>
      <c r="V75" s="1494">
        <v>45200</v>
      </c>
      <c r="W75" s="1495"/>
      <c r="X75" s="1494">
        <v>45231</v>
      </c>
      <c r="Y75" s="1495"/>
      <c r="Z75" s="1494">
        <v>45261</v>
      </c>
      <c r="AA75" s="1495"/>
      <c r="AB75" s="1496" t="s">
        <v>490</v>
      </c>
      <c r="AC75" s="1497"/>
      <c r="AD75" s="1498" t="s">
        <v>491</v>
      </c>
      <c r="AE75" s="1499"/>
    </row>
    <row r="76" spans="1:33" ht="17.25" thickTop="1" thickBot="1">
      <c r="A76" s="1515" t="s">
        <v>231</v>
      </c>
      <c r="B76" s="224" t="s">
        <v>82</v>
      </c>
      <c r="C76" s="240"/>
      <c r="D76" s="205">
        <v>456</v>
      </c>
      <c r="E76" s="205">
        <v>4956095214</v>
      </c>
      <c r="F76" s="205">
        <v>458</v>
      </c>
      <c r="G76" s="205">
        <v>3514949504</v>
      </c>
      <c r="H76" s="205">
        <v>447</v>
      </c>
      <c r="I76" s="205">
        <v>3984864006</v>
      </c>
      <c r="J76" s="205">
        <v>437</v>
      </c>
      <c r="K76" s="205">
        <v>3869954778</v>
      </c>
      <c r="L76" s="205">
        <v>410</v>
      </c>
      <c r="M76" s="205">
        <v>3514103431</v>
      </c>
      <c r="N76" s="205">
        <v>397</v>
      </c>
      <c r="O76" s="205">
        <v>3987701477</v>
      </c>
      <c r="P76" s="205">
        <v>394</v>
      </c>
      <c r="Q76" s="205">
        <v>3926271909</v>
      </c>
      <c r="R76" s="205">
        <v>410</v>
      </c>
      <c r="S76" s="205">
        <v>4130210177</v>
      </c>
      <c r="T76" s="205">
        <v>403</v>
      </c>
      <c r="U76" s="205">
        <v>3710606241</v>
      </c>
      <c r="V76" s="205">
        <v>415</v>
      </c>
      <c r="W76" s="205">
        <v>4064538664</v>
      </c>
      <c r="X76" s="205">
        <v>410</v>
      </c>
      <c r="Y76" s="205">
        <v>3356228695</v>
      </c>
      <c r="Z76" s="205">
        <v>436</v>
      </c>
      <c r="AA76" s="205">
        <v>3935826233</v>
      </c>
      <c r="AB76" s="692">
        <v>5073</v>
      </c>
      <c r="AC76" s="693">
        <v>46951350329</v>
      </c>
      <c r="AD76" s="694">
        <v>422.75</v>
      </c>
      <c r="AE76" s="695">
        <v>3912612527.4166665</v>
      </c>
    </row>
    <row r="77" spans="1:33" ht="17.25" thickTop="1" thickBot="1">
      <c r="A77" s="1515"/>
      <c r="B77" s="1516" t="s">
        <v>232</v>
      </c>
      <c r="C77" s="242" t="s">
        <v>75</v>
      </c>
      <c r="D77" s="206"/>
      <c r="E77" s="206">
        <v>10868629.855263159</v>
      </c>
      <c r="F77" s="206"/>
      <c r="G77" s="206">
        <v>7674562.2358078603</v>
      </c>
      <c r="H77" s="206"/>
      <c r="I77" s="206">
        <v>8914684.5771812089</v>
      </c>
      <c r="J77" s="206"/>
      <c r="K77" s="206">
        <v>8855731.7574370708</v>
      </c>
      <c r="L77" s="206"/>
      <c r="M77" s="206">
        <v>8570983.9780487809</v>
      </c>
      <c r="N77" s="206"/>
      <c r="O77" s="206">
        <v>10044588.10327456</v>
      </c>
      <c r="P77" s="206"/>
      <c r="Q77" s="206">
        <v>9965157.1294416245</v>
      </c>
      <c r="R77" s="206"/>
      <c r="S77" s="206">
        <v>10073683.358536586</v>
      </c>
      <c r="T77" s="206"/>
      <c r="U77" s="206">
        <v>9207459.6550868489</v>
      </c>
      <c r="V77" s="206"/>
      <c r="W77" s="206">
        <v>9794069.0698795188</v>
      </c>
      <c r="X77" s="206"/>
      <c r="Y77" s="206">
        <v>8185923.6463414636</v>
      </c>
      <c r="Z77" s="206"/>
      <c r="AA77" s="206">
        <v>9027124.3876146786</v>
      </c>
      <c r="AB77" s="696"/>
      <c r="AC77" s="697">
        <v>111182597.75391336</v>
      </c>
      <c r="AD77" s="698"/>
      <c r="AE77" s="699">
        <v>9265216.4794927817</v>
      </c>
    </row>
    <row r="78" spans="1:33" ht="17.25" thickTop="1" thickBot="1">
      <c r="A78" s="1515"/>
      <c r="B78" s="1516"/>
      <c r="C78" s="241" t="s">
        <v>76</v>
      </c>
      <c r="D78" s="212"/>
      <c r="E78" s="212">
        <v>461.12133454659136</v>
      </c>
      <c r="F78" s="212"/>
      <c r="G78" s="212">
        <v>321.17858279170792</v>
      </c>
      <c r="H78" s="212"/>
      <c r="I78" s="212">
        <v>377.98111414802668</v>
      </c>
      <c r="J78" s="212"/>
      <c r="K78" s="212">
        <v>375.56114323312431</v>
      </c>
      <c r="L78" s="212"/>
      <c r="M78" s="212">
        <v>363.02346370388739</v>
      </c>
      <c r="N78" s="212"/>
      <c r="O78" s="212">
        <v>423.82228283858899</v>
      </c>
      <c r="P78" s="212"/>
      <c r="Q78" s="212">
        <v>418.6161365024837</v>
      </c>
      <c r="R78" s="212"/>
      <c r="S78" s="212">
        <v>416.61221499324176</v>
      </c>
      <c r="T78" s="212"/>
      <c r="U78" s="212">
        <v>376.58321697696721</v>
      </c>
      <c r="V78" s="212"/>
      <c r="W78" s="209">
        <v>396.84234480873255</v>
      </c>
      <c r="X78" s="212"/>
      <c r="Y78" s="212">
        <v>335.76389033394025</v>
      </c>
      <c r="Z78" s="212"/>
      <c r="AA78" s="212">
        <v>370.72379415255352</v>
      </c>
      <c r="AB78" s="700"/>
      <c r="AC78" s="701">
        <v>4637.8295190298459</v>
      </c>
      <c r="AD78" s="702"/>
      <c r="AE78" s="703">
        <v>386.48579325248716</v>
      </c>
    </row>
    <row r="79" spans="1:33" ht="17.25" thickTop="1" thickBot="1">
      <c r="A79" s="1515" t="s">
        <v>233</v>
      </c>
      <c r="B79" s="224" t="s">
        <v>82</v>
      </c>
      <c r="C79" s="240"/>
      <c r="D79" s="205">
        <v>871</v>
      </c>
      <c r="E79" s="205">
        <v>9932340934</v>
      </c>
      <c r="F79" s="205">
        <v>854</v>
      </c>
      <c r="G79" s="205">
        <v>7417074052</v>
      </c>
      <c r="H79" s="205">
        <v>832</v>
      </c>
      <c r="I79" s="205">
        <v>8013007921</v>
      </c>
      <c r="J79" s="205">
        <v>816</v>
      </c>
      <c r="K79" s="205">
        <v>7572240480</v>
      </c>
      <c r="L79" s="205">
        <v>794</v>
      </c>
      <c r="M79" s="205">
        <v>8122825462</v>
      </c>
      <c r="N79" s="205">
        <v>763</v>
      </c>
      <c r="O79" s="205">
        <v>8492277535</v>
      </c>
      <c r="P79" s="205">
        <v>751</v>
      </c>
      <c r="Q79" s="205">
        <v>7755277923</v>
      </c>
      <c r="R79" s="205">
        <v>755</v>
      </c>
      <c r="S79" s="205">
        <v>7921446278</v>
      </c>
      <c r="T79" s="205">
        <v>742</v>
      </c>
      <c r="U79" s="205">
        <v>6850409039</v>
      </c>
      <c r="V79" s="205">
        <v>725</v>
      </c>
      <c r="W79" s="205">
        <v>6717661326</v>
      </c>
      <c r="X79" s="205">
        <v>717</v>
      </c>
      <c r="Y79" s="205">
        <v>6124255828</v>
      </c>
      <c r="Z79" s="205">
        <v>737</v>
      </c>
      <c r="AA79" s="205">
        <v>7246438236</v>
      </c>
      <c r="AB79" s="692">
        <v>9357</v>
      </c>
      <c r="AC79" s="693">
        <v>92165255014</v>
      </c>
      <c r="AD79" s="694">
        <v>779.75</v>
      </c>
      <c r="AE79" s="695">
        <v>7680437917.833333</v>
      </c>
    </row>
    <row r="80" spans="1:33" ht="17.25" thickTop="1" thickBot="1">
      <c r="A80" s="1515"/>
      <c r="B80" s="1509" t="s">
        <v>232</v>
      </c>
      <c r="C80" s="242" t="s">
        <v>75</v>
      </c>
      <c r="D80" s="206"/>
      <c r="E80" s="206">
        <v>11403376.502870264</v>
      </c>
      <c r="F80" s="206"/>
      <c r="G80" s="206">
        <v>8685098.4215456676</v>
      </c>
      <c r="H80" s="206"/>
      <c r="I80" s="206">
        <v>9631019.135817308</v>
      </c>
      <c r="J80" s="206"/>
      <c r="K80" s="206">
        <v>9279706.4705882352</v>
      </c>
      <c r="L80" s="206"/>
      <c r="M80" s="206">
        <v>10230258.768261965</v>
      </c>
      <c r="N80" s="206"/>
      <c r="O80" s="206">
        <v>11130114.724770643</v>
      </c>
      <c r="P80" s="206"/>
      <c r="Q80" s="206">
        <v>10326601.761651132</v>
      </c>
      <c r="R80" s="206"/>
      <c r="S80" s="206">
        <v>10491981.825165562</v>
      </c>
      <c r="T80" s="206"/>
      <c r="U80" s="206">
        <v>9232357.1954177897</v>
      </c>
      <c r="V80" s="206"/>
      <c r="W80" s="206">
        <v>9265739.7599999998</v>
      </c>
      <c r="X80" s="206"/>
      <c r="Y80" s="206">
        <v>8541500.4574616458</v>
      </c>
      <c r="Z80" s="206"/>
      <c r="AA80" s="206">
        <v>9832344.9606512897</v>
      </c>
      <c r="AB80" s="696"/>
      <c r="AC80" s="697">
        <v>118050099.98420151</v>
      </c>
      <c r="AD80" s="698"/>
      <c r="AE80" s="699">
        <v>9837508.3320167903</v>
      </c>
    </row>
    <row r="81" spans="1:31" ht="17.25" thickTop="1" thickBot="1">
      <c r="A81" s="1515"/>
      <c r="B81" s="1509"/>
      <c r="C81" s="243" t="s">
        <v>76</v>
      </c>
      <c r="D81" s="209"/>
      <c r="E81" s="209">
        <v>483.80893096606974</v>
      </c>
      <c r="F81" s="209"/>
      <c r="G81" s="209">
        <v>363.46927899333195</v>
      </c>
      <c r="H81" s="209"/>
      <c r="I81" s="209">
        <v>408.35357794434208</v>
      </c>
      <c r="J81" s="209"/>
      <c r="K81" s="209">
        <v>393.54141096642218</v>
      </c>
      <c r="L81" s="209"/>
      <c r="M81" s="209">
        <v>433.30193851173084</v>
      </c>
      <c r="N81" s="209"/>
      <c r="O81" s="209">
        <v>469.62509387217904</v>
      </c>
      <c r="P81" s="209"/>
      <c r="Q81" s="209">
        <v>433.79969593157455</v>
      </c>
      <c r="R81" s="209"/>
      <c r="S81" s="209">
        <v>433.91157258749223</v>
      </c>
      <c r="T81" s="209"/>
      <c r="U81" s="209">
        <v>377.60152128498117</v>
      </c>
      <c r="V81" s="209"/>
      <c r="W81" s="209">
        <v>375.43516045380875</v>
      </c>
      <c r="X81" s="209"/>
      <c r="Y81" s="209">
        <v>350.34866519530954</v>
      </c>
      <c r="Z81" s="209"/>
      <c r="AA81" s="209">
        <v>403.79240084810226</v>
      </c>
      <c r="AB81" s="704"/>
      <c r="AC81" s="701">
        <v>4926.9892475553443</v>
      </c>
      <c r="AD81" s="705"/>
      <c r="AE81" s="703">
        <v>410.58243729627867</v>
      </c>
    </row>
    <row r="82" spans="1:31" ht="17.25" thickTop="1" thickBot="1">
      <c r="A82" s="1508" t="s">
        <v>234</v>
      </c>
      <c r="B82" s="224" t="s">
        <v>82</v>
      </c>
      <c r="C82" s="240"/>
      <c r="D82" s="205">
        <v>1327</v>
      </c>
      <c r="E82" s="205">
        <v>14888436148</v>
      </c>
      <c r="F82" s="205">
        <v>1312</v>
      </c>
      <c r="G82" s="205">
        <v>10932023556</v>
      </c>
      <c r="H82" s="205">
        <v>1279</v>
      </c>
      <c r="I82" s="205">
        <v>11997871927</v>
      </c>
      <c r="J82" s="205">
        <v>1253</v>
      </c>
      <c r="K82" s="205">
        <v>11442195258</v>
      </c>
      <c r="L82" s="205">
        <v>1204</v>
      </c>
      <c r="M82" s="205">
        <v>11636928893</v>
      </c>
      <c r="N82" s="205">
        <v>1160</v>
      </c>
      <c r="O82" s="205">
        <v>12479979012</v>
      </c>
      <c r="P82" s="205">
        <v>1145</v>
      </c>
      <c r="Q82" s="205">
        <v>11681549832</v>
      </c>
      <c r="R82" s="205">
        <v>1165</v>
      </c>
      <c r="S82" s="205">
        <v>12051656455</v>
      </c>
      <c r="T82" s="205">
        <v>1145</v>
      </c>
      <c r="U82" s="205">
        <v>10561015280</v>
      </c>
      <c r="V82" s="205">
        <v>1140</v>
      </c>
      <c r="W82" s="205">
        <v>10782199990</v>
      </c>
      <c r="X82" s="205">
        <v>1127</v>
      </c>
      <c r="Y82" s="205">
        <v>9480484523</v>
      </c>
      <c r="Z82" s="205">
        <v>1173</v>
      </c>
      <c r="AA82" s="205">
        <v>11182264469</v>
      </c>
      <c r="AB82" s="692">
        <v>14430</v>
      </c>
      <c r="AC82" s="693">
        <v>139116605343</v>
      </c>
      <c r="AD82" s="694">
        <v>1202.5</v>
      </c>
      <c r="AE82" s="695">
        <v>11593050445.25</v>
      </c>
    </row>
    <row r="83" spans="1:31" ht="17.25" thickTop="1" thickBot="1">
      <c r="A83" s="1508"/>
      <c r="B83" s="1509" t="s">
        <v>89</v>
      </c>
      <c r="C83" s="242" t="s">
        <v>75</v>
      </c>
      <c r="D83" s="206"/>
      <c r="E83" s="206">
        <v>11219620.307460437</v>
      </c>
      <c r="F83" s="206"/>
      <c r="G83" s="206">
        <v>8332335.0274390243</v>
      </c>
      <c r="H83" s="206"/>
      <c r="I83" s="206">
        <v>9380666.0883502737</v>
      </c>
      <c r="J83" s="206"/>
      <c r="K83" s="206">
        <v>9131839.790901836</v>
      </c>
      <c r="L83" s="206"/>
      <c r="M83" s="206">
        <v>9665223.3330564778</v>
      </c>
      <c r="N83" s="206"/>
      <c r="O83" s="206">
        <v>10758602.596551724</v>
      </c>
      <c r="P83" s="206"/>
      <c r="Q83" s="206">
        <v>10202226.927510917</v>
      </c>
      <c r="R83" s="206"/>
      <c r="S83" s="206">
        <v>10344769.489270385</v>
      </c>
      <c r="T83" s="206"/>
      <c r="U83" s="206">
        <v>9223594.131004367</v>
      </c>
      <c r="V83" s="206"/>
      <c r="W83" s="206">
        <v>9458070.166666666</v>
      </c>
      <c r="X83" s="206"/>
      <c r="Y83" s="206">
        <v>8412142.4338952973</v>
      </c>
      <c r="Z83" s="206"/>
      <c r="AA83" s="206">
        <v>9533047.2881500423</v>
      </c>
      <c r="AB83" s="706"/>
      <c r="AC83" s="697">
        <v>115662137.58025748</v>
      </c>
      <c r="AD83" s="698"/>
      <c r="AE83" s="699">
        <v>9638511.4650214557</v>
      </c>
    </row>
    <row r="84" spans="1:31" ht="17.25" thickTop="1" thickBot="1">
      <c r="A84" s="1508"/>
      <c r="B84" s="1509"/>
      <c r="C84" s="243" t="s">
        <v>76</v>
      </c>
      <c r="D84" s="209"/>
      <c r="E84" s="209">
        <v>476.01274108869057</v>
      </c>
      <c r="F84" s="209"/>
      <c r="G84" s="209">
        <v>348.70621583758208</v>
      </c>
      <c r="H84" s="209"/>
      <c r="I84" s="209">
        <v>397.73865119144682</v>
      </c>
      <c r="J84" s="209"/>
      <c r="K84" s="209">
        <v>387.27055941059524</v>
      </c>
      <c r="L84" s="209"/>
      <c r="M84" s="209">
        <v>409.36989974826253</v>
      </c>
      <c r="N84" s="209"/>
      <c r="O84" s="209">
        <v>453.94947664775208</v>
      </c>
      <c r="P84" s="209"/>
      <c r="Q84" s="209">
        <v>428.57496019789613</v>
      </c>
      <c r="R84" s="209"/>
      <c r="S84" s="209">
        <v>427.82338665303496</v>
      </c>
      <c r="T84" s="209"/>
      <c r="U84" s="209">
        <v>377.24311374250988</v>
      </c>
      <c r="V84" s="209"/>
      <c r="W84" s="209">
        <v>383.22812668827657</v>
      </c>
      <c r="X84" s="209"/>
      <c r="Y84" s="209">
        <v>345.04275774796133</v>
      </c>
      <c r="Z84" s="209"/>
      <c r="AA84" s="209">
        <v>391.50091532443707</v>
      </c>
      <c r="AB84" s="704"/>
      <c r="AC84" s="701">
        <v>4826.4608042784448</v>
      </c>
      <c r="AD84" s="705"/>
      <c r="AE84" s="703">
        <v>402.20506702320381</v>
      </c>
    </row>
    <row r="85" spans="1:31" ht="17.25" thickTop="1" thickBot="1">
      <c r="A85" s="1510" t="s">
        <v>1</v>
      </c>
      <c r="B85" s="224" t="s">
        <v>82</v>
      </c>
      <c r="C85" s="240"/>
      <c r="D85" s="205">
        <v>43</v>
      </c>
      <c r="E85" s="205">
        <v>928275907</v>
      </c>
      <c r="F85" s="205">
        <v>44</v>
      </c>
      <c r="G85" s="205">
        <v>507380151</v>
      </c>
      <c r="H85" s="205">
        <v>42</v>
      </c>
      <c r="I85" s="205">
        <v>519638185</v>
      </c>
      <c r="J85" s="205">
        <v>41</v>
      </c>
      <c r="K85" s="205">
        <v>497504500</v>
      </c>
      <c r="L85" s="205">
        <v>39</v>
      </c>
      <c r="M85" s="205">
        <v>505820347</v>
      </c>
      <c r="N85" s="205">
        <v>38</v>
      </c>
      <c r="O85" s="205">
        <v>473512308</v>
      </c>
      <c r="P85" s="205">
        <v>40</v>
      </c>
      <c r="Q85" s="205">
        <v>497242096</v>
      </c>
      <c r="R85" s="205">
        <v>39</v>
      </c>
      <c r="S85" s="205">
        <v>526911097</v>
      </c>
      <c r="T85" s="205">
        <v>39</v>
      </c>
      <c r="U85" s="205">
        <v>492822381</v>
      </c>
      <c r="V85" s="205">
        <v>40</v>
      </c>
      <c r="W85" s="205">
        <v>513002654</v>
      </c>
      <c r="X85" s="205">
        <v>42</v>
      </c>
      <c r="Y85" s="205">
        <v>526423246</v>
      </c>
      <c r="Z85" s="205">
        <v>43</v>
      </c>
      <c r="AA85" s="205">
        <v>663642921</v>
      </c>
      <c r="AB85" s="692">
        <v>490</v>
      </c>
      <c r="AC85" s="693">
        <v>6652175793</v>
      </c>
      <c r="AD85" s="694">
        <v>40.833333333333336</v>
      </c>
      <c r="AE85" s="695">
        <v>554347982.75</v>
      </c>
    </row>
    <row r="86" spans="1:31" ht="17.25" thickTop="1" thickBot="1">
      <c r="A86" s="1511"/>
      <c r="B86" s="1509" t="s">
        <v>89</v>
      </c>
      <c r="C86" s="242" t="s">
        <v>75</v>
      </c>
      <c r="D86" s="206"/>
      <c r="E86" s="206">
        <v>21587811.790697675</v>
      </c>
      <c r="F86" s="206"/>
      <c r="G86" s="206">
        <v>11531367.068181818</v>
      </c>
      <c r="H86" s="206"/>
      <c r="I86" s="206">
        <v>12372337.738095239</v>
      </c>
      <c r="J86" s="206"/>
      <c r="K86" s="206">
        <v>12134256.097560976</v>
      </c>
      <c r="L86" s="206"/>
      <c r="M86" s="206">
        <v>12969752.487179488</v>
      </c>
      <c r="N86" s="206"/>
      <c r="O86" s="206">
        <v>12460850.210526315</v>
      </c>
      <c r="P86" s="206"/>
      <c r="Q86" s="206">
        <v>12431052.4</v>
      </c>
      <c r="R86" s="206"/>
      <c r="S86" s="206">
        <v>13510540.948717948</v>
      </c>
      <c r="T86" s="206"/>
      <c r="U86" s="206">
        <v>12636471.307692308</v>
      </c>
      <c r="V86" s="206"/>
      <c r="W86" s="206">
        <v>12825066.35</v>
      </c>
      <c r="X86" s="206"/>
      <c r="Y86" s="206">
        <v>12533886.80952381</v>
      </c>
      <c r="Z86" s="206"/>
      <c r="AA86" s="206">
        <v>15433556.302325582</v>
      </c>
      <c r="AB86" s="706"/>
      <c r="AC86" s="697">
        <v>162426949.51050118</v>
      </c>
      <c r="AD86" s="698"/>
      <c r="AE86" s="699">
        <v>13535579.125875095</v>
      </c>
    </row>
    <row r="87" spans="1:31" ht="17.25" thickTop="1" thickBot="1">
      <c r="A87" s="1512"/>
      <c r="B87" s="1509"/>
      <c r="C87" s="243" t="s">
        <v>76</v>
      </c>
      <c r="D87" s="209"/>
      <c r="E87" s="209">
        <v>915.90207003384285</v>
      </c>
      <c r="F87" s="209"/>
      <c r="G87" s="209">
        <v>482.58493694002169</v>
      </c>
      <c r="H87" s="209"/>
      <c r="I87" s="209">
        <v>524.58502175515116</v>
      </c>
      <c r="J87" s="209"/>
      <c r="K87" s="209">
        <v>514.59949523159355</v>
      </c>
      <c r="L87" s="209"/>
      <c r="M87" s="209">
        <v>549.33301512831372</v>
      </c>
      <c r="N87" s="209"/>
      <c r="O87" s="209">
        <v>525.7742704863424</v>
      </c>
      <c r="P87" s="209"/>
      <c r="Q87" s="209">
        <v>522.2034194496955</v>
      </c>
      <c r="R87" s="209"/>
      <c r="S87" s="209">
        <v>558.74859175839322</v>
      </c>
      <c r="T87" s="209"/>
      <c r="U87" s="209">
        <v>516.8290923391537</v>
      </c>
      <c r="V87" s="209"/>
      <c r="W87" s="209">
        <v>519.65422811993517</v>
      </c>
      <c r="X87" s="209"/>
      <c r="Y87" s="209">
        <v>514.10528340950816</v>
      </c>
      <c r="Z87" s="209"/>
      <c r="AA87" s="209">
        <v>633.82161405854549</v>
      </c>
      <c r="AB87" s="704"/>
      <c r="AC87" s="701">
        <v>6778.141038710497</v>
      </c>
      <c r="AD87" s="705"/>
      <c r="AE87" s="703">
        <v>564.84508655920797</v>
      </c>
    </row>
    <row r="88" spans="1:31" ht="17.25" thickTop="1" thickBot="1">
      <c r="A88" s="1503" t="s">
        <v>78</v>
      </c>
      <c r="B88" s="224" t="s">
        <v>82</v>
      </c>
      <c r="C88" s="240"/>
      <c r="D88" s="205">
        <v>25</v>
      </c>
      <c r="E88" s="216">
        <v>1093186855</v>
      </c>
      <c r="F88" s="205">
        <v>26</v>
      </c>
      <c r="G88" s="216">
        <v>623556096</v>
      </c>
      <c r="H88" s="205">
        <v>28</v>
      </c>
      <c r="I88" s="216">
        <v>706613685</v>
      </c>
      <c r="J88" s="205">
        <v>27</v>
      </c>
      <c r="K88" s="216">
        <v>650557217</v>
      </c>
      <c r="L88" s="205">
        <v>27</v>
      </c>
      <c r="M88" s="216">
        <v>682846267</v>
      </c>
      <c r="N88" s="205">
        <v>27</v>
      </c>
      <c r="O88" s="205">
        <v>657883281</v>
      </c>
      <c r="P88" s="205">
        <v>27</v>
      </c>
      <c r="Q88" s="205">
        <v>685441685</v>
      </c>
      <c r="R88" s="205">
        <v>27</v>
      </c>
      <c r="S88" s="205">
        <v>712782139</v>
      </c>
      <c r="T88" s="205">
        <v>26</v>
      </c>
      <c r="U88" s="205">
        <v>663398089</v>
      </c>
      <c r="V88" s="216">
        <v>26</v>
      </c>
      <c r="W88" s="216">
        <v>669725362</v>
      </c>
      <c r="X88" s="216">
        <v>24</v>
      </c>
      <c r="Y88" s="216">
        <v>617438145</v>
      </c>
      <c r="Z88" s="216">
        <v>24</v>
      </c>
      <c r="AA88" s="216">
        <v>779189752</v>
      </c>
      <c r="AB88" s="692">
        <v>314</v>
      </c>
      <c r="AC88" s="707">
        <v>8542618573</v>
      </c>
      <c r="AD88" s="694">
        <v>26.166666666666668</v>
      </c>
      <c r="AE88" s="695">
        <v>711884881.08333337</v>
      </c>
    </row>
    <row r="89" spans="1:31" ht="17.25" thickTop="1" thickBot="1">
      <c r="A89" s="1504"/>
      <c r="B89" s="1509" t="s">
        <v>89</v>
      </c>
      <c r="C89" s="242" t="s">
        <v>75</v>
      </c>
      <c r="D89" s="206"/>
      <c r="E89" s="206">
        <v>43727474.200000003</v>
      </c>
      <c r="F89" s="206"/>
      <c r="G89" s="206">
        <v>23982926.769230768</v>
      </c>
      <c r="H89" s="206"/>
      <c r="I89" s="206">
        <v>25236203.035714287</v>
      </c>
      <c r="J89" s="206"/>
      <c r="K89" s="206">
        <v>24094711.740740743</v>
      </c>
      <c r="L89" s="206"/>
      <c r="M89" s="206">
        <v>25290602.481481481</v>
      </c>
      <c r="N89" s="206"/>
      <c r="O89" s="206">
        <v>24366047.444444444</v>
      </c>
      <c r="P89" s="206"/>
      <c r="Q89" s="206">
        <v>25386729.074074075</v>
      </c>
      <c r="R89" s="206"/>
      <c r="S89" s="206">
        <v>26399338.481481481</v>
      </c>
      <c r="T89" s="206"/>
      <c r="U89" s="206">
        <v>25515311.115384616</v>
      </c>
      <c r="V89" s="206"/>
      <c r="W89" s="206">
        <v>25758667.769230768</v>
      </c>
      <c r="X89" s="206"/>
      <c r="Y89" s="206">
        <v>25726589.375</v>
      </c>
      <c r="Z89" s="206"/>
      <c r="AA89" s="206">
        <v>32466239.666666668</v>
      </c>
      <c r="AB89" s="696"/>
      <c r="AC89" s="697">
        <v>327950841.15344936</v>
      </c>
      <c r="AD89" s="698"/>
      <c r="AE89" s="699">
        <v>27329236.762787446</v>
      </c>
    </row>
    <row r="90" spans="1:31" ht="17.25" thickTop="1" thickBot="1">
      <c r="A90" s="1505"/>
      <c r="B90" s="1509"/>
      <c r="C90" s="243" t="s">
        <v>76</v>
      </c>
      <c r="D90" s="209"/>
      <c r="E90" s="209">
        <v>1855.2174034789989</v>
      </c>
      <c r="F90" s="209"/>
      <c r="G90" s="209">
        <v>1003.6797141339514</v>
      </c>
      <c r="H90" s="209"/>
      <c r="I90" s="209">
        <v>1070.010728671371</v>
      </c>
      <c r="J90" s="209"/>
      <c r="K90" s="209">
        <v>1021.8283180975718</v>
      </c>
      <c r="L90" s="209"/>
      <c r="M90" s="209">
        <v>1071.181807771346</v>
      </c>
      <c r="N90" s="209"/>
      <c r="O90" s="209">
        <v>1028.1032676980778</v>
      </c>
      <c r="P90" s="209"/>
      <c r="Q90" s="209">
        <v>1066.4452457077957</v>
      </c>
      <c r="R90" s="209"/>
      <c r="S90" s="209">
        <v>1091.7840563060993</v>
      </c>
      <c r="T90" s="209"/>
      <c r="U90" s="209">
        <v>1043.5710067641969</v>
      </c>
      <c r="V90" s="209"/>
      <c r="W90" s="209">
        <v>1043.706149482608</v>
      </c>
      <c r="X90" s="209"/>
      <c r="Y90" s="209">
        <v>1055.2333623872025</v>
      </c>
      <c r="Z90" s="209"/>
      <c r="AA90" s="209">
        <v>1333.3157973990419</v>
      </c>
      <c r="AB90" s="704"/>
      <c r="AC90" s="701">
        <v>13684.076857898262</v>
      </c>
      <c r="AD90" s="705"/>
      <c r="AE90" s="703">
        <v>1140.3397381581883</v>
      </c>
    </row>
    <row r="91" spans="1:31" ht="17.25" thickTop="1" thickBot="1">
      <c r="A91" s="1503" t="s">
        <v>79</v>
      </c>
      <c r="B91" s="1506" t="s">
        <v>82</v>
      </c>
      <c r="C91" s="242" t="s">
        <v>75</v>
      </c>
      <c r="D91" s="392">
        <v>1395</v>
      </c>
      <c r="E91" s="210">
        <v>16909898910</v>
      </c>
      <c r="F91" s="392">
        <v>1382</v>
      </c>
      <c r="G91" s="210">
        <v>12062959803</v>
      </c>
      <c r="H91" s="392">
        <v>1349</v>
      </c>
      <c r="I91" s="210">
        <v>13224123797</v>
      </c>
      <c r="J91" s="392">
        <v>1321</v>
      </c>
      <c r="K91" s="210">
        <v>12590256975</v>
      </c>
      <c r="L91" s="210">
        <v>1270</v>
      </c>
      <c r="M91" s="210">
        <v>12825595507</v>
      </c>
      <c r="N91" s="210">
        <v>1225</v>
      </c>
      <c r="O91" s="210">
        <v>13611374601</v>
      </c>
      <c r="P91" s="226">
        <v>1212</v>
      </c>
      <c r="Q91" s="210">
        <v>12864233613</v>
      </c>
      <c r="R91" s="226">
        <v>1231</v>
      </c>
      <c r="S91" s="210">
        <v>13291349691</v>
      </c>
      <c r="T91" s="226">
        <v>1210</v>
      </c>
      <c r="U91" s="210">
        <v>11717235750</v>
      </c>
      <c r="V91" s="226">
        <v>1206</v>
      </c>
      <c r="W91" s="210">
        <v>11964928006</v>
      </c>
      <c r="X91" s="210">
        <v>1193</v>
      </c>
      <c r="Y91" s="393">
        <v>10624345914</v>
      </c>
      <c r="Z91" s="210">
        <v>1240</v>
      </c>
      <c r="AA91" s="393">
        <v>12625097142</v>
      </c>
      <c r="AB91" s="708">
        <v>15234</v>
      </c>
      <c r="AC91" s="693">
        <v>154311399709</v>
      </c>
      <c r="AD91" s="694">
        <v>1269.5</v>
      </c>
      <c r="AE91" s="695">
        <v>12859283309.083334</v>
      </c>
    </row>
    <row r="92" spans="1:31" ht="17.25" thickTop="1" thickBot="1">
      <c r="A92" s="1504"/>
      <c r="B92" s="1506"/>
      <c r="C92" s="581" t="s">
        <v>76</v>
      </c>
      <c r="D92" s="583"/>
      <c r="E92" s="583">
        <v>717433.13152312266</v>
      </c>
      <c r="F92" s="583"/>
      <c r="G92" s="583">
        <v>504831.96497175144</v>
      </c>
      <c r="H92" s="583"/>
      <c r="I92" s="583">
        <v>560700.60619037529</v>
      </c>
      <c r="J92" s="583"/>
      <c r="K92" s="583">
        <v>533937.95483460557</v>
      </c>
      <c r="L92" s="583"/>
      <c r="M92" s="583">
        <v>543227.25569673872</v>
      </c>
      <c r="N92" s="586"/>
      <c r="O92" s="583">
        <v>574319.60341772158</v>
      </c>
      <c r="P92" s="583"/>
      <c r="Q92" s="583">
        <v>540400.48783868935</v>
      </c>
      <c r="R92" s="583"/>
      <c r="S92" s="583">
        <v>549683.61004962784</v>
      </c>
      <c r="T92" s="583"/>
      <c r="U92" s="583">
        <v>479232.54601226992</v>
      </c>
      <c r="V92" s="583"/>
      <c r="W92" s="583">
        <v>484802.59343598055</v>
      </c>
      <c r="X92" s="583"/>
      <c r="Y92" s="583">
        <v>435781.21058244462</v>
      </c>
      <c r="Z92" s="583"/>
      <c r="AA92" s="583">
        <v>518484.48221765913</v>
      </c>
      <c r="AB92" s="709"/>
      <c r="AC92" s="710">
        <v>6442835.4467709865</v>
      </c>
      <c r="AD92" s="711"/>
      <c r="AE92" s="712">
        <v>536902.95389758225</v>
      </c>
    </row>
    <row r="93" spans="1:31" ht="17.25" thickTop="1" thickBot="1">
      <c r="A93" s="1504"/>
      <c r="B93" s="1507" t="s">
        <v>89</v>
      </c>
      <c r="C93" s="299" t="s">
        <v>75</v>
      </c>
      <c r="D93" s="717"/>
      <c r="E93" s="717">
        <v>12121791.333333334</v>
      </c>
      <c r="F93" s="717"/>
      <c r="G93" s="717">
        <v>8728625.038350217</v>
      </c>
      <c r="H93" s="717"/>
      <c r="I93" s="717">
        <v>9802908.670867309</v>
      </c>
      <c r="J93" s="717"/>
      <c r="K93" s="717">
        <v>9530853.122634368</v>
      </c>
      <c r="L93" s="717"/>
      <c r="M93" s="717">
        <v>10098894.1</v>
      </c>
      <c r="N93" s="717"/>
      <c r="O93" s="717">
        <v>11111326.204897959</v>
      </c>
      <c r="P93" s="717"/>
      <c r="Q93" s="717">
        <v>10614054.136138614</v>
      </c>
      <c r="R93" s="717"/>
      <c r="S93" s="717">
        <v>10797197.149471974</v>
      </c>
      <c r="T93" s="717"/>
      <c r="U93" s="717">
        <v>9683665.9090909082</v>
      </c>
      <c r="V93" s="717"/>
      <c r="W93" s="717">
        <v>9921167.5008291882</v>
      </c>
      <c r="X93" s="717"/>
      <c r="Y93" s="717">
        <v>8905570.7577535622</v>
      </c>
      <c r="Z93" s="717"/>
      <c r="AA93" s="717">
        <v>10181529.953225806</v>
      </c>
      <c r="AB93" s="713"/>
      <c r="AC93" s="714">
        <v>121497583.87659325</v>
      </c>
      <c r="AD93" s="715"/>
      <c r="AE93" s="716">
        <v>10124798.656382771</v>
      </c>
    </row>
    <row r="94" spans="1:31" ht="17.25" thickTop="1" thickBot="1">
      <c r="A94" s="1505"/>
      <c r="B94" s="1507"/>
      <c r="C94" s="306" t="s">
        <v>76</v>
      </c>
      <c r="D94" s="718"/>
      <c r="E94" s="718">
        <v>514.28898317069729</v>
      </c>
      <c r="F94" s="718"/>
      <c r="G94" s="718">
        <v>365.29085743252637</v>
      </c>
      <c r="H94" s="718"/>
      <c r="I94" s="718">
        <v>415.64166507811359</v>
      </c>
      <c r="J94" s="718"/>
      <c r="K94" s="718">
        <v>404.19224438652958</v>
      </c>
      <c r="L94" s="718"/>
      <c r="M94" s="718">
        <v>427.73799661160524</v>
      </c>
      <c r="N94" s="718"/>
      <c r="O94" s="718">
        <v>468.832329320589</v>
      </c>
      <c r="P94" s="718"/>
      <c r="Q94" s="718">
        <v>445.87498996591535</v>
      </c>
      <c r="R94" s="718"/>
      <c r="S94" s="718">
        <v>446.53420800132233</v>
      </c>
      <c r="T94" s="718"/>
      <c r="U94" s="718">
        <v>396.05995538204121</v>
      </c>
      <c r="V94" s="718"/>
      <c r="W94" s="718">
        <v>401.99220019567213</v>
      </c>
      <c r="X94" s="718"/>
      <c r="Y94" s="718">
        <v>365.28181943205749</v>
      </c>
      <c r="Z94" s="718"/>
      <c r="AA94" s="718">
        <v>418.13264694972509</v>
      </c>
      <c r="AB94" s="704"/>
      <c r="AC94" s="701">
        <v>5069.8598959267947</v>
      </c>
      <c r="AD94" s="705"/>
      <c r="AE94" s="703">
        <v>422.48832466056621</v>
      </c>
    </row>
    <row r="95" spans="1:31" s="945" customFormat="1" ht="116.25" customHeight="1" thickTop="1">
      <c r="C95" s="946"/>
      <c r="D95" s="1493" t="s">
        <v>502</v>
      </c>
      <c r="E95" s="1493"/>
      <c r="F95" s="1493" t="s">
        <v>504</v>
      </c>
      <c r="G95" s="1493"/>
      <c r="H95" s="1493" t="s">
        <v>549</v>
      </c>
      <c r="I95" s="1493"/>
      <c r="J95" s="1493" t="s">
        <v>551</v>
      </c>
      <c r="K95" s="1493"/>
      <c r="L95" s="1493" t="s">
        <v>550</v>
      </c>
      <c r="M95" s="1493"/>
      <c r="N95" s="1493" t="s">
        <v>552</v>
      </c>
      <c r="O95" s="1493"/>
      <c r="P95" s="1493" t="s">
        <v>553</v>
      </c>
      <c r="Q95" s="1493"/>
      <c r="R95" s="1493" t="s">
        <v>556</v>
      </c>
      <c r="S95" s="1493"/>
      <c r="T95" s="1493" t="s">
        <v>559</v>
      </c>
      <c r="U95" s="1493"/>
      <c r="V95" s="1493" t="s">
        <v>560</v>
      </c>
      <c r="W95" s="1493"/>
      <c r="X95" s="1493" t="s">
        <v>562</v>
      </c>
      <c r="Y95" s="1493"/>
      <c r="Z95" s="1493" t="s">
        <v>629</v>
      </c>
      <c r="AA95" s="1493"/>
    </row>
    <row r="96" spans="1:31" s="945" customFormat="1" ht="17.25" customHeight="1" thickBot="1">
      <c r="C96" s="946"/>
      <c r="D96" s="1061"/>
      <c r="E96" s="1061">
        <v>12</v>
      </c>
      <c r="F96" s="1061"/>
      <c r="G96" s="1061">
        <v>24</v>
      </c>
      <c r="H96" s="1061"/>
      <c r="I96" s="1061">
        <v>27</v>
      </c>
      <c r="J96" s="1061"/>
      <c r="K96" s="1061">
        <v>25</v>
      </c>
      <c r="L96" s="1061"/>
      <c r="M96" s="1061">
        <v>27</v>
      </c>
      <c r="N96" s="1061"/>
      <c r="O96" s="1061">
        <v>26</v>
      </c>
      <c r="P96" s="1061"/>
      <c r="Q96" s="1061">
        <v>26</v>
      </c>
      <c r="R96" s="1061"/>
      <c r="S96" s="1061">
        <v>27</v>
      </c>
      <c r="T96" s="1061"/>
      <c r="U96" s="1061">
        <v>24</v>
      </c>
      <c r="V96" s="1061"/>
      <c r="W96" s="1061">
        <v>26</v>
      </c>
      <c r="X96" s="1061"/>
      <c r="Y96" s="1061">
        <v>26</v>
      </c>
      <c r="Z96" s="1061"/>
      <c r="AA96" s="1061">
        <v>25</v>
      </c>
      <c r="AB96" s="1062">
        <f>SUM(D96:AA96)</f>
        <v>295</v>
      </c>
    </row>
    <row r="97" spans="1:31" s="945" customFormat="1" ht="21.75" customHeight="1" thickTop="1" thickBot="1">
      <c r="A97" s="1488" t="s">
        <v>80</v>
      </c>
      <c r="B97" s="1489"/>
      <c r="C97" s="477"/>
      <c r="D97" s="719" t="s">
        <v>63</v>
      </c>
      <c r="E97" s="719" t="s">
        <v>503</v>
      </c>
      <c r="F97" s="719" t="s">
        <v>64</v>
      </c>
      <c r="G97" s="719" t="str">
        <f>+F97&amp;" Vs "&amp;D97</f>
        <v>Feb Vs Jan</v>
      </c>
      <c r="H97" s="719" t="s">
        <v>65</v>
      </c>
      <c r="I97" s="719" t="str">
        <f>+H97&amp;" Vs "&amp;F97</f>
        <v>Mar Vs Feb</v>
      </c>
      <c r="J97" s="719" t="s">
        <v>66</v>
      </c>
      <c r="K97" s="719" t="str">
        <f>+J97&amp;" Vs "&amp;H97</f>
        <v>Apr Vs Mar</v>
      </c>
      <c r="L97" s="719" t="s">
        <v>67</v>
      </c>
      <c r="M97" s="719" t="str">
        <f>+L97&amp;" Vs "&amp;J97</f>
        <v>May Vs Apr</v>
      </c>
      <c r="N97" s="719" t="s">
        <v>68</v>
      </c>
      <c r="O97" s="719" t="str">
        <f>+N97&amp;" Vs "&amp;L97</f>
        <v>Jun Vs May</v>
      </c>
      <c r="P97" s="719" t="s">
        <v>69</v>
      </c>
      <c r="Q97" s="719" t="str">
        <f>+P97&amp;" Vs "&amp;N97</f>
        <v>Jul Vs Jun</v>
      </c>
      <c r="R97" s="719" t="s">
        <v>70</v>
      </c>
      <c r="S97" s="719" t="str">
        <f>+R97&amp;" Vs "&amp;P97</f>
        <v>Aug Vs Jul</v>
      </c>
      <c r="T97" s="719" t="s">
        <v>71</v>
      </c>
      <c r="U97" s="719" t="str">
        <f>+T97&amp;" Vs "&amp;R97</f>
        <v>Sep Vs Aug</v>
      </c>
      <c r="V97" s="719" t="s">
        <v>72</v>
      </c>
      <c r="W97" s="719" t="str">
        <f>+V97&amp;" Vs "&amp;T97</f>
        <v>Oct Vs Sep</v>
      </c>
      <c r="X97" s="719" t="s">
        <v>73</v>
      </c>
      <c r="Y97" s="719" t="str">
        <f>+X97&amp;" Vs "&amp;V97</f>
        <v>Nov Vs Oct</v>
      </c>
      <c r="Z97" s="719" t="s">
        <v>74</v>
      </c>
      <c r="AA97" s="719" t="str">
        <f>+Z97&amp;" Vs "&amp;X97</f>
        <v>Dec Vs Nov</v>
      </c>
      <c r="AB97" s="1478" t="s">
        <v>490</v>
      </c>
      <c r="AC97" s="1479"/>
      <c r="AD97" s="1480" t="s">
        <v>491</v>
      </c>
      <c r="AE97" s="1481"/>
    </row>
    <row r="98" spans="1:31" s="945" customFormat="1" ht="21.75" customHeight="1" thickTop="1">
      <c r="A98" s="1490" t="s">
        <v>315</v>
      </c>
      <c r="B98" s="1490"/>
      <c r="C98" s="629" t="s">
        <v>428</v>
      </c>
      <c r="D98" s="720">
        <v>13266.4</v>
      </c>
      <c r="E98" s="819">
        <v>-0.56594402528481424</v>
      </c>
      <c r="F98" s="721">
        <v>27335.899999999994</v>
      </c>
      <c r="G98" s="819">
        <v>1.0605363926913101</v>
      </c>
      <c r="H98" s="721">
        <v>33866.200000000004</v>
      </c>
      <c r="I98" s="819">
        <v>0.23889098218825836</v>
      </c>
      <c r="J98" s="721">
        <v>30046.300000000003</v>
      </c>
      <c r="K98" s="819">
        <v>-0.11279387708098343</v>
      </c>
      <c r="L98" s="721">
        <v>30084.700000000023</v>
      </c>
      <c r="M98" s="819">
        <v>1.2780275774394731E-3</v>
      </c>
      <c r="N98" s="722">
        <v>30292.199999999997</v>
      </c>
      <c r="O98" s="819">
        <v>6.8971935900964407E-3</v>
      </c>
      <c r="P98" s="720">
        <v>29882.30000000001</v>
      </c>
      <c r="Q98" s="819">
        <v>-1.3531536171027094E-2</v>
      </c>
      <c r="R98" s="722">
        <v>30867.799999999996</v>
      </c>
      <c r="S98" s="819">
        <v>3.2979389136712542E-2</v>
      </c>
      <c r="T98" s="720">
        <v>27468.2</v>
      </c>
      <c r="U98" s="819">
        <v>-0.11013418513791055</v>
      </c>
      <c r="V98" s="720">
        <v>29646.899999999994</v>
      </c>
      <c r="W98" s="819">
        <v>7.931717404125474E-2</v>
      </c>
      <c r="X98" s="720">
        <v>29361.8</v>
      </c>
      <c r="Y98" s="819">
        <v>-9.6165197710382858E-3</v>
      </c>
      <c r="Z98" s="720">
        <v>28243.300000000003</v>
      </c>
      <c r="AA98" s="819">
        <v>-3.8093713600664686E-2</v>
      </c>
      <c r="AB98" s="723">
        <v>340362</v>
      </c>
      <c r="AC98" s="724"/>
      <c r="AD98" s="725">
        <v>28363.5</v>
      </c>
      <c r="AE98" s="725"/>
    </row>
    <row r="99" spans="1:31" s="945" customFormat="1" ht="21.75" customHeight="1">
      <c r="A99" s="1491" t="s">
        <v>308</v>
      </c>
      <c r="B99" s="1491"/>
      <c r="C99" s="630" t="s">
        <v>428</v>
      </c>
      <c r="D99" s="720">
        <v>10934</v>
      </c>
      <c r="E99" s="819">
        <v>4.5166498486377398</v>
      </c>
      <c r="F99" s="721">
        <v>62</v>
      </c>
      <c r="G99" s="819">
        <v>-0.99432961404792386</v>
      </c>
      <c r="H99" s="721">
        <v>88</v>
      </c>
      <c r="I99" s="819">
        <v>0.41935483870967744</v>
      </c>
      <c r="J99" s="721">
        <v>1900</v>
      </c>
      <c r="K99" s="819">
        <v>20.59090909090909</v>
      </c>
      <c r="L99" s="721">
        <v>3144</v>
      </c>
      <c r="M99" s="819">
        <v>0.65473684210526317</v>
      </c>
      <c r="N99" s="722">
        <v>598</v>
      </c>
      <c r="O99" s="819">
        <v>-0.80979643765903309</v>
      </c>
      <c r="P99" s="720">
        <v>730</v>
      </c>
      <c r="Q99" s="819">
        <v>0.22073578595317725</v>
      </c>
      <c r="R99" s="722">
        <v>648</v>
      </c>
      <c r="S99" s="819">
        <v>-0.11232876712328767</v>
      </c>
      <c r="T99" s="720">
        <v>3111</v>
      </c>
      <c r="U99" s="819">
        <v>3.800925925925926</v>
      </c>
      <c r="V99" s="720">
        <v>702</v>
      </c>
      <c r="W99" s="819">
        <v>-0.77434908389585344</v>
      </c>
      <c r="X99" s="720">
        <v>770</v>
      </c>
      <c r="Y99" s="819">
        <v>9.686609686609686E-2</v>
      </c>
      <c r="Z99" s="720">
        <v>1814</v>
      </c>
      <c r="AA99" s="819">
        <v>1.3558441558441559</v>
      </c>
      <c r="AB99" s="723">
        <v>24501</v>
      </c>
      <c r="AC99" s="724"/>
      <c r="AD99" s="725">
        <v>2041.75</v>
      </c>
      <c r="AE99" s="725"/>
    </row>
    <row r="100" spans="1:31" s="945" customFormat="1" ht="21.75" customHeight="1">
      <c r="A100" s="1491" t="s">
        <v>309</v>
      </c>
      <c r="B100" s="1491"/>
      <c r="C100" s="630" t="s">
        <v>428</v>
      </c>
      <c r="D100" s="720">
        <v>0</v>
      </c>
      <c r="E100" s="819">
        <v>-1</v>
      </c>
      <c r="F100" s="721">
        <v>0</v>
      </c>
      <c r="G100" s="819"/>
      <c r="H100" s="721">
        <v>0</v>
      </c>
      <c r="I100" s="819"/>
      <c r="J100" s="721"/>
      <c r="K100" s="819"/>
      <c r="L100" s="721">
        <v>0</v>
      </c>
      <c r="M100" s="819"/>
      <c r="N100" s="722"/>
      <c r="O100" s="819"/>
      <c r="P100" s="720"/>
      <c r="Q100" s="819"/>
      <c r="R100" s="722"/>
      <c r="S100" s="819"/>
      <c r="T100" s="720"/>
      <c r="U100" s="819"/>
      <c r="V100" s="720"/>
      <c r="W100" s="819"/>
      <c r="X100" s="720"/>
      <c r="Y100" s="819"/>
      <c r="Z100" s="720">
        <v>5517.9144074640953</v>
      </c>
      <c r="AA100" s="819"/>
      <c r="AB100" s="723">
        <v>5517.9144074640953</v>
      </c>
      <c r="AC100" s="724"/>
      <c r="AD100" s="725">
        <v>1103.5828814928191</v>
      </c>
      <c r="AE100" s="725"/>
    </row>
    <row r="101" spans="1:31" s="945" customFormat="1" ht="21.75" customHeight="1">
      <c r="A101" s="1492" t="s">
        <v>310</v>
      </c>
      <c r="B101" s="1492"/>
      <c r="C101" s="630" t="s">
        <v>429</v>
      </c>
      <c r="D101" s="720">
        <v>977</v>
      </c>
      <c r="E101" s="819">
        <v>-0.70172492749198601</v>
      </c>
      <c r="F101" s="721">
        <v>4257.5</v>
      </c>
      <c r="G101" s="819">
        <v>3.3577277379733879</v>
      </c>
      <c r="H101" s="721">
        <v>5883.5</v>
      </c>
      <c r="I101" s="819">
        <v>0.38191426893716968</v>
      </c>
      <c r="J101" s="721">
        <v>4777.5</v>
      </c>
      <c r="K101" s="819">
        <v>-0.18798334324806662</v>
      </c>
      <c r="L101" s="721">
        <v>5375.3</v>
      </c>
      <c r="M101" s="819">
        <v>0.12512820512820516</v>
      </c>
      <c r="N101" s="722">
        <v>6875</v>
      </c>
      <c r="O101" s="819">
        <v>0.27899838148568445</v>
      </c>
      <c r="P101" s="720">
        <v>4300.5</v>
      </c>
      <c r="Q101" s="819">
        <v>-0.37447272727272729</v>
      </c>
      <c r="R101" s="722">
        <v>4548.5</v>
      </c>
      <c r="S101" s="819">
        <v>5.7667713056621321E-2</v>
      </c>
      <c r="T101" s="720">
        <v>3555.5</v>
      </c>
      <c r="U101" s="819">
        <v>-0.21831372980103331</v>
      </c>
      <c r="V101" s="720">
        <v>4040.5</v>
      </c>
      <c r="W101" s="819">
        <v>0.13640838138095907</v>
      </c>
      <c r="X101" s="720">
        <v>3347</v>
      </c>
      <c r="Y101" s="819">
        <v>-0.1716371736171266</v>
      </c>
      <c r="Z101" s="720">
        <v>2691</v>
      </c>
      <c r="AA101" s="819">
        <v>-0.19599641469973111</v>
      </c>
      <c r="AB101" s="723">
        <v>50628.800000000003</v>
      </c>
      <c r="AC101" s="724"/>
      <c r="AD101" s="725">
        <v>4219.0666666666666</v>
      </c>
      <c r="AE101" s="725"/>
    </row>
    <row r="102" spans="1:31" s="945" customFormat="1" ht="21.75" customHeight="1">
      <c r="A102" s="1502" t="s">
        <v>311</v>
      </c>
      <c r="B102" s="1502"/>
      <c r="C102" s="630" t="s">
        <v>429</v>
      </c>
      <c r="D102" s="720">
        <v>513</v>
      </c>
      <c r="E102" s="819">
        <v>-0.39964891749561149</v>
      </c>
      <c r="F102" s="721">
        <v>33294.5</v>
      </c>
      <c r="G102" s="819">
        <v>63.90155945419103</v>
      </c>
      <c r="H102" s="721">
        <v>35689</v>
      </c>
      <c r="I102" s="819">
        <v>7.1918785384973496E-2</v>
      </c>
      <c r="J102" s="721">
        <v>29708</v>
      </c>
      <c r="K102" s="819">
        <v>-0.16758665134915521</v>
      </c>
      <c r="L102" s="721">
        <v>33166.5</v>
      </c>
      <c r="M102" s="819">
        <v>0.11641645348054395</v>
      </c>
      <c r="N102" s="722">
        <v>60574</v>
      </c>
      <c r="O102" s="819">
        <v>0.82636093648711806</v>
      </c>
      <c r="P102" s="720">
        <v>48787.5</v>
      </c>
      <c r="Q102" s="819">
        <v>-0.19458018291676296</v>
      </c>
      <c r="R102" s="722">
        <v>53074.400000000001</v>
      </c>
      <c r="S102" s="819">
        <v>8.7868818857289296E-2</v>
      </c>
      <c r="T102" s="720">
        <v>28985.5</v>
      </c>
      <c r="U102" s="819">
        <v>-0.4538704158690442</v>
      </c>
      <c r="V102" s="720">
        <v>34819.5</v>
      </c>
      <c r="W102" s="819">
        <v>0.20127305031826259</v>
      </c>
      <c r="X102" s="720">
        <v>7327</v>
      </c>
      <c r="Y102" s="819">
        <v>-0.78957193526615832</v>
      </c>
      <c r="Z102" s="720">
        <v>14447</v>
      </c>
      <c r="AA102" s="819">
        <v>0.97174832810154221</v>
      </c>
      <c r="AB102" s="723">
        <v>380385.9</v>
      </c>
      <c r="AC102" s="724"/>
      <c r="AD102" s="725">
        <v>31698.825000000001</v>
      </c>
      <c r="AE102" s="725"/>
    </row>
    <row r="103" spans="1:31" s="945" customFormat="1" ht="21.75" customHeight="1">
      <c r="A103" s="1502" t="s">
        <v>312</v>
      </c>
      <c r="B103" s="1502"/>
      <c r="C103" s="630" t="s">
        <v>429</v>
      </c>
      <c r="D103" s="720">
        <v>45.5</v>
      </c>
      <c r="E103" s="819"/>
      <c r="F103" s="721">
        <v>0</v>
      </c>
      <c r="G103" s="819">
        <v>-1</v>
      </c>
      <c r="H103" s="721">
        <v>8</v>
      </c>
      <c r="I103" s="819"/>
      <c r="J103" s="721">
        <v>310.5</v>
      </c>
      <c r="K103" s="819">
        <v>37.8125</v>
      </c>
      <c r="L103" s="721">
        <v>486.5</v>
      </c>
      <c r="M103" s="819">
        <v>0.56682769726247983</v>
      </c>
      <c r="N103" s="722">
        <v>0</v>
      </c>
      <c r="O103" s="819">
        <v>-1</v>
      </c>
      <c r="P103" s="720">
        <v>845.5</v>
      </c>
      <c r="Q103" s="819"/>
      <c r="R103" s="722">
        <v>207.5</v>
      </c>
      <c r="S103" s="819">
        <v>-0.75458308693081022</v>
      </c>
      <c r="T103" s="720">
        <v>100</v>
      </c>
      <c r="U103" s="819">
        <v>-0.51807228915662651</v>
      </c>
      <c r="V103" s="720">
        <v>932</v>
      </c>
      <c r="W103" s="819">
        <v>8.32</v>
      </c>
      <c r="X103" s="720">
        <v>0</v>
      </c>
      <c r="Y103" s="819">
        <v>-1</v>
      </c>
      <c r="Z103" s="720">
        <v>0</v>
      </c>
      <c r="AA103" s="819"/>
      <c r="AB103" s="723">
        <v>2935.5</v>
      </c>
      <c r="AC103" s="724"/>
      <c r="AD103" s="725">
        <v>244.625</v>
      </c>
      <c r="AE103" s="725"/>
    </row>
    <row r="104" spans="1:31" s="945" customFormat="1" ht="21.75" customHeight="1">
      <c r="A104" s="1502" t="s">
        <v>313</v>
      </c>
      <c r="B104" s="1502"/>
      <c r="C104" s="630" t="s">
        <v>429</v>
      </c>
      <c r="D104" s="720"/>
      <c r="E104" s="819">
        <v>-1</v>
      </c>
      <c r="F104" s="721">
        <v>863</v>
      </c>
      <c r="G104" s="819"/>
      <c r="H104" s="721">
        <v>1096</v>
      </c>
      <c r="I104" s="819">
        <v>0.26998841251448435</v>
      </c>
      <c r="J104" s="721">
        <v>738</v>
      </c>
      <c r="K104" s="819">
        <v>-0.32664233576642338</v>
      </c>
      <c r="L104" s="721">
        <v>968</v>
      </c>
      <c r="M104" s="819">
        <v>0.31165311653116529</v>
      </c>
      <c r="N104" s="722">
        <v>1681</v>
      </c>
      <c r="O104" s="819">
        <v>0.73657024793388426</v>
      </c>
      <c r="P104" s="720">
        <v>647</v>
      </c>
      <c r="Q104" s="819">
        <v>-0.61511005353955983</v>
      </c>
      <c r="R104" s="722">
        <v>390</v>
      </c>
      <c r="S104" s="819">
        <v>-0.39721792890262753</v>
      </c>
      <c r="T104" s="720">
        <v>140.5</v>
      </c>
      <c r="U104" s="819">
        <v>-0.63974358974358969</v>
      </c>
      <c r="V104" s="720">
        <v>337</v>
      </c>
      <c r="W104" s="819">
        <v>1.3985765124555161</v>
      </c>
      <c r="X104" s="720">
        <v>50</v>
      </c>
      <c r="Y104" s="819">
        <v>-0.85163204747774479</v>
      </c>
      <c r="Z104" s="720">
        <v>114</v>
      </c>
      <c r="AA104" s="819">
        <v>1.28</v>
      </c>
      <c r="AB104" s="723">
        <v>7024.5</v>
      </c>
      <c r="AC104" s="724"/>
      <c r="AD104" s="725">
        <v>638.59090909090912</v>
      </c>
      <c r="AE104" s="725"/>
    </row>
    <row r="105" spans="1:31" ht="15" customHeight="1"/>
    <row r="106" spans="1:31" ht="16.5" hidden="1" customHeight="1" thickBot="1">
      <c r="A106" s="213"/>
      <c r="B106" s="211"/>
      <c r="C106" s="82"/>
      <c r="D106" s="82"/>
      <c r="E106" s="82">
        <v>22730</v>
      </c>
      <c r="F106" s="82"/>
      <c r="G106" s="82">
        <v>22930</v>
      </c>
      <c r="H106" s="82"/>
      <c r="I106" s="82">
        <v>22960</v>
      </c>
      <c r="J106" s="82"/>
      <c r="K106" s="82">
        <v>23080</v>
      </c>
      <c r="L106" s="82"/>
      <c r="M106" s="82">
        <v>23300</v>
      </c>
      <c r="N106" s="82"/>
      <c r="O106" s="82">
        <v>23380</v>
      </c>
      <c r="P106" s="82"/>
      <c r="Q106" s="82">
        <v>23450</v>
      </c>
      <c r="R106" s="82"/>
      <c r="S106" s="82">
        <v>23550</v>
      </c>
      <c r="T106" s="82"/>
      <c r="U106" s="82">
        <v>23970</v>
      </c>
      <c r="V106" s="82"/>
      <c r="W106" s="82">
        <v>24880</v>
      </c>
      <c r="X106" s="82"/>
      <c r="Y106" s="82">
        <v>24735</v>
      </c>
      <c r="Z106" s="82"/>
      <c r="AA106" s="82">
        <v>23640</v>
      </c>
      <c r="AB106" s="82"/>
      <c r="AC106" s="225"/>
      <c r="AD106" s="225"/>
      <c r="AE106" s="225"/>
    </row>
    <row r="107" spans="1:31" ht="18" hidden="1" customHeight="1" thickTop="1" thickBot="1">
      <c r="A107" s="1488" t="s">
        <v>645</v>
      </c>
      <c r="B107" s="1489"/>
      <c r="C107" s="244"/>
      <c r="D107" s="1500">
        <v>44562</v>
      </c>
      <c r="E107" s="1501"/>
      <c r="F107" s="1500">
        <v>44593</v>
      </c>
      <c r="G107" s="1501"/>
      <c r="H107" s="1500">
        <v>44621</v>
      </c>
      <c r="I107" s="1501"/>
      <c r="J107" s="1500">
        <v>44652</v>
      </c>
      <c r="K107" s="1501"/>
      <c r="L107" s="1500">
        <v>44682</v>
      </c>
      <c r="M107" s="1501"/>
      <c r="N107" s="1500">
        <v>44713</v>
      </c>
      <c r="O107" s="1501"/>
      <c r="P107" s="1500">
        <v>44743</v>
      </c>
      <c r="Q107" s="1501"/>
      <c r="R107" s="1500">
        <v>44774</v>
      </c>
      <c r="S107" s="1501"/>
      <c r="T107" s="1500">
        <v>44805</v>
      </c>
      <c r="U107" s="1501"/>
      <c r="V107" s="1500">
        <v>44835</v>
      </c>
      <c r="W107" s="1501"/>
      <c r="X107" s="1500">
        <v>44866</v>
      </c>
      <c r="Y107" s="1501"/>
      <c r="Z107" s="1500">
        <v>44896</v>
      </c>
      <c r="AA107" s="1501"/>
      <c r="AB107" s="1517" t="s">
        <v>374</v>
      </c>
      <c r="AC107" s="1518"/>
      <c r="AD107" s="1519" t="s">
        <v>375</v>
      </c>
      <c r="AE107" s="1520"/>
    </row>
    <row r="108" spans="1:31" ht="17.25" hidden="1" thickTop="1" thickBot="1">
      <c r="A108" s="1515" t="s">
        <v>231</v>
      </c>
      <c r="B108" s="224" t="s">
        <v>82</v>
      </c>
      <c r="C108" s="240"/>
      <c r="D108" s="205">
        <v>528</v>
      </c>
      <c r="E108" s="205">
        <v>6182739823</v>
      </c>
      <c r="F108" s="205">
        <v>558</v>
      </c>
      <c r="G108" s="205">
        <v>4368940916</v>
      </c>
      <c r="H108" s="205">
        <v>540</v>
      </c>
      <c r="I108" s="205">
        <v>4842650476</v>
      </c>
      <c r="J108" s="205">
        <v>538</v>
      </c>
      <c r="K108" s="205">
        <v>4923906660</v>
      </c>
      <c r="L108" s="205">
        <v>558</v>
      </c>
      <c r="M108" s="205">
        <v>4887251447</v>
      </c>
      <c r="N108" s="205">
        <v>558</v>
      </c>
      <c r="O108" s="205">
        <v>4411062645</v>
      </c>
      <c r="P108" s="205">
        <v>546</v>
      </c>
      <c r="Q108" s="205">
        <v>4837206473</v>
      </c>
      <c r="R108" s="205">
        <v>563</v>
      </c>
      <c r="S108" s="205">
        <v>5244649864</v>
      </c>
      <c r="T108" s="205">
        <v>534</v>
      </c>
      <c r="U108" s="205">
        <v>4065959278</v>
      </c>
      <c r="V108" s="205">
        <v>515</v>
      </c>
      <c r="W108" s="205">
        <v>3695192584</v>
      </c>
      <c r="X108" s="205">
        <v>492</v>
      </c>
      <c r="Y108" s="205">
        <v>3387628650</v>
      </c>
      <c r="Z108" s="205">
        <v>497</v>
      </c>
      <c r="AA108" s="245">
        <v>3502336523</v>
      </c>
      <c r="AB108" s="522">
        <v>6427</v>
      </c>
      <c r="AC108" s="523">
        <v>52028314861</v>
      </c>
      <c r="AD108" s="524">
        <v>535.58333333333337</v>
      </c>
      <c r="AE108" s="525">
        <v>4335692905.083333</v>
      </c>
    </row>
    <row r="109" spans="1:31" ht="17.25" hidden="1" thickTop="1" thickBot="1">
      <c r="A109" s="1515"/>
      <c r="B109" s="1516" t="s">
        <v>232</v>
      </c>
      <c r="C109" s="242" t="s">
        <v>75</v>
      </c>
      <c r="D109" s="206"/>
      <c r="E109" s="207">
        <v>11709734.513257576</v>
      </c>
      <c r="F109" s="206"/>
      <c r="G109" s="207">
        <v>7829643.2186379926</v>
      </c>
      <c r="H109" s="206"/>
      <c r="I109" s="207">
        <v>8967871.2518518511</v>
      </c>
      <c r="J109" s="206"/>
      <c r="K109" s="206">
        <v>9152242.8624535315</v>
      </c>
      <c r="L109" s="206"/>
      <c r="M109" s="206">
        <v>8758515.1379928309</v>
      </c>
      <c r="N109" s="206"/>
      <c r="O109" s="206">
        <v>7905130.1881720433</v>
      </c>
      <c r="P109" s="206"/>
      <c r="Q109" s="206">
        <v>8859352.5146520138</v>
      </c>
      <c r="R109" s="206"/>
      <c r="S109" s="206">
        <v>9315541.4991119001</v>
      </c>
      <c r="T109" s="206"/>
      <c r="U109" s="206">
        <v>7614155.9513108619</v>
      </c>
      <c r="V109" s="206"/>
      <c r="W109" s="206">
        <v>7175131.2310679611</v>
      </c>
      <c r="X109" s="206"/>
      <c r="Y109" s="206">
        <v>6885424.0853658533</v>
      </c>
      <c r="Z109" s="206"/>
      <c r="AA109" s="375">
        <v>7046954.7746478869</v>
      </c>
      <c r="AB109" s="526"/>
      <c r="AC109" s="527">
        <v>96823465.262613207</v>
      </c>
      <c r="AD109" s="528"/>
      <c r="AE109" s="529">
        <v>8068622.1052177669</v>
      </c>
    </row>
    <row r="110" spans="1:31" ht="17.25" hidden="1" thickTop="1" thickBot="1">
      <c r="A110" s="1515"/>
      <c r="B110" s="1516"/>
      <c r="C110" s="241" t="s">
        <v>76</v>
      </c>
      <c r="D110" s="212"/>
      <c r="E110" s="212">
        <v>515.16649860350094</v>
      </c>
      <c r="F110" s="212"/>
      <c r="G110" s="212">
        <v>341.45849187256835</v>
      </c>
      <c r="H110" s="212"/>
      <c r="I110" s="212">
        <v>390.58672699703186</v>
      </c>
      <c r="J110" s="212"/>
      <c r="K110" s="212">
        <v>396.54431813056897</v>
      </c>
      <c r="L110" s="212"/>
      <c r="M110" s="212">
        <v>375.90193725291118</v>
      </c>
      <c r="N110" s="212"/>
      <c r="O110" s="212">
        <v>338.11506365149887</v>
      </c>
      <c r="P110" s="212"/>
      <c r="Q110" s="212">
        <v>377.79754859923298</v>
      </c>
      <c r="R110" s="212"/>
      <c r="S110" s="212">
        <v>395.56439486674736</v>
      </c>
      <c r="T110" s="212"/>
      <c r="U110" s="212">
        <v>317.65356492744525</v>
      </c>
      <c r="V110" s="212"/>
      <c r="W110" s="209">
        <v>288.38951893359973</v>
      </c>
      <c r="X110" s="212"/>
      <c r="Y110" s="212">
        <v>278.36766061717617</v>
      </c>
      <c r="Z110" s="212"/>
      <c r="AA110" s="374">
        <v>298.09453361454683</v>
      </c>
      <c r="AB110" s="530"/>
      <c r="AC110" s="598">
        <v>4120.22926088649</v>
      </c>
      <c r="AD110" s="531"/>
      <c r="AE110" s="599">
        <v>343.3524384072075</v>
      </c>
    </row>
    <row r="111" spans="1:31" ht="17.25" hidden="1" thickTop="1" thickBot="1">
      <c r="A111" s="1515" t="s">
        <v>233</v>
      </c>
      <c r="B111" s="224" t="s">
        <v>82</v>
      </c>
      <c r="C111" s="240"/>
      <c r="D111" s="205">
        <v>950</v>
      </c>
      <c r="E111" s="205">
        <v>11544537597</v>
      </c>
      <c r="F111" s="205">
        <v>1005</v>
      </c>
      <c r="G111" s="205">
        <v>8122634928</v>
      </c>
      <c r="H111" s="205">
        <v>1011</v>
      </c>
      <c r="I111" s="205">
        <v>9454093644</v>
      </c>
      <c r="J111" s="205">
        <v>989</v>
      </c>
      <c r="K111" s="205">
        <v>9548257115</v>
      </c>
      <c r="L111" s="205">
        <v>1034</v>
      </c>
      <c r="M111" s="205">
        <v>9969538372</v>
      </c>
      <c r="N111" s="205">
        <v>1072</v>
      </c>
      <c r="O111" s="205">
        <v>10389531874</v>
      </c>
      <c r="P111" s="205">
        <v>1038</v>
      </c>
      <c r="Q111" s="205">
        <v>9644112558</v>
      </c>
      <c r="R111" s="205">
        <v>1026</v>
      </c>
      <c r="S111" s="205">
        <v>9962892373</v>
      </c>
      <c r="T111" s="205">
        <v>960</v>
      </c>
      <c r="U111" s="205">
        <v>7905914745</v>
      </c>
      <c r="V111" s="205">
        <v>924</v>
      </c>
      <c r="W111" s="205">
        <v>7374366310</v>
      </c>
      <c r="X111" s="205">
        <v>904</v>
      </c>
      <c r="Y111" s="205">
        <v>6731173207</v>
      </c>
      <c r="Z111" s="205">
        <v>914</v>
      </c>
      <c r="AA111" s="245">
        <v>7045659026</v>
      </c>
      <c r="AB111" s="522">
        <v>11827</v>
      </c>
      <c r="AC111" s="523">
        <v>103234661121</v>
      </c>
      <c r="AD111" s="524">
        <v>985.58333333333337</v>
      </c>
      <c r="AE111" s="525">
        <v>8602888426.75</v>
      </c>
    </row>
    <row r="112" spans="1:31" ht="17.25" hidden="1" thickTop="1" thickBot="1">
      <c r="A112" s="1515"/>
      <c r="B112" s="1509" t="s">
        <v>232</v>
      </c>
      <c r="C112" s="242" t="s">
        <v>75</v>
      </c>
      <c r="D112" s="206"/>
      <c r="E112" s="207">
        <v>12152144.838947369</v>
      </c>
      <c r="F112" s="206"/>
      <c r="G112" s="207">
        <v>8082223.8089552242</v>
      </c>
      <c r="H112" s="206"/>
      <c r="I112" s="207">
        <v>9351230.1127596442</v>
      </c>
      <c r="J112" s="206"/>
      <c r="K112" s="206">
        <v>9654456.1324570272</v>
      </c>
      <c r="L112" s="206"/>
      <c r="M112" s="206">
        <v>9641719.8955512568</v>
      </c>
      <c r="N112" s="206"/>
      <c r="O112" s="206">
        <v>9691727.4944029842</v>
      </c>
      <c r="P112" s="206"/>
      <c r="Q112" s="206">
        <v>9291052.5606936421</v>
      </c>
      <c r="R112" s="206"/>
      <c r="S112" s="206">
        <v>9710421.4161793366</v>
      </c>
      <c r="T112" s="206"/>
      <c r="U112" s="206">
        <v>8235327.859375</v>
      </c>
      <c r="V112" s="206"/>
      <c r="W112" s="206">
        <v>7980915.9199134195</v>
      </c>
      <c r="X112" s="206"/>
      <c r="Y112" s="207">
        <v>7445988.0608407082</v>
      </c>
      <c r="Z112" s="206"/>
      <c r="AA112" s="375">
        <v>7708598.496717724</v>
      </c>
      <c r="AB112" s="526"/>
      <c r="AC112" s="527">
        <v>104253121.72521439</v>
      </c>
      <c r="AD112" s="528"/>
      <c r="AE112" s="529">
        <v>8687760.1437678654</v>
      </c>
    </row>
    <row r="113" spans="1:31" ht="17.25" hidden="1" thickTop="1" thickBot="1">
      <c r="A113" s="1515"/>
      <c r="B113" s="1509"/>
      <c r="C113" s="243" t="s">
        <v>76</v>
      </c>
      <c r="D113" s="209"/>
      <c r="E113" s="209">
        <v>534.63021728760975</v>
      </c>
      <c r="F113" s="209"/>
      <c r="G113" s="209">
        <v>352.47378146337655</v>
      </c>
      <c r="H113" s="209"/>
      <c r="I113" s="209">
        <v>407.28354149650016</v>
      </c>
      <c r="J113" s="209"/>
      <c r="K113" s="209">
        <v>418.30399187422131</v>
      </c>
      <c r="L113" s="209"/>
      <c r="M113" s="209">
        <v>413.80772083910972</v>
      </c>
      <c r="N113" s="209"/>
      <c r="O113" s="209">
        <v>414.53068838336117</v>
      </c>
      <c r="P113" s="209"/>
      <c r="Q113" s="209">
        <v>396.2069322257417</v>
      </c>
      <c r="R113" s="209"/>
      <c r="S113" s="209">
        <v>412.33211958298671</v>
      </c>
      <c r="T113" s="209"/>
      <c r="U113" s="209">
        <v>343.56812095848977</v>
      </c>
      <c r="V113" s="209"/>
      <c r="W113" s="209">
        <v>320.77636334057155</v>
      </c>
      <c r="X113" s="209"/>
      <c r="Y113" s="209">
        <v>301.03044515224207</v>
      </c>
      <c r="Z113" s="209"/>
      <c r="AA113" s="247">
        <v>326.0828467308682</v>
      </c>
      <c r="AB113" s="520"/>
      <c r="AC113" s="598">
        <v>4434.5734093887986</v>
      </c>
      <c r="AD113" s="521"/>
      <c r="AE113" s="599">
        <v>369.54778411573324</v>
      </c>
    </row>
    <row r="114" spans="1:31" ht="17.25" hidden="1" thickTop="1" thickBot="1">
      <c r="A114" s="1508" t="s">
        <v>234</v>
      </c>
      <c r="B114" s="224" t="s">
        <v>82</v>
      </c>
      <c r="C114" s="240"/>
      <c r="D114" s="205">
        <v>1478</v>
      </c>
      <c r="E114" s="205">
        <v>17727277420</v>
      </c>
      <c r="F114" s="205">
        <v>1563</v>
      </c>
      <c r="G114" s="205">
        <v>12491575844</v>
      </c>
      <c r="H114" s="205">
        <v>1551</v>
      </c>
      <c r="I114" s="205">
        <v>14296744120</v>
      </c>
      <c r="J114" s="205">
        <v>1527</v>
      </c>
      <c r="K114" s="205">
        <v>14472163775</v>
      </c>
      <c r="L114" s="205">
        <v>1592</v>
      </c>
      <c r="M114" s="205">
        <v>14856789819</v>
      </c>
      <c r="N114" s="205">
        <v>1630</v>
      </c>
      <c r="O114" s="205">
        <v>14800594519</v>
      </c>
      <c r="P114" s="205">
        <v>1584</v>
      </c>
      <c r="Q114" s="205">
        <v>14481319031</v>
      </c>
      <c r="R114" s="205">
        <v>1589</v>
      </c>
      <c r="S114" s="205">
        <v>15207542237</v>
      </c>
      <c r="T114" s="205">
        <v>1494</v>
      </c>
      <c r="U114" s="205">
        <v>11971874023</v>
      </c>
      <c r="V114" s="205">
        <v>1439</v>
      </c>
      <c r="W114" s="205">
        <v>11069558894</v>
      </c>
      <c r="X114" s="205">
        <v>1396</v>
      </c>
      <c r="Y114" s="205">
        <v>10118801857</v>
      </c>
      <c r="Z114" s="205">
        <v>1411</v>
      </c>
      <c r="AA114" s="205">
        <v>10547995549</v>
      </c>
      <c r="AB114" s="522">
        <v>18254</v>
      </c>
      <c r="AC114" s="523">
        <v>155262975982</v>
      </c>
      <c r="AD114" s="524">
        <v>1521.1666666666667</v>
      </c>
      <c r="AE114" s="525">
        <v>12938581331.833334</v>
      </c>
    </row>
    <row r="115" spans="1:31" ht="17.25" hidden="1" thickTop="1" thickBot="1">
      <c r="A115" s="1508"/>
      <c r="B115" s="1509" t="s">
        <v>89</v>
      </c>
      <c r="C115" s="242" t="s">
        <v>75</v>
      </c>
      <c r="D115" s="206"/>
      <c r="E115" s="206">
        <v>11994098.389715832</v>
      </c>
      <c r="F115" s="206"/>
      <c r="G115" s="206">
        <v>7992051.0838131802</v>
      </c>
      <c r="H115" s="206"/>
      <c r="I115" s="206">
        <v>9217758.942617666</v>
      </c>
      <c r="J115" s="206"/>
      <c r="K115" s="206">
        <v>9477513.932547478</v>
      </c>
      <c r="L115" s="206"/>
      <c r="M115" s="206">
        <v>9332154.4089195989</v>
      </c>
      <c r="N115" s="206"/>
      <c r="O115" s="206">
        <v>9080119.3368098158</v>
      </c>
      <c r="P115" s="206"/>
      <c r="Q115" s="206">
        <v>9142246.8630050514</v>
      </c>
      <c r="R115" s="206"/>
      <c r="S115" s="206">
        <v>9570511.1623662673</v>
      </c>
      <c r="T115" s="206"/>
      <c r="U115" s="206">
        <v>8013302.5589022757</v>
      </c>
      <c r="V115" s="206"/>
      <c r="W115" s="206">
        <v>7692535.7150799166</v>
      </c>
      <c r="X115" s="206"/>
      <c r="Y115" s="206">
        <v>7248425.3989971345</v>
      </c>
      <c r="Z115" s="206"/>
      <c r="AA115" s="246">
        <v>7475546.1013465626</v>
      </c>
      <c r="AB115" s="532"/>
      <c r="AC115" s="527">
        <v>101649483.71414784</v>
      </c>
      <c r="AD115" s="528"/>
      <c r="AE115" s="529">
        <v>8470790.3095123209</v>
      </c>
    </row>
    <row r="116" spans="1:31" ht="17.25" hidden="1" thickTop="1" thickBot="1">
      <c r="A116" s="1508"/>
      <c r="B116" s="1509"/>
      <c r="C116" s="243" t="s">
        <v>76</v>
      </c>
      <c r="D116" s="209"/>
      <c r="E116" s="209">
        <v>527.67700790654783</v>
      </c>
      <c r="F116" s="209"/>
      <c r="G116" s="209">
        <v>348.54125965168686</v>
      </c>
      <c r="H116" s="209"/>
      <c r="I116" s="209">
        <v>401.47033722202377</v>
      </c>
      <c r="J116" s="209"/>
      <c r="K116" s="209">
        <v>410.63751874122522</v>
      </c>
      <c r="L116" s="209"/>
      <c r="M116" s="209">
        <v>400.52164845148491</v>
      </c>
      <c r="N116" s="209"/>
      <c r="O116" s="209">
        <v>388.37122911932488</v>
      </c>
      <c r="P116" s="209"/>
      <c r="Q116" s="209">
        <v>389.86127347569516</v>
      </c>
      <c r="R116" s="209"/>
      <c r="S116" s="209">
        <v>406.39113215992643</v>
      </c>
      <c r="T116" s="209"/>
      <c r="U116" s="209">
        <v>334.30548848153006</v>
      </c>
      <c r="V116" s="209"/>
      <c r="W116" s="209">
        <v>309.18551909485194</v>
      </c>
      <c r="X116" s="209"/>
      <c r="Y116" s="209">
        <v>293.04327467140223</v>
      </c>
      <c r="Z116" s="209"/>
      <c r="AA116" s="247">
        <v>316.22445437168199</v>
      </c>
      <c r="AB116" s="520"/>
      <c r="AC116" s="598">
        <v>4324.4360307220868</v>
      </c>
      <c r="AD116" s="521"/>
      <c r="AE116" s="599">
        <v>360.36966922684059</v>
      </c>
    </row>
    <row r="117" spans="1:31" ht="17.25" hidden="1" thickTop="1" thickBot="1">
      <c r="A117" s="1510" t="s">
        <v>1</v>
      </c>
      <c r="B117" s="224" t="s">
        <v>82</v>
      </c>
      <c r="C117" s="240"/>
      <c r="D117" s="205">
        <v>56</v>
      </c>
      <c r="E117" s="205">
        <v>1455364003</v>
      </c>
      <c r="F117" s="205">
        <v>55</v>
      </c>
      <c r="G117" s="205">
        <v>735458794</v>
      </c>
      <c r="H117" s="205">
        <v>59</v>
      </c>
      <c r="I117" s="205">
        <v>800689479</v>
      </c>
      <c r="J117" s="205">
        <v>58</v>
      </c>
      <c r="K117" s="205">
        <v>840402001</v>
      </c>
      <c r="L117" s="205">
        <v>58</v>
      </c>
      <c r="M117" s="205">
        <v>818030852</v>
      </c>
      <c r="N117" s="205">
        <v>60</v>
      </c>
      <c r="O117" s="205">
        <v>855535753</v>
      </c>
      <c r="P117" s="205">
        <v>58</v>
      </c>
      <c r="Q117" s="205">
        <v>833159814</v>
      </c>
      <c r="R117" s="205">
        <v>58</v>
      </c>
      <c r="S117" s="205">
        <v>857475095</v>
      </c>
      <c r="T117" s="205">
        <v>58</v>
      </c>
      <c r="U117" s="205">
        <v>820972591</v>
      </c>
      <c r="V117" s="205">
        <v>56</v>
      </c>
      <c r="W117" s="205">
        <v>785019262</v>
      </c>
      <c r="X117" s="205">
        <v>55</v>
      </c>
      <c r="Y117" s="205">
        <v>709253963</v>
      </c>
      <c r="Z117" s="205">
        <v>55</v>
      </c>
      <c r="AA117" s="245">
        <v>746300784</v>
      </c>
      <c r="AB117" s="522">
        <v>686</v>
      </c>
      <c r="AC117" s="523">
        <v>9562800515</v>
      </c>
      <c r="AD117" s="524">
        <v>57.166666666666664</v>
      </c>
      <c r="AE117" s="525">
        <v>796900042.91666663</v>
      </c>
    </row>
    <row r="118" spans="1:31" ht="17.25" hidden="1" thickTop="1" thickBot="1">
      <c r="A118" s="1511"/>
      <c r="B118" s="1509" t="s">
        <v>89</v>
      </c>
      <c r="C118" s="242" t="s">
        <v>75</v>
      </c>
      <c r="D118" s="206"/>
      <c r="E118" s="206">
        <v>25988642.910714287</v>
      </c>
      <c r="F118" s="206"/>
      <c r="G118" s="206">
        <v>13371978.072727272</v>
      </c>
      <c r="H118" s="206"/>
      <c r="I118" s="206">
        <v>13571008.118644068</v>
      </c>
      <c r="J118" s="206"/>
      <c r="K118" s="206">
        <v>14489689.672413792</v>
      </c>
      <c r="L118" s="206"/>
      <c r="M118" s="206">
        <v>14103980.206896551</v>
      </c>
      <c r="N118" s="206"/>
      <c r="O118" s="206">
        <v>14258929.216666667</v>
      </c>
      <c r="P118" s="206"/>
      <c r="Q118" s="206">
        <v>14364824.379310345</v>
      </c>
      <c r="R118" s="206"/>
      <c r="S118" s="206">
        <v>14784053.362068966</v>
      </c>
      <c r="T118" s="206"/>
      <c r="U118" s="206">
        <v>14154699.844827587</v>
      </c>
      <c r="V118" s="206"/>
      <c r="W118" s="206">
        <v>14018201.107142856</v>
      </c>
      <c r="X118" s="206"/>
      <c r="Y118" s="206">
        <v>12895526.6</v>
      </c>
      <c r="Z118" s="206"/>
      <c r="AA118" s="206">
        <v>13569105.163636364</v>
      </c>
      <c r="AB118" s="532"/>
      <c r="AC118" s="527">
        <v>167162390.86933446</v>
      </c>
      <c r="AD118" s="528"/>
      <c r="AE118" s="529">
        <v>13930199.239111206</v>
      </c>
    </row>
    <row r="119" spans="1:31" ht="17.25" hidden="1" thickTop="1" thickBot="1">
      <c r="A119" s="1512"/>
      <c r="B119" s="1509"/>
      <c r="C119" s="243" t="s">
        <v>76</v>
      </c>
      <c r="D119" s="209"/>
      <c r="E119" s="209">
        <v>1143.3630845012885</v>
      </c>
      <c r="F119" s="209"/>
      <c r="G119" s="209">
        <v>583.16520160171274</v>
      </c>
      <c r="H119" s="209"/>
      <c r="I119" s="209">
        <v>591.07178217090893</v>
      </c>
      <c r="J119" s="209"/>
      <c r="K119" s="209">
        <v>627.80284542520769</v>
      </c>
      <c r="L119" s="209"/>
      <c r="M119" s="209">
        <v>605.32103892259875</v>
      </c>
      <c r="N119" s="209"/>
      <c r="O119" s="209">
        <v>609.87721200456235</v>
      </c>
      <c r="P119" s="209"/>
      <c r="Q119" s="209">
        <v>612.57246820086755</v>
      </c>
      <c r="R119" s="209"/>
      <c r="S119" s="209">
        <v>627.77296654220663</v>
      </c>
      <c r="T119" s="209"/>
      <c r="U119" s="209">
        <v>590.51730683469282</v>
      </c>
      <c r="V119" s="209"/>
      <c r="W119" s="209">
        <v>563.43252038355536</v>
      </c>
      <c r="X119" s="209"/>
      <c r="Y119" s="209">
        <v>521.34734586618151</v>
      </c>
      <c r="Z119" s="209"/>
      <c r="AA119" s="209">
        <v>573.98922011998161</v>
      </c>
      <c r="AB119" s="520"/>
      <c r="AC119" s="598">
        <v>7104.3355976897219</v>
      </c>
      <c r="AD119" s="521"/>
      <c r="AE119" s="599">
        <v>592.02796647414345</v>
      </c>
    </row>
    <row r="120" spans="1:31" ht="17.25" hidden="1" thickTop="1" thickBot="1">
      <c r="A120" s="1503" t="s">
        <v>78</v>
      </c>
      <c r="B120" s="224" t="s">
        <v>82</v>
      </c>
      <c r="C120" s="240"/>
      <c r="D120" s="205">
        <v>15</v>
      </c>
      <c r="E120" s="216">
        <v>368158431</v>
      </c>
      <c r="F120" s="205">
        <v>15</v>
      </c>
      <c r="G120" s="216">
        <v>380685650</v>
      </c>
      <c r="H120" s="205">
        <v>18</v>
      </c>
      <c r="I120" s="216">
        <v>489031332</v>
      </c>
      <c r="J120" s="205">
        <v>16</v>
      </c>
      <c r="K120" s="216">
        <v>411302535</v>
      </c>
      <c r="L120" s="205">
        <v>15</v>
      </c>
      <c r="M120" s="216">
        <v>394665322</v>
      </c>
      <c r="N120" s="205">
        <v>16</v>
      </c>
      <c r="O120" s="216">
        <v>423082220</v>
      </c>
      <c r="P120" s="205">
        <v>16</v>
      </c>
      <c r="Q120" s="216">
        <v>449867803</v>
      </c>
      <c r="R120" s="205">
        <v>16</v>
      </c>
      <c r="S120" s="216">
        <v>463369505</v>
      </c>
      <c r="T120" s="205">
        <v>16</v>
      </c>
      <c r="U120" s="216">
        <v>445445614</v>
      </c>
      <c r="V120" s="216">
        <v>16</v>
      </c>
      <c r="W120" s="216">
        <v>411090010</v>
      </c>
      <c r="X120" s="216">
        <v>16</v>
      </c>
      <c r="Y120" s="216">
        <v>392398030</v>
      </c>
      <c r="Z120" s="216">
        <v>16</v>
      </c>
      <c r="AA120" s="376">
        <v>398489875</v>
      </c>
      <c r="AB120" s="522">
        <v>191</v>
      </c>
      <c r="AC120" s="533">
        <v>5027586327</v>
      </c>
      <c r="AD120" s="524">
        <v>15.916666666666666</v>
      </c>
      <c r="AE120" s="525">
        <v>418965527.25</v>
      </c>
    </row>
    <row r="121" spans="1:31" ht="17.25" hidden="1" thickTop="1" thickBot="1">
      <c r="A121" s="1504"/>
      <c r="B121" s="1509" t="s">
        <v>89</v>
      </c>
      <c r="C121" s="242" t="s">
        <v>75</v>
      </c>
      <c r="D121" s="206"/>
      <c r="E121" s="207">
        <v>46195096.466666669</v>
      </c>
      <c r="F121" s="206"/>
      <c r="G121" s="207">
        <v>25379043.333333332</v>
      </c>
      <c r="H121" s="206"/>
      <c r="I121" s="207">
        <v>27168407.333333332</v>
      </c>
      <c r="J121" s="206"/>
      <c r="K121" s="206">
        <v>25706408.4375</v>
      </c>
      <c r="L121" s="206"/>
      <c r="M121" s="206">
        <v>26311021.466666665</v>
      </c>
      <c r="N121" s="206"/>
      <c r="O121" s="206">
        <v>26442638.75</v>
      </c>
      <c r="P121" s="206"/>
      <c r="Q121" s="206">
        <v>28116737.6875</v>
      </c>
      <c r="R121" s="206"/>
      <c r="S121" s="206">
        <v>28960594.0625</v>
      </c>
      <c r="T121" s="206"/>
      <c r="U121" s="206">
        <v>27840350.875</v>
      </c>
      <c r="V121" s="206"/>
      <c r="W121" s="206">
        <v>25693125.625</v>
      </c>
      <c r="X121" s="206"/>
      <c r="Y121" s="207">
        <v>24524876.875</v>
      </c>
      <c r="Z121" s="206"/>
      <c r="AA121" s="375">
        <v>24905617.1875</v>
      </c>
      <c r="AB121" s="526"/>
      <c r="AC121" s="527">
        <v>315592717.0333333</v>
      </c>
      <c r="AD121" s="528"/>
      <c r="AE121" s="529">
        <v>26299393.086111113</v>
      </c>
    </row>
    <row r="122" spans="1:31" ht="17.25" hidden="1" thickTop="1" thickBot="1">
      <c r="A122" s="1505"/>
      <c r="B122" s="1509"/>
      <c r="C122" s="243" t="s">
        <v>76</v>
      </c>
      <c r="D122" s="209"/>
      <c r="E122" s="209">
        <v>2032.3403636896905</v>
      </c>
      <c r="F122" s="209"/>
      <c r="G122" s="209">
        <v>1106.805204244803</v>
      </c>
      <c r="H122" s="209"/>
      <c r="I122" s="209">
        <v>1183.2930023228803</v>
      </c>
      <c r="J122" s="209"/>
      <c r="K122" s="209">
        <v>1113.7958595103987</v>
      </c>
      <c r="L122" s="209"/>
      <c r="M122" s="209">
        <v>1129.2283891273246</v>
      </c>
      <c r="N122" s="209"/>
      <c r="O122" s="209">
        <v>1130.9939585115483</v>
      </c>
      <c r="P122" s="209"/>
      <c r="Q122" s="209">
        <v>1199.0080037313433</v>
      </c>
      <c r="R122" s="209"/>
      <c r="S122" s="511">
        <v>1229.7492170912951</v>
      </c>
      <c r="T122" s="209"/>
      <c r="U122" s="209">
        <v>1161.4664528577389</v>
      </c>
      <c r="V122" s="209"/>
      <c r="W122" s="209">
        <v>1032.6818981109325</v>
      </c>
      <c r="X122" s="209"/>
      <c r="Y122" s="209">
        <v>991.50502829997981</v>
      </c>
      <c r="Z122" s="209"/>
      <c r="AA122" s="247">
        <v>1053.53710607022</v>
      </c>
      <c r="AB122" s="520"/>
      <c r="AC122" s="598">
        <v>13411.865941259899</v>
      </c>
      <c r="AD122" s="521"/>
      <c r="AE122" s="599">
        <v>1117.6554951049916</v>
      </c>
    </row>
    <row r="123" spans="1:31" ht="17.25" hidden="1" thickTop="1" thickBot="1">
      <c r="A123" s="1503" t="s">
        <v>79</v>
      </c>
      <c r="B123" s="1506" t="s">
        <v>82</v>
      </c>
      <c r="C123" s="242" t="s">
        <v>75</v>
      </c>
      <c r="D123" s="392">
        <v>1549</v>
      </c>
      <c r="E123" s="210">
        <v>19875567870</v>
      </c>
      <c r="F123" s="392">
        <v>1633</v>
      </c>
      <c r="G123" s="210">
        <v>13607720288</v>
      </c>
      <c r="H123" s="210">
        <v>1628</v>
      </c>
      <c r="I123" s="210">
        <v>15586464931</v>
      </c>
      <c r="J123" s="210">
        <v>1601</v>
      </c>
      <c r="K123" s="210">
        <v>15723868311</v>
      </c>
      <c r="L123" s="210">
        <v>1665</v>
      </c>
      <c r="M123" s="210">
        <v>16069485993</v>
      </c>
      <c r="N123" s="210">
        <v>1706</v>
      </c>
      <c r="O123" s="210">
        <v>16079212492</v>
      </c>
      <c r="P123" s="226">
        <v>1658</v>
      </c>
      <c r="Q123" s="210">
        <v>15764346648</v>
      </c>
      <c r="R123" s="226">
        <v>1663</v>
      </c>
      <c r="S123" s="210">
        <v>16528386837</v>
      </c>
      <c r="T123" s="226">
        <v>1568</v>
      </c>
      <c r="U123" s="210">
        <v>13238292228</v>
      </c>
      <c r="V123" s="210">
        <v>1511</v>
      </c>
      <c r="W123" s="210">
        <v>12265668166</v>
      </c>
      <c r="X123" s="210">
        <v>1467</v>
      </c>
      <c r="Y123" s="393">
        <v>11220453850</v>
      </c>
      <c r="Z123" s="210">
        <v>1482</v>
      </c>
      <c r="AA123" s="219">
        <v>11692786208</v>
      </c>
      <c r="AB123" s="534">
        <v>19131</v>
      </c>
      <c r="AC123" s="523">
        <v>169853362824</v>
      </c>
      <c r="AD123" s="524">
        <v>1594.25</v>
      </c>
      <c r="AE123" s="525">
        <v>14154446902</v>
      </c>
    </row>
    <row r="124" spans="1:31" ht="17.25" hidden="1" thickTop="1" thickBot="1">
      <c r="A124" s="1504"/>
      <c r="B124" s="1506"/>
      <c r="C124" s="581" t="s">
        <v>76</v>
      </c>
      <c r="D124" s="583"/>
      <c r="E124" s="583">
        <v>874420.05587329518</v>
      </c>
      <c r="F124" s="583"/>
      <c r="G124" s="583">
        <v>593446.15298735281</v>
      </c>
      <c r="H124" s="583"/>
      <c r="I124" s="583">
        <v>678853.0022212544</v>
      </c>
      <c r="J124" s="583"/>
      <c r="K124" s="583">
        <v>681276.7899046794</v>
      </c>
      <c r="L124" s="583"/>
      <c r="M124" s="583">
        <v>689677.51042918453</v>
      </c>
      <c r="N124" s="586"/>
      <c r="O124" s="583">
        <v>687733.63952095807</v>
      </c>
      <c r="P124" s="583"/>
      <c r="Q124" s="583">
        <v>672253.58840085287</v>
      </c>
      <c r="R124" s="583"/>
      <c r="S124" s="583">
        <v>701842.32853503188</v>
      </c>
      <c r="T124" s="583"/>
      <c r="U124" s="583">
        <v>552285.86683354189</v>
      </c>
      <c r="V124" s="583"/>
      <c r="W124" s="583">
        <v>492993.09348874597</v>
      </c>
      <c r="X124" s="583"/>
      <c r="Y124" s="583">
        <v>453626.5959167172</v>
      </c>
      <c r="Z124" s="583"/>
      <c r="AA124" s="585">
        <v>494618.70592216583</v>
      </c>
      <c r="AB124" s="594"/>
      <c r="AC124" s="595">
        <v>7229917.2993254643</v>
      </c>
      <c r="AD124" s="596"/>
      <c r="AE124" s="597">
        <v>602493.10827712214</v>
      </c>
    </row>
    <row r="125" spans="1:31" ht="17.25" hidden="1" thickTop="1" thickBot="1">
      <c r="A125" s="1504"/>
      <c r="B125" s="1507" t="s">
        <v>89</v>
      </c>
      <c r="C125" s="299" t="s">
        <v>75</v>
      </c>
      <c r="D125" s="512"/>
      <c r="E125" s="512">
        <v>12831225.222724339</v>
      </c>
      <c r="F125" s="512"/>
      <c r="G125" s="512">
        <v>8332957.9228413962</v>
      </c>
      <c r="H125" s="512"/>
      <c r="I125" s="512">
        <v>9573995.6578624081</v>
      </c>
      <c r="J125" s="512"/>
      <c r="K125" s="512">
        <v>9821279.3947532792</v>
      </c>
      <c r="L125" s="512"/>
      <c r="M125" s="512">
        <v>9651342.9387387391</v>
      </c>
      <c r="N125" s="512"/>
      <c r="O125" s="512">
        <v>9425095.2473622505</v>
      </c>
      <c r="P125" s="512"/>
      <c r="Q125" s="512">
        <v>9508049.8480096497</v>
      </c>
      <c r="R125" s="512"/>
      <c r="S125" s="512">
        <v>9938897.677089598</v>
      </c>
      <c r="T125" s="512"/>
      <c r="U125" s="512">
        <v>8442788.4107142854</v>
      </c>
      <c r="V125" s="512"/>
      <c r="W125" s="512">
        <v>8117583.1674387818</v>
      </c>
      <c r="X125" s="512"/>
      <c r="Y125" s="512">
        <v>7648571.1315610092</v>
      </c>
      <c r="Z125" s="512"/>
      <c r="AA125" s="513">
        <v>7889869.2361673415</v>
      </c>
      <c r="AB125" s="514"/>
      <c r="AC125" s="515">
        <v>106146865.02375887</v>
      </c>
      <c r="AD125" s="516"/>
      <c r="AE125" s="517">
        <v>8845572.0853132401</v>
      </c>
    </row>
    <row r="126" spans="1:31" ht="17.25" hidden="1" thickTop="1" thickBot="1">
      <c r="A126" s="1505"/>
      <c r="B126" s="1507"/>
      <c r="C126" s="306" t="s">
        <v>76</v>
      </c>
      <c r="D126" s="518"/>
      <c r="E126" s="518">
        <v>564.50616905958373</v>
      </c>
      <c r="F126" s="518"/>
      <c r="G126" s="518">
        <v>363.40854438907093</v>
      </c>
      <c r="H126" s="518"/>
      <c r="I126" s="518">
        <v>416.98587360027909</v>
      </c>
      <c r="J126" s="518"/>
      <c r="K126" s="518">
        <v>425.53203616781974</v>
      </c>
      <c r="L126" s="518"/>
      <c r="M126" s="518">
        <v>414.22072698449523</v>
      </c>
      <c r="N126" s="518"/>
      <c r="O126" s="518">
        <v>403.12640065706802</v>
      </c>
      <c r="P126" s="518"/>
      <c r="Q126" s="518">
        <v>405.46054788953728</v>
      </c>
      <c r="R126" s="518"/>
      <c r="S126" s="518">
        <v>422.03387163862413</v>
      </c>
      <c r="T126" s="650"/>
      <c r="U126" s="518">
        <v>352.22312935812624</v>
      </c>
      <c r="V126" s="518"/>
      <c r="W126" s="518">
        <v>326.2694199131343</v>
      </c>
      <c r="X126" s="518"/>
      <c r="Y126" s="518">
        <v>309.22058344697837</v>
      </c>
      <c r="Z126" s="518"/>
      <c r="AA126" s="519">
        <v>333.75081371266248</v>
      </c>
      <c r="AB126" s="520"/>
      <c r="AC126" s="598">
        <v>4515.2339007371247</v>
      </c>
      <c r="AD126" s="521"/>
      <c r="AE126" s="599">
        <v>376.26949172809373</v>
      </c>
    </row>
    <row r="127" spans="1:31" s="945" customFormat="1" ht="60.75" hidden="1" customHeight="1" thickTop="1">
      <c r="C127" s="946"/>
      <c r="D127" s="1493" t="s">
        <v>427</v>
      </c>
      <c r="E127" s="1493"/>
      <c r="F127" s="1493" t="s">
        <v>403</v>
      </c>
      <c r="G127" s="1493"/>
      <c r="H127" s="1493" t="s">
        <v>404</v>
      </c>
      <c r="I127" s="1493"/>
      <c r="J127" s="1493" t="s">
        <v>406</v>
      </c>
      <c r="K127" s="1493"/>
      <c r="L127" s="1493" t="s">
        <v>407</v>
      </c>
      <c r="M127" s="1493"/>
      <c r="N127" s="1493" t="s">
        <v>426</v>
      </c>
      <c r="O127" s="1493"/>
      <c r="P127" s="1493" t="s">
        <v>430</v>
      </c>
      <c r="Q127" s="1493"/>
      <c r="R127" s="1493" t="s">
        <v>434</v>
      </c>
      <c r="S127" s="1493"/>
      <c r="T127" s="1493" t="s">
        <v>436</v>
      </c>
      <c r="U127" s="1493"/>
      <c r="V127" s="1493" t="s">
        <v>437</v>
      </c>
      <c r="W127" s="1493"/>
      <c r="X127" s="1493" t="s">
        <v>479</v>
      </c>
      <c r="Y127" s="1493"/>
      <c r="Z127" s="1493" t="s">
        <v>480</v>
      </c>
      <c r="AA127" s="1493"/>
      <c r="AB127" s="964"/>
      <c r="AC127" s="965"/>
      <c r="AD127" s="966"/>
      <c r="AE127" s="966"/>
    </row>
    <row r="128" spans="1:31" hidden="1"/>
    <row r="129" spans="1:31" ht="17.25" hidden="1" thickBot="1">
      <c r="A129" s="213"/>
      <c r="B129" s="211"/>
      <c r="C129" s="82"/>
      <c r="D129" s="82"/>
      <c r="E129" s="82">
        <v>23135</v>
      </c>
      <c r="F129" s="82"/>
      <c r="G129" s="82">
        <v>23100</v>
      </c>
      <c r="H129" s="82"/>
      <c r="I129" s="82">
        <v>23170</v>
      </c>
      <c r="J129" s="82"/>
      <c r="K129" s="82">
        <v>23155</v>
      </c>
      <c r="L129" s="82"/>
      <c r="M129" s="82">
        <v>23145</v>
      </c>
      <c r="N129" s="82"/>
      <c r="O129" s="82">
        <v>23110</v>
      </c>
      <c r="P129" s="82"/>
      <c r="Q129" s="82">
        <v>23055</v>
      </c>
      <c r="R129" s="82"/>
      <c r="S129" s="82">
        <v>22870</v>
      </c>
      <c r="T129" s="82"/>
      <c r="U129" s="82">
        <v>22860</v>
      </c>
      <c r="V129" s="82"/>
      <c r="W129" s="82">
        <v>22850</v>
      </c>
      <c r="X129" s="82"/>
      <c r="Y129" s="82">
        <v>22795</v>
      </c>
      <c r="Z129" s="82"/>
      <c r="AA129" s="82">
        <v>22915</v>
      </c>
      <c r="AB129" s="82"/>
      <c r="AC129" s="225"/>
      <c r="AD129" s="225"/>
      <c r="AE129" s="225"/>
    </row>
    <row r="130" spans="1:31" ht="18" hidden="1" customHeight="1" thickTop="1" thickBot="1">
      <c r="A130" s="1488" t="s">
        <v>644</v>
      </c>
      <c r="B130" s="1489"/>
      <c r="C130" s="244"/>
      <c r="D130" s="1521">
        <v>44197</v>
      </c>
      <c r="E130" s="1522"/>
      <c r="F130" s="1521">
        <v>44228</v>
      </c>
      <c r="G130" s="1522"/>
      <c r="H130" s="1521">
        <v>44256</v>
      </c>
      <c r="I130" s="1522"/>
      <c r="J130" s="1521">
        <v>44287</v>
      </c>
      <c r="K130" s="1522"/>
      <c r="L130" s="1521">
        <v>44317</v>
      </c>
      <c r="M130" s="1522"/>
      <c r="N130" s="1521">
        <v>44348</v>
      </c>
      <c r="O130" s="1522"/>
      <c r="P130" s="1521">
        <v>44378</v>
      </c>
      <c r="Q130" s="1522"/>
      <c r="R130" s="1521">
        <v>44409</v>
      </c>
      <c r="S130" s="1522"/>
      <c r="T130" s="1521">
        <v>44440</v>
      </c>
      <c r="U130" s="1522"/>
      <c r="V130" s="1521">
        <v>44470</v>
      </c>
      <c r="W130" s="1522"/>
      <c r="X130" s="1521">
        <v>44501</v>
      </c>
      <c r="Y130" s="1522"/>
      <c r="Z130" s="1521">
        <v>44531</v>
      </c>
      <c r="AA130" s="1522"/>
      <c r="AB130" s="1523" t="s">
        <v>271</v>
      </c>
      <c r="AC130" s="1524"/>
      <c r="AD130" s="1525" t="s">
        <v>272</v>
      </c>
      <c r="AE130" s="1526"/>
    </row>
    <row r="131" spans="1:31" ht="17.25" hidden="1" thickTop="1" thickBot="1">
      <c r="A131" s="1515" t="s">
        <v>231</v>
      </c>
      <c r="B131" s="224" t="s">
        <v>82</v>
      </c>
      <c r="C131" s="240"/>
      <c r="D131" s="205">
        <v>531</v>
      </c>
      <c r="E131" s="205">
        <v>5135173302</v>
      </c>
      <c r="F131" s="205">
        <v>513</v>
      </c>
      <c r="G131" s="205">
        <v>3473416284</v>
      </c>
      <c r="H131" s="205">
        <v>585</v>
      </c>
      <c r="I131" s="205">
        <v>5684681894</v>
      </c>
      <c r="J131" s="205">
        <v>663</v>
      </c>
      <c r="K131" s="205">
        <v>6323736064</v>
      </c>
      <c r="L131" s="205">
        <v>703</v>
      </c>
      <c r="M131" s="205">
        <v>6607070615</v>
      </c>
      <c r="N131" s="205">
        <v>695</v>
      </c>
      <c r="O131" s="205">
        <v>6426819900</v>
      </c>
      <c r="P131" s="205">
        <v>683</v>
      </c>
      <c r="Q131" s="205">
        <v>4936650021</v>
      </c>
      <c r="R131" s="205">
        <v>400</v>
      </c>
      <c r="S131" s="205">
        <v>5197757157</v>
      </c>
      <c r="T131" s="205">
        <v>369</v>
      </c>
      <c r="U131" s="205">
        <v>4270961343</v>
      </c>
      <c r="V131" s="205">
        <v>594</v>
      </c>
      <c r="W131" s="205">
        <v>3903890336</v>
      </c>
      <c r="X131" s="205">
        <v>595</v>
      </c>
      <c r="Y131" s="205">
        <v>3161726588</v>
      </c>
      <c r="Z131" s="205">
        <v>553</v>
      </c>
      <c r="AA131" s="245">
        <v>4783793489</v>
      </c>
      <c r="AB131" s="382">
        <v>6884</v>
      </c>
      <c r="AC131" s="383">
        <v>59907446097</v>
      </c>
      <c r="AD131" s="377">
        <v>1059.0769230769231</v>
      </c>
      <c r="AE131" s="292">
        <v>4992287174.75</v>
      </c>
    </row>
    <row r="132" spans="1:31" ht="17.25" hidden="1" thickTop="1" thickBot="1">
      <c r="A132" s="1515"/>
      <c r="B132" s="1516" t="s">
        <v>232</v>
      </c>
      <c r="C132" s="242" t="s">
        <v>75</v>
      </c>
      <c r="D132" s="206"/>
      <c r="E132" s="207">
        <v>9670759.5141242929</v>
      </c>
      <c r="F132" s="206"/>
      <c r="G132" s="207">
        <v>6770791.976608187</v>
      </c>
      <c r="H132" s="206"/>
      <c r="I132" s="207">
        <v>9717404.9470085464</v>
      </c>
      <c r="J132" s="206"/>
      <c r="K132" s="206">
        <v>9538063.4449472092</v>
      </c>
      <c r="L132" s="206"/>
      <c r="M132" s="206">
        <v>9398393.4779516365</v>
      </c>
      <c r="N132" s="206"/>
      <c r="O132" s="206">
        <v>9247222.8776978422</v>
      </c>
      <c r="P132" s="206"/>
      <c r="Q132" s="206">
        <v>7227891.6852122983</v>
      </c>
      <c r="R132" s="206"/>
      <c r="S132" s="207">
        <v>12994392.8925</v>
      </c>
      <c r="T132" s="206"/>
      <c r="U132" s="206">
        <v>11574420.983739838</v>
      </c>
      <c r="V132" s="206"/>
      <c r="W132" s="206">
        <v>6572205.9528619526</v>
      </c>
      <c r="X132" s="206"/>
      <c r="Y132" s="206">
        <v>5313826.198319328</v>
      </c>
      <c r="Z132" s="206"/>
      <c r="AA132" s="207">
        <f>+AA131/Z131</f>
        <v>8650621.1374321878</v>
      </c>
      <c r="AB132" s="386"/>
      <c r="AC132" s="387">
        <v>106679194.19147748</v>
      </c>
      <c r="AD132" s="379"/>
      <c r="AE132" s="293">
        <v>8889932.8492897898</v>
      </c>
    </row>
    <row r="133" spans="1:31" ht="17.25" hidden="1" thickTop="1" thickBot="1">
      <c r="A133" s="1515"/>
      <c r="B133" s="1516"/>
      <c r="C133" s="241" t="s">
        <v>76</v>
      </c>
      <c r="D133" s="212"/>
      <c r="E133" s="212">
        <v>418.01424310025038</v>
      </c>
      <c r="F133" s="212"/>
      <c r="G133" s="212">
        <v>293.10787777524621</v>
      </c>
      <c r="H133" s="212"/>
      <c r="I133" s="212">
        <v>419.39598390196574</v>
      </c>
      <c r="J133" s="212"/>
      <c r="K133" s="212">
        <v>411.92241178783024</v>
      </c>
      <c r="L133" s="212"/>
      <c r="M133" s="212">
        <v>406.06582319946585</v>
      </c>
      <c r="N133" s="212"/>
      <c r="O133" s="212">
        <v>400.13945814356737</v>
      </c>
      <c r="P133" s="212"/>
      <c r="Q133" s="212">
        <v>313.50647083983074</v>
      </c>
      <c r="R133" s="212"/>
      <c r="S133" s="212">
        <v>568.18508493659817</v>
      </c>
      <c r="T133" s="212"/>
      <c r="U133" s="212">
        <v>506.31762833507605</v>
      </c>
      <c r="V133" s="212"/>
      <c r="W133" s="209">
        <v>287.62389290424301</v>
      </c>
      <c r="X133" s="212"/>
      <c r="Y133" s="212">
        <v>233.11367397759719</v>
      </c>
      <c r="Z133" s="212"/>
      <c r="AA133" s="212">
        <f>+AA132/AA129</f>
        <v>377.50910484102934</v>
      </c>
      <c r="AB133" s="384"/>
      <c r="AC133" s="385">
        <v>4635.0412611210186</v>
      </c>
      <c r="AD133" s="378"/>
      <c r="AE133" s="309">
        <v>386.25343842675147</v>
      </c>
    </row>
    <row r="134" spans="1:31" ht="17.25" hidden="1" thickTop="1" thickBot="1">
      <c r="A134" s="1515" t="s">
        <v>233</v>
      </c>
      <c r="B134" s="224" t="s">
        <v>82</v>
      </c>
      <c r="C134" s="240"/>
      <c r="D134" s="205">
        <v>1147</v>
      </c>
      <c r="E134" s="205">
        <v>10311462947</v>
      </c>
      <c r="F134" s="205">
        <v>1180</v>
      </c>
      <c r="G134" s="205">
        <v>7704141298</v>
      </c>
      <c r="H134" s="205">
        <v>1318</v>
      </c>
      <c r="I134" s="205">
        <v>12118476687</v>
      </c>
      <c r="J134" s="205">
        <v>1329</v>
      </c>
      <c r="K134" s="205">
        <v>12530536946</v>
      </c>
      <c r="L134" s="205">
        <v>1348</v>
      </c>
      <c r="M134" s="205">
        <v>14099364500</v>
      </c>
      <c r="N134" s="205">
        <v>1339</v>
      </c>
      <c r="O134" s="205">
        <v>14896479604</v>
      </c>
      <c r="P134" s="205">
        <v>1297</v>
      </c>
      <c r="Q134" s="205">
        <v>11874322045</v>
      </c>
      <c r="R134" s="205">
        <v>768</v>
      </c>
      <c r="S134" s="205">
        <v>10136879439</v>
      </c>
      <c r="T134" s="205">
        <v>729</v>
      </c>
      <c r="U134" s="205">
        <v>9029218271</v>
      </c>
      <c r="V134" s="205">
        <v>1102</v>
      </c>
      <c r="W134" s="205">
        <v>8053062078</v>
      </c>
      <c r="X134" s="205">
        <v>1080</v>
      </c>
      <c r="Y134" s="205">
        <v>6491220172</v>
      </c>
      <c r="Z134" s="205">
        <v>1052</v>
      </c>
      <c r="AA134" s="245">
        <v>9112729847</v>
      </c>
      <c r="AB134" s="382">
        <v>13689</v>
      </c>
      <c r="AC134" s="383">
        <v>126358428059</v>
      </c>
      <c r="AD134" s="377">
        <v>2106</v>
      </c>
      <c r="AE134" s="292">
        <v>10529869004.916666</v>
      </c>
    </row>
    <row r="135" spans="1:31" ht="17.25" hidden="1" thickTop="1" thickBot="1">
      <c r="A135" s="1515"/>
      <c r="B135" s="1509" t="s">
        <v>232</v>
      </c>
      <c r="C135" s="242" t="s">
        <v>75</v>
      </c>
      <c r="D135" s="206"/>
      <c r="E135" s="207">
        <v>8989941.5405405406</v>
      </c>
      <c r="F135" s="206"/>
      <c r="G135" s="207">
        <v>6528933.3033898305</v>
      </c>
      <c r="H135" s="206"/>
      <c r="I135" s="207">
        <v>9194595.3619119879</v>
      </c>
      <c r="J135" s="206"/>
      <c r="K135" s="206">
        <v>9428545.4823175315</v>
      </c>
      <c r="L135" s="206"/>
      <c r="M135" s="206">
        <v>10459469.213649852</v>
      </c>
      <c r="N135" s="206"/>
      <c r="O135" s="206">
        <v>11125078.12098581</v>
      </c>
      <c r="P135" s="206"/>
      <c r="Q135" s="206">
        <v>9155221.3145720903</v>
      </c>
      <c r="R135" s="206"/>
      <c r="S135" s="206">
        <v>13199061.76953125</v>
      </c>
      <c r="T135" s="206"/>
      <c r="U135" s="206">
        <v>12385758.945130315</v>
      </c>
      <c r="V135" s="206"/>
      <c r="W135" s="206">
        <v>7307678.836660617</v>
      </c>
      <c r="X135" s="206"/>
      <c r="Y135" s="207">
        <v>6010389.0481481478</v>
      </c>
      <c r="Z135" s="206"/>
      <c r="AA135" s="207">
        <f>+AA134/Z134</f>
        <v>8662290.7290874533</v>
      </c>
      <c r="AB135" s="386"/>
      <c r="AC135" s="387">
        <v>112447471.48436652</v>
      </c>
      <c r="AD135" s="379"/>
      <c r="AE135" s="293">
        <v>9370622.6236972082</v>
      </c>
    </row>
    <row r="136" spans="1:31" ht="17.25" hidden="1" thickTop="1" thickBot="1">
      <c r="A136" s="1515"/>
      <c r="B136" s="1509"/>
      <c r="C136" s="243" t="s">
        <v>76</v>
      </c>
      <c r="D136" s="209"/>
      <c r="E136" s="209">
        <v>388.58619150812797</v>
      </c>
      <c r="F136" s="209"/>
      <c r="G136" s="209">
        <v>282.63780534155109</v>
      </c>
      <c r="H136" s="209"/>
      <c r="I136" s="209">
        <v>396.83191031126404</v>
      </c>
      <c r="J136" s="209"/>
      <c r="K136" s="209">
        <v>407.19263581591582</v>
      </c>
      <c r="L136" s="209"/>
      <c r="M136" s="209">
        <v>451.9105298617348</v>
      </c>
      <c r="N136" s="209"/>
      <c r="O136" s="209">
        <v>481.39671661556946</v>
      </c>
      <c r="P136" s="209"/>
      <c r="Q136" s="209">
        <v>397.10350529482065</v>
      </c>
      <c r="R136" s="209"/>
      <c r="S136" s="209">
        <v>577.1343143651618</v>
      </c>
      <c r="T136" s="209"/>
      <c r="U136" s="209">
        <v>541.80922769598931</v>
      </c>
      <c r="V136" s="209"/>
      <c r="W136" s="209">
        <v>319.81089000702917</v>
      </c>
      <c r="X136" s="209"/>
      <c r="Y136" s="209">
        <v>263.67137741382533</v>
      </c>
      <c r="Z136" s="209"/>
      <c r="AA136" s="209">
        <f>+AA135/AA129</f>
        <v>378.01836042275596</v>
      </c>
      <c r="AB136" s="307"/>
      <c r="AC136" s="388">
        <v>4886.1256256156066</v>
      </c>
      <c r="AD136" s="380"/>
      <c r="AE136" s="309">
        <v>407.17713546796722</v>
      </c>
    </row>
    <row r="137" spans="1:31" ht="17.25" hidden="1" thickTop="1" thickBot="1">
      <c r="A137" s="1508" t="s">
        <v>234</v>
      </c>
      <c r="B137" s="224" t="s">
        <v>82</v>
      </c>
      <c r="C137" s="240"/>
      <c r="D137" s="205">
        <v>1678</v>
      </c>
      <c r="E137" s="205">
        <v>15446636249</v>
      </c>
      <c r="F137" s="205">
        <v>1693</v>
      </c>
      <c r="G137" s="205">
        <v>11176485172</v>
      </c>
      <c r="H137" s="205">
        <v>1903</v>
      </c>
      <c r="I137" s="205">
        <v>17803158581</v>
      </c>
      <c r="J137" s="205">
        <v>1992</v>
      </c>
      <c r="K137" s="205">
        <v>18854273010</v>
      </c>
      <c r="L137" s="205">
        <v>2051</v>
      </c>
      <c r="M137" s="205">
        <v>20706435115</v>
      </c>
      <c r="N137" s="205">
        <v>2034</v>
      </c>
      <c r="O137" s="205">
        <v>21323299504</v>
      </c>
      <c r="P137" s="205">
        <v>1980</v>
      </c>
      <c r="Q137" s="205">
        <v>16810972066</v>
      </c>
      <c r="R137" s="205">
        <v>1168</v>
      </c>
      <c r="S137" s="205">
        <v>15334636596</v>
      </c>
      <c r="T137" s="205">
        <v>1098</v>
      </c>
      <c r="U137" s="205">
        <v>13300179614</v>
      </c>
      <c r="V137" s="205">
        <v>1696</v>
      </c>
      <c r="W137" s="205">
        <v>11956952414</v>
      </c>
      <c r="X137" s="205">
        <v>1675</v>
      </c>
      <c r="Y137" s="205">
        <v>9652946760</v>
      </c>
      <c r="Z137" s="205">
        <v>1605</v>
      </c>
      <c r="AA137" s="205">
        <f>+AA134+AA131</f>
        <v>13896523336</v>
      </c>
      <c r="AB137" s="382">
        <v>20573</v>
      </c>
      <c r="AC137" s="383">
        <v>186264801746</v>
      </c>
      <c r="AD137" s="377">
        <v>3165.0769230769229</v>
      </c>
      <c r="AE137" s="292">
        <v>15522066812.166666</v>
      </c>
    </row>
    <row r="138" spans="1:31" ht="17.25" hidden="1" thickTop="1" thickBot="1">
      <c r="A138" s="1508"/>
      <c r="B138" s="1509" t="s">
        <v>89</v>
      </c>
      <c r="C138" s="242" t="s">
        <v>75</v>
      </c>
      <c r="D138" s="206"/>
      <c r="E138" s="206">
        <v>9205385.1305125151</v>
      </c>
      <c r="F138" s="206"/>
      <c r="G138" s="206">
        <v>6601586.0437093917</v>
      </c>
      <c r="H138" s="206"/>
      <c r="I138" s="206">
        <v>9355311.9185496587</v>
      </c>
      <c r="J138" s="206"/>
      <c r="K138" s="282">
        <v>9464996.4909638558</v>
      </c>
      <c r="L138" s="206"/>
      <c r="M138" s="206">
        <v>10095775.287664553</v>
      </c>
      <c r="N138" s="206"/>
      <c r="O138" s="206">
        <v>10483431.417895772</v>
      </c>
      <c r="P138" s="206"/>
      <c r="Q138" s="206">
        <v>8490389.9323232323</v>
      </c>
      <c r="R138" s="206"/>
      <c r="S138" s="206">
        <v>13128969.688356165</v>
      </c>
      <c r="T138" s="206"/>
      <c r="U138" s="206">
        <v>12113096.187613843</v>
      </c>
      <c r="V138" s="206"/>
      <c r="W138" s="206">
        <v>7050089.8667452829</v>
      </c>
      <c r="X138" s="206"/>
      <c r="Y138" s="206">
        <v>5762953.2895522388</v>
      </c>
      <c r="Z138" s="206"/>
      <c r="AA138" s="206">
        <f>+AA137/Z137</f>
        <v>8658269.9912772588</v>
      </c>
      <c r="AB138" s="389"/>
      <c r="AC138" s="387">
        <v>110411690.34111392</v>
      </c>
      <c r="AD138" s="379"/>
      <c r="AE138" s="293">
        <v>9200974.1950928289</v>
      </c>
    </row>
    <row r="139" spans="1:31" ht="17.25" hidden="1" thickTop="1" thickBot="1">
      <c r="A139" s="1508"/>
      <c r="B139" s="1509"/>
      <c r="C139" s="243" t="s">
        <v>76</v>
      </c>
      <c r="D139" s="209"/>
      <c r="E139" s="209">
        <v>397.89864406797125</v>
      </c>
      <c r="F139" s="209"/>
      <c r="G139" s="209">
        <v>285.78294561512519</v>
      </c>
      <c r="H139" s="209"/>
      <c r="I139" s="209">
        <v>403.76831758954074</v>
      </c>
      <c r="J139" s="209"/>
      <c r="K139" s="209">
        <v>408.76685342102593</v>
      </c>
      <c r="L139" s="209"/>
      <c r="M139" s="209">
        <v>436.19681519397506</v>
      </c>
      <c r="N139" s="209"/>
      <c r="O139" s="209">
        <v>453.63182249657166</v>
      </c>
      <c r="P139" s="209"/>
      <c r="Q139" s="209">
        <v>368.26675048029637</v>
      </c>
      <c r="R139" s="209"/>
      <c r="S139" s="209">
        <v>574.06950976633868</v>
      </c>
      <c r="T139" s="209"/>
      <c r="U139" s="209">
        <v>529.88172299273151</v>
      </c>
      <c r="V139" s="209"/>
      <c r="W139" s="209">
        <v>308.53784974815244</v>
      </c>
      <c r="X139" s="209"/>
      <c r="Y139" s="209">
        <v>252.81655141707563</v>
      </c>
      <c r="Z139" s="209"/>
      <c r="AA139" s="209">
        <f>+AA138/AA129</f>
        <v>377.84289728462835</v>
      </c>
      <c r="AB139" s="307"/>
      <c r="AC139" s="388">
        <v>4797.5233069968526</v>
      </c>
      <c r="AD139" s="380"/>
      <c r="AE139" s="294">
        <v>399.79360891640437</v>
      </c>
    </row>
    <row r="140" spans="1:31" ht="17.25" hidden="1" thickTop="1" thickBot="1">
      <c r="A140" s="1510" t="s">
        <v>1</v>
      </c>
      <c r="B140" s="224" t="s">
        <v>82</v>
      </c>
      <c r="C140" s="240"/>
      <c r="D140" s="205">
        <v>53</v>
      </c>
      <c r="E140" s="205">
        <v>706894785</v>
      </c>
      <c r="F140" s="205">
        <v>55</v>
      </c>
      <c r="G140" s="205">
        <v>656005794</v>
      </c>
      <c r="H140" s="205">
        <v>57</v>
      </c>
      <c r="I140" s="205">
        <v>862840050</v>
      </c>
      <c r="J140" s="205">
        <v>58</v>
      </c>
      <c r="K140" s="205">
        <v>851076252</v>
      </c>
      <c r="L140" s="205">
        <v>60</v>
      </c>
      <c r="M140" s="205">
        <v>851076252</v>
      </c>
      <c r="N140" s="205">
        <v>61</v>
      </c>
      <c r="O140" s="205">
        <v>880271508</v>
      </c>
      <c r="P140" s="205">
        <v>64</v>
      </c>
      <c r="Q140" s="205">
        <v>897303464</v>
      </c>
      <c r="R140" s="205">
        <v>63</v>
      </c>
      <c r="S140" s="205">
        <v>876329973</v>
      </c>
      <c r="T140" s="205">
        <v>60</v>
      </c>
      <c r="U140" s="205">
        <v>783684964</v>
      </c>
      <c r="V140" s="205">
        <v>60</v>
      </c>
      <c r="W140" s="205">
        <v>678115844</v>
      </c>
      <c r="X140" s="205">
        <v>60</v>
      </c>
      <c r="Y140" s="205">
        <v>727538257</v>
      </c>
      <c r="Z140" s="205">
        <v>60</v>
      </c>
      <c r="AA140" s="245">
        <v>841570109</v>
      </c>
      <c r="AB140" s="382">
        <v>711</v>
      </c>
      <c r="AC140" s="383">
        <v>9612707252</v>
      </c>
      <c r="AD140" s="377">
        <v>109.38461538461539</v>
      </c>
      <c r="AE140" s="292">
        <v>801058937.66666663</v>
      </c>
    </row>
    <row r="141" spans="1:31" ht="17.25" hidden="1" thickTop="1" thickBot="1">
      <c r="A141" s="1511"/>
      <c r="B141" s="1509" t="s">
        <v>89</v>
      </c>
      <c r="C141" s="242" t="s">
        <v>75</v>
      </c>
      <c r="D141" s="206"/>
      <c r="E141" s="206">
        <v>13337637.452830188</v>
      </c>
      <c r="F141" s="206"/>
      <c r="G141" s="206">
        <v>11927378.072727272</v>
      </c>
      <c r="H141" s="206"/>
      <c r="I141" s="206">
        <v>15137544.736842105</v>
      </c>
      <c r="J141" s="206"/>
      <c r="K141" s="206">
        <v>14673728.482758621</v>
      </c>
      <c r="L141" s="206"/>
      <c r="M141" s="206">
        <v>14184604.199999999</v>
      </c>
      <c r="N141" s="206"/>
      <c r="O141" s="206">
        <v>14430680.459016394</v>
      </c>
      <c r="P141" s="206"/>
      <c r="Q141" s="206">
        <v>14020366.625</v>
      </c>
      <c r="R141" s="206"/>
      <c r="S141" s="206">
        <v>13909999.571428571</v>
      </c>
      <c r="T141" s="206"/>
      <c r="U141" s="206">
        <v>13061416.066666666</v>
      </c>
      <c r="V141" s="206"/>
      <c r="W141" s="206">
        <v>11301930.733333332</v>
      </c>
      <c r="X141" s="206"/>
      <c r="Y141" s="206">
        <v>12125637.616666667</v>
      </c>
      <c r="Z141" s="206"/>
      <c r="AA141" s="206">
        <f>+AA140/Z140</f>
        <v>14026168.483333332</v>
      </c>
      <c r="AB141" s="389"/>
      <c r="AC141" s="387">
        <v>162137092.50060314</v>
      </c>
      <c r="AD141" s="379"/>
      <c r="AE141" s="293">
        <v>13511424.375050263</v>
      </c>
    </row>
    <row r="142" spans="1:31" ht="17.25" hidden="1" thickTop="1" thickBot="1">
      <c r="A142" s="1512"/>
      <c r="B142" s="1509"/>
      <c r="C142" s="243" t="s">
        <v>76</v>
      </c>
      <c r="D142" s="209"/>
      <c r="E142" s="209">
        <v>576.51339757208507</v>
      </c>
      <c r="F142" s="209"/>
      <c r="G142" s="209">
        <v>516.33671310507668</v>
      </c>
      <c r="H142" s="209"/>
      <c r="I142" s="209">
        <v>653.32519364877453</v>
      </c>
      <c r="J142" s="209"/>
      <c r="K142" s="209">
        <v>633.71749007810934</v>
      </c>
      <c r="L142" s="209"/>
      <c r="M142" s="209">
        <v>612.85825016202205</v>
      </c>
      <c r="N142" s="209"/>
      <c r="O142" s="209">
        <v>624.43446382589332</v>
      </c>
      <c r="P142" s="209"/>
      <c r="Q142" s="209">
        <v>608.12694101062675</v>
      </c>
      <c r="R142" s="209"/>
      <c r="S142" s="209">
        <v>608.22035729901927</v>
      </c>
      <c r="T142" s="209"/>
      <c r="U142" s="209">
        <v>571.36553222513851</v>
      </c>
      <c r="V142" s="209"/>
      <c r="W142" s="209">
        <v>494.61403646973008</v>
      </c>
      <c r="X142" s="209"/>
      <c r="Y142" s="209">
        <v>531.94286539445784</v>
      </c>
      <c r="Z142" s="209"/>
      <c r="AA142" s="209">
        <f>+AA141/AA129</f>
        <v>612.09550440032001</v>
      </c>
      <c r="AB142" s="307"/>
      <c r="AC142" s="388">
        <v>7043.5507451912545</v>
      </c>
      <c r="AD142" s="380"/>
      <c r="AE142" s="294">
        <v>586.96256209927117</v>
      </c>
    </row>
    <row r="143" spans="1:31" ht="17.25" hidden="1" thickTop="1" thickBot="1">
      <c r="A143" s="1503" t="s">
        <v>78</v>
      </c>
      <c r="B143" s="224" t="s">
        <v>82</v>
      </c>
      <c r="C143" s="240"/>
      <c r="D143" s="205">
        <v>14</v>
      </c>
      <c r="E143" s="216">
        <v>288005812</v>
      </c>
      <c r="F143" s="205">
        <v>14</v>
      </c>
      <c r="G143" s="216">
        <v>267556475</v>
      </c>
      <c r="H143" s="205">
        <v>14</v>
      </c>
      <c r="I143" s="216">
        <v>360160454</v>
      </c>
      <c r="J143" s="205">
        <v>15</v>
      </c>
      <c r="K143" s="216">
        <v>469605988</v>
      </c>
      <c r="L143" s="205">
        <v>17</v>
      </c>
      <c r="M143" s="216">
        <v>507548296</v>
      </c>
      <c r="N143" s="205">
        <v>18</v>
      </c>
      <c r="O143" s="216">
        <v>508292537</v>
      </c>
      <c r="P143" s="205">
        <v>19</v>
      </c>
      <c r="Q143" s="216">
        <v>655274163</v>
      </c>
      <c r="R143" s="205">
        <v>19</v>
      </c>
      <c r="S143" s="216">
        <v>654443637</v>
      </c>
      <c r="T143" s="205">
        <v>16</v>
      </c>
      <c r="U143" s="216">
        <v>446798692</v>
      </c>
      <c r="V143" s="216">
        <v>16</v>
      </c>
      <c r="W143" s="216">
        <v>401560733</v>
      </c>
      <c r="X143" s="216">
        <v>16</v>
      </c>
      <c r="Y143" s="216">
        <v>388303395</v>
      </c>
      <c r="Z143" s="216">
        <v>16</v>
      </c>
      <c r="AA143" s="376">
        <v>458171326</v>
      </c>
      <c r="AB143" s="382">
        <v>194</v>
      </c>
      <c r="AC143" s="390">
        <v>5405721508</v>
      </c>
      <c r="AD143" s="377">
        <v>29.846153846153847</v>
      </c>
      <c r="AE143" s="292">
        <v>450476792.33333331</v>
      </c>
    </row>
    <row r="144" spans="1:31" ht="17.25" hidden="1" thickTop="1" thickBot="1">
      <c r="A144" s="1504"/>
      <c r="B144" s="1509" t="s">
        <v>89</v>
      </c>
      <c r="C144" s="242" t="s">
        <v>75</v>
      </c>
      <c r="D144" s="206"/>
      <c r="E144" s="207">
        <v>20571843.714285713</v>
      </c>
      <c r="F144" s="206"/>
      <c r="G144" s="207">
        <v>19111176.785714287</v>
      </c>
      <c r="H144" s="206"/>
      <c r="I144" s="207">
        <v>25725746.714285713</v>
      </c>
      <c r="J144" s="206"/>
      <c r="K144" s="206">
        <v>31307065.866666667</v>
      </c>
      <c r="L144" s="206"/>
      <c r="M144" s="206">
        <v>29855782.117647059</v>
      </c>
      <c r="N144" s="206"/>
      <c r="O144" s="206">
        <v>28238474.277777776</v>
      </c>
      <c r="P144" s="206"/>
      <c r="Q144" s="206">
        <v>34488113.842105262</v>
      </c>
      <c r="R144" s="206"/>
      <c r="S144" s="206">
        <v>34444401.947368421</v>
      </c>
      <c r="T144" s="206"/>
      <c r="U144" s="206">
        <v>27924918.25</v>
      </c>
      <c r="V144" s="206"/>
      <c r="W144" s="206">
        <v>25097545.8125</v>
      </c>
      <c r="X144" s="206"/>
      <c r="Y144" s="207">
        <f>+Y143/X143</f>
        <v>24268962.1875</v>
      </c>
      <c r="Z144" s="206"/>
      <c r="AA144" s="207">
        <f>+AA143/Z143</f>
        <v>28635707.875</v>
      </c>
      <c r="AB144" s="386"/>
      <c r="AC144" s="387">
        <v>329669739.3908509</v>
      </c>
      <c r="AD144" s="379"/>
      <c r="AE144" s="293">
        <v>27472478.28257091</v>
      </c>
    </row>
    <row r="145" spans="1:31" ht="17.25" hidden="1" thickTop="1" thickBot="1">
      <c r="A145" s="1505"/>
      <c r="B145" s="1509"/>
      <c r="C145" s="243" t="s">
        <v>76</v>
      </c>
      <c r="D145" s="209"/>
      <c r="E145" s="209">
        <v>889.20871900954023</v>
      </c>
      <c r="F145" s="209"/>
      <c r="G145" s="209">
        <v>827.32367037724191</v>
      </c>
      <c r="H145" s="209"/>
      <c r="I145" s="209">
        <v>1110.304130957519</v>
      </c>
      <c r="J145" s="209"/>
      <c r="K145" s="209">
        <v>1352.0650341898797</v>
      </c>
      <c r="L145" s="209"/>
      <c r="M145" s="209">
        <v>1289.9452200322773</v>
      </c>
      <c r="N145" s="209"/>
      <c r="O145" s="209">
        <v>1221.9158060483676</v>
      </c>
      <c r="P145" s="209"/>
      <c r="Q145" s="209">
        <v>1495.9060438995994</v>
      </c>
      <c r="R145" s="209"/>
      <c r="S145" s="511">
        <v>1506.0954065311946</v>
      </c>
      <c r="T145" s="209"/>
      <c r="U145" s="209">
        <v>1221.562478127734</v>
      </c>
      <c r="V145" s="209"/>
      <c r="W145" s="209">
        <v>1098.3608670678336</v>
      </c>
      <c r="X145" s="209"/>
      <c r="Y145" s="209">
        <f>+Y144/Y129</f>
        <v>1064.6616445492432</v>
      </c>
      <c r="Z145" s="209"/>
      <c r="AA145" s="209">
        <f>+AA144/AA129</f>
        <v>1249.6490453851188</v>
      </c>
      <c r="AB145" s="307"/>
      <c r="AC145" s="388">
        <v>14326.998066175551</v>
      </c>
      <c r="AD145" s="380"/>
      <c r="AE145" s="294">
        <v>1193.9165055146291</v>
      </c>
    </row>
    <row r="146" spans="1:31" ht="17.25" hidden="1" thickTop="1" thickBot="1">
      <c r="A146" s="1503" t="s">
        <v>79</v>
      </c>
      <c r="B146" s="1506" t="s">
        <v>82</v>
      </c>
      <c r="C146" s="242" t="s">
        <v>75</v>
      </c>
      <c r="D146" s="392">
        <v>1745</v>
      </c>
      <c r="E146" s="210">
        <v>16441536846</v>
      </c>
      <c r="F146" s="210">
        <v>1762</v>
      </c>
      <c r="G146" s="210">
        <v>12100047441</v>
      </c>
      <c r="H146" s="210">
        <v>1974</v>
      </c>
      <c r="I146" s="210">
        <v>19026159085</v>
      </c>
      <c r="J146" s="210">
        <v>2065</v>
      </c>
      <c r="K146" s="210">
        <v>20174955250</v>
      </c>
      <c r="L146" s="210">
        <v>2128</v>
      </c>
      <c r="M146" s="210">
        <v>22065059663</v>
      </c>
      <c r="N146" s="226">
        <v>2113</v>
      </c>
      <c r="O146" s="210">
        <v>22711863549</v>
      </c>
      <c r="P146" s="226">
        <v>2063</v>
      </c>
      <c r="Q146" s="210">
        <v>18363549693</v>
      </c>
      <c r="R146" s="226">
        <v>1250</v>
      </c>
      <c r="S146" s="210">
        <v>16865410206</v>
      </c>
      <c r="T146" s="226">
        <v>1174</v>
      </c>
      <c r="U146" s="210">
        <v>14530663270</v>
      </c>
      <c r="V146" s="210">
        <v>1772</v>
      </c>
      <c r="W146" s="210">
        <v>13036628991</v>
      </c>
      <c r="X146" s="210">
        <v>1751</v>
      </c>
      <c r="Y146" s="393">
        <v>10768788412</v>
      </c>
      <c r="Z146" s="392">
        <v>1681</v>
      </c>
      <c r="AA146" s="219">
        <v>15198568100</v>
      </c>
      <c r="AB146" s="298">
        <v>21478</v>
      </c>
      <c r="AC146" s="383">
        <v>201283230506</v>
      </c>
      <c r="AD146" s="377">
        <v>3304.3076923076924</v>
      </c>
      <c r="AE146" s="292">
        <v>16773602542.166666</v>
      </c>
    </row>
    <row r="147" spans="1:31" ht="17.25" hidden="1" thickTop="1" thickBot="1">
      <c r="A147" s="1504"/>
      <c r="B147" s="1506"/>
      <c r="C147" s="581" t="s">
        <v>76</v>
      </c>
      <c r="D147" s="583"/>
      <c r="E147" s="583">
        <v>710678.05688350985</v>
      </c>
      <c r="F147" s="583"/>
      <c r="G147" s="583">
        <v>523811.57753246755</v>
      </c>
      <c r="H147" s="583"/>
      <c r="I147" s="583">
        <v>821154.90224428137</v>
      </c>
      <c r="J147" s="583"/>
      <c r="K147" s="583">
        <v>871300.16195206216</v>
      </c>
      <c r="L147" s="583"/>
      <c r="M147" s="583">
        <v>953340.23171311303</v>
      </c>
      <c r="N147" s="586"/>
      <c r="O147" s="583">
        <v>982772.11376027693</v>
      </c>
      <c r="P147" s="583"/>
      <c r="Q147" s="583">
        <v>796510.50500975922</v>
      </c>
      <c r="R147" s="583"/>
      <c r="S147" s="583">
        <v>737446.88264101441</v>
      </c>
      <c r="T147" s="583"/>
      <c r="U147" s="583">
        <v>635637.06342957134</v>
      </c>
      <c r="V147" s="583"/>
      <c r="W147" s="583">
        <v>570530.80923413567</v>
      </c>
      <c r="X147" s="583"/>
      <c r="Y147" s="583">
        <v>472418.88186005701</v>
      </c>
      <c r="Z147" s="583"/>
      <c r="AA147" s="585">
        <v>663258.48134409776</v>
      </c>
      <c r="AB147" s="590"/>
      <c r="AC147" s="591">
        <v>8738859.6676043458</v>
      </c>
      <c r="AD147" s="592"/>
      <c r="AE147" s="593">
        <v>728238.30563369545</v>
      </c>
    </row>
    <row r="148" spans="1:31" ht="17.25" hidden="1" thickTop="1" thickBot="1">
      <c r="A148" s="1504"/>
      <c r="B148" s="1507" t="s">
        <v>89</v>
      </c>
      <c r="C148" s="299" t="s">
        <v>75</v>
      </c>
      <c r="D148" s="301"/>
      <c r="E148" s="301">
        <v>9422084.15243553</v>
      </c>
      <c r="F148" s="301"/>
      <c r="G148" s="301">
        <v>6867223.2922814982</v>
      </c>
      <c r="H148" s="301"/>
      <c r="I148" s="301">
        <v>9638378.4625126645</v>
      </c>
      <c r="J148" s="301"/>
      <c r="K148" s="301">
        <v>9769954.1162227597</v>
      </c>
      <c r="L148" s="301"/>
      <c r="M148" s="301">
        <v>10368919.014567669</v>
      </c>
      <c r="N148" s="301"/>
      <c r="O148" s="343">
        <v>10748633.955986749</v>
      </c>
      <c r="P148" s="301"/>
      <c r="Q148" s="301">
        <v>8901381.3344643731</v>
      </c>
      <c r="R148" s="301"/>
      <c r="S148" s="301">
        <v>13492328.164799999</v>
      </c>
      <c r="T148" s="301"/>
      <c r="U148" s="301">
        <v>12377055.59625213</v>
      </c>
      <c r="V148" s="301"/>
      <c r="W148" s="301">
        <v>7357014.1032731375</v>
      </c>
      <c r="X148" s="301"/>
      <c r="Y148" s="301">
        <v>6150079.047401485</v>
      </c>
      <c r="Z148" s="301"/>
      <c r="AA148" s="302">
        <v>9041384.9494348597</v>
      </c>
      <c r="AB148" s="300"/>
      <c r="AC148" s="391">
        <v>114134436.18963286</v>
      </c>
      <c r="AD148" s="381"/>
      <c r="AE148" s="305">
        <v>9511203.0158027373</v>
      </c>
    </row>
    <row r="149" spans="1:31" ht="17.25" hidden="1" thickTop="1" thickBot="1">
      <c r="A149" s="1505"/>
      <c r="B149" s="1507"/>
      <c r="C149" s="306" t="s">
        <v>76</v>
      </c>
      <c r="D149" s="295"/>
      <c r="E149" s="295">
        <v>407.26536211089388</v>
      </c>
      <c r="F149" s="295"/>
      <c r="G149" s="295">
        <v>297.28239360525964</v>
      </c>
      <c r="H149" s="295"/>
      <c r="I149" s="295">
        <v>415.98525949558325</v>
      </c>
      <c r="J149" s="295"/>
      <c r="K149" s="295">
        <v>421.93712443199132</v>
      </c>
      <c r="L149" s="295"/>
      <c r="M149" s="295">
        <v>447.99822918849293</v>
      </c>
      <c r="N149" s="295"/>
      <c r="O149" s="295">
        <v>465.10748403231281</v>
      </c>
      <c r="P149" s="295"/>
      <c r="Q149" s="295">
        <v>386.09331314094004</v>
      </c>
      <c r="R149" s="295"/>
      <c r="S149" s="295">
        <v>589.95750611281153</v>
      </c>
      <c r="T149" s="295"/>
      <c r="U149" s="295">
        <v>541.42850377305911</v>
      </c>
      <c r="V149" s="295"/>
      <c r="W149" s="295">
        <v>321.96998263777408</v>
      </c>
      <c r="X149" s="295"/>
      <c r="Y149" s="295">
        <v>269.79947564823362</v>
      </c>
      <c r="Z149" s="295"/>
      <c r="AA149" s="308">
        <v>394.56185683765477</v>
      </c>
      <c r="AB149" s="307"/>
      <c r="AC149" s="388">
        <v>4959.3864910150078</v>
      </c>
      <c r="AD149" s="380"/>
      <c r="AE149" s="309">
        <v>413.282207584584</v>
      </c>
    </row>
    <row r="150" spans="1:31" ht="13.5" hidden="1" thickTop="1"/>
    <row r="151" spans="1:31" hidden="1"/>
    <row r="152" spans="1:31" ht="17.25" hidden="1" thickBot="1">
      <c r="A152" s="213"/>
      <c r="B152" s="211"/>
      <c r="C152" s="82"/>
      <c r="D152" s="82"/>
      <c r="E152" s="82">
        <v>23230</v>
      </c>
      <c r="F152" s="82"/>
      <c r="G152" s="82">
        <v>23310</v>
      </c>
      <c r="H152" s="82"/>
      <c r="I152" s="82">
        <v>23660</v>
      </c>
      <c r="J152" s="82"/>
      <c r="K152" s="82">
        <v>23535</v>
      </c>
      <c r="L152" s="82"/>
      <c r="M152" s="82">
        <v>23380</v>
      </c>
      <c r="N152" s="82"/>
      <c r="O152" s="82">
        <v>23300</v>
      </c>
      <c r="P152" s="82"/>
      <c r="Q152" s="82">
        <v>23270</v>
      </c>
      <c r="R152" s="82"/>
      <c r="S152" s="82">
        <v>23270</v>
      </c>
      <c r="T152" s="82"/>
      <c r="U152" s="82">
        <v>23270</v>
      </c>
      <c r="V152" s="82"/>
      <c r="W152" s="82">
        <v>23270</v>
      </c>
      <c r="X152" s="82"/>
      <c r="Y152" s="82">
        <v>23230</v>
      </c>
      <c r="Z152" s="82"/>
      <c r="AA152" s="82">
        <v>23190</v>
      </c>
      <c r="AB152" s="82"/>
      <c r="AC152" s="225"/>
      <c r="AD152" s="225"/>
      <c r="AE152" s="225"/>
    </row>
    <row r="153" spans="1:31" ht="18" hidden="1" customHeight="1" thickTop="1" thickBot="1">
      <c r="A153" s="1488" t="s">
        <v>643</v>
      </c>
      <c r="B153" s="1489"/>
      <c r="C153" s="244"/>
      <c r="D153" s="1527">
        <v>43831</v>
      </c>
      <c r="E153" s="1528"/>
      <c r="F153" s="1527">
        <v>43862</v>
      </c>
      <c r="G153" s="1528"/>
      <c r="H153" s="1527">
        <v>43891</v>
      </c>
      <c r="I153" s="1528"/>
      <c r="J153" s="1527">
        <v>43922</v>
      </c>
      <c r="K153" s="1528"/>
      <c r="L153" s="1527">
        <v>43952</v>
      </c>
      <c r="M153" s="1528"/>
      <c r="N153" s="1527">
        <v>43983</v>
      </c>
      <c r="O153" s="1528"/>
      <c r="P153" s="1527">
        <v>44013</v>
      </c>
      <c r="Q153" s="1528"/>
      <c r="R153" s="1527">
        <v>44044</v>
      </c>
      <c r="S153" s="1528"/>
      <c r="T153" s="1527">
        <v>44075</v>
      </c>
      <c r="U153" s="1528"/>
      <c r="V153" s="1527">
        <v>44105</v>
      </c>
      <c r="W153" s="1528"/>
      <c r="X153" s="1527">
        <v>44136</v>
      </c>
      <c r="Y153" s="1528"/>
      <c r="Z153" s="1527">
        <v>44166</v>
      </c>
      <c r="AA153" s="1528"/>
      <c r="AB153" s="1529" t="s">
        <v>185</v>
      </c>
      <c r="AC153" s="1530"/>
      <c r="AD153" s="1529" t="s">
        <v>186</v>
      </c>
      <c r="AE153" s="1531"/>
    </row>
    <row r="154" spans="1:31" ht="17.25" hidden="1" thickTop="1" thickBot="1">
      <c r="A154" s="1515" t="s">
        <v>231</v>
      </c>
      <c r="B154" s="224" t="s">
        <v>82</v>
      </c>
      <c r="C154" s="240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>
        <v>618</v>
      </c>
      <c r="S154" s="205">
        <v>6139629989</v>
      </c>
      <c r="T154" s="205">
        <v>626</v>
      </c>
      <c r="U154" s="205">
        <v>5350951754</v>
      </c>
      <c r="V154" s="205">
        <v>586</v>
      </c>
      <c r="W154" s="205">
        <v>5379550691</v>
      </c>
      <c r="X154" s="205">
        <v>597</v>
      </c>
      <c r="Y154" s="205">
        <v>5501438474</v>
      </c>
      <c r="Z154" s="205">
        <v>609</v>
      </c>
      <c r="AA154" s="205">
        <v>6362081935</v>
      </c>
      <c r="AB154" s="205">
        <v>3036</v>
      </c>
      <c r="AC154" s="226">
        <v>28733652843</v>
      </c>
      <c r="AD154" s="254">
        <v>1012</v>
      </c>
      <c r="AE154" s="227">
        <v>5746730568.6000004</v>
      </c>
    </row>
    <row r="155" spans="1:31" ht="17.25" hidden="1" thickTop="1" thickBot="1">
      <c r="A155" s="1515"/>
      <c r="B155" s="1516" t="s">
        <v>232</v>
      </c>
      <c r="C155" s="242" t="s">
        <v>75</v>
      </c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7">
        <v>9934676.3576051779</v>
      </c>
      <c r="T155" s="206"/>
      <c r="U155" s="206">
        <v>8547846.2523961663</v>
      </c>
      <c r="V155" s="206"/>
      <c r="W155" s="207">
        <v>9180120.6331058014</v>
      </c>
      <c r="X155" s="206"/>
      <c r="Y155" s="207">
        <v>9215139.8224455602</v>
      </c>
      <c r="Z155" s="206"/>
      <c r="AA155" s="207">
        <v>10446768.366174055</v>
      </c>
      <c r="AB155" s="207"/>
      <c r="AC155" s="230">
        <v>47324551.431726769</v>
      </c>
      <c r="AD155" s="256"/>
      <c r="AE155" s="231">
        <v>9464910.2863453515</v>
      </c>
    </row>
    <row r="156" spans="1:31" ht="16.5" hidden="1" thickTop="1" thickBot="1">
      <c r="A156" s="1515"/>
      <c r="B156" s="1516"/>
      <c r="C156" s="241" t="s">
        <v>76</v>
      </c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>
        <v>426.93065567705963</v>
      </c>
      <c r="T156" s="212"/>
      <c r="U156" s="212">
        <v>367.33331553056149</v>
      </c>
      <c r="V156" s="212"/>
      <c r="W156" s="209">
        <v>394.5045394544822</v>
      </c>
      <c r="X156" s="212"/>
      <c r="Y156" s="212">
        <v>396.69133975228414</v>
      </c>
      <c r="Z156" s="212"/>
      <c r="AA156" s="212">
        <v>450.48591488460784</v>
      </c>
      <c r="AB156" s="212"/>
      <c r="AC156" s="228">
        <v>2035.9457652989954</v>
      </c>
      <c r="AD156" s="255"/>
      <c r="AE156" s="229">
        <v>407.18915305979908</v>
      </c>
    </row>
    <row r="157" spans="1:31" ht="17.25" hidden="1" thickTop="1" thickBot="1">
      <c r="A157" s="1515" t="s">
        <v>233</v>
      </c>
      <c r="B157" s="224" t="s">
        <v>82</v>
      </c>
      <c r="C157" s="240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>
        <v>1073</v>
      </c>
      <c r="S157" s="205">
        <v>11434396416.234722</v>
      </c>
      <c r="T157" s="205">
        <v>1152</v>
      </c>
      <c r="U157" s="205">
        <v>9501216691</v>
      </c>
      <c r="V157" s="205">
        <v>1144</v>
      </c>
      <c r="W157" s="205">
        <v>9329121887</v>
      </c>
      <c r="X157" s="205">
        <v>1121</v>
      </c>
      <c r="Y157" s="205">
        <v>9353431832</v>
      </c>
      <c r="Z157" s="205">
        <v>1129</v>
      </c>
      <c r="AA157" s="205">
        <v>11837189996</v>
      </c>
      <c r="AB157" s="205">
        <v>5619</v>
      </c>
      <c r="AC157" s="226">
        <v>51455356822.234726</v>
      </c>
      <c r="AD157" s="254">
        <v>1873</v>
      </c>
      <c r="AE157" s="227">
        <v>10291071364.446945</v>
      </c>
    </row>
    <row r="158" spans="1:31" ht="17.25" hidden="1" thickTop="1" thickBot="1">
      <c r="A158" s="1515"/>
      <c r="B158" s="1509" t="s">
        <v>232</v>
      </c>
      <c r="C158" s="242" t="s">
        <v>75</v>
      </c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>
        <v>10656473.826872993</v>
      </c>
      <c r="T158" s="206"/>
      <c r="U158" s="206">
        <v>8247583.933159722</v>
      </c>
      <c r="V158" s="206"/>
      <c r="W158" s="206">
        <v>8154826.8243006989</v>
      </c>
      <c r="X158" s="206"/>
      <c r="Y158" s="207">
        <v>8343828.574487065</v>
      </c>
      <c r="Z158" s="206"/>
      <c r="AA158" s="207">
        <v>10484667.844109831</v>
      </c>
      <c r="AB158" s="207"/>
      <c r="AC158" s="230">
        <v>45887381.002930313</v>
      </c>
      <c r="AD158" s="256"/>
      <c r="AE158" s="231">
        <v>9177476.2005860619</v>
      </c>
    </row>
    <row r="159" spans="1:31" ht="17.25" hidden="1" thickTop="1" thickBot="1">
      <c r="A159" s="1515"/>
      <c r="B159" s="1509"/>
      <c r="C159" s="243" t="s">
        <v>76</v>
      </c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>
        <v>457.94902564989229</v>
      </c>
      <c r="T159" s="209"/>
      <c r="U159" s="209">
        <v>354.42990688266963</v>
      </c>
      <c r="V159" s="209"/>
      <c r="W159" s="209">
        <v>350.4437827374602</v>
      </c>
      <c r="X159" s="209"/>
      <c r="Y159" s="209">
        <v>359.18332219057532</v>
      </c>
      <c r="Z159" s="209"/>
      <c r="AA159" s="209">
        <v>452.12021751228252</v>
      </c>
      <c r="AB159" s="209"/>
      <c r="AC159" s="232">
        <v>1974.1262549728801</v>
      </c>
      <c r="AD159" s="257"/>
      <c r="AE159" s="229">
        <v>394.82525099457604</v>
      </c>
    </row>
    <row r="160" spans="1:31" ht="17.25" hidden="1" thickTop="1" thickBot="1">
      <c r="A160" s="1508" t="s">
        <v>234</v>
      </c>
      <c r="B160" s="224" t="s">
        <v>82</v>
      </c>
      <c r="C160" s="240"/>
      <c r="D160" s="205">
        <v>1669</v>
      </c>
      <c r="E160" s="205">
        <v>12244218735.700001</v>
      </c>
      <c r="F160" s="205">
        <v>1683</v>
      </c>
      <c r="G160" s="205">
        <v>13314182718</v>
      </c>
      <c r="H160" s="205">
        <v>2071</v>
      </c>
      <c r="I160" s="205">
        <v>14201654931.086121</v>
      </c>
      <c r="J160" s="205">
        <v>1682</v>
      </c>
      <c r="K160" s="205">
        <v>10293040664.808311</v>
      </c>
      <c r="L160" s="205">
        <v>1576</v>
      </c>
      <c r="M160" s="205">
        <v>9840551206.1793022</v>
      </c>
      <c r="N160" s="205">
        <v>1585</v>
      </c>
      <c r="O160" s="205">
        <v>11862842264.171917</v>
      </c>
      <c r="P160" s="205">
        <v>1622</v>
      </c>
      <c r="Q160" s="205">
        <v>16795978991.921482</v>
      </c>
      <c r="R160" s="205">
        <v>1691</v>
      </c>
      <c r="S160" s="205">
        <v>17574026405.234722</v>
      </c>
      <c r="T160" s="205">
        <v>1778</v>
      </c>
      <c r="U160" s="205">
        <v>14852168445</v>
      </c>
      <c r="V160" s="205">
        <v>1730</v>
      </c>
      <c r="W160" s="205">
        <v>14708672578</v>
      </c>
      <c r="X160" s="205">
        <v>1718</v>
      </c>
      <c r="Y160" s="205">
        <v>14854870306</v>
      </c>
      <c r="Z160" s="205">
        <v>1738</v>
      </c>
      <c r="AA160" s="205">
        <v>18199271931</v>
      </c>
      <c r="AB160" s="205">
        <v>20543</v>
      </c>
      <c r="AC160" s="226">
        <v>168741479177.10187</v>
      </c>
      <c r="AD160" s="254">
        <v>3160.4615384615386</v>
      </c>
      <c r="AE160" s="227">
        <v>14061789931.425156</v>
      </c>
    </row>
    <row r="161" spans="1:31" ht="17.25" hidden="1" thickTop="1" thickBot="1">
      <c r="A161" s="1508"/>
      <c r="B161" s="1509" t="s">
        <v>89</v>
      </c>
      <c r="C161" s="242" t="s">
        <v>75</v>
      </c>
      <c r="D161" s="206"/>
      <c r="E161" s="206">
        <v>7336260.4767525466</v>
      </c>
      <c r="F161" s="206"/>
      <c r="G161" s="206">
        <v>7910982.0071301246</v>
      </c>
      <c r="H161" s="206"/>
      <c r="I161" s="206">
        <v>6857390.1164104883</v>
      </c>
      <c r="J161" s="206"/>
      <c r="K161" s="206">
        <v>6119524.7709918618</v>
      </c>
      <c r="L161" s="206"/>
      <c r="M161" s="206">
        <v>6244004.5724487957</v>
      </c>
      <c r="N161" s="206"/>
      <c r="O161" s="206">
        <v>7484443.0688781813</v>
      </c>
      <c r="P161" s="206"/>
      <c r="Q161" s="206">
        <v>10355104.187374527</v>
      </c>
      <c r="R161" s="206"/>
      <c r="S161" s="206">
        <v>10392682.676070208</v>
      </c>
      <c r="T161" s="206"/>
      <c r="U161" s="206">
        <v>8353300.5877390327</v>
      </c>
      <c r="V161" s="206"/>
      <c r="W161" s="206">
        <v>8502122.8774566483</v>
      </c>
      <c r="X161" s="206"/>
      <c r="Y161" s="206">
        <v>8646606.6973224673</v>
      </c>
      <c r="Z161" s="206"/>
      <c r="AA161" s="206">
        <v>10471387.762370542</v>
      </c>
      <c r="AB161" s="206"/>
      <c r="AC161" s="230">
        <v>98673809.800945431</v>
      </c>
      <c r="AD161" s="256"/>
      <c r="AE161" s="231">
        <v>8222817.4834121196</v>
      </c>
    </row>
    <row r="162" spans="1:31" ht="17.25" hidden="1" thickTop="1" thickBot="1">
      <c r="A162" s="1508"/>
      <c r="B162" s="1509"/>
      <c r="C162" s="243" t="s">
        <v>76</v>
      </c>
      <c r="D162" s="209"/>
      <c r="E162" s="209">
        <v>315.80974932210705</v>
      </c>
      <c r="F162" s="209"/>
      <c r="G162" s="209">
        <v>339.38146748734982</v>
      </c>
      <c r="H162" s="209"/>
      <c r="I162" s="209">
        <v>289.8305205583469</v>
      </c>
      <c r="J162" s="209"/>
      <c r="K162" s="209">
        <v>260.01804848063995</v>
      </c>
      <c r="L162" s="209"/>
      <c r="M162" s="209">
        <v>267.06606383442238</v>
      </c>
      <c r="N162" s="209"/>
      <c r="O162" s="209">
        <v>321.22073256987903</v>
      </c>
      <c r="P162" s="209"/>
      <c r="Q162" s="209">
        <v>444.99803125803726</v>
      </c>
      <c r="R162" s="209"/>
      <c r="S162" s="209">
        <v>446.61292118909358</v>
      </c>
      <c r="T162" s="209"/>
      <c r="U162" s="209">
        <v>358.97295177219735</v>
      </c>
      <c r="V162" s="209"/>
      <c r="W162" s="209">
        <v>365.36840900114515</v>
      </c>
      <c r="X162" s="209"/>
      <c r="Y162" s="209">
        <v>372.21724913140196</v>
      </c>
      <c r="Z162" s="209"/>
      <c r="AA162" s="209">
        <v>451.54755335793624</v>
      </c>
      <c r="AB162" s="209"/>
      <c r="AC162" s="232">
        <v>4233.0436979625565</v>
      </c>
      <c r="AD162" s="257"/>
      <c r="AE162" s="229">
        <v>352.75364149687977</v>
      </c>
    </row>
    <row r="163" spans="1:31" ht="17.25" hidden="1" thickTop="1" thickBot="1">
      <c r="A163" s="1510" t="s">
        <v>1</v>
      </c>
      <c r="B163" s="224" t="s">
        <v>82</v>
      </c>
      <c r="C163" s="240"/>
      <c r="D163" s="205">
        <v>55</v>
      </c>
      <c r="E163" s="205">
        <v>653063834.5</v>
      </c>
      <c r="F163" s="205">
        <v>57</v>
      </c>
      <c r="G163" s="205">
        <v>690704804</v>
      </c>
      <c r="H163" s="205">
        <v>59</v>
      </c>
      <c r="I163" s="205">
        <v>685683788.70840096</v>
      </c>
      <c r="J163" s="205">
        <v>57</v>
      </c>
      <c r="K163" s="205">
        <v>690704804</v>
      </c>
      <c r="L163" s="205">
        <v>56</v>
      </c>
      <c r="M163" s="205">
        <v>667409849</v>
      </c>
      <c r="N163" s="205">
        <v>55</v>
      </c>
      <c r="O163" s="205">
        <v>667409849</v>
      </c>
      <c r="P163" s="205">
        <v>54</v>
      </c>
      <c r="Q163" s="205">
        <v>829421490</v>
      </c>
      <c r="R163" s="205">
        <v>56</v>
      </c>
      <c r="S163" s="205">
        <v>799018900</v>
      </c>
      <c r="T163" s="205">
        <v>56</v>
      </c>
      <c r="U163" s="205">
        <v>743564148</v>
      </c>
      <c r="V163" s="205">
        <v>55</v>
      </c>
      <c r="W163" s="205">
        <v>751049175</v>
      </c>
      <c r="X163" s="205">
        <v>55</v>
      </c>
      <c r="Y163" s="205">
        <v>716709048</v>
      </c>
      <c r="Z163" s="205">
        <v>56</v>
      </c>
      <c r="AA163" s="205">
        <v>857879801</v>
      </c>
      <c r="AB163" s="205">
        <v>671</v>
      </c>
      <c r="AC163" s="226">
        <v>8752619491.2084007</v>
      </c>
      <c r="AD163" s="254">
        <v>103.23076923076923</v>
      </c>
      <c r="AE163" s="227">
        <v>729384957.60070002</v>
      </c>
    </row>
    <row r="164" spans="1:31" ht="17.25" hidden="1" thickTop="1" thickBot="1">
      <c r="A164" s="1511"/>
      <c r="B164" s="1509" t="s">
        <v>89</v>
      </c>
      <c r="C164" s="242" t="s">
        <v>75</v>
      </c>
      <c r="D164" s="206"/>
      <c r="E164" s="206">
        <v>11873887.9</v>
      </c>
      <c r="F164" s="206"/>
      <c r="G164" s="206">
        <v>12117628.140350876</v>
      </c>
      <c r="H164" s="206"/>
      <c r="I164" s="206">
        <v>11621759.130650863</v>
      </c>
      <c r="J164" s="206"/>
      <c r="K164" s="206">
        <v>12117628.140350876</v>
      </c>
      <c r="L164" s="206"/>
      <c r="M164" s="206">
        <v>11918033.017857144</v>
      </c>
      <c r="N164" s="206"/>
      <c r="O164" s="206">
        <v>12134724.527272727</v>
      </c>
      <c r="P164" s="206"/>
      <c r="Q164" s="206">
        <v>15359657.222222222</v>
      </c>
      <c r="R164" s="206"/>
      <c r="S164" s="206">
        <v>14268194.642857144</v>
      </c>
      <c r="T164" s="206"/>
      <c r="U164" s="206">
        <v>13277931.214285715</v>
      </c>
      <c r="V164" s="206"/>
      <c r="W164" s="206">
        <v>13655439.545454545</v>
      </c>
      <c r="X164" s="206"/>
      <c r="Y164" s="206">
        <v>13031073.6</v>
      </c>
      <c r="Z164" s="206"/>
      <c r="AA164" s="206">
        <v>15319282.160714285</v>
      </c>
      <c r="AB164" s="206"/>
      <c r="AC164" s="230">
        <v>156695239.24201643</v>
      </c>
      <c r="AD164" s="256"/>
      <c r="AE164" s="231">
        <v>13057936.60350137</v>
      </c>
    </row>
    <row r="165" spans="1:31" ht="17.25" hidden="1" thickTop="1" thickBot="1">
      <c r="A165" s="1512"/>
      <c r="B165" s="1509"/>
      <c r="C165" s="243" t="s">
        <v>76</v>
      </c>
      <c r="D165" s="209"/>
      <c r="E165" s="209">
        <v>511.14455015066727</v>
      </c>
      <c r="F165" s="209"/>
      <c r="G165" s="209">
        <v>519.84676706781966</v>
      </c>
      <c r="H165" s="209"/>
      <c r="I165" s="209">
        <v>491.19861076292744</v>
      </c>
      <c r="J165" s="209"/>
      <c r="K165" s="209">
        <v>514.87691269814638</v>
      </c>
      <c r="L165" s="209"/>
      <c r="M165" s="209">
        <v>509.75333694855192</v>
      </c>
      <c r="N165" s="209"/>
      <c r="O165" s="209">
        <v>520.80362777994537</v>
      </c>
      <c r="P165" s="209"/>
      <c r="Q165" s="209">
        <v>660.06262235591839</v>
      </c>
      <c r="R165" s="209"/>
      <c r="S165" s="209">
        <v>613.15834305359454</v>
      </c>
      <c r="T165" s="209"/>
      <c r="U165" s="209">
        <v>570.60297439990177</v>
      </c>
      <c r="V165" s="209"/>
      <c r="W165" s="209">
        <v>586.82593663319915</v>
      </c>
      <c r="X165" s="209"/>
      <c r="Y165" s="209">
        <v>560.95882910030127</v>
      </c>
      <c r="Z165" s="209"/>
      <c r="AA165" s="209">
        <v>660.59862702519558</v>
      </c>
      <c r="AB165" s="209"/>
      <c r="AC165" s="232">
        <v>6719.831137976169</v>
      </c>
      <c r="AD165" s="257"/>
      <c r="AE165" s="229">
        <v>559.98592816468079</v>
      </c>
    </row>
    <row r="166" spans="1:31" ht="17.25" hidden="1" thickTop="1" thickBot="1">
      <c r="A166" s="1503" t="s">
        <v>78</v>
      </c>
      <c r="B166" s="224" t="s">
        <v>82</v>
      </c>
      <c r="C166" s="240"/>
      <c r="D166" s="205">
        <v>12</v>
      </c>
      <c r="E166" s="216">
        <v>208378718.20000002</v>
      </c>
      <c r="F166" s="205">
        <v>12</v>
      </c>
      <c r="G166" s="216">
        <v>204977690</v>
      </c>
      <c r="H166" s="205">
        <v>11</v>
      </c>
      <c r="I166" s="216">
        <v>176589476.19168884</v>
      </c>
      <c r="J166" s="205">
        <v>11</v>
      </c>
      <c r="K166" s="216">
        <v>176589476.19168884</v>
      </c>
      <c r="L166" s="205">
        <v>12</v>
      </c>
      <c r="M166" s="216">
        <v>204438552.82069841</v>
      </c>
      <c r="N166" s="205">
        <v>13</v>
      </c>
      <c r="O166" s="216">
        <v>214569729.82808346</v>
      </c>
      <c r="P166" s="205">
        <v>12</v>
      </c>
      <c r="Q166" s="216">
        <v>284316088.07851923</v>
      </c>
      <c r="R166" s="205">
        <v>11</v>
      </c>
      <c r="S166" s="216">
        <v>289272774.76527715</v>
      </c>
      <c r="T166" s="205">
        <v>15</v>
      </c>
      <c r="U166" s="216">
        <v>267627329.53687084</v>
      </c>
      <c r="V166" s="216">
        <v>15</v>
      </c>
      <c r="W166" s="216">
        <v>300522571</v>
      </c>
      <c r="X166" s="216">
        <v>15</v>
      </c>
      <c r="Y166" s="216">
        <v>306229521</v>
      </c>
      <c r="Z166" s="216">
        <v>14</v>
      </c>
      <c r="AA166" s="216">
        <v>355366179</v>
      </c>
      <c r="AB166" s="205">
        <v>153</v>
      </c>
      <c r="AC166" s="233">
        <v>2988878106.6128263</v>
      </c>
      <c r="AD166" s="254">
        <v>23.53846153846154</v>
      </c>
      <c r="AE166" s="227">
        <v>249073175.5510689</v>
      </c>
    </row>
    <row r="167" spans="1:31" ht="17.25" hidden="1" thickTop="1" thickBot="1">
      <c r="A167" s="1504"/>
      <c r="B167" s="1509" t="s">
        <v>89</v>
      </c>
      <c r="C167" s="242" t="s">
        <v>75</v>
      </c>
      <c r="D167" s="206"/>
      <c r="E167" s="206">
        <v>17364893.183333334</v>
      </c>
      <c r="F167" s="206"/>
      <c r="G167" s="206">
        <v>17081474.166666668</v>
      </c>
      <c r="H167" s="206"/>
      <c r="I167" s="206">
        <v>16053588.744698985</v>
      </c>
      <c r="J167" s="206"/>
      <c r="K167" s="206">
        <v>16053588.744698985</v>
      </c>
      <c r="L167" s="206"/>
      <c r="M167" s="206">
        <v>17036546.068391535</v>
      </c>
      <c r="N167" s="206"/>
      <c r="O167" s="206">
        <v>16505363.832929496</v>
      </c>
      <c r="P167" s="206"/>
      <c r="Q167" s="206">
        <v>23693007.339876603</v>
      </c>
      <c r="R167" s="206"/>
      <c r="S167" s="206">
        <v>26297524.97866156</v>
      </c>
      <c r="T167" s="206"/>
      <c r="U167" s="206">
        <v>17841821.969124723</v>
      </c>
      <c r="V167" s="206"/>
      <c r="W167" s="206">
        <v>20034838.066666666</v>
      </c>
      <c r="X167" s="206"/>
      <c r="Y167" s="207">
        <v>20415301.399999999</v>
      </c>
      <c r="Z167" s="206"/>
      <c r="AA167" s="207">
        <v>25383298.5</v>
      </c>
      <c r="AB167" s="207"/>
      <c r="AC167" s="230">
        <v>233761246.99504858</v>
      </c>
      <c r="AD167" s="256"/>
      <c r="AE167" s="231">
        <v>19480103.916254044</v>
      </c>
    </row>
    <row r="168" spans="1:31" ht="17.25" hidden="1" thickTop="1" thickBot="1">
      <c r="A168" s="1505"/>
      <c r="B168" s="1509"/>
      <c r="C168" s="243" t="s">
        <v>76</v>
      </c>
      <c r="D168" s="209"/>
      <c r="E168" s="209">
        <v>747.52015425455591</v>
      </c>
      <c r="F168" s="209"/>
      <c r="G168" s="209">
        <v>732.79597454597456</v>
      </c>
      <c r="H168" s="209"/>
      <c r="I168" s="209">
        <v>678.51178126369336</v>
      </c>
      <c r="J168" s="209"/>
      <c r="K168" s="209">
        <v>682.11551921389355</v>
      </c>
      <c r="L168" s="209"/>
      <c r="M168" s="209">
        <v>728.68032798937281</v>
      </c>
      <c r="N168" s="209"/>
      <c r="O168" s="209">
        <v>708.38471385963499</v>
      </c>
      <c r="P168" s="209"/>
      <c r="Q168" s="209">
        <v>1018.1782268962872</v>
      </c>
      <c r="R168" s="209"/>
      <c r="S168" s="209">
        <v>1130.1042105140334</v>
      </c>
      <c r="T168" s="209"/>
      <c r="U168" s="209">
        <v>766.73063898258374</v>
      </c>
      <c r="V168" s="209"/>
      <c r="W168" s="209">
        <v>860.97284343217302</v>
      </c>
      <c r="X168" s="209"/>
      <c r="Y168" s="209">
        <v>878.83346534653458</v>
      </c>
      <c r="Z168" s="209"/>
      <c r="AA168" s="209">
        <v>1094.5794954721862</v>
      </c>
      <c r="AB168" s="209"/>
      <c r="AC168" s="232">
        <v>10027.407351770924</v>
      </c>
      <c r="AD168" s="257"/>
      <c r="AE168" s="229">
        <v>835.61727931424355</v>
      </c>
    </row>
    <row r="169" spans="1:31" ht="17.25" hidden="1" thickTop="1" thickBot="1">
      <c r="A169" s="1503" t="s">
        <v>79</v>
      </c>
      <c r="B169" s="1506" t="s">
        <v>82</v>
      </c>
      <c r="C169" s="242" t="s">
        <v>75</v>
      </c>
      <c r="D169" s="220">
        <v>1736</v>
      </c>
      <c r="E169" s="210">
        <v>13105661288.400002</v>
      </c>
      <c r="F169" s="220">
        <v>1752</v>
      </c>
      <c r="G169" s="210">
        <v>14209865212</v>
      </c>
      <c r="H169" s="220">
        <v>2141</v>
      </c>
      <c r="I169" s="210">
        <v>15063928195.98621</v>
      </c>
      <c r="J169" s="220">
        <v>1750</v>
      </c>
      <c r="K169" s="210">
        <v>11160334945</v>
      </c>
      <c r="L169" s="220">
        <v>1644</v>
      </c>
      <c r="M169" s="210">
        <v>10712399608</v>
      </c>
      <c r="N169" s="220">
        <v>1653</v>
      </c>
      <c r="O169" s="210">
        <v>12744821843</v>
      </c>
      <c r="P169" s="220">
        <v>1688</v>
      </c>
      <c r="Q169" s="210">
        <v>17909716570</v>
      </c>
      <c r="R169" s="220">
        <v>1702</v>
      </c>
      <c r="S169" s="210">
        <v>18662318080</v>
      </c>
      <c r="T169" s="220">
        <v>1793</v>
      </c>
      <c r="U169" s="210">
        <v>15863359922.536871</v>
      </c>
      <c r="V169" s="220">
        <v>1800</v>
      </c>
      <c r="W169" s="210">
        <v>15760244324</v>
      </c>
      <c r="X169" s="220">
        <v>1788</v>
      </c>
      <c r="Y169" s="210">
        <v>15877808875</v>
      </c>
      <c r="Z169" s="220">
        <v>1808</v>
      </c>
      <c r="AA169" s="210">
        <v>19412517911</v>
      </c>
      <c r="AB169" s="220">
        <v>21255</v>
      </c>
      <c r="AC169" s="226">
        <v>180482976774.9231</v>
      </c>
      <c r="AD169" s="254">
        <v>3270</v>
      </c>
      <c r="AE169" s="227">
        <v>15040248064.576921</v>
      </c>
    </row>
    <row r="170" spans="1:31" ht="17.25" hidden="1" thickTop="1" thickBot="1">
      <c r="A170" s="1504"/>
      <c r="B170" s="1506"/>
      <c r="C170" s="581" t="s">
        <v>76</v>
      </c>
      <c r="D170" s="584"/>
      <c r="E170" s="583">
        <v>564169.66372793808</v>
      </c>
      <c r="F170" s="583"/>
      <c r="G170" s="583">
        <v>609603.82719862717</v>
      </c>
      <c r="H170" s="583"/>
      <c r="I170" s="583">
        <v>636683.35570524982</v>
      </c>
      <c r="J170" s="583"/>
      <c r="K170" s="583">
        <v>474201.61227958358</v>
      </c>
      <c r="L170" s="583"/>
      <c r="M170" s="583">
        <v>458186.46740804106</v>
      </c>
      <c r="N170" s="586"/>
      <c r="O170" s="583">
        <v>546988.06193133048</v>
      </c>
      <c r="P170" s="583"/>
      <c r="Q170" s="583">
        <v>769648.32703051134</v>
      </c>
      <c r="R170" s="583"/>
      <c r="S170" s="583">
        <v>801990.46325741301</v>
      </c>
      <c r="T170" s="583"/>
      <c r="U170" s="583">
        <v>681708.63440210011</v>
      </c>
      <c r="V170" s="583"/>
      <c r="W170" s="583">
        <v>677277.36673828959</v>
      </c>
      <c r="X170" s="583"/>
      <c r="Y170" s="583">
        <v>683504.47158846317</v>
      </c>
      <c r="Z170" s="583"/>
      <c r="AA170" s="583">
        <v>837107.28378611465</v>
      </c>
      <c r="AB170" s="583"/>
      <c r="AC170" s="587">
        <v>7741069.535053662</v>
      </c>
      <c r="AD170" s="588"/>
      <c r="AE170" s="589">
        <v>645089.12792113854</v>
      </c>
    </row>
    <row r="171" spans="1:31" ht="17.25" hidden="1" thickTop="1" thickBot="1">
      <c r="A171" s="1504"/>
      <c r="B171" s="1507" t="s">
        <v>89</v>
      </c>
      <c r="C171" s="299" t="s">
        <v>75</v>
      </c>
      <c r="D171" s="301"/>
      <c r="E171" s="301">
        <v>7549344.0601382498</v>
      </c>
      <c r="F171" s="301"/>
      <c r="G171" s="301">
        <v>8110653.659817352</v>
      </c>
      <c r="H171" s="301"/>
      <c r="I171" s="301">
        <v>7035930.9649631996</v>
      </c>
      <c r="J171" s="301"/>
      <c r="K171" s="301">
        <v>6377334.2542857146</v>
      </c>
      <c r="L171" s="301"/>
      <c r="M171" s="301">
        <v>6516058.1557177613</v>
      </c>
      <c r="N171" s="301"/>
      <c r="O171" s="301">
        <v>7710116.0574712642</v>
      </c>
      <c r="P171" s="301"/>
      <c r="Q171" s="301">
        <v>10610021.664691944</v>
      </c>
      <c r="R171" s="301"/>
      <c r="S171" s="301">
        <v>10964934.242068155</v>
      </c>
      <c r="T171" s="301"/>
      <c r="U171" s="301">
        <v>8847384.2289664652</v>
      </c>
      <c r="V171" s="301"/>
      <c r="W171" s="301">
        <v>8755691.2911111116</v>
      </c>
      <c r="X171" s="301"/>
      <c r="Y171" s="301">
        <v>8880206.305928411</v>
      </c>
      <c r="Z171" s="301"/>
      <c r="AA171" s="301">
        <v>10737012.118915929</v>
      </c>
      <c r="AB171" s="301"/>
      <c r="AC171" s="303">
        <v>102094687.00407554</v>
      </c>
      <c r="AD171" s="304"/>
      <c r="AE171" s="305">
        <v>8507890.5836729631</v>
      </c>
    </row>
    <row r="172" spans="1:31" ht="17.25" hidden="1" thickTop="1" thickBot="1">
      <c r="A172" s="1505"/>
      <c r="B172" s="1507"/>
      <c r="C172" s="306" t="s">
        <v>76</v>
      </c>
      <c r="D172" s="295"/>
      <c r="E172" s="295">
        <v>324.98252518890445</v>
      </c>
      <c r="F172" s="295"/>
      <c r="G172" s="295">
        <v>347.94738995355436</v>
      </c>
      <c r="H172" s="295"/>
      <c r="I172" s="295">
        <v>297.37662573808956</v>
      </c>
      <c r="J172" s="295"/>
      <c r="K172" s="295">
        <v>270.97234987404778</v>
      </c>
      <c r="L172" s="295"/>
      <c r="M172" s="295">
        <v>278.70223078347993</v>
      </c>
      <c r="N172" s="295"/>
      <c r="O172" s="295">
        <v>330.90626856099846</v>
      </c>
      <c r="P172" s="295"/>
      <c r="Q172" s="295">
        <v>455.95280037352575</v>
      </c>
      <c r="R172" s="295"/>
      <c r="S172" s="295">
        <v>471.20473751904404</v>
      </c>
      <c r="T172" s="295"/>
      <c r="U172" s="295">
        <v>380.20559643173465</v>
      </c>
      <c r="V172" s="295"/>
      <c r="W172" s="295">
        <v>376.26520374349428</v>
      </c>
      <c r="X172" s="295"/>
      <c r="Y172" s="295">
        <v>382.27319440070647</v>
      </c>
      <c r="Z172" s="295"/>
      <c r="AA172" s="295">
        <v>463.001816253382</v>
      </c>
      <c r="AB172" s="295"/>
      <c r="AC172" s="296">
        <v>4379.7907388209624</v>
      </c>
      <c r="AD172" s="297"/>
      <c r="AE172" s="309">
        <v>364.98256156841336</v>
      </c>
    </row>
    <row r="173" spans="1:31" ht="13.5" hidden="1" thickTop="1"/>
    <row r="174" spans="1:31" hidden="1"/>
    <row r="175" spans="1:31" ht="17.25" hidden="1" thickBot="1">
      <c r="A175" s="213"/>
      <c r="B175" s="211"/>
      <c r="C175" s="82"/>
      <c r="D175" s="82"/>
      <c r="E175" s="82">
        <v>23250</v>
      </c>
      <c r="F175" s="82"/>
      <c r="G175" s="82">
        <v>23245</v>
      </c>
      <c r="H175" s="82"/>
      <c r="I175" s="82">
        <v>23245</v>
      </c>
      <c r="J175" s="82"/>
      <c r="K175" s="82">
        <v>23320</v>
      </c>
      <c r="L175" s="82"/>
      <c r="M175" s="82">
        <v>23470</v>
      </c>
      <c r="N175" s="82"/>
      <c r="O175" s="82">
        <v>23320</v>
      </c>
      <c r="P175" s="82"/>
      <c r="Q175" s="82">
        <v>23270</v>
      </c>
      <c r="R175" s="82"/>
      <c r="S175" s="82">
        <v>23240</v>
      </c>
      <c r="T175" s="82"/>
      <c r="U175" s="82">
        <v>23250</v>
      </c>
      <c r="V175" s="82"/>
      <c r="W175" s="82">
        <v>23250</v>
      </c>
      <c r="X175" s="82"/>
      <c r="Y175" s="82">
        <v>23225</v>
      </c>
      <c r="Z175" s="82"/>
      <c r="AA175" s="82">
        <v>23220</v>
      </c>
      <c r="AB175" s="190"/>
      <c r="AC175" s="84">
        <f>+SUM(E175:AA175)/COUNT(E175:AA175)</f>
        <v>23275.416666666668</v>
      </c>
      <c r="AD175" s="84"/>
      <c r="AE175" s="82"/>
    </row>
    <row r="176" spans="1:31" ht="18" hidden="1" customHeight="1" thickTop="1" thickBot="1">
      <c r="A176" s="1488" t="s">
        <v>642</v>
      </c>
      <c r="B176" s="1489"/>
      <c r="C176" s="244"/>
      <c r="D176" s="1534" t="s">
        <v>63</v>
      </c>
      <c r="E176" s="1533"/>
      <c r="F176" s="1532" t="s">
        <v>64</v>
      </c>
      <c r="G176" s="1533"/>
      <c r="H176" s="395"/>
      <c r="I176" s="214" t="s">
        <v>65</v>
      </c>
      <c r="J176" s="1532" t="s">
        <v>66</v>
      </c>
      <c r="K176" s="1533"/>
      <c r="L176" s="1532" t="s">
        <v>67</v>
      </c>
      <c r="M176" s="1533"/>
      <c r="N176" s="1532" t="s">
        <v>68</v>
      </c>
      <c r="O176" s="1533"/>
      <c r="P176" s="1532" t="s">
        <v>69</v>
      </c>
      <c r="Q176" s="1533"/>
      <c r="R176" s="1532" t="s">
        <v>70</v>
      </c>
      <c r="S176" s="1533"/>
      <c r="T176" s="1532" t="s">
        <v>71</v>
      </c>
      <c r="U176" s="1533"/>
      <c r="V176" s="1532" t="s">
        <v>72</v>
      </c>
      <c r="W176" s="1533"/>
      <c r="X176" s="1532" t="s">
        <v>73</v>
      </c>
      <c r="Y176" s="1533"/>
      <c r="Z176" s="1532" t="s">
        <v>74</v>
      </c>
      <c r="AA176" s="1533"/>
      <c r="AB176" s="1535" t="s">
        <v>159</v>
      </c>
      <c r="AC176" s="1536"/>
      <c r="AD176" s="1537" t="s">
        <v>160</v>
      </c>
      <c r="AE176" s="1538"/>
    </row>
    <row r="177" spans="1:31" ht="17.25" hidden="1" thickTop="1" thickBot="1">
      <c r="A177" s="1508" t="s">
        <v>234</v>
      </c>
      <c r="B177" s="224" t="s">
        <v>82</v>
      </c>
      <c r="C177" s="240"/>
      <c r="D177" s="205">
        <v>1137</v>
      </c>
      <c r="E177" s="205">
        <v>8537042966</v>
      </c>
      <c r="F177" s="205">
        <v>1367</v>
      </c>
      <c r="G177" s="205">
        <v>7970882778</v>
      </c>
      <c r="H177" s="205">
        <v>1699</v>
      </c>
      <c r="I177" s="205">
        <v>11607176086</v>
      </c>
      <c r="J177" s="205">
        <v>1727</v>
      </c>
      <c r="K177" s="205">
        <v>11902311806</v>
      </c>
      <c r="L177" s="205">
        <v>1779</v>
      </c>
      <c r="M177" s="205">
        <v>13278779706</v>
      </c>
      <c r="N177" s="205">
        <v>1795</v>
      </c>
      <c r="O177" s="205">
        <v>13366741014</v>
      </c>
      <c r="P177" s="205">
        <v>1797</v>
      </c>
      <c r="Q177" s="205">
        <v>14524803425</v>
      </c>
      <c r="R177" s="205">
        <v>1784</v>
      </c>
      <c r="S177" s="205">
        <v>14849600987</v>
      </c>
      <c r="T177" s="205">
        <v>1771</v>
      </c>
      <c r="U177" s="205">
        <v>14538046880</v>
      </c>
      <c r="V177" s="205">
        <v>1803</v>
      </c>
      <c r="W177" s="205">
        <v>15335625810</v>
      </c>
      <c r="X177" s="205">
        <v>1754</v>
      </c>
      <c r="Y177" s="205">
        <v>12202604020</v>
      </c>
      <c r="Z177" s="205">
        <v>1761</v>
      </c>
      <c r="AA177" s="205">
        <v>12533558499</v>
      </c>
      <c r="AB177" s="210">
        <v>20174</v>
      </c>
      <c r="AC177" s="205">
        <v>150647173977</v>
      </c>
      <c r="AD177" s="254">
        <v>3103.6923076923076</v>
      </c>
      <c r="AE177" s="205">
        <v>12553931164.75</v>
      </c>
    </row>
    <row r="178" spans="1:31" ht="17.25" hidden="1" thickTop="1" thickBot="1">
      <c r="A178" s="1508"/>
      <c r="B178" s="1509" t="s">
        <v>89</v>
      </c>
      <c r="C178" s="242" t="s">
        <v>75</v>
      </c>
      <c r="D178" s="206"/>
      <c r="E178" s="206">
        <v>7508393.1099384343</v>
      </c>
      <c r="F178" s="206"/>
      <c r="G178" s="206">
        <v>5830931.0738844182</v>
      </c>
      <c r="H178" s="206"/>
      <c r="I178" s="206">
        <v>6831769.3266627425</v>
      </c>
      <c r="J178" s="206"/>
      <c r="K178" s="206">
        <v>6891900.2929936303</v>
      </c>
      <c r="L178" s="206"/>
      <c r="M178" s="206">
        <v>7464181.959527825</v>
      </c>
      <c r="N178" s="206"/>
      <c r="O178" s="206">
        <v>7446652.3754874654</v>
      </c>
      <c r="P178" s="206"/>
      <c r="Q178" s="206">
        <v>8082806.5804117974</v>
      </c>
      <c r="R178" s="206"/>
      <c r="S178" s="206">
        <v>8323767.369394619</v>
      </c>
      <c r="T178" s="206"/>
      <c r="U178" s="206">
        <v>8208947.9841897236</v>
      </c>
      <c r="V178" s="206"/>
      <c r="W178" s="206">
        <v>8505616.0898502488</v>
      </c>
      <c r="X178" s="206"/>
      <c r="Y178" s="206">
        <v>6957014.8346636258</v>
      </c>
      <c r="Z178" s="206"/>
      <c r="AA178" s="206">
        <v>7117296.1379897781</v>
      </c>
      <c r="AB178" s="206"/>
      <c r="AC178" s="206">
        <v>89169277.134994328</v>
      </c>
      <c r="AD178" s="256"/>
      <c r="AE178" s="206">
        <v>7430773.0945828585</v>
      </c>
    </row>
    <row r="179" spans="1:31" ht="17.25" hidden="1" thickTop="1" thickBot="1">
      <c r="A179" s="1508"/>
      <c r="B179" s="1509"/>
      <c r="C179" s="243" t="s">
        <v>76</v>
      </c>
      <c r="D179" s="208"/>
      <c r="E179" s="209">
        <v>322.94163913713697</v>
      </c>
      <c r="F179" s="208"/>
      <c r="G179" s="209">
        <v>250.84667988317565</v>
      </c>
      <c r="H179" s="208"/>
      <c r="I179" s="209">
        <v>293.90274582330579</v>
      </c>
      <c r="J179" s="208"/>
      <c r="K179" s="209">
        <v>295.53603314723972</v>
      </c>
      <c r="L179" s="208"/>
      <c r="M179" s="209">
        <v>318.03076095133468</v>
      </c>
      <c r="N179" s="208"/>
      <c r="O179" s="209">
        <v>319.32471592999423</v>
      </c>
      <c r="P179" s="208"/>
      <c r="Q179" s="209">
        <v>347.34880018959166</v>
      </c>
      <c r="R179" s="208"/>
      <c r="S179" s="209">
        <v>358.16554945759981</v>
      </c>
      <c r="T179" s="208"/>
      <c r="U179" s="209">
        <v>353.07303157805262</v>
      </c>
      <c r="V179" s="208"/>
      <c r="W179" s="209">
        <v>365.83295010108594</v>
      </c>
      <c r="X179" s="208"/>
      <c r="Y179" s="209">
        <v>299.54853970564591</v>
      </c>
      <c r="Z179" s="208"/>
      <c r="AA179" s="209">
        <v>306.51576821661405</v>
      </c>
      <c r="AB179" s="209"/>
      <c r="AC179" s="209">
        <v>3831.067214120777</v>
      </c>
      <c r="AD179" s="257"/>
      <c r="AE179" s="209">
        <v>319.25560117673143</v>
      </c>
    </row>
    <row r="180" spans="1:31" ht="17.25" hidden="1" thickTop="1" thickBot="1">
      <c r="A180" s="1510" t="s">
        <v>1</v>
      </c>
      <c r="B180" s="224" t="s">
        <v>82</v>
      </c>
      <c r="C180" s="240"/>
      <c r="D180" s="205">
        <v>46</v>
      </c>
      <c r="E180" s="205">
        <v>548764316</v>
      </c>
      <c r="F180" s="205">
        <v>47</v>
      </c>
      <c r="G180" s="205">
        <v>518629457</v>
      </c>
      <c r="H180" s="205">
        <v>49</v>
      </c>
      <c r="I180" s="205">
        <v>552194537</v>
      </c>
      <c r="J180" s="205">
        <v>50</v>
      </c>
      <c r="K180" s="205">
        <v>567479232</v>
      </c>
      <c r="L180" s="205">
        <v>51</v>
      </c>
      <c r="M180" s="205">
        <v>607976837</v>
      </c>
      <c r="N180" s="205">
        <v>53</v>
      </c>
      <c r="O180" s="205">
        <v>586691816</v>
      </c>
      <c r="P180" s="205">
        <v>53</v>
      </c>
      <c r="Q180" s="205">
        <v>642304377</v>
      </c>
      <c r="R180" s="205">
        <v>54</v>
      </c>
      <c r="S180" s="205">
        <v>634106224</v>
      </c>
      <c r="T180" s="205">
        <v>53</v>
      </c>
      <c r="U180" s="205">
        <v>592715896</v>
      </c>
      <c r="V180" s="205">
        <v>55</v>
      </c>
      <c r="W180" s="205">
        <v>633937128</v>
      </c>
      <c r="X180" s="205">
        <v>56</v>
      </c>
      <c r="Y180" s="205">
        <v>679106016</v>
      </c>
      <c r="Z180" s="205">
        <v>60</v>
      </c>
      <c r="AA180" s="205">
        <v>622536157</v>
      </c>
      <c r="AB180" s="210">
        <v>627</v>
      </c>
      <c r="AC180" s="205">
        <v>7186441993</v>
      </c>
      <c r="AD180" s="254">
        <v>96.461538461538467</v>
      </c>
      <c r="AE180" s="205">
        <v>598870166.08333337</v>
      </c>
    </row>
    <row r="181" spans="1:31" ht="17.25" hidden="1" thickTop="1" thickBot="1">
      <c r="A181" s="1511"/>
      <c r="B181" s="1509" t="s">
        <v>89</v>
      </c>
      <c r="C181" s="242" t="s">
        <v>75</v>
      </c>
      <c r="D181" s="206"/>
      <c r="E181" s="206">
        <v>11929659.043478262</v>
      </c>
      <c r="F181" s="206"/>
      <c r="G181" s="206">
        <v>11034669.29787234</v>
      </c>
      <c r="H181" s="206"/>
      <c r="I181" s="206">
        <v>11269276.265306123</v>
      </c>
      <c r="J181" s="206"/>
      <c r="K181" s="206">
        <v>11349584.640000001</v>
      </c>
      <c r="L181" s="206"/>
      <c r="M181" s="206">
        <v>11921114.450980391</v>
      </c>
      <c r="N181" s="206"/>
      <c r="O181" s="206">
        <v>11069656.905660378</v>
      </c>
      <c r="P181" s="206"/>
      <c r="Q181" s="206">
        <v>12118950.509433962</v>
      </c>
      <c r="R181" s="206"/>
      <c r="S181" s="206">
        <v>11742707.851851853</v>
      </c>
      <c r="T181" s="206"/>
      <c r="U181" s="206">
        <v>11183318.792452831</v>
      </c>
      <c r="V181" s="206"/>
      <c r="W181" s="206">
        <v>11526129.6</v>
      </c>
      <c r="X181" s="206"/>
      <c r="Y181" s="206">
        <v>12126893.142857144</v>
      </c>
      <c r="Z181" s="206"/>
      <c r="AA181" s="206">
        <v>10375602.616666667</v>
      </c>
      <c r="AB181" s="206"/>
      <c r="AC181" s="206">
        <v>137647563.11655995</v>
      </c>
      <c r="AD181" s="256"/>
      <c r="AE181" s="206">
        <v>11470630.259713328</v>
      </c>
    </row>
    <row r="182" spans="1:31" ht="17.25" hidden="1" thickTop="1" thickBot="1">
      <c r="A182" s="1512"/>
      <c r="B182" s="1509"/>
      <c r="C182" s="243" t="s">
        <v>76</v>
      </c>
      <c r="D182" s="208"/>
      <c r="E182" s="209">
        <v>513.10361477325853</v>
      </c>
      <c r="F182" s="208"/>
      <c r="G182" s="209">
        <v>474.71152066562013</v>
      </c>
      <c r="H182" s="208"/>
      <c r="I182" s="209">
        <v>484.80431341390073</v>
      </c>
      <c r="J182" s="208"/>
      <c r="K182" s="209">
        <v>486.6888782161235</v>
      </c>
      <c r="L182" s="208"/>
      <c r="M182" s="209">
        <v>507.92988713167409</v>
      </c>
      <c r="N182" s="208"/>
      <c r="O182" s="209">
        <v>474.68511602317227</v>
      </c>
      <c r="P182" s="208"/>
      <c r="Q182" s="209">
        <v>520.79718562243067</v>
      </c>
      <c r="R182" s="208"/>
      <c r="S182" s="209">
        <v>505.28002804870277</v>
      </c>
      <c r="T182" s="208"/>
      <c r="U182" s="209">
        <v>481.00295881517553</v>
      </c>
      <c r="V182" s="208"/>
      <c r="W182" s="209">
        <v>495.74750967741932</v>
      </c>
      <c r="X182" s="208"/>
      <c r="Y182" s="209">
        <v>522.14825157619566</v>
      </c>
      <c r="Z182" s="208"/>
      <c r="AA182" s="209">
        <v>446.83904464542064</v>
      </c>
      <c r="AB182" s="209"/>
      <c r="AC182" s="209">
        <v>5913.738308609094</v>
      </c>
      <c r="AD182" s="257"/>
      <c r="AE182" s="209">
        <v>492.81152571742444</v>
      </c>
    </row>
    <row r="183" spans="1:31" ht="17.25" hidden="1" thickTop="1" thickBot="1">
      <c r="A183" s="1503" t="s">
        <v>78</v>
      </c>
      <c r="B183" s="224" t="s">
        <v>82</v>
      </c>
      <c r="C183" s="240"/>
      <c r="D183" s="216"/>
      <c r="E183" s="216"/>
      <c r="F183" s="216"/>
      <c r="G183" s="216"/>
      <c r="H183" s="218"/>
      <c r="I183" s="216"/>
      <c r="J183" s="216"/>
      <c r="K183" s="216"/>
      <c r="L183" s="218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0"/>
      <c r="AC183" s="205"/>
      <c r="AD183" s="254"/>
      <c r="AE183" s="205"/>
    </row>
    <row r="184" spans="1:31" ht="17.25" hidden="1" thickTop="1" thickBot="1">
      <c r="A184" s="1504"/>
      <c r="B184" s="1509" t="s">
        <v>89</v>
      </c>
      <c r="C184" s="242" t="s">
        <v>75</v>
      </c>
      <c r="D184" s="206"/>
      <c r="E184" s="206">
        <v>14201555.555555556</v>
      </c>
      <c r="F184" s="206"/>
      <c r="G184" s="206">
        <v>15632269.25</v>
      </c>
      <c r="H184" s="206"/>
      <c r="I184" s="206">
        <v>17402049.75</v>
      </c>
      <c r="J184" s="206"/>
      <c r="K184" s="206">
        <v>16054047.416666666</v>
      </c>
      <c r="L184" s="206"/>
      <c r="M184" s="206">
        <v>17450513.25</v>
      </c>
      <c r="N184" s="206"/>
      <c r="O184" s="206">
        <v>17621443.25</v>
      </c>
      <c r="P184" s="206"/>
      <c r="Q184" s="206">
        <v>20619443.25</v>
      </c>
      <c r="R184" s="206"/>
      <c r="S184" s="206">
        <v>19666408.25</v>
      </c>
      <c r="T184" s="206"/>
      <c r="U184" s="206">
        <v>16539537.25</v>
      </c>
      <c r="V184" s="206"/>
      <c r="W184" s="206">
        <v>18070166.916666668</v>
      </c>
      <c r="X184" s="206"/>
      <c r="Y184" s="206">
        <v>17812920.083333332</v>
      </c>
      <c r="Z184" s="206"/>
      <c r="AA184" s="206">
        <v>20332673.5</v>
      </c>
      <c r="AB184" s="207"/>
      <c r="AC184" s="206">
        <v>211403027.72222221</v>
      </c>
      <c r="AD184" s="256"/>
      <c r="AE184" s="206">
        <v>17616918.976851851</v>
      </c>
    </row>
    <row r="185" spans="1:31" ht="17.25" hidden="1" thickTop="1" thickBot="1">
      <c r="A185" s="1505"/>
      <c r="B185" s="1509"/>
      <c r="C185" s="243" t="s">
        <v>76</v>
      </c>
      <c r="D185" s="208"/>
      <c r="E185" s="209">
        <v>610.81959378733575</v>
      </c>
      <c r="F185" s="208"/>
      <c r="G185" s="209">
        <v>672.50029038502907</v>
      </c>
      <c r="H185" s="208"/>
      <c r="I185" s="209">
        <v>748.63625510862551</v>
      </c>
      <c r="J185" s="208"/>
      <c r="K185" s="209">
        <v>688.42398870783302</v>
      </c>
      <c r="L185" s="208"/>
      <c r="M185" s="209">
        <v>743.52421175969323</v>
      </c>
      <c r="N185" s="208"/>
      <c r="O185" s="209">
        <v>755.63650300171525</v>
      </c>
      <c r="P185" s="208"/>
      <c r="Q185" s="209">
        <v>886.09554146970345</v>
      </c>
      <c r="R185" s="208"/>
      <c r="S185" s="209">
        <v>846.23099182444059</v>
      </c>
      <c r="T185" s="208"/>
      <c r="U185" s="209">
        <v>711.37794623655918</v>
      </c>
      <c r="V185" s="208"/>
      <c r="W185" s="209">
        <v>777.21148028673838</v>
      </c>
      <c r="X185" s="208"/>
      <c r="Y185" s="209">
        <v>766.97180121994973</v>
      </c>
      <c r="Z185" s="208"/>
      <c r="AA185" s="209">
        <v>875.65346683893199</v>
      </c>
      <c r="AB185" s="209"/>
      <c r="AC185" s="209">
        <v>9083.0820706265549</v>
      </c>
      <c r="AD185" s="257"/>
      <c r="AE185" s="209">
        <v>756.92350588554621</v>
      </c>
    </row>
    <row r="186" spans="1:31" ht="17.25" hidden="1" thickTop="1" thickBot="1">
      <c r="A186" s="1503" t="s">
        <v>79</v>
      </c>
      <c r="B186" s="1506" t="s">
        <v>82</v>
      </c>
      <c r="C186" s="242" t="s">
        <v>75</v>
      </c>
      <c r="D186" s="220">
        <v>1192</v>
      </c>
      <c r="E186" s="210">
        <v>9213621282</v>
      </c>
      <c r="F186" s="220">
        <v>1426</v>
      </c>
      <c r="G186" s="210">
        <v>8677099466</v>
      </c>
      <c r="H186" s="220">
        <v>1760</v>
      </c>
      <c r="I186" s="210">
        <v>12368195220</v>
      </c>
      <c r="J186" s="220">
        <v>1789</v>
      </c>
      <c r="K186" s="210">
        <v>12662439607</v>
      </c>
      <c r="L186" s="220">
        <v>1842</v>
      </c>
      <c r="M186" s="210">
        <v>14096162702</v>
      </c>
      <c r="N186" s="220">
        <v>1860</v>
      </c>
      <c r="O186" s="210">
        <v>14164890149</v>
      </c>
      <c r="P186" s="220">
        <v>1862</v>
      </c>
      <c r="Q186" s="210">
        <v>15414541121</v>
      </c>
      <c r="R186" s="220">
        <v>1850</v>
      </c>
      <c r="S186" s="210">
        <v>15719704110</v>
      </c>
      <c r="T186" s="220">
        <v>1836</v>
      </c>
      <c r="U186" s="210">
        <v>15329237223</v>
      </c>
      <c r="V186" s="220">
        <v>1870</v>
      </c>
      <c r="W186" s="210">
        <v>16186404941</v>
      </c>
      <c r="X186" s="220">
        <v>1822</v>
      </c>
      <c r="Y186" s="210">
        <v>13095465077</v>
      </c>
      <c r="Z186" s="220">
        <v>1833</v>
      </c>
      <c r="AA186" s="210">
        <v>13400086738</v>
      </c>
      <c r="AB186" s="210">
        <v>20942</v>
      </c>
      <c r="AC186" s="210">
        <v>160327847636</v>
      </c>
      <c r="AD186" s="254">
        <v>3221.8461538461538</v>
      </c>
      <c r="AE186" s="210">
        <v>13360653969.666666</v>
      </c>
    </row>
    <row r="187" spans="1:31" ht="16.5" hidden="1" thickTop="1" thickBot="1">
      <c r="A187" s="1504"/>
      <c r="B187" s="1506"/>
      <c r="C187" s="581" t="s">
        <v>76</v>
      </c>
      <c r="D187" s="584"/>
      <c r="E187" s="583">
        <v>396284.78632258065</v>
      </c>
      <c r="F187" s="584"/>
      <c r="G187" s="583">
        <v>373288.85635620565</v>
      </c>
      <c r="H187" s="584"/>
      <c r="I187" s="583">
        <v>532079.81157238118</v>
      </c>
      <c r="J187" s="584"/>
      <c r="K187" s="583">
        <v>542986.26102058322</v>
      </c>
      <c r="L187" s="584"/>
      <c r="M187" s="583">
        <v>600603.43851725606</v>
      </c>
      <c r="N187" s="584"/>
      <c r="O187" s="583">
        <v>607413.81427958829</v>
      </c>
      <c r="P187" s="584"/>
      <c r="Q187" s="583">
        <v>662421.19127632142</v>
      </c>
      <c r="R187" s="584"/>
      <c r="S187" s="583">
        <v>676407.2336488812</v>
      </c>
      <c r="T187" s="584"/>
      <c r="U187" s="583">
        <v>659322.03109677415</v>
      </c>
      <c r="V187" s="584"/>
      <c r="W187" s="583">
        <v>696189.45982795698</v>
      </c>
      <c r="X187" s="584"/>
      <c r="Y187" s="583">
        <v>563852.10234660923</v>
      </c>
      <c r="Z187" s="584"/>
      <c r="AA187" s="583">
        <v>577092.45211024978</v>
      </c>
      <c r="AB187" s="584"/>
      <c r="AC187" s="584">
        <v>6887941.4383753873</v>
      </c>
      <c r="AD187" s="584"/>
      <c r="AE187" s="583">
        <v>573995.1198646155</v>
      </c>
    </row>
    <row r="188" spans="1:31" ht="16.5" hidden="1" thickTop="1" thickBot="1">
      <c r="A188" s="1504"/>
      <c r="B188" s="1507" t="s">
        <v>89</v>
      </c>
      <c r="C188" s="299" t="s">
        <v>75</v>
      </c>
      <c r="D188" s="301"/>
      <c r="E188" s="301">
        <v>7729548.0553691275</v>
      </c>
      <c r="F188" s="301"/>
      <c r="G188" s="301">
        <v>6084922.4866760168</v>
      </c>
      <c r="H188" s="301"/>
      <c r="I188" s="301">
        <v>7027383.6477272725</v>
      </c>
      <c r="J188" s="301"/>
      <c r="K188" s="301">
        <v>7077942.7652319735</v>
      </c>
      <c r="L188" s="301"/>
      <c r="M188" s="301">
        <v>7652639.9033659063</v>
      </c>
      <c r="N188" s="301"/>
      <c r="O188" s="301">
        <v>7615532.3381720427</v>
      </c>
      <c r="P188" s="301"/>
      <c r="Q188" s="301">
        <v>8278486.1015037596</v>
      </c>
      <c r="R188" s="301"/>
      <c r="S188" s="301">
        <v>8497137.3567567561</v>
      </c>
      <c r="T188" s="301"/>
      <c r="U188" s="301">
        <v>8349257.7467320263</v>
      </c>
      <c r="V188" s="301"/>
      <c r="W188" s="301">
        <v>8655831.5192513373</v>
      </c>
      <c r="X188" s="301"/>
      <c r="Y188" s="301">
        <v>7187412.2266739849</v>
      </c>
      <c r="Z188" s="301"/>
      <c r="AA188" s="301">
        <v>7310467.3966175672</v>
      </c>
      <c r="AB188" s="301"/>
      <c r="AC188" s="301">
        <v>91466561.544077769</v>
      </c>
      <c r="AD188" s="301"/>
      <c r="AE188" s="301">
        <v>7622213.4620064795</v>
      </c>
    </row>
    <row r="189" spans="1:31" ht="16.5" hidden="1" thickTop="1" thickBot="1">
      <c r="A189" s="1505"/>
      <c r="B189" s="1507"/>
      <c r="C189" s="306" t="s">
        <v>76</v>
      </c>
      <c r="D189" s="295"/>
      <c r="E189" s="295">
        <v>332.45367980082267</v>
      </c>
      <c r="F189" s="295"/>
      <c r="G189" s="295">
        <v>261.77339155414143</v>
      </c>
      <c r="H189" s="295"/>
      <c r="I189" s="295">
        <v>302.31807475703476</v>
      </c>
      <c r="J189" s="295"/>
      <c r="K189" s="295">
        <v>303.51384070463007</v>
      </c>
      <c r="L189" s="295"/>
      <c r="M189" s="295">
        <v>326.06049865214771</v>
      </c>
      <c r="N189" s="295"/>
      <c r="O189" s="295">
        <v>326.56656681698297</v>
      </c>
      <c r="P189" s="295"/>
      <c r="Q189" s="295">
        <v>355.7578900517301</v>
      </c>
      <c r="R189" s="295"/>
      <c r="S189" s="295">
        <v>365.62553170209793</v>
      </c>
      <c r="T189" s="295"/>
      <c r="U189" s="295">
        <v>359.10786007449576</v>
      </c>
      <c r="V189" s="295"/>
      <c r="W189" s="295">
        <v>372.29382878500377</v>
      </c>
      <c r="X189" s="295"/>
      <c r="Y189" s="295">
        <v>309.46877186970869</v>
      </c>
      <c r="Z189" s="295"/>
      <c r="AA189" s="295">
        <v>314.8349438681123</v>
      </c>
      <c r="AB189" s="295"/>
      <c r="AC189" s="295">
        <v>3929.7748786369084</v>
      </c>
      <c r="AD189" s="295"/>
      <c r="AE189" s="295">
        <v>327.48123988640901</v>
      </c>
    </row>
    <row r="190" spans="1:31" ht="13.5" hidden="1" thickTop="1"/>
    <row r="191" spans="1:31" hidden="1"/>
    <row r="192" spans="1:31" ht="17.25" hidden="1" thickBot="1">
      <c r="A192" s="213"/>
      <c r="B192" s="211"/>
      <c r="C192" s="82"/>
      <c r="D192" s="82"/>
      <c r="E192" s="82">
        <v>22745</v>
      </c>
      <c r="F192" s="82"/>
      <c r="G192" s="82">
        <v>22790</v>
      </c>
      <c r="H192" s="82"/>
      <c r="I192" s="82">
        <v>22810</v>
      </c>
      <c r="J192" s="82"/>
      <c r="K192" s="82">
        <v>22800</v>
      </c>
      <c r="L192" s="82"/>
      <c r="M192" s="82">
        <v>22835</v>
      </c>
      <c r="N192" s="82"/>
      <c r="O192" s="82">
        <v>22990</v>
      </c>
      <c r="P192" s="82"/>
      <c r="Q192" s="82">
        <v>23310</v>
      </c>
      <c r="R192" s="82"/>
      <c r="S192" s="82">
        <v>23340</v>
      </c>
      <c r="T192" s="82"/>
      <c r="U192" s="82">
        <v>23365</v>
      </c>
      <c r="V192" s="82"/>
      <c r="W192" s="82">
        <v>23390</v>
      </c>
      <c r="X192" s="82"/>
      <c r="Y192" s="82">
        <v>23365</v>
      </c>
      <c r="Z192" s="82"/>
      <c r="AA192" s="82">
        <v>23235</v>
      </c>
      <c r="AB192" s="82"/>
      <c r="AC192" s="84">
        <f>+SUM(D192:AA192)/COUNT(D192:AA192)</f>
        <v>23081.25</v>
      </c>
      <c r="AD192" s="84"/>
      <c r="AE192" s="82"/>
    </row>
    <row r="193" spans="1:31" ht="18" hidden="1" customHeight="1" thickTop="1" thickBot="1">
      <c r="A193" s="1488" t="s">
        <v>641</v>
      </c>
      <c r="B193" s="1489"/>
      <c r="C193" s="244"/>
      <c r="D193" s="1541" t="s">
        <v>63</v>
      </c>
      <c r="E193" s="1540"/>
      <c r="F193" s="1539" t="s">
        <v>64</v>
      </c>
      <c r="G193" s="1540"/>
      <c r="H193" s="1539" t="s">
        <v>65</v>
      </c>
      <c r="I193" s="1540"/>
      <c r="J193" s="1539" t="s">
        <v>66</v>
      </c>
      <c r="K193" s="1540"/>
      <c r="L193" s="1539" t="s">
        <v>67</v>
      </c>
      <c r="M193" s="1540"/>
      <c r="N193" s="1539" t="s">
        <v>68</v>
      </c>
      <c r="O193" s="1540"/>
      <c r="P193" s="1539" t="s">
        <v>69</v>
      </c>
      <c r="Q193" s="1540"/>
      <c r="R193" s="1539" t="s">
        <v>70</v>
      </c>
      <c r="S193" s="1540"/>
      <c r="T193" s="1539" t="s">
        <v>71</v>
      </c>
      <c r="U193" s="1540"/>
      <c r="V193" s="1539" t="s">
        <v>72</v>
      </c>
      <c r="W193" s="1540"/>
      <c r="X193" s="1539" t="s">
        <v>73</v>
      </c>
      <c r="Y193" s="1540"/>
      <c r="Z193" s="1539" t="s">
        <v>74</v>
      </c>
      <c r="AA193" s="1540"/>
      <c r="AB193" s="1548" t="s">
        <v>136</v>
      </c>
      <c r="AC193" s="1549"/>
      <c r="AD193" s="1550" t="s">
        <v>137</v>
      </c>
      <c r="AE193" s="1551"/>
    </row>
    <row r="194" spans="1:31" ht="17.25" hidden="1" thickTop="1" thickBot="1">
      <c r="A194" s="1508" t="s">
        <v>234</v>
      </c>
      <c r="B194" s="224" t="s">
        <v>82</v>
      </c>
      <c r="C194" s="240"/>
      <c r="D194" s="248">
        <v>927</v>
      </c>
      <c r="E194" s="205">
        <v>6845141253</v>
      </c>
      <c r="F194" s="205">
        <v>889</v>
      </c>
      <c r="G194" s="205">
        <v>5102448170</v>
      </c>
      <c r="H194" s="205">
        <v>948</v>
      </c>
      <c r="I194" s="205">
        <v>7212045941</v>
      </c>
      <c r="J194" s="205">
        <v>953</v>
      </c>
      <c r="K194" s="205">
        <v>6768155633</v>
      </c>
      <c r="L194" s="205">
        <v>949</v>
      </c>
      <c r="M194" s="205">
        <v>7285700591</v>
      </c>
      <c r="N194" s="205">
        <v>946</v>
      </c>
      <c r="O194" s="205">
        <v>6850004555</v>
      </c>
      <c r="P194" s="205">
        <v>931</v>
      </c>
      <c r="Q194" s="205">
        <v>6839458515</v>
      </c>
      <c r="R194" s="205">
        <v>946</v>
      </c>
      <c r="S194" s="205">
        <v>7659084972</v>
      </c>
      <c r="T194" s="205">
        <v>968</v>
      </c>
      <c r="U194" s="205">
        <v>7632254225</v>
      </c>
      <c r="V194" s="205">
        <v>1003</v>
      </c>
      <c r="W194" s="205">
        <v>8072850333</v>
      </c>
      <c r="X194" s="205">
        <v>1014</v>
      </c>
      <c r="Y194" s="205">
        <v>7998313641</v>
      </c>
      <c r="Z194" s="205">
        <v>1136</v>
      </c>
      <c r="AA194" s="205">
        <v>8704287799</v>
      </c>
      <c r="AB194" s="210">
        <v>11610</v>
      </c>
      <c r="AC194" s="205">
        <v>86969745628</v>
      </c>
      <c r="AD194" s="254">
        <v>1786.1538461538462</v>
      </c>
      <c r="AE194" s="205">
        <v>7247478802.333333</v>
      </c>
    </row>
    <row r="195" spans="1:31" ht="17.25" hidden="1" thickTop="1" thickBot="1">
      <c r="A195" s="1508"/>
      <c r="B195" s="1509" t="s">
        <v>89</v>
      </c>
      <c r="C195" s="242" t="s">
        <v>75</v>
      </c>
      <c r="D195" s="249"/>
      <c r="E195" s="206">
        <v>7384186.8964401297</v>
      </c>
      <c r="F195" s="206"/>
      <c r="G195" s="206">
        <v>5739536.7491563559</v>
      </c>
      <c r="H195" s="206"/>
      <c r="I195" s="206">
        <v>7607643.3976793252</v>
      </c>
      <c r="J195" s="206"/>
      <c r="K195" s="206">
        <v>7101947.1490031481</v>
      </c>
      <c r="L195" s="206"/>
      <c r="M195" s="206">
        <v>7677239.8219178086</v>
      </c>
      <c r="N195" s="206"/>
      <c r="O195" s="206">
        <v>7241019.6141649047</v>
      </c>
      <c r="P195" s="206"/>
      <c r="Q195" s="206">
        <v>7346357.158968851</v>
      </c>
      <c r="R195" s="206"/>
      <c r="S195" s="206">
        <v>8096284.3255813951</v>
      </c>
      <c r="T195" s="206"/>
      <c r="U195" s="206">
        <v>7884560.1497933883</v>
      </c>
      <c r="V195" s="206"/>
      <c r="W195" s="206">
        <v>8048704.2203389835</v>
      </c>
      <c r="X195" s="206"/>
      <c r="Y195" s="206">
        <v>7887883.2751479289</v>
      </c>
      <c r="Z195" s="206"/>
      <c r="AA195" s="206">
        <v>7662225.1751760561</v>
      </c>
      <c r="AB195" s="206"/>
      <c r="AC195" s="206">
        <v>89677587.933368266</v>
      </c>
      <c r="AD195" s="256"/>
      <c r="AE195" s="206">
        <v>7473132.32778069</v>
      </c>
    </row>
    <row r="196" spans="1:31" ht="17.25" hidden="1" thickTop="1" thickBot="1">
      <c r="A196" s="1508"/>
      <c r="B196" s="1509"/>
      <c r="C196" s="243" t="s">
        <v>76</v>
      </c>
      <c r="D196" s="250"/>
      <c r="E196" s="209">
        <v>324.65099566674564</v>
      </c>
      <c r="F196" s="208"/>
      <c r="G196" s="209">
        <v>251.84452607092391</v>
      </c>
      <c r="H196" s="208"/>
      <c r="I196" s="209">
        <v>333.52228836822997</v>
      </c>
      <c r="J196" s="208"/>
      <c r="K196" s="209">
        <v>311.48891004399775</v>
      </c>
      <c r="L196" s="208"/>
      <c r="M196" s="209">
        <v>336.20494074525106</v>
      </c>
      <c r="N196" s="208"/>
      <c r="O196" s="209">
        <v>314.9638805639367</v>
      </c>
      <c r="P196" s="208"/>
      <c r="Q196" s="209">
        <v>315.15903727880101</v>
      </c>
      <c r="R196" s="208"/>
      <c r="S196" s="209">
        <v>346.88450409517543</v>
      </c>
      <c r="T196" s="208"/>
      <c r="U196" s="209">
        <v>337.45175047264661</v>
      </c>
      <c r="V196" s="208"/>
      <c r="W196" s="209">
        <v>344.10877384946485</v>
      </c>
      <c r="X196" s="208"/>
      <c r="Y196" s="209">
        <v>337.59397710883496</v>
      </c>
      <c r="Z196" s="208"/>
      <c r="AA196" s="209">
        <v>329.7708274231141</v>
      </c>
      <c r="AB196" s="209"/>
      <c r="AC196" s="209">
        <v>3883.6444116871226</v>
      </c>
      <c r="AD196" s="257"/>
      <c r="AE196" s="209">
        <v>323.63703430726014</v>
      </c>
    </row>
    <row r="197" spans="1:31" ht="17.25" hidden="1" thickTop="1" thickBot="1">
      <c r="A197" s="1510" t="s">
        <v>1</v>
      </c>
      <c r="B197" s="224" t="s">
        <v>82</v>
      </c>
      <c r="C197" s="240"/>
      <c r="D197" s="248">
        <v>35</v>
      </c>
      <c r="E197" s="205">
        <v>409695037</v>
      </c>
      <c r="F197" s="205">
        <v>35</v>
      </c>
      <c r="G197" s="205">
        <v>357472342</v>
      </c>
      <c r="H197" s="205">
        <v>37</v>
      </c>
      <c r="I197" s="205">
        <v>420583952</v>
      </c>
      <c r="J197" s="205">
        <v>39</v>
      </c>
      <c r="K197" s="205">
        <v>399193456</v>
      </c>
      <c r="L197" s="205">
        <v>41</v>
      </c>
      <c r="M197" s="205">
        <v>445351697</v>
      </c>
      <c r="N197" s="205">
        <v>41</v>
      </c>
      <c r="O197" s="205">
        <v>424163228</v>
      </c>
      <c r="P197" s="205">
        <v>40</v>
      </c>
      <c r="Q197" s="205">
        <v>439994742</v>
      </c>
      <c r="R197" s="205">
        <v>42</v>
      </c>
      <c r="S197" s="205">
        <v>470641977</v>
      </c>
      <c r="T197" s="205">
        <v>40</v>
      </c>
      <c r="U197" s="205">
        <v>429298965</v>
      </c>
      <c r="V197" s="205">
        <v>40</v>
      </c>
      <c r="W197" s="205">
        <v>451771212</v>
      </c>
      <c r="X197" s="205">
        <v>44</v>
      </c>
      <c r="Y197" s="205">
        <v>469848989</v>
      </c>
      <c r="Z197" s="205">
        <v>50</v>
      </c>
      <c r="AA197" s="205">
        <v>540379581</v>
      </c>
      <c r="AB197" s="210">
        <v>484</v>
      </c>
      <c r="AC197" s="205">
        <v>5258395178</v>
      </c>
      <c r="AD197" s="254">
        <v>74.461538461538467</v>
      </c>
      <c r="AE197" s="205">
        <v>438199598.16666669</v>
      </c>
    </row>
    <row r="198" spans="1:31" ht="17.25" hidden="1" thickTop="1" thickBot="1">
      <c r="A198" s="1511"/>
      <c r="B198" s="1509" t="s">
        <v>89</v>
      </c>
      <c r="C198" s="242" t="s">
        <v>75</v>
      </c>
      <c r="D198" s="249"/>
      <c r="E198" s="206">
        <v>11705572.485714287</v>
      </c>
      <c r="F198" s="206"/>
      <c r="G198" s="206">
        <v>10213495.485714287</v>
      </c>
      <c r="H198" s="206"/>
      <c r="I198" s="206">
        <v>11367133.837837838</v>
      </c>
      <c r="J198" s="206"/>
      <c r="K198" s="206">
        <v>10235729.641025642</v>
      </c>
      <c r="L198" s="206"/>
      <c r="M198" s="206">
        <v>10862236.512195121</v>
      </c>
      <c r="N198" s="206"/>
      <c r="O198" s="206">
        <v>10345444.585365854</v>
      </c>
      <c r="P198" s="206"/>
      <c r="Q198" s="206">
        <v>10999868.550000001</v>
      </c>
      <c r="R198" s="206"/>
      <c r="S198" s="206">
        <v>11205761.357142856</v>
      </c>
      <c r="T198" s="206"/>
      <c r="U198" s="206">
        <v>10732474.125</v>
      </c>
      <c r="V198" s="206"/>
      <c r="W198" s="206">
        <v>11294280.300000001</v>
      </c>
      <c r="X198" s="206"/>
      <c r="Y198" s="206">
        <v>10678386.113636363</v>
      </c>
      <c r="Z198" s="206"/>
      <c r="AA198" s="206">
        <v>10807591.619999999</v>
      </c>
      <c r="AB198" s="206"/>
      <c r="AC198" s="206">
        <v>130447974.61363225</v>
      </c>
      <c r="AD198" s="256"/>
      <c r="AE198" s="206">
        <v>10870664.551136022</v>
      </c>
    </row>
    <row r="199" spans="1:31" ht="17.25" hidden="1" thickTop="1" thickBot="1">
      <c r="A199" s="1512"/>
      <c r="B199" s="1509"/>
      <c r="C199" s="243" t="s">
        <v>76</v>
      </c>
      <c r="D199" s="250"/>
      <c r="E199" s="209">
        <v>514.64376723298687</v>
      </c>
      <c r="F199" s="208"/>
      <c r="G199" s="209">
        <v>448.15688835955621</v>
      </c>
      <c r="H199" s="208"/>
      <c r="I199" s="209">
        <v>498.33993151415336</v>
      </c>
      <c r="J199" s="208"/>
      <c r="K199" s="209">
        <v>448.93551057130009</v>
      </c>
      <c r="L199" s="208"/>
      <c r="M199" s="209">
        <v>475.68366595993524</v>
      </c>
      <c r="N199" s="208"/>
      <c r="O199" s="209">
        <v>449.99758962008934</v>
      </c>
      <c r="P199" s="208"/>
      <c r="Q199" s="209">
        <v>471.8948326898327</v>
      </c>
      <c r="R199" s="208"/>
      <c r="S199" s="209">
        <v>480.10974109438115</v>
      </c>
      <c r="T199" s="208"/>
      <c r="U199" s="209">
        <v>459.33978707468435</v>
      </c>
      <c r="V199" s="208"/>
      <c r="W199" s="209">
        <v>482.86790508764432</v>
      </c>
      <c r="X199" s="208"/>
      <c r="Y199" s="209">
        <v>457.02487111647179</v>
      </c>
      <c r="Z199" s="208"/>
      <c r="AA199" s="209">
        <v>465.14274241446088</v>
      </c>
      <c r="AB199" s="209"/>
      <c r="AC199" s="209">
        <v>5652.1372327354957</v>
      </c>
      <c r="AD199" s="257"/>
      <c r="AE199" s="209">
        <v>471.01143606129136</v>
      </c>
    </row>
    <row r="200" spans="1:31" ht="17.25" hidden="1" thickTop="1" thickBot="1">
      <c r="A200" s="1503" t="s">
        <v>78</v>
      </c>
      <c r="B200" s="224" t="s">
        <v>82</v>
      </c>
      <c r="C200" s="240"/>
      <c r="D200" s="217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0"/>
      <c r="AC200" s="205"/>
      <c r="AD200" s="254"/>
      <c r="AE200" s="205"/>
    </row>
    <row r="201" spans="1:31" ht="17.25" hidden="1" thickTop="1" thickBot="1">
      <c r="A201" s="1504"/>
      <c r="B201" s="1509" t="s">
        <v>89</v>
      </c>
      <c r="C201" s="242" t="s">
        <v>75</v>
      </c>
      <c r="D201" s="249"/>
      <c r="E201" s="206">
        <v>14409501.555555556</v>
      </c>
      <c r="F201" s="206"/>
      <c r="G201" s="206">
        <v>13141240.666666666</v>
      </c>
      <c r="H201" s="206"/>
      <c r="I201" s="206">
        <v>14433832.555555556</v>
      </c>
      <c r="J201" s="206"/>
      <c r="K201" s="206">
        <v>14262553.222222222</v>
      </c>
      <c r="L201" s="206"/>
      <c r="M201" s="206">
        <v>14558228.222222222</v>
      </c>
      <c r="N201" s="206"/>
      <c r="O201" s="206">
        <v>14250713.666666666</v>
      </c>
      <c r="P201" s="206"/>
      <c r="Q201" s="206">
        <v>13879703.333333334</v>
      </c>
      <c r="R201" s="206"/>
      <c r="S201" s="206">
        <v>15104604.222222222</v>
      </c>
      <c r="T201" s="206"/>
      <c r="U201" s="206">
        <v>14459680</v>
      </c>
      <c r="V201" s="206"/>
      <c r="W201" s="206">
        <v>14606683.666666666</v>
      </c>
      <c r="X201" s="206"/>
      <c r="Y201" s="206">
        <v>14398435.888888888</v>
      </c>
      <c r="Z201" s="206"/>
      <c r="AA201" s="206">
        <v>18939538.333333332</v>
      </c>
      <c r="AB201" s="207"/>
      <c r="AC201" s="206">
        <v>176444715.33333334</v>
      </c>
      <c r="AD201" s="256"/>
      <c r="AE201" s="206">
        <v>14703726.277777776</v>
      </c>
    </row>
    <row r="202" spans="1:31" ht="17.25" hidden="1" thickTop="1" thickBot="1">
      <c r="A202" s="1505"/>
      <c r="B202" s="1509"/>
      <c r="C202" s="243" t="s">
        <v>76</v>
      </c>
      <c r="D202" s="250"/>
      <c r="E202" s="209">
        <v>633.52391978701064</v>
      </c>
      <c r="F202" s="208"/>
      <c r="G202" s="209">
        <v>576.62310955097257</v>
      </c>
      <c r="H202" s="208"/>
      <c r="I202" s="209">
        <v>632.78529397437774</v>
      </c>
      <c r="J202" s="208"/>
      <c r="K202" s="209">
        <v>625.55057992202728</v>
      </c>
      <c r="L202" s="208"/>
      <c r="M202" s="209">
        <v>637.54010169573996</v>
      </c>
      <c r="N202" s="208"/>
      <c r="O202" s="209">
        <v>619.86575322604028</v>
      </c>
      <c r="P202" s="208"/>
      <c r="Q202" s="209">
        <v>595.43986843986852</v>
      </c>
      <c r="R202" s="208"/>
      <c r="S202" s="209">
        <v>647.15527944396842</v>
      </c>
      <c r="T202" s="208"/>
      <c r="U202" s="209">
        <v>618.86068906484059</v>
      </c>
      <c r="V202" s="208"/>
      <c r="W202" s="209">
        <v>624.48412426963091</v>
      </c>
      <c r="X202" s="208"/>
      <c r="Y202" s="209">
        <v>616.23949877547136</v>
      </c>
      <c r="Z202" s="208"/>
      <c r="AA202" s="209">
        <v>815.12968940535109</v>
      </c>
      <c r="AB202" s="209"/>
      <c r="AC202" s="209">
        <v>7643.1979075552999</v>
      </c>
      <c r="AD202" s="257"/>
      <c r="AE202" s="209">
        <v>636.93315896294166</v>
      </c>
    </row>
    <row r="203" spans="1:31" ht="17.25" hidden="1" thickTop="1" thickBot="1">
      <c r="A203" s="1503" t="s">
        <v>79</v>
      </c>
      <c r="B203" s="1506" t="s">
        <v>82</v>
      </c>
      <c r="C203" s="242" t="s">
        <v>75</v>
      </c>
      <c r="D203" s="220">
        <v>971</v>
      </c>
      <c r="E203" s="210">
        <v>7384521804</v>
      </c>
      <c r="F203" s="220">
        <v>933</v>
      </c>
      <c r="G203" s="210">
        <v>5578191678</v>
      </c>
      <c r="H203" s="220">
        <v>994</v>
      </c>
      <c r="I203" s="210">
        <v>7762534386</v>
      </c>
      <c r="J203" s="220">
        <v>1001</v>
      </c>
      <c r="K203" s="210">
        <v>7295712068</v>
      </c>
      <c r="L203" s="220">
        <v>999</v>
      </c>
      <c r="M203" s="210">
        <v>7862076342</v>
      </c>
      <c r="N203" s="220">
        <v>996</v>
      </c>
      <c r="O203" s="210">
        <v>7402424206</v>
      </c>
      <c r="P203" s="220">
        <v>980</v>
      </c>
      <c r="Q203" s="210">
        <v>7404370587</v>
      </c>
      <c r="R203" s="220">
        <v>997</v>
      </c>
      <c r="S203" s="210">
        <v>8265668387</v>
      </c>
      <c r="T203" s="220">
        <v>1017</v>
      </c>
      <c r="U203" s="210">
        <v>8191690310</v>
      </c>
      <c r="V203" s="220">
        <v>1052</v>
      </c>
      <c r="W203" s="210">
        <v>8656081698</v>
      </c>
      <c r="X203" s="220">
        <v>1067</v>
      </c>
      <c r="Y203" s="210">
        <v>8597748553</v>
      </c>
      <c r="Z203" s="220">
        <v>1195</v>
      </c>
      <c r="AA203" s="210">
        <v>9415123225</v>
      </c>
      <c r="AB203" s="210">
        <v>12202</v>
      </c>
      <c r="AC203" s="205">
        <v>93816143244</v>
      </c>
      <c r="AD203" s="254">
        <v>1877.2307692307693</v>
      </c>
      <c r="AE203" s="205">
        <v>7818011937</v>
      </c>
    </row>
    <row r="204" spans="1:31" ht="16.5" hidden="1" thickTop="1" thickBot="1">
      <c r="A204" s="1504"/>
      <c r="B204" s="1506"/>
      <c r="C204" s="581" t="s">
        <v>76</v>
      </c>
      <c r="D204" s="582"/>
      <c r="E204" s="583">
        <v>324665.72011431085</v>
      </c>
      <c r="F204" s="582"/>
      <c r="G204" s="583">
        <v>244764.88275559456</v>
      </c>
      <c r="H204" s="584"/>
      <c r="I204" s="583">
        <v>340312.77448487503</v>
      </c>
      <c r="J204" s="584"/>
      <c r="K204" s="583">
        <v>319987.37140350876</v>
      </c>
      <c r="L204" s="584"/>
      <c r="M204" s="583">
        <v>344299.37998686224</v>
      </c>
      <c r="N204" s="584"/>
      <c r="O204" s="583">
        <v>321984.52396694216</v>
      </c>
      <c r="P204" s="584"/>
      <c r="Q204" s="583">
        <v>317647.81583011581</v>
      </c>
      <c r="R204" s="584"/>
      <c r="S204" s="583">
        <v>354141.74751499569</v>
      </c>
      <c r="T204" s="584"/>
      <c r="U204" s="583">
        <v>350596.63214209286</v>
      </c>
      <c r="V204" s="584"/>
      <c r="W204" s="583">
        <v>370076.17349294573</v>
      </c>
      <c r="X204" s="584"/>
      <c r="Y204" s="583">
        <v>367975.54260646267</v>
      </c>
      <c r="Z204" s="584"/>
      <c r="AA204" s="583">
        <v>405212.96427802881</v>
      </c>
      <c r="AB204" s="583"/>
      <c r="AC204" s="583">
        <v>4061665.5285767354</v>
      </c>
      <c r="AD204" s="583"/>
      <c r="AE204" s="583">
        <v>338472.12738139456</v>
      </c>
    </row>
    <row r="205" spans="1:31" ht="16.5" hidden="1" thickTop="1" thickBot="1">
      <c r="A205" s="1504"/>
      <c r="B205" s="1507" t="s">
        <v>89</v>
      </c>
      <c r="C205" s="299" t="s">
        <v>75</v>
      </c>
      <c r="D205" s="300"/>
      <c r="E205" s="301">
        <v>7605068.7991761072</v>
      </c>
      <c r="F205" s="300"/>
      <c r="G205" s="301">
        <v>5978769.2154340837</v>
      </c>
      <c r="H205" s="301"/>
      <c r="I205" s="301">
        <v>7809390.7303822935</v>
      </c>
      <c r="J205" s="301"/>
      <c r="K205" s="301">
        <v>7288423.6443556445</v>
      </c>
      <c r="L205" s="301"/>
      <c r="M205" s="301">
        <v>7869946.2882882887</v>
      </c>
      <c r="N205" s="301"/>
      <c r="O205" s="301">
        <v>7432152.8172690766</v>
      </c>
      <c r="P205" s="301"/>
      <c r="Q205" s="301">
        <v>7555480.1908163261</v>
      </c>
      <c r="R205" s="301"/>
      <c r="S205" s="301">
        <v>8290540.007021063</v>
      </c>
      <c r="T205" s="301"/>
      <c r="U205" s="301">
        <v>8054759.4001966566</v>
      </c>
      <c r="V205" s="301"/>
      <c r="W205" s="301">
        <v>8228214.5418250952</v>
      </c>
      <c r="X205" s="301"/>
      <c r="Y205" s="301">
        <v>8057871.1836925959</v>
      </c>
      <c r="Z205" s="301"/>
      <c r="AA205" s="301">
        <v>7878764.2050209204</v>
      </c>
      <c r="AB205" s="301"/>
      <c r="AC205" s="301">
        <v>92049381.02347815</v>
      </c>
      <c r="AD205" s="301"/>
      <c r="AE205" s="301">
        <v>7670781.7519565141</v>
      </c>
    </row>
    <row r="206" spans="1:31" ht="16.5" hidden="1" thickTop="1" thickBot="1">
      <c r="A206" s="1505"/>
      <c r="B206" s="1507"/>
      <c r="C206" s="306" t="s">
        <v>76</v>
      </c>
      <c r="D206" s="307"/>
      <c r="E206" s="295">
        <v>334.36222462853846</v>
      </c>
      <c r="F206" s="307"/>
      <c r="G206" s="295">
        <v>262.34178216033717</v>
      </c>
      <c r="H206" s="295"/>
      <c r="I206" s="295">
        <v>342.36697634293262</v>
      </c>
      <c r="J206" s="295"/>
      <c r="K206" s="295">
        <v>319.66770369980895</v>
      </c>
      <c r="L206" s="295"/>
      <c r="M206" s="295">
        <v>344.64402401087318</v>
      </c>
      <c r="N206" s="295"/>
      <c r="O206" s="295">
        <v>323.27763450496201</v>
      </c>
      <c r="P206" s="295"/>
      <c r="Q206" s="295">
        <v>324.1304243164447</v>
      </c>
      <c r="R206" s="295"/>
      <c r="S206" s="295">
        <v>355.20736962386729</v>
      </c>
      <c r="T206" s="295"/>
      <c r="U206" s="295">
        <v>344.73611813381797</v>
      </c>
      <c r="V206" s="295"/>
      <c r="W206" s="295">
        <v>351.78343487922598</v>
      </c>
      <c r="X206" s="295"/>
      <c r="Y206" s="295">
        <v>344.86929953745329</v>
      </c>
      <c r="Z206" s="295"/>
      <c r="AA206" s="295">
        <v>339.09034667617476</v>
      </c>
      <c r="AB206" s="295"/>
      <c r="AC206" s="295">
        <v>3986.4773385144354</v>
      </c>
      <c r="AD206" s="295"/>
      <c r="AE206" s="295">
        <v>332.20644487620297</v>
      </c>
    </row>
    <row r="207" spans="1:31" ht="13.5" hidden="1" thickTop="1"/>
    <row r="208" spans="1:31" hidden="1"/>
    <row r="209" spans="1:31" ht="17.25" hidden="1" thickBot="1">
      <c r="A209" s="213"/>
      <c r="B209" s="211"/>
      <c r="C209" s="82"/>
      <c r="D209" s="82"/>
      <c r="E209" s="82">
        <v>22600</v>
      </c>
      <c r="F209" s="82"/>
      <c r="G209" s="82">
        <v>22700</v>
      </c>
      <c r="H209" s="82"/>
      <c r="I209" s="82">
        <v>22700</v>
      </c>
      <c r="J209" s="82"/>
      <c r="K209" s="82">
        <v>22700</v>
      </c>
      <c r="L209" s="82"/>
      <c r="M209" s="82">
        <v>22700</v>
      </c>
      <c r="N209" s="82"/>
      <c r="O209" s="82">
        <v>22700</v>
      </c>
      <c r="P209" s="82"/>
      <c r="Q209" s="82">
        <v>22700</v>
      </c>
      <c r="R209" s="82"/>
      <c r="S209" s="82">
        <v>22700</v>
      </c>
      <c r="T209" s="82"/>
      <c r="U209" s="82">
        <v>22700</v>
      </c>
      <c r="V209" s="82"/>
      <c r="W209" s="82">
        <v>22700</v>
      </c>
      <c r="X209" s="82"/>
      <c r="Y209" s="82">
        <v>22700</v>
      </c>
      <c r="Z209" s="82"/>
      <c r="AA209" s="82">
        <v>22700</v>
      </c>
      <c r="AB209" s="82"/>
      <c r="AC209" s="82"/>
      <c r="AD209" s="82"/>
      <c r="AE209" s="83" t="s">
        <v>147</v>
      </c>
    </row>
    <row r="210" spans="1:31" ht="18" hidden="1" thickTop="1" thickBot="1">
      <c r="A210" s="1488" t="s">
        <v>640</v>
      </c>
      <c r="B210" s="1489"/>
      <c r="C210" s="244"/>
      <c r="D210" s="1542" t="s">
        <v>63</v>
      </c>
      <c r="E210" s="1543"/>
      <c r="F210" s="1543" t="s">
        <v>64</v>
      </c>
      <c r="G210" s="1543"/>
      <c r="H210" s="1543" t="s">
        <v>65</v>
      </c>
      <c r="I210" s="1543"/>
      <c r="J210" s="1543" t="s">
        <v>66</v>
      </c>
      <c r="K210" s="1543"/>
      <c r="L210" s="1543" t="s">
        <v>67</v>
      </c>
      <c r="M210" s="1543"/>
      <c r="N210" s="1543" t="s">
        <v>68</v>
      </c>
      <c r="O210" s="1543"/>
      <c r="P210" s="1543" t="s">
        <v>69</v>
      </c>
      <c r="Q210" s="1543"/>
      <c r="R210" s="1543" t="s">
        <v>70</v>
      </c>
      <c r="S210" s="1543"/>
      <c r="T210" s="1543" t="s">
        <v>71</v>
      </c>
      <c r="U210" s="1543"/>
      <c r="V210" s="1543" t="s">
        <v>72</v>
      </c>
      <c r="W210" s="1543"/>
      <c r="X210" s="1543" t="s">
        <v>73</v>
      </c>
      <c r="Y210" s="1543"/>
      <c r="Z210" s="1543" t="s">
        <v>74</v>
      </c>
      <c r="AA210" s="1543"/>
      <c r="AB210" s="1544" t="s">
        <v>138</v>
      </c>
      <c r="AC210" s="1545"/>
      <c r="AD210" s="1546" t="s">
        <v>127</v>
      </c>
      <c r="AE210" s="1547"/>
    </row>
    <row r="211" spans="1:31" ht="17.25" hidden="1" thickTop="1" thickBot="1">
      <c r="A211" s="1508" t="s">
        <v>234</v>
      </c>
      <c r="B211" s="224" t="s">
        <v>82</v>
      </c>
      <c r="C211" s="240"/>
      <c r="D211" s="248">
        <v>985</v>
      </c>
      <c r="E211" s="222">
        <v>6221765660</v>
      </c>
      <c r="F211" s="222">
        <v>1009</v>
      </c>
      <c r="G211" s="205">
        <v>5955808185</v>
      </c>
      <c r="H211" s="205">
        <v>999</v>
      </c>
      <c r="I211" s="205">
        <v>6880778586</v>
      </c>
      <c r="J211" s="205">
        <v>972</v>
      </c>
      <c r="K211" s="205">
        <v>6573842232</v>
      </c>
      <c r="L211" s="205">
        <v>961</v>
      </c>
      <c r="M211" s="205">
        <v>6110500021</v>
      </c>
      <c r="N211" s="205">
        <v>939</v>
      </c>
      <c r="O211" s="205">
        <v>5437583217</v>
      </c>
      <c r="P211" s="205">
        <v>929</v>
      </c>
      <c r="Q211" s="205">
        <v>5905825772</v>
      </c>
      <c r="R211" s="205">
        <v>944</v>
      </c>
      <c r="S211" s="205">
        <v>7157489838</v>
      </c>
      <c r="T211" s="205">
        <v>931</v>
      </c>
      <c r="U211" s="205">
        <v>7521979998</v>
      </c>
      <c r="V211" s="205">
        <v>903</v>
      </c>
      <c r="W211" s="205">
        <v>7095572003</v>
      </c>
      <c r="X211" s="205">
        <v>892</v>
      </c>
      <c r="Y211" s="205">
        <v>6621262481</v>
      </c>
      <c r="Z211" s="205">
        <v>927</v>
      </c>
      <c r="AA211" s="205">
        <v>6815360463</v>
      </c>
      <c r="AB211" s="210">
        <v>11391</v>
      </c>
      <c r="AC211" s="205">
        <v>78297768456</v>
      </c>
      <c r="AD211" s="254">
        <v>1752.4615384615386</v>
      </c>
      <c r="AE211" s="245">
        <v>6524814038</v>
      </c>
    </row>
    <row r="212" spans="1:31" ht="17.25" hidden="1" thickTop="1" thickBot="1">
      <c r="A212" s="1508"/>
      <c r="B212" s="1509" t="s">
        <v>89</v>
      </c>
      <c r="C212" s="242" t="s">
        <v>75</v>
      </c>
      <c r="D212" s="249"/>
      <c r="E212" s="206">
        <v>6316513.3604060914</v>
      </c>
      <c r="F212" s="223"/>
      <c r="G212" s="206">
        <v>5902684.028741328</v>
      </c>
      <c r="H212" s="206"/>
      <c r="I212" s="206">
        <v>6887666.2522522518</v>
      </c>
      <c r="J212" s="206"/>
      <c r="K212" s="206">
        <v>6763212.1728395065</v>
      </c>
      <c r="L212" s="206"/>
      <c r="M212" s="206">
        <v>6358480.7710718</v>
      </c>
      <c r="N212" s="206"/>
      <c r="O212" s="206">
        <v>5790823.4472843446</v>
      </c>
      <c r="P212" s="206"/>
      <c r="Q212" s="206">
        <v>6357185.976318622</v>
      </c>
      <c r="R212" s="206"/>
      <c r="S212" s="206">
        <v>7582086.6927966103</v>
      </c>
      <c r="T212" s="206"/>
      <c r="U212" s="206">
        <v>8079462.9409237383</v>
      </c>
      <c r="V212" s="206"/>
      <c r="W212" s="206">
        <v>7857776.3045404209</v>
      </c>
      <c r="X212" s="206"/>
      <c r="Y212" s="206">
        <v>7422940.0011210758</v>
      </c>
      <c r="Z212" s="206"/>
      <c r="AA212" s="206">
        <v>7352060.909385113</v>
      </c>
      <c r="AB212" s="206"/>
      <c r="AC212" s="206">
        <v>82670892.857680902</v>
      </c>
      <c r="AD212" s="256"/>
      <c r="AE212" s="246">
        <v>6889241.0714734085</v>
      </c>
    </row>
    <row r="213" spans="1:31" ht="17.25" hidden="1" thickTop="1" thickBot="1">
      <c r="A213" s="1508"/>
      <c r="B213" s="1509"/>
      <c r="C213" s="243" t="s">
        <v>76</v>
      </c>
      <c r="D213" s="250"/>
      <c r="E213" s="209">
        <v>279.49174161088899</v>
      </c>
      <c r="F213" s="221"/>
      <c r="G213" s="209">
        <v>260.03013342472809</v>
      </c>
      <c r="H213" s="208"/>
      <c r="I213" s="209">
        <v>303.42142080406398</v>
      </c>
      <c r="J213" s="209"/>
      <c r="K213" s="209">
        <v>297.93886223962585</v>
      </c>
      <c r="L213" s="208"/>
      <c r="M213" s="209">
        <v>280.10928506924228</v>
      </c>
      <c r="N213" s="208"/>
      <c r="O213" s="209">
        <v>255.10235450591827</v>
      </c>
      <c r="P213" s="208"/>
      <c r="Q213" s="209">
        <v>280.05224565280275</v>
      </c>
      <c r="R213" s="209"/>
      <c r="S213" s="209">
        <v>334.01262963861717</v>
      </c>
      <c r="T213" s="208"/>
      <c r="U213" s="209">
        <v>355.92347757373295</v>
      </c>
      <c r="V213" s="208"/>
      <c r="W213" s="209">
        <v>346.15754645552516</v>
      </c>
      <c r="X213" s="208"/>
      <c r="Y213" s="209">
        <v>327.00176216392407</v>
      </c>
      <c r="Z213" s="208"/>
      <c r="AA213" s="209">
        <v>323.87933521520324</v>
      </c>
      <c r="AB213" s="209"/>
      <c r="AC213" s="209">
        <v>3643.1207943542731</v>
      </c>
      <c r="AD213" s="257"/>
      <c r="AE213" s="247">
        <v>303.59339952952274</v>
      </c>
    </row>
    <row r="214" spans="1:31" ht="17.25" hidden="1" thickTop="1" thickBot="1">
      <c r="A214" s="1510" t="s">
        <v>1</v>
      </c>
      <c r="B214" s="224" t="s">
        <v>82</v>
      </c>
      <c r="C214" s="240"/>
      <c r="D214" s="248">
        <v>35</v>
      </c>
      <c r="E214" s="222">
        <v>332283334</v>
      </c>
      <c r="F214" s="222">
        <v>32</v>
      </c>
      <c r="G214" s="205">
        <v>302924996</v>
      </c>
      <c r="H214" s="205">
        <v>33</v>
      </c>
      <c r="I214" s="205">
        <v>341951921</v>
      </c>
      <c r="J214" s="205">
        <v>33</v>
      </c>
      <c r="K214" s="205">
        <v>341404063</v>
      </c>
      <c r="L214" s="205">
        <v>33</v>
      </c>
      <c r="M214" s="205">
        <v>356606607</v>
      </c>
      <c r="N214" s="205">
        <v>31</v>
      </c>
      <c r="O214" s="205">
        <v>334117788</v>
      </c>
      <c r="P214" s="205">
        <v>29</v>
      </c>
      <c r="Q214" s="205">
        <v>321361154</v>
      </c>
      <c r="R214" s="205">
        <v>32</v>
      </c>
      <c r="S214" s="205">
        <v>321361154</v>
      </c>
      <c r="T214" s="205">
        <v>33</v>
      </c>
      <c r="U214" s="205">
        <v>347281983</v>
      </c>
      <c r="V214" s="205">
        <v>35</v>
      </c>
      <c r="W214" s="205">
        <v>380218412</v>
      </c>
      <c r="X214" s="205">
        <v>35</v>
      </c>
      <c r="Y214" s="205">
        <v>375195470</v>
      </c>
      <c r="Z214" s="205">
        <v>35</v>
      </c>
      <c r="AA214" s="205">
        <v>422603772</v>
      </c>
      <c r="AB214" s="210">
        <v>396</v>
      </c>
      <c r="AC214" s="205">
        <v>4177310654</v>
      </c>
      <c r="AD214" s="254">
        <v>60.92307692307692</v>
      </c>
      <c r="AE214" s="245">
        <v>348109221.16666669</v>
      </c>
    </row>
    <row r="215" spans="1:31" ht="17.25" hidden="1" thickTop="1" thickBot="1">
      <c r="A215" s="1511"/>
      <c r="B215" s="1509" t="s">
        <v>89</v>
      </c>
      <c r="C215" s="242" t="s">
        <v>75</v>
      </c>
      <c r="D215" s="249"/>
      <c r="E215" s="206">
        <v>9493809.5428571422</v>
      </c>
      <c r="F215" s="223"/>
      <c r="G215" s="206">
        <v>9466406.125</v>
      </c>
      <c r="H215" s="206"/>
      <c r="I215" s="206">
        <v>10362179.424242424</v>
      </c>
      <c r="J215" s="206"/>
      <c r="K215" s="206">
        <v>10345577.666666666</v>
      </c>
      <c r="L215" s="206"/>
      <c r="M215" s="206">
        <v>10806260.818181818</v>
      </c>
      <c r="N215" s="206"/>
      <c r="O215" s="206">
        <v>10777993.161290323</v>
      </c>
      <c r="P215" s="206"/>
      <c r="Q215" s="206">
        <v>11081419.103448275</v>
      </c>
      <c r="R215" s="206"/>
      <c r="S215" s="206">
        <v>10042536.0625</v>
      </c>
      <c r="T215" s="206"/>
      <c r="U215" s="206">
        <v>10523696.454545455</v>
      </c>
      <c r="V215" s="206"/>
      <c r="W215" s="206">
        <v>10863383.199999999</v>
      </c>
      <c r="X215" s="206"/>
      <c r="Y215" s="206">
        <v>10719870.571428571</v>
      </c>
      <c r="Z215" s="206"/>
      <c r="AA215" s="206">
        <v>12074393.485714287</v>
      </c>
      <c r="AB215" s="206"/>
      <c r="AC215" s="206">
        <v>126557525.61587495</v>
      </c>
      <c r="AD215" s="256"/>
      <c r="AE215" s="246">
        <v>10546460.467989579</v>
      </c>
    </row>
    <row r="216" spans="1:31" ht="17.25" hidden="1" thickTop="1" thickBot="1">
      <c r="A216" s="1512"/>
      <c r="B216" s="1509"/>
      <c r="C216" s="243" t="s">
        <v>76</v>
      </c>
      <c r="D216" s="252"/>
      <c r="E216" s="209">
        <v>420.08006826801517</v>
      </c>
      <c r="F216" s="221"/>
      <c r="G216" s="209">
        <v>417.0222962555066</v>
      </c>
      <c r="H216" s="208"/>
      <c r="I216" s="209">
        <v>456.48367507675874</v>
      </c>
      <c r="J216" s="209"/>
      <c r="K216" s="209">
        <v>455.75232011747426</v>
      </c>
      <c r="L216" s="208"/>
      <c r="M216" s="209">
        <v>476.04673207849419</v>
      </c>
      <c r="N216" s="208"/>
      <c r="O216" s="209">
        <v>474.80146084979395</v>
      </c>
      <c r="P216" s="208"/>
      <c r="Q216" s="209">
        <v>488.1682424426553</v>
      </c>
      <c r="R216" s="209"/>
      <c r="S216" s="209">
        <v>442.40246971365639</v>
      </c>
      <c r="T216" s="208"/>
      <c r="U216" s="209">
        <v>463.59896275530639</v>
      </c>
      <c r="V216" s="208"/>
      <c r="W216" s="209">
        <v>478.56313656387664</v>
      </c>
      <c r="X216" s="208"/>
      <c r="Y216" s="209">
        <v>472.2409943360604</v>
      </c>
      <c r="Z216" s="208"/>
      <c r="AA216" s="209">
        <v>531.91160730018885</v>
      </c>
      <c r="AB216" s="209"/>
      <c r="AC216" s="209">
        <v>5577.0719657577874</v>
      </c>
      <c r="AD216" s="257"/>
      <c r="AE216" s="247">
        <v>464.75599714648229</v>
      </c>
    </row>
    <row r="217" spans="1:31" ht="17.25" hidden="1" thickTop="1" thickBot="1">
      <c r="A217" s="1503" t="s">
        <v>78</v>
      </c>
      <c r="B217" s="224" t="s">
        <v>82</v>
      </c>
      <c r="C217" s="240"/>
      <c r="D217" s="251"/>
      <c r="E217" s="215"/>
      <c r="F217" s="215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0"/>
      <c r="AC217" s="205"/>
      <c r="AD217" s="254"/>
      <c r="AE217" s="245"/>
    </row>
    <row r="218" spans="1:31" ht="17.25" hidden="1" thickTop="1" thickBot="1">
      <c r="A218" s="1504"/>
      <c r="B218" s="1509" t="s">
        <v>89</v>
      </c>
      <c r="C218" s="242" t="s">
        <v>75</v>
      </c>
      <c r="D218" s="249"/>
      <c r="E218" s="206">
        <v>14550401.199999999</v>
      </c>
      <c r="F218" s="223"/>
      <c r="G218" s="206">
        <v>13637835.1</v>
      </c>
      <c r="H218" s="206"/>
      <c r="I218" s="206">
        <v>15270420.800000001</v>
      </c>
      <c r="J218" s="206"/>
      <c r="K218" s="206">
        <v>13607511.777777778</v>
      </c>
      <c r="L218" s="206"/>
      <c r="M218" s="206">
        <v>12778329.888888888</v>
      </c>
      <c r="N218" s="206"/>
      <c r="O218" s="206">
        <v>12304310.555555556</v>
      </c>
      <c r="P218" s="206"/>
      <c r="Q218" s="206">
        <v>12228326.555555556</v>
      </c>
      <c r="R218" s="206"/>
      <c r="S218" s="206">
        <v>12255278.888888888</v>
      </c>
      <c r="T218" s="206"/>
      <c r="U218" s="206">
        <v>14833363.666666666</v>
      </c>
      <c r="V218" s="206"/>
      <c r="W218" s="206">
        <v>12570605</v>
      </c>
      <c r="X218" s="206"/>
      <c r="Y218" s="206">
        <v>11671689.444444444</v>
      </c>
      <c r="Z218" s="206"/>
      <c r="AA218" s="206">
        <v>16284174.333333334</v>
      </c>
      <c r="AB218" s="207"/>
      <c r="AC218" s="206">
        <v>161992247.21111107</v>
      </c>
      <c r="AD218" s="256"/>
      <c r="AE218" s="246">
        <v>13499353.934259256</v>
      </c>
    </row>
    <row r="219" spans="1:31" ht="17.25" hidden="1" thickTop="1" thickBot="1">
      <c r="A219" s="1505"/>
      <c r="B219" s="1509"/>
      <c r="C219" s="243" t="s">
        <v>76</v>
      </c>
      <c r="D219" s="252"/>
      <c r="E219" s="209">
        <v>643.82306194690261</v>
      </c>
      <c r="F219" s="221"/>
      <c r="G219" s="209">
        <v>600.78568722466957</v>
      </c>
      <c r="H219" s="208"/>
      <c r="I219" s="209">
        <v>672.70576211453749</v>
      </c>
      <c r="J219" s="209"/>
      <c r="K219" s="209">
        <v>599.44985805188446</v>
      </c>
      <c r="L219" s="208"/>
      <c r="M219" s="209">
        <v>562.92202153695541</v>
      </c>
      <c r="N219" s="208"/>
      <c r="O219" s="209">
        <v>542.04011257953994</v>
      </c>
      <c r="P219" s="208"/>
      <c r="Q219" s="209">
        <v>538.69279980420947</v>
      </c>
      <c r="R219" s="209"/>
      <c r="S219" s="209">
        <v>539.88012726382772</v>
      </c>
      <c r="T219" s="208"/>
      <c r="U219" s="209">
        <v>653.45214390602052</v>
      </c>
      <c r="V219" s="208"/>
      <c r="W219" s="209">
        <v>553.77114537444936</v>
      </c>
      <c r="X219" s="208"/>
      <c r="Y219" s="209">
        <v>514.17134116495345</v>
      </c>
      <c r="Z219" s="208"/>
      <c r="AA219" s="209">
        <v>717.36450807635833</v>
      </c>
      <c r="AB219" s="209"/>
      <c r="AC219" s="209">
        <v>7139.0585690443077</v>
      </c>
      <c r="AD219" s="257"/>
      <c r="AE219" s="247">
        <v>594.92154742035893</v>
      </c>
    </row>
    <row r="220" spans="1:31" ht="17.25" hidden="1" thickTop="1" thickBot="1">
      <c r="A220" s="1503" t="s">
        <v>79</v>
      </c>
      <c r="B220" s="1506" t="s">
        <v>82</v>
      </c>
      <c r="C220" s="242" t="s">
        <v>75</v>
      </c>
      <c r="D220" s="220">
        <v>1030</v>
      </c>
      <c r="E220" s="210">
        <v>6699553006</v>
      </c>
      <c r="F220" s="220">
        <v>1051</v>
      </c>
      <c r="G220" s="210">
        <v>6395111532</v>
      </c>
      <c r="H220" s="220">
        <v>1042</v>
      </c>
      <c r="I220" s="210">
        <v>7375434715</v>
      </c>
      <c r="J220" s="220">
        <v>1014</v>
      </c>
      <c r="K220" s="210">
        <v>7037713901</v>
      </c>
      <c r="L220" s="220">
        <v>1003</v>
      </c>
      <c r="M220" s="210">
        <v>6582111597</v>
      </c>
      <c r="N220" s="220">
        <v>979</v>
      </c>
      <c r="O220" s="210">
        <v>5882439800</v>
      </c>
      <c r="P220" s="220">
        <v>967</v>
      </c>
      <c r="Q220" s="210">
        <v>6337241865</v>
      </c>
      <c r="R220" s="220">
        <v>985</v>
      </c>
      <c r="S220" s="210">
        <v>7589148502</v>
      </c>
      <c r="T220" s="220">
        <v>973</v>
      </c>
      <c r="U220" s="210">
        <v>8002762254</v>
      </c>
      <c r="V220" s="220">
        <v>947</v>
      </c>
      <c r="W220" s="210">
        <v>7588925860</v>
      </c>
      <c r="X220" s="220">
        <v>936</v>
      </c>
      <c r="Y220" s="210">
        <v>7101503156</v>
      </c>
      <c r="Z220" s="220">
        <v>971</v>
      </c>
      <c r="AA220" s="210">
        <v>7384521804</v>
      </c>
      <c r="AB220" s="210">
        <v>11898</v>
      </c>
      <c r="AC220" s="210">
        <v>83976467992</v>
      </c>
      <c r="AD220" s="254">
        <v>1830.4615384615386</v>
      </c>
      <c r="AE220" s="219">
        <v>6998038999.333333</v>
      </c>
    </row>
    <row r="221" spans="1:31" ht="16.5" hidden="1" thickTop="1" thickBot="1">
      <c r="A221" s="1504"/>
      <c r="B221" s="1506"/>
      <c r="C221" s="581" t="s">
        <v>76</v>
      </c>
      <c r="D221" s="582"/>
      <c r="E221" s="583">
        <v>296440.39849557524</v>
      </c>
      <c r="F221" s="584"/>
      <c r="G221" s="583">
        <v>281722.97497797356</v>
      </c>
      <c r="H221" s="584"/>
      <c r="I221" s="583">
        <v>324909.01828193833</v>
      </c>
      <c r="J221" s="584"/>
      <c r="K221" s="583">
        <v>310031.44938325993</v>
      </c>
      <c r="L221" s="584"/>
      <c r="M221" s="583">
        <v>289960.86330396478</v>
      </c>
      <c r="N221" s="584"/>
      <c r="O221" s="583">
        <v>259138.31718061675</v>
      </c>
      <c r="P221" s="584"/>
      <c r="Q221" s="583">
        <v>279173.65044052864</v>
      </c>
      <c r="R221" s="584"/>
      <c r="S221" s="583">
        <v>334323.72255506605</v>
      </c>
      <c r="T221" s="584"/>
      <c r="U221" s="583">
        <v>352544.59268722468</v>
      </c>
      <c r="V221" s="584"/>
      <c r="W221" s="583">
        <v>334313.91453744494</v>
      </c>
      <c r="X221" s="584"/>
      <c r="Y221" s="583">
        <v>312841.54872246698</v>
      </c>
      <c r="Z221" s="584"/>
      <c r="AA221" s="583">
        <v>325309.33057268721</v>
      </c>
      <c r="AB221" s="583"/>
      <c r="AC221" s="583">
        <v>3700709.7811387475</v>
      </c>
      <c r="AD221" s="585"/>
      <c r="AE221" s="585">
        <v>308392.48176156229</v>
      </c>
    </row>
    <row r="222" spans="1:31" ht="16.5" hidden="1" thickTop="1" thickBot="1">
      <c r="A222" s="1504"/>
      <c r="B222" s="1507" t="s">
        <v>89</v>
      </c>
      <c r="C222" s="299" t="s">
        <v>75</v>
      </c>
      <c r="D222" s="300"/>
      <c r="E222" s="301">
        <v>6504420.3941747574</v>
      </c>
      <c r="F222" s="301"/>
      <c r="G222" s="301">
        <v>6084787.37583254</v>
      </c>
      <c r="H222" s="301"/>
      <c r="I222" s="301">
        <v>7078152.3176583489</v>
      </c>
      <c r="J222" s="301"/>
      <c r="K222" s="301">
        <v>6940546.2534516761</v>
      </c>
      <c r="L222" s="301"/>
      <c r="M222" s="301">
        <v>6562424.3240279164</v>
      </c>
      <c r="N222" s="301"/>
      <c r="O222" s="301">
        <v>6008620.8375893766</v>
      </c>
      <c r="P222" s="301"/>
      <c r="Q222" s="301">
        <v>6553507.6163391937</v>
      </c>
      <c r="R222" s="301"/>
      <c r="S222" s="301">
        <v>7704719.2913705586</v>
      </c>
      <c r="T222" s="301"/>
      <c r="U222" s="301">
        <v>8224832.7379239462</v>
      </c>
      <c r="V222" s="301"/>
      <c r="W222" s="301">
        <v>8013649.2713833153</v>
      </c>
      <c r="X222" s="301"/>
      <c r="Y222" s="301">
        <v>7587076.021367521</v>
      </c>
      <c r="Z222" s="301"/>
      <c r="AA222" s="301">
        <v>7605068.7991761072</v>
      </c>
      <c r="AB222" s="301"/>
      <c r="AC222" s="301">
        <v>84867805.240295246</v>
      </c>
      <c r="AD222" s="302"/>
      <c r="AE222" s="302">
        <v>7072317.1033579372</v>
      </c>
    </row>
    <row r="223" spans="1:31" ht="16.5" hidden="1" thickTop="1" thickBot="1">
      <c r="A223" s="1505"/>
      <c r="B223" s="1507"/>
      <c r="C223" s="306" t="s">
        <v>76</v>
      </c>
      <c r="D223" s="307"/>
      <c r="E223" s="295">
        <v>287.80621213162641</v>
      </c>
      <c r="F223" s="295"/>
      <c r="G223" s="295">
        <v>268.05230730539824</v>
      </c>
      <c r="H223" s="295"/>
      <c r="I223" s="295">
        <v>311.8128774298832</v>
      </c>
      <c r="J223" s="295"/>
      <c r="K223" s="295">
        <v>305.75093627540423</v>
      </c>
      <c r="L223" s="295"/>
      <c r="M223" s="295">
        <v>289.09358255629587</v>
      </c>
      <c r="N223" s="295"/>
      <c r="O223" s="295">
        <v>264.69695319776991</v>
      </c>
      <c r="P223" s="295"/>
      <c r="Q223" s="295">
        <v>288.70077605018474</v>
      </c>
      <c r="R223" s="295"/>
      <c r="S223" s="295">
        <v>339.41494675641229</v>
      </c>
      <c r="T223" s="295"/>
      <c r="U223" s="295">
        <v>362.32743338872012</v>
      </c>
      <c r="V223" s="295"/>
      <c r="W223" s="295">
        <v>353.02419697723855</v>
      </c>
      <c r="X223" s="295"/>
      <c r="Y223" s="295">
        <v>334.23242384878949</v>
      </c>
      <c r="Z223" s="295"/>
      <c r="AA223" s="295">
        <v>335.02505723242763</v>
      </c>
      <c r="AB223" s="295"/>
      <c r="AC223" s="295">
        <v>3739.9377031501504</v>
      </c>
      <c r="AD223" s="308"/>
      <c r="AE223" s="308">
        <v>311.66147526251251</v>
      </c>
    </row>
    <row r="227" spans="4:30" ht="14.25" customHeight="1"/>
    <row r="228" spans="4:30" s="653" customFormat="1">
      <c r="D228" s="1050">
        <f>SUM(D98)</f>
        <v>13266.4</v>
      </c>
      <c r="F228" s="1050">
        <f>SUM(F98)</f>
        <v>27335.899999999994</v>
      </c>
      <c r="H228" s="1050">
        <f>SUM(H98)</f>
        <v>33866.200000000004</v>
      </c>
      <c r="J228" s="1050">
        <f>SUM(J98)</f>
        <v>30046.300000000003</v>
      </c>
      <c r="L228" s="1050">
        <f>SUM(L98)</f>
        <v>30084.700000000023</v>
      </c>
      <c r="N228" s="1050">
        <f>SUM(N98)</f>
        <v>30292.199999999997</v>
      </c>
      <c r="P228" s="1050">
        <f>SUM(P98)</f>
        <v>29882.30000000001</v>
      </c>
      <c r="R228" s="1050">
        <f>SUM(R98)</f>
        <v>30867.799999999996</v>
      </c>
      <c r="T228" s="1050">
        <f>SUM(T98)</f>
        <v>27468.2</v>
      </c>
      <c r="V228" s="1050">
        <f>SUM(V98)</f>
        <v>29646.899999999994</v>
      </c>
      <c r="W228" s="1068"/>
      <c r="X228" s="1050">
        <f>SUM(X98)</f>
        <v>29361.8</v>
      </c>
      <c r="Z228" s="1050">
        <f>SUM(Z98)</f>
        <v>28243.300000000003</v>
      </c>
      <c r="AC228" s="1050">
        <f>SUM(D228:AB228)</f>
        <v>340362</v>
      </c>
      <c r="AD228" s="653">
        <f>+AC228/12</f>
        <v>28363.5</v>
      </c>
    </row>
    <row r="229" spans="4:30">
      <c r="D229" s="1050">
        <f>SUM(D99)</f>
        <v>10934</v>
      </c>
      <c r="E229" s="653"/>
      <c r="F229" s="1050">
        <f>SUM(F99)</f>
        <v>62</v>
      </c>
      <c r="G229" s="653"/>
      <c r="H229" s="1050">
        <f>SUM(H99)</f>
        <v>88</v>
      </c>
      <c r="I229" s="653"/>
      <c r="J229" s="1050">
        <f>SUM(J99)</f>
        <v>1900</v>
      </c>
      <c r="K229" s="653"/>
      <c r="L229" s="1050">
        <f>SUM(L99)</f>
        <v>3144</v>
      </c>
      <c r="M229" s="653"/>
      <c r="N229" s="1050">
        <f>SUM(N99)</f>
        <v>598</v>
      </c>
      <c r="O229" s="653"/>
      <c r="P229" s="1050">
        <f>SUM(P99)</f>
        <v>730</v>
      </c>
      <c r="Q229" s="653"/>
      <c r="R229" s="1050">
        <f>SUM(R99)</f>
        <v>648</v>
      </c>
      <c r="S229" s="653"/>
      <c r="T229" s="1050">
        <f>SUM(T99)</f>
        <v>3111</v>
      </c>
      <c r="U229" s="653"/>
      <c r="V229" s="1050">
        <f>SUM(V99)</f>
        <v>702</v>
      </c>
      <c r="W229" s="1068"/>
      <c r="X229" s="1050">
        <f>SUM(X99)</f>
        <v>770</v>
      </c>
      <c r="Y229" s="653"/>
      <c r="Z229" s="1050">
        <f>SUM(Z99)</f>
        <v>1814</v>
      </c>
      <c r="AA229" s="653"/>
      <c r="AB229" s="653"/>
      <c r="AC229" s="1050">
        <f>SUM(D229:AB229)</f>
        <v>24501</v>
      </c>
      <c r="AD229" s="653">
        <f>+AC229/12</f>
        <v>2041.75</v>
      </c>
    </row>
    <row r="231" spans="4:30">
      <c r="AC231" s="1051">
        <f>+AC228/AB91</f>
        <v>22.34226073257188</v>
      </c>
      <c r="AD231">
        <f>+AD228</f>
        <v>28363.5</v>
      </c>
    </row>
  </sheetData>
  <mergeCells count="331">
    <mergeCell ref="G25:H25"/>
    <mergeCell ref="H210:I210"/>
    <mergeCell ref="J210:K210"/>
    <mergeCell ref="L210:M210"/>
    <mergeCell ref="Z210:AA210"/>
    <mergeCell ref="AB210:AC210"/>
    <mergeCell ref="AD210:AE210"/>
    <mergeCell ref="N210:O210"/>
    <mergeCell ref="P210:Q210"/>
    <mergeCell ref="R210:S210"/>
    <mergeCell ref="T210:U210"/>
    <mergeCell ref="V210:W210"/>
    <mergeCell ref="X210:Y210"/>
    <mergeCell ref="Z193:AA193"/>
    <mergeCell ref="AB193:AC193"/>
    <mergeCell ref="AD193:AE193"/>
    <mergeCell ref="H193:I193"/>
    <mergeCell ref="J193:K193"/>
    <mergeCell ref="L193:M193"/>
    <mergeCell ref="N193:O193"/>
    <mergeCell ref="P193:Q193"/>
    <mergeCell ref="R193:S193"/>
    <mergeCell ref="V176:W176"/>
    <mergeCell ref="X176:Y176"/>
    <mergeCell ref="A220:A223"/>
    <mergeCell ref="B220:B221"/>
    <mergeCell ref="B222:B223"/>
    <mergeCell ref="A193:B193"/>
    <mergeCell ref="D193:E193"/>
    <mergeCell ref="F193:G193"/>
    <mergeCell ref="A211:A213"/>
    <mergeCell ref="B212:B213"/>
    <mergeCell ref="A214:A216"/>
    <mergeCell ref="B215:B216"/>
    <mergeCell ref="A217:A219"/>
    <mergeCell ref="B218:B219"/>
    <mergeCell ref="A210:B210"/>
    <mergeCell ref="D210:E210"/>
    <mergeCell ref="F210:G210"/>
    <mergeCell ref="A203:A206"/>
    <mergeCell ref="B203:B204"/>
    <mergeCell ref="B205:B206"/>
    <mergeCell ref="A194:A196"/>
    <mergeCell ref="B195:B196"/>
    <mergeCell ref="A197:A199"/>
    <mergeCell ref="B198:B199"/>
    <mergeCell ref="A200:A202"/>
    <mergeCell ref="B201:B202"/>
    <mergeCell ref="A180:A182"/>
    <mergeCell ref="B181:B182"/>
    <mergeCell ref="A183:A185"/>
    <mergeCell ref="B184:B185"/>
    <mergeCell ref="A177:A179"/>
    <mergeCell ref="B178:B179"/>
    <mergeCell ref="T193:U193"/>
    <mergeCell ref="V193:W193"/>
    <mergeCell ref="X193:Y193"/>
    <mergeCell ref="A186:A189"/>
    <mergeCell ref="B186:B187"/>
    <mergeCell ref="B188:B189"/>
    <mergeCell ref="Z176:AA176"/>
    <mergeCell ref="AB176:AC176"/>
    <mergeCell ref="AD176:AE176"/>
    <mergeCell ref="J176:K176"/>
    <mergeCell ref="L176:M176"/>
    <mergeCell ref="N176:O176"/>
    <mergeCell ref="P176:Q176"/>
    <mergeCell ref="R176:S176"/>
    <mergeCell ref="A169:A172"/>
    <mergeCell ref="B169:B170"/>
    <mergeCell ref="B171:B172"/>
    <mergeCell ref="A163:A165"/>
    <mergeCell ref="B164:B165"/>
    <mergeCell ref="A166:A168"/>
    <mergeCell ref="B167:B168"/>
    <mergeCell ref="A176:B176"/>
    <mergeCell ref="T153:U153"/>
    <mergeCell ref="T176:U176"/>
    <mergeCell ref="D176:E176"/>
    <mergeCell ref="F176:G176"/>
    <mergeCell ref="V153:W153"/>
    <mergeCell ref="X153:Y153"/>
    <mergeCell ref="Z153:AA153"/>
    <mergeCell ref="AB153:AC153"/>
    <mergeCell ref="AD153:AE153"/>
    <mergeCell ref="H153:I153"/>
    <mergeCell ref="J153:K153"/>
    <mergeCell ref="L153:M153"/>
    <mergeCell ref="N153:O153"/>
    <mergeCell ref="P153:Q153"/>
    <mergeCell ref="R153:S153"/>
    <mergeCell ref="A130:B130"/>
    <mergeCell ref="D130:E130"/>
    <mergeCell ref="F130:G130"/>
    <mergeCell ref="A131:A133"/>
    <mergeCell ref="B132:B133"/>
    <mergeCell ref="A134:A136"/>
    <mergeCell ref="B135:B136"/>
    <mergeCell ref="A160:A162"/>
    <mergeCell ref="B161:B162"/>
    <mergeCell ref="A153:B153"/>
    <mergeCell ref="D153:E153"/>
    <mergeCell ref="F153:G153"/>
    <mergeCell ref="A154:A156"/>
    <mergeCell ref="B155:B156"/>
    <mergeCell ref="A157:A159"/>
    <mergeCell ref="B158:B159"/>
    <mergeCell ref="T130:U130"/>
    <mergeCell ref="V130:W130"/>
    <mergeCell ref="X130:Y130"/>
    <mergeCell ref="Z130:AA130"/>
    <mergeCell ref="AB130:AC130"/>
    <mergeCell ref="AD130:AE130"/>
    <mergeCell ref="H130:I130"/>
    <mergeCell ref="J130:K130"/>
    <mergeCell ref="L130:M130"/>
    <mergeCell ref="N130:O130"/>
    <mergeCell ref="P130:Q130"/>
    <mergeCell ref="R130:S130"/>
    <mergeCell ref="AB107:AC107"/>
    <mergeCell ref="AD107:AE107"/>
    <mergeCell ref="H107:I107"/>
    <mergeCell ref="J107:K107"/>
    <mergeCell ref="L107:M107"/>
    <mergeCell ref="N107:O107"/>
    <mergeCell ref="P107:Q107"/>
    <mergeCell ref="R107:S107"/>
    <mergeCell ref="A146:A149"/>
    <mergeCell ref="B146:B147"/>
    <mergeCell ref="B148:B149"/>
    <mergeCell ref="A107:B107"/>
    <mergeCell ref="D107:E107"/>
    <mergeCell ref="F107:G107"/>
    <mergeCell ref="A108:A110"/>
    <mergeCell ref="B109:B110"/>
    <mergeCell ref="A111:A113"/>
    <mergeCell ref="B112:B113"/>
    <mergeCell ref="A137:A139"/>
    <mergeCell ref="B138:B139"/>
    <mergeCell ref="A140:A142"/>
    <mergeCell ref="B141:B142"/>
    <mergeCell ref="A143:A145"/>
    <mergeCell ref="B144:B145"/>
    <mergeCell ref="J75:K75"/>
    <mergeCell ref="L75:M75"/>
    <mergeCell ref="N75:O75"/>
    <mergeCell ref="P75:Q75"/>
    <mergeCell ref="R75:S75"/>
    <mergeCell ref="A123:A126"/>
    <mergeCell ref="B123:B124"/>
    <mergeCell ref="B125:B126"/>
    <mergeCell ref="A75:B75"/>
    <mergeCell ref="D75:E75"/>
    <mergeCell ref="F75:G75"/>
    <mergeCell ref="A76:A78"/>
    <mergeCell ref="B77:B78"/>
    <mergeCell ref="A79:A81"/>
    <mergeCell ref="B80:B81"/>
    <mergeCell ref="A114:A116"/>
    <mergeCell ref="B115:B116"/>
    <mergeCell ref="A117:A119"/>
    <mergeCell ref="B118:B119"/>
    <mergeCell ref="A120:A122"/>
    <mergeCell ref="B121:B122"/>
    <mergeCell ref="A102:B102"/>
    <mergeCell ref="A103:B103"/>
    <mergeCell ref="A104:B104"/>
    <mergeCell ref="Z38:AA38"/>
    <mergeCell ref="AB38:AC38"/>
    <mergeCell ref="AD38:AE38"/>
    <mergeCell ref="H38:I38"/>
    <mergeCell ref="J38:K38"/>
    <mergeCell ref="L38:M38"/>
    <mergeCell ref="N38:O38"/>
    <mergeCell ref="P38:Q38"/>
    <mergeCell ref="R38:S38"/>
    <mergeCell ref="A48:A50"/>
    <mergeCell ref="B49:B50"/>
    <mergeCell ref="A51:A53"/>
    <mergeCell ref="B52:B53"/>
    <mergeCell ref="A54:A56"/>
    <mergeCell ref="B55:B56"/>
    <mergeCell ref="T38:U38"/>
    <mergeCell ref="V38:W38"/>
    <mergeCell ref="X38:Y38"/>
    <mergeCell ref="A38:B38"/>
    <mergeCell ref="D38:E38"/>
    <mergeCell ref="F38:G38"/>
    <mergeCell ref="A39:A41"/>
    <mergeCell ref="B40:B41"/>
    <mergeCell ref="A42:A44"/>
    <mergeCell ref="B43:B44"/>
    <mergeCell ref="A45:A47"/>
    <mergeCell ref="B46:B47"/>
    <mergeCell ref="A57:A60"/>
    <mergeCell ref="B57:B58"/>
    <mergeCell ref="B59:B60"/>
    <mergeCell ref="D95:E95"/>
    <mergeCell ref="F95:G95"/>
    <mergeCell ref="H95:I95"/>
    <mergeCell ref="A68:B68"/>
    <mergeCell ref="A69:B69"/>
    <mergeCell ref="A70:B70"/>
    <mergeCell ref="A91:A94"/>
    <mergeCell ref="B91:B92"/>
    <mergeCell ref="B93:B94"/>
    <mergeCell ref="A82:A84"/>
    <mergeCell ref="B83:B84"/>
    <mergeCell ref="A85:A87"/>
    <mergeCell ref="B86:B87"/>
    <mergeCell ref="A88:A90"/>
    <mergeCell ref="B89:B90"/>
    <mergeCell ref="H75:I75"/>
    <mergeCell ref="D61:E61"/>
    <mergeCell ref="A71:B71"/>
    <mergeCell ref="A72:B72"/>
    <mergeCell ref="R127:S127"/>
    <mergeCell ref="T127:U127"/>
    <mergeCell ref="V127:W127"/>
    <mergeCell ref="X127:Y127"/>
    <mergeCell ref="Z127:AA127"/>
    <mergeCell ref="A97:B97"/>
    <mergeCell ref="A98:B98"/>
    <mergeCell ref="A99:B99"/>
    <mergeCell ref="A100:B100"/>
    <mergeCell ref="A101:B101"/>
    <mergeCell ref="D127:E127"/>
    <mergeCell ref="F127:G127"/>
    <mergeCell ref="H127:I127"/>
    <mergeCell ref="J127:K127"/>
    <mergeCell ref="L127:M127"/>
    <mergeCell ref="N127:O127"/>
    <mergeCell ref="P127:Q127"/>
    <mergeCell ref="T107:U107"/>
    <mergeCell ref="V107:W107"/>
    <mergeCell ref="X107:Y107"/>
    <mergeCell ref="Z107:AA107"/>
    <mergeCell ref="AB97:AC97"/>
    <mergeCell ref="AD97:AE97"/>
    <mergeCell ref="A63:B63"/>
    <mergeCell ref="AB63:AC63"/>
    <mergeCell ref="AD63:AE63"/>
    <mergeCell ref="A64:B64"/>
    <mergeCell ref="A65:B65"/>
    <mergeCell ref="A66:B66"/>
    <mergeCell ref="A67:B67"/>
    <mergeCell ref="V95:W95"/>
    <mergeCell ref="X95:Y95"/>
    <mergeCell ref="Z95:AA95"/>
    <mergeCell ref="J95:K95"/>
    <mergeCell ref="L95:M95"/>
    <mergeCell ref="N95:O95"/>
    <mergeCell ref="P95:Q95"/>
    <mergeCell ref="R95:S95"/>
    <mergeCell ref="T95:U95"/>
    <mergeCell ref="T75:U75"/>
    <mergeCell ref="V75:W75"/>
    <mergeCell ref="X75:Y75"/>
    <mergeCell ref="Z75:AA75"/>
    <mergeCell ref="AB75:AC75"/>
    <mergeCell ref="AD75:AE75"/>
    <mergeCell ref="AB71:AC71"/>
    <mergeCell ref="AD71:AE71"/>
    <mergeCell ref="AB72:AC72"/>
    <mergeCell ref="AD72:AE72"/>
    <mergeCell ref="AB70:AC70"/>
    <mergeCell ref="AD64:AE64"/>
    <mergeCell ref="AD65:AE65"/>
    <mergeCell ref="AD66:AE66"/>
    <mergeCell ref="AD67:AE67"/>
    <mergeCell ref="AD68:AE68"/>
    <mergeCell ref="AD69:AE69"/>
    <mergeCell ref="AD70:AE70"/>
    <mergeCell ref="AB64:AC64"/>
    <mergeCell ref="AB65:AC65"/>
    <mergeCell ref="AB66:AC66"/>
    <mergeCell ref="AB67:AC67"/>
    <mergeCell ref="AB68:AC68"/>
    <mergeCell ref="AB69:AC69"/>
    <mergeCell ref="T2:U2"/>
    <mergeCell ref="V2:W2"/>
    <mergeCell ref="X2:Y2"/>
    <mergeCell ref="Z2:AA2"/>
    <mergeCell ref="AB2:AC2"/>
    <mergeCell ref="AD2:AE2"/>
    <mergeCell ref="A3:A5"/>
    <mergeCell ref="B4:B5"/>
    <mergeCell ref="A6:A8"/>
    <mergeCell ref="B7:B8"/>
    <mergeCell ref="A2:B2"/>
    <mergeCell ref="D2:E2"/>
    <mergeCell ref="F2:G2"/>
    <mergeCell ref="H2:I2"/>
    <mergeCell ref="J2:K2"/>
    <mergeCell ref="L2:M2"/>
    <mergeCell ref="N2:O2"/>
    <mergeCell ref="P2:Q2"/>
    <mergeCell ref="R2:S2"/>
    <mergeCell ref="AB30:AC30"/>
    <mergeCell ref="AD30:AE30"/>
    <mergeCell ref="AB31:AC31"/>
    <mergeCell ref="D25:E25"/>
    <mergeCell ref="A9:A11"/>
    <mergeCell ref="B10:B11"/>
    <mergeCell ref="A12:A14"/>
    <mergeCell ref="B13:B14"/>
    <mergeCell ref="A15:A17"/>
    <mergeCell ref="B16:B17"/>
    <mergeCell ref="A18:A20"/>
    <mergeCell ref="B19:B20"/>
    <mergeCell ref="A21:A24"/>
    <mergeCell ref="B21:B22"/>
    <mergeCell ref="B23:B24"/>
    <mergeCell ref="A26:B26"/>
    <mergeCell ref="AB26:AC26"/>
    <mergeCell ref="AD26:AE26"/>
    <mergeCell ref="AB27:AC27"/>
    <mergeCell ref="AD27:AE27"/>
    <mergeCell ref="AB28:AC28"/>
    <mergeCell ref="AD28:AE28"/>
    <mergeCell ref="AB29:AC29"/>
    <mergeCell ref="AD29:AE29"/>
    <mergeCell ref="AD31:AE31"/>
    <mergeCell ref="AB32:AC32"/>
    <mergeCell ref="AB35:AC35"/>
    <mergeCell ref="AD35:AE35"/>
    <mergeCell ref="AD32:AE32"/>
    <mergeCell ref="AB33:AC33"/>
    <mergeCell ref="AD33:AE33"/>
    <mergeCell ref="AB34:AC34"/>
    <mergeCell ref="AD34:AE34"/>
  </mergeCells>
  <conditionalFormatting sqref="D27:D35 F27:F35 H27:O35 D64:O72">
    <cfRule type="cellIs" dxfId="121" priority="40" operator="lessThan">
      <formula>34459.01607</formula>
    </cfRule>
  </conditionalFormatting>
  <conditionalFormatting sqref="D98:O104">
    <cfRule type="cellIs" dxfId="120" priority="56" operator="lessThan">
      <formula>34459.01607</formula>
    </cfRule>
  </conditionalFormatting>
  <conditionalFormatting sqref="E27:E35">
    <cfRule type="duplicateValues" dxfId="119" priority="2"/>
    <cfRule type="cellIs" dxfId="118" priority="1" operator="greaterThan">
      <formula>0.01</formula>
    </cfRule>
  </conditionalFormatting>
  <conditionalFormatting sqref="E98:E104 G98:G104 I98:I104 K98:K104">
    <cfRule type="cellIs" dxfId="117" priority="57" operator="between">
      <formula>-100</formula>
      <formula>-0.001</formula>
    </cfRule>
  </conditionalFormatting>
  <conditionalFormatting sqref="G27:G35">
    <cfRule type="cellIs" dxfId="116" priority="3" operator="greaterThan">
      <formula>0.01</formula>
    </cfRule>
    <cfRule type="duplicateValues" dxfId="115" priority="4"/>
  </conditionalFormatting>
  <conditionalFormatting sqref="I27:I35 K27:K35 M27:M35 O27:O35 E64:E72 G64:G72 I64:I72 K64:K72">
    <cfRule type="cellIs" dxfId="114" priority="41" operator="between">
      <formula>-100</formula>
      <formula>-0.001</formula>
    </cfRule>
  </conditionalFormatting>
  <conditionalFormatting sqref="M64:M72">
    <cfRule type="cellIs" dxfId="113" priority="39" operator="between">
      <formula>-100</formula>
      <formula>-0.001</formula>
    </cfRule>
  </conditionalFormatting>
  <conditionalFormatting sqref="M98:M104">
    <cfRule type="cellIs" dxfId="112" priority="55" operator="between">
      <formula>-100</formula>
      <formula>-0.001</formula>
    </cfRule>
  </conditionalFormatting>
  <conditionalFormatting sqref="O64:O72">
    <cfRule type="cellIs" dxfId="111" priority="38" operator="between">
      <formula>-100</formula>
      <formula>-0.001</formula>
    </cfRule>
  </conditionalFormatting>
  <conditionalFormatting sqref="O98:O104">
    <cfRule type="cellIs" dxfId="110" priority="54" operator="between">
      <formula>-100</formula>
      <formula>-0.001</formula>
    </cfRule>
  </conditionalFormatting>
  <conditionalFormatting sqref="Q27:Q35 S27:S35 U27:U35 W27:W35 Y27:Y35 AA27:AA35 Q64:Q72">
    <cfRule type="cellIs" dxfId="109" priority="36" operator="between">
      <formula>-100</formula>
      <formula>-0.001</formula>
    </cfRule>
    <cfRule type="cellIs" dxfId="108" priority="37" operator="lessThan">
      <formula>34459.01607</formula>
    </cfRule>
  </conditionalFormatting>
  <conditionalFormatting sqref="Q98:Q104">
    <cfRule type="cellIs" dxfId="107" priority="52" operator="between">
      <formula>-100</formula>
      <formula>-0.001</formula>
    </cfRule>
    <cfRule type="cellIs" dxfId="106" priority="53" operator="lessThan">
      <formula>34459.01607</formula>
    </cfRule>
  </conditionalFormatting>
  <conditionalFormatting sqref="S64:S72">
    <cfRule type="cellIs" dxfId="105" priority="24" operator="between">
      <formula>-100</formula>
      <formula>-0.001</formula>
    </cfRule>
    <cfRule type="cellIs" dxfId="104" priority="25" operator="lessThan">
      <formula>34459.01607</formula>
    </cfRule>
  </conditionalFormatting>
  <conditionalFormatting sqref="S98:S104">
    <cfRule type="cellIs" dxfId="103" priority="50" operator="between">
      <formula>-100</formula>
      <formula>-0.001</formula>
    </cfRule>
    <cfRule type="cellIs" dxfId="102" priority="51" operator="lessThan">
      <formula>34459.01607</formula>
    </cfRule>
  </conditionalFormatting>
  <conditionalFormatting sqref="U64:U72">
    <cfRule type="cellIs" dxfId="101" priority="32" operator="between">
      <formula>-100</formula>
      <formula>-0.001</formula>
    </cfRule>
    <cfRule type="cellIs" dxfId="100" priority="33" operator="lessThan">
      <formula>34459.01607</formula>
    </cfRule>
  </conditionalFormatting>
  <conditionalFormatting sqref="U98:U104">
    <cfRule type="cellIs" dxfId="99" priority="48" operator="between">
      <formula>-100</formula>
      <formula>-0.001</formula>
    </cfRule>
    <cfRule type="cellIs" dxfId="98" priority="49" operator="lessThan">
      <formula>34459.01607</formula>
    </cfRule>
  </conditionalFormatting>
  <conditionalFormatting sqref="W64:W72">
    <cfRule type="cellIs" dxfId="97" priority="30" operator="between">
      <formula>-100</formula>
      <formula>-0.001</formula>
    </cfRule>
    <cfRule type="cellIs" dxfId="96" priority="31" operator="lessThan">
      <formula>34459.01607</formula>
    </cfRule>
  </conditionalFormatting>
  <conditionalFormatting sqref="W98:W104">
    <cfRule type="cellIs" dxfId="95" priority="46" operator="between">
      <formula>-100</formula>
      <formula>-0.001</formula>
    </cfRule>
    <cfRule type="cellIs" dxfId="94" priority="47" operator="lessThan">
      <formula>34459.01607</formula>
    </cfRule>
  </conditionalFormatting>
  <conditionalFormatting sqref="Y64:Y72">
    <cfRule type="cellIs" dxfId="93" priority="28" operator="between">
      <formula>-100</formula>
      <formula>-0.001</formula>
    </cfRule>
    <cfRule type="cellIs" dxfId="92" priority="29" operator="lessThan">
      <formula>34459.01607</formula>
    </cfRule>
  </conditionalFormatting>
  <conditionalFormatting sqref="Y98:Y104">
    <cfRule type="cellIs" dxfId="91" priority="44" operator="between">
      <formula>-100</formula>
      <formula>-0.001</formula>
    </cfRule>
    <cfRule type="cellIs" dxfId="90" priority="45" operator="lessThan">
      <formula>34459.01607</formula>
    </cfRule>
  </conditionalFormatting>
  <conditionalFormatting sqref="AA64:AA72">
    <cfRule type="cellIs" dxfId="89" priority="26" operator="between">
      <formula>-100</formula>
      <formula>-0.001</formula>
    </cfRule>
    <cfRule type="cellIs" dxfId="88" priority="27" operator="lessThan">
      <formula>34459.01607</formula>
    </cfRule>
  </conditionalFormatting>
  <conditionalFormatting sqref="AA98:AA104">
    <cfRule type="cellIs" dxfId="87" priority="42" operator="between">
      <formula>-100</formula>
      <formula>-0.001</formula>
    </cfRule>
    <cfRule type="cellIs" dxfId="86" priority="43" operator="lessThan">
      <formula>34459.01607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DD9B-DD71-4592-BE86-2C257E6BCB62}">
  <sheetPr codeName="Sheet9"/>
  <dimension ref="A1:Z190"/>
  <sheetViews>
    <sheetView zoomScale="115" zoomScaleNormal="115" workbookViewId="0">
      <pane xSplit="2" ySplit="3" topLeftCell="E13" activePane="bottomRight" state="frozen"/>
      <selection pane="topRight" activeCell="C1" sqref="C1"/>
      <selection pane="bottomLeft" activeCell="A4" sqref="A4"/>
      <selection pane="bottomRight" activeCell="J14" sqref="J14"/>
    </sheetView>
  </sheetViews>
  <sheetFormatPr defaultRowHeight="12.75"/>
  <cols>
    <col min="1" max="1" width="25.85546875" style="281" customWidth="1"/>
    <col min="2" max="2" width="15.28515625" style="281" customWidth="1"/>
    <col min="3" max="3" width="19.85546875" style="281" bestFit="1" customWidth="1"/>
    <col min="4" max="4" width="11.28515625" style="281" customWidth="1"/>
    <col min="5" max="5" width="18.7109375" style="281" bestFit="1" customWidth="1"/>
    <col min="6" max="6" width="10.5703125" style="281" customWidth="1"/>
    <col min="7" max="7" width="19.85546875" style="281" bestFit="1" customWidth="1"/>
    <col min="8" max="8" width="9.28515625" style="281" bestFit="1" customWidth="1"/>
    <col min="9" max="9" width="16.85546875" style="281" customWidth="1"/>
    <col min="10" max="10" width="8.85546875" style="281" customWidth="1"/>
    <col min="11" max="11" width="16.85546875" style="281" customWidth="1"/>
    <col min="12" max="12" width="9" style="281" customWidth="1"/>
    <col min="13" max="13" width="16.85546875" style="281" customWidth="1"/>
    <col min="14" max="14" width="10.28515625" style="281" customWidth="1"/>
    <col min="15" max="15" width="16.85546875" style="281" customWidth="1"/>
    <col min="16" max="16" width="9.28515625" style="281" customWidth="1"/>
    <col min="17" max="17" width="16.85546875" style="281" customWidth="1"/>
    <col min="18" max="18" width="9.42578125" style="281" customWidth="1"/>
    <col min="19" max="19" width="16.85546875" style="281" customWidth="1"/>
    <col min="20" max="20" width="9.42578125" style="281" customWidth="1"/>
    <col min="21" max="21" width="16.85546875" style="281" customWidth="1"/>
    <col min="22" max="22" width="9.140625" style="281" customWidth="1"/>
    <col min="23" max="23" width="16.85546875" style="281" customWidth="1"/>
    <col min="24" max="24" width="9.28515625" style="281" customWidth="1"/>
    <col min="25" max="25" width="16.85546875" style="281" customWidth="1"/>
    <col min="26" max="26" width="9.7109375" style="281" customWidth="1"/>
    <col min="27" max="16384" width="9.140625" style="281"/>
  </cols>
  <sheetData>
    <row r="1" spans="1:26" ht="13.5" thickBot="1"/>
    <row r="2" spans="1:26" ht="18" customHeight="1" thickTop="1">
      <c r="A2" s="1562" t="s">
        <v>754</v>
      </c>
      <c r="B2" s="1563"/>
      <c r="C2" s="1555">
        <v>2025</v>
      </c>
      <c r="D2" s="1556"/>
      <c r="E2" s="1555">
        <v>2025</v>
      </c>
      <c r="F2" s="1556"/>
      <c r="G2" s="1555">
        <v>2025</v>
      </c>
      <c r="H2" s="1556"/>
      <c r="I2" s="1555">
        <v>2025</v>
      </c>
      <c r="J2" s="1556"/>
      <c r="K2" s="1555">
        <v>2025</v>
      </c>
      <c r="L2" s="1556"/>
      <c r="M2" s="1555">
        <v>2025</v>
      </c>
      <c r="N2" s="1556"/>
      <c r="O2" s="1555">
        <v>2025</v>
      </c>
      <c r="P2" s="1556"/>
      <c r="Q2" s="1555">
        <v>2025</v>
      </c>
      <c r="R2" s="1556"/>
      <c r="S2" s="1555">
        <v>2025</v>
      </c>
      <c r="T2" s="1556"/>
      <c r="U2" s="1555">
        <v>2025</v>
      </c>
      <c r="V2" s="1556"/>
      <c r="W2" s="1555">
        <v>2025</v>
      </c>
      <c r="X2" s="1556"/>
      <c r="Y2" s="1555">
        <v>2025</v>
      </c>
      <c r="Z2" s="1556"/>
    </row>
    <row r="3" spans="1:26" ht="18" customHeight="1" thickBot="1">
      <c r="A3" s="1554"/>
      <c r="B3" s="1564"/>
      <c r="C3" s="1076" t="s">
        <v>63</v>
      </c>
      <c r="D3" s="1077" t="str">
        <f>C3&amp;"/"&amp;Y24</f>
        <v>Jan/Dec</v>
      </c>
      <c r="E3" s="1076" t="s">
        <v>64</v>
      </c>
      <c r="F3" s="1077" t="str">
        <f>E3&amp;"/"&amp;C3</f>
        <v>Feb/Jan</v>
      </c>
      <c r="G3" s="1076" t="s">
        <v>65</v>
      </c>
      <c r="H3" s="1077" t="str">
        <f>G3&amp;"/"&amp;E3</f>
        <v>Mar/Feb</v>
      </c>
      <c r="I3" s="1076" t="s">
        <v>66</v>
      </c>
      <c r="J3" s="1077" t="str">
        <f>I3&amp;"/"&amp;G3</f>
        <v>Apr/Mar</v>
      </c>
      <c r="K3" s="1076" t="s">
        <v>67</v>
      </c>
      <c r="L3" s="1077" t="str">
        <f>K3&amp;"/"&amp;I3</f>
        <v>May/Apr</v>
      </c>
      <c r="M3" s="1076" t="s">
        <v>68</v>
      </c>
      <c r="N3" s="1077" t="str">
        <f>M3&amp;"/"&amp;K3</f>
        <v>Jun/May</v>
      </c>
      <c r="O3" s="1076" t="s">
        <v>184</v>
      </c>
      <c r="P3" s="1077" t="str">
        <f>O3&amp;"/"&amp;M3</f>
        <v>July/Jun</v>
      </c>
      <c r="Q3" s="1076" t="s">
        <v>70</v>
      </c>
      <c r="R3" s="1077" t="str">
        <f>Q3&amp;"/"&amp;O3</f>
        <v>Aug/July</v>
      </c>
      <c r="S3" s="1076" t="s">
        <v>71</v>
      </c>
      <c r="T3" s="1077" t="str">
        <f>S3&amp;"/"&amp;Q3</f>
        <v>Sep/Aug</v>
      </c>
      <c r="U3" s="625" t="s">
        <v>72</v>
      </c>
      <c r="V3" s="1077" t="str">
        <f>U3&amp;"/"&amp;S3</f>
        <v>Oct/Sep</v>
      </c>
      <c r="W3" s="1076" t="s">
        <v>73</v>
      </c>
      <c r="X3" s="1077" t="str">
        <f>W3&amp;"/"&amp;U3</f>
        <v>Nov/Oct</v>
      </c>
      <c r="Y3" s="1076" t="s">
        <v>74</v>
      </c>
      <c r="Z3" s="1078" t="str">
        <f>Y3&amp;"/"&amp;W3</f>
        <v>Dec/Nov</v>
      </c>
    </row>
    <row r="4" spans="1:26" ht="18" customHeight="1" thickTop="1">
      <c r="A4" s="1557" t="s">
        <v>81</v>
      </c>
      <c r="B4" s="1079" t="s">
        <v>82</v>
      </c>
      <c r="C4" s="1080">
        <v>22180528074</v>
      </c>
      <c r="D4" s="1081">
        <f>+C4/Y25-1</f>
        <v>0.38348702093553055</v>
      </c>
      <c r="E4" s="1080">
        <v>13163020117</v>
      </c>
      <c r="F4" s="1081">
        <f>+E4/C4-1</f>
        <v>-0.40655064329015311</v>
      </c>
      <c r="G4" s="1080">
        <v>14005910723</v>
      </c>
      <c r="H4" s="1081">
        <f>+G4/E4-1</f>
        <v>6.4034742673636735E-2</v>
      </c>
      <c r="I4" s="1080">
        <f>+'TOTAL(payment)'!F119</f>
        <v>14329763701</v>
      </c>
      <c r="J4" s="1081">
        <f>+I4/G4-1</f>
        <v>2.3122593339694797E-2</v>
      </c>
      <c r="K4" s="1080"/>
      <c r="L4" s="1081"/>
      <c r="M4" s="1080"/>
      <c r="N4" s="1081"/>
      <c r="O4" s="1080"/>
      <c r="P4" s="1081"/>
      <c r="Q4" s="1080"/>
      <c r="R4" s="1081"/>
      <c r="S4" s="1080"/>
      <c r="T4" s="1081"/>
      <c r="U4" s="1080"/>
      <c r="V4" s="1081"/>
      <c r="W4" s="1080"/>
      <c r="X4" s="1081"/>
      <c r="Y4" s="1232"/>
      <c r="Z4" s="1081"/>
    </row>
    <row r="5" spans="1:26" ht="18" customHeight="1">
      <c r="A5" s="1558"/>
      <c r="B5" s="1082" t="s">
        <v>83</v>
      </c>
      <c r="C5" s="1083">
        <f>+'Average .'!D21+3</f>
        <v>1244</v>
      </c>
      <c r="D5" s="1084">
        <f>+C5/Y26-1</f>
        <v>-4.6012269938650263E-2</v>
      </c>
      <c r="E5" s="1083">
        <v>1276</v>
      </c>
      <c r="F5" s="1084">
        <f t="shared" ref="F5:F21" si="0">+E5/C5-1</f>
        <v>2.5723472668810254E-2</v>
      </c>
      <c r="G5" s="1083">
        <v>1294</v>
      </c>
      <c r="H5" s="1084">
        <f t="shared" ref="H5:H21" si="1">+G5/E5-1</f>
        <v>1.4106583072100332E-2</v>
      </c>
      <c r="I5" s="1083">
        <f>+'TOTAL(payment)'!E119</f>
        <v>1289</v>
      </c>
      <c r="J5" s="1084">
        <f t="shared" ref="J5:J21" si="2">+I5/G5-1</f>
        <v>-3.8639876352395408E-3</v>
      </c>
      <c r="K5" s="1083"/>
      <c r="L5" s="1084"/>
      <c r="M5" s="1083"/>
      <c r="N5" s="1084"/>
      <c r="O5" s="1082"/>
      <c r="P5" s="1084"/>
      <c r="Q5" s="1082"/>
      <c r="R5" s="1084"/>
      <c r="S5" s="1083"/>
      <c r="T5" s="1084"/>
      <c r="U5" s="1083"/>
      <c r="V5" s="1084"/>
      <c r="W5" s="1083"/>
      <c r="X5" s="1084"/>
      <c r="Y5" s="1228"/>
      <c r="Z5" s="1084"/>
    </row>
    <row r="6" spans="1:26" ht="18" customHeight="1">
      <c r="A6" s="1559"/>
      <c r="B6" s="1085" t="s">
        <v>84</v>
      </c>
      <c r="C6" s="1086">
        <f>+C4/C5</f>
        <v>17830006.490353696</v>
      </c>
      <c r="D6" s="1087">
        <f>+C6/Y27-1</f>
        <v>0.45021469075557197</v>
      </c>
      <c r="E6" s="1086">
        <f>+E4/E5</f>
        <v>10315846.486677116</v>
      </c>
      <c r="F6" s="1087">
        <f t="shared" si="0"/>
        <v>-0.42143338577817424</v>
      </c>
      <c r="G6" s="1086">
        <f>+G4/G5</f>
        <v>10823733.170788253</v>
      </c>
      <c r="H6" s="1087">
        <f t="shared" si="1"/>
        <v>4.9233641152674368E-2</v>
      </c>
      <c r="I6" s="1086">
        <f>+I4/I5</f>
        <v>11116961.754072925</v>
      </c>
      <c r="J6" s="1087">
        <f t="shared" si="2"/>
        <v>2.7091261273518352E-2</v>
      </c>
      <c r="K6" s="1086"/>
      <c r="L6" s="1087"/>
      <c r="M6" s="1086"/>
      <c r="N6" s="1087"/>
      <c r="O6" s="1086"/>
      <c r="P6" s="1087"/>
      <c r="Q6" s="1086"/>
      <c r="R6" s="1087"/>
      <c r="S6" s="1086"/>
      <c r="T6" s="1087"/>
      <c r="U6" s="1086"/>
      <c r="V6" s="1087"/>
      <c r="W6" s="1086"/>
      <c r="X6" s="1087"/>
      <c r="Y6" s="1226"/>
      <c r="Z6" s="1087"/>
    </row>
    <row r="7" spans="1:26" ht="18" customHeight="1">
      <c r="A7" s="1560" t="s">
        <v>77</v>
      </c>
      <c r="B7" s="1088" t="s">
        <v>82</v>
      </c>
      <c r="C7" s="1089">
        <f>C4-C10-C13-C16</f>
        <v>18256418617</v>
      </c>
      <c r="D7" s="1090">
        <f t="shared" ref="D7:D21" si="3">C7/Y28-1</f>
        <v>0.30423714207400665</v>
      </c>
      <c r="E7" s="1089">
        <f>E4-E10-E13-E16</f>
        <v>11093646500</v>
      </c>
      <c r="F7" s="1090">
        <f t="shared" si="0"/>
        <v>-0.3923426750485538</v>
      </c>
      <c r="G7" s="1089">
        <f>G4-G10-G13-G16</f>
        <v>11979879372</v>
      </c>
      <c r="H7" s="1090">
        <f t="shared" si="1"/>
        <v>7.9886525318793922E-2</v>
      </c>
      <c r="I7" s="1089">
        <f>I4-I10-I13-I16</f>
        <v>12255903669</v>
      </c>
      <c r="J7" s="1090">
        <f t="shared" si="2"/>
        <v>2.3040657458132552E-2</v>
      </c>
      <c r="K7" s="1089"/>
      <c r="L7" s="1090"/>
      <c r="M7" s="1089"/>
      <c r="N7" s="1090"/>
      <c r="O7" s="1089"/>
      <c r="P7" s="1090"/>
      <c r="Q7" s="1089"/>
      <c r="R7" s="1090"/>
      <c r="S7" s="1089"/>
      <c r="T7" s="1090"/>
      <c r="U7" s="1089"/>
      <c r="V7" s="1090"/>
      <c r="W7" s="1089"/>
      <c r="X7" s="1090"/>
      <c r="Y7" s="1227"/>
      <c r="Z7" s="1090"/>
    </row>
    <row r="8" spans="1:26" ht="18" customHeight="1">
      <c r="A8" s="1558"/>
      <c r="B8" s="1082" t="s">
        <v>83</v>
      </c>
      <c r="C8" s="1083">
        <f>+'Average .'!D12</f>
        <v>1173</v>
      </c>
      <c r="D8" s="1084">
        <f t="shared" si="3"/>
        <v>-9.8385857033051471E-2</v>
      </c>
      <c r="E8" s="1083">
        <f>+'Average .'!F12</f>
        <v>1205</v>
      </c>
      <c r="F8" s="1084">
        <f t="shared" si="0"/>
        <v>2.7280477408354598E-2</v>
      </c>
      <c r="G8" s="1083">
        <f>+'Average .'!H12</f>
        <v>1222</v>
      </c>
      <c r="H8" s="1084">
        <f t="shared" si="1"/>
        <v>1.4107883817427336E-2</v>
      </c>
      <c r="I8" s="1083">
        <f>+'Average .'!J12</f>
        <v>1217</v>
      </c>
      <c r="J8" s="1084">
        <f t="shared" si="2"/>
        <v>-4.0916530278232166E-3</v>
      </c>
      <c r="K8" s="1083"/>
      <c r="L8" s="1084"/>
      <c r="M8" s="1083"/>
      <c r="N8" s="1084"/>
      <c r="O8" s="1082"/>
      <c r="P8" s="1084"/>
      <c r="Q8" s="1082"/>
      <c r="R8" s="1084"/>
      <c r="S8" s="1083"/>
      <c r="T8" s="1084"/>
      <c r="U8" s="1083"/>
      <c r="V8" s="1084"/>
      <c r="W8" s="1083"/>
      <c r="X8" s="1084"/>
      <c r="Y8" s="1228"/>
      <c r="Z8" s="1084"/>
    </row>
    <row r="9" spans="1:26" ht="18" customHeight="1">
      <c r="A9" s="1559"/>
      <c r="B9" s="1085" t="s">
        <v>84</v>
      </c>
      <c r="C9" s="1086">
        <f>+C7/C8</f>
        <v>15563869.238704177</v>
      </c>
      <c r="D9" s="1087">
        <f t="shared" si="3"/>
        <v>0.44655798963195426</v>
      </c>
      <c r="E9" s="1086">
        <f>+E7/E8</f>
        <v>9206345.6431535278</v>
      </c>
      <c r="F9" s="1087">
        <f t="shared" si="0"/>
        <v>-0.40847963305556312</v>
      </c>
      <c r="G9" s="1086">
        <f>+G7/G8</f>
        <v>9803501.9410801958</v>
      </c>
      <c r="H9" s="1087">
        <f t="shared" si="1"/>
        <v>6.4863554017304814E-2</v>
      </c>
      <c r="I9" s="1086">
        <f>+I7/I8</f>
        <v>10070586.416598191</v>
      </c>
      <c r="J9" s="1087">
        <f t="shared" si="2"/>
        <v>2.7243782591485521E-2</v>
      </c>
      <c r="K9" s="1086"/>
      <c r="L9" s="1087"/>
      <c r="M9" s="1086"/>
      <c r="N9" s="1087"/>
      <c r="O9" s="1086"/>
      <c r="P9" s="1087"/>
      <c r="Q9" s="1086"/>
      <c r="R9" s="1087"/>
      <c r="S9" s="1086"/>
      <c r="T9" s="1087"/>
      <c r="U9" s="1086"/>
      <c r="V9" s="1087"/>
      <c r="W9" s="1086"/>
      <c r="X9" s="1087"/>
      <c r="Y9" s="1226"/>
      <c r="Z9" s="1087"/>
    </row>
    <row r="10" spans="1:26" ht="18" customHeight="1">
      <c r="A10" s="1561" t="s">
        <v>1</v>
      </c>
      <c r="B10" s="1088" t="s">
        <v>82</v>
      </c>
      <c r="C10" s="1089">
        <f>+'Average .'!E15</f>
        <v>1180632392</v>
      </c>
      <c r="D10" s="1090">
        <f t="shared" si="3"/>
        <v>0.73694314414881124</v>
      </c>
      <c r="E10" s="1089">
        <f>+'Average .'!G15</f>
        <v>621832594</v>
      </c>
      <c r="F10" s="1090">
        <f t="shared" si="0"/>
        <v>-0.47330549439981828</v>
      </c>
      <c r="G10" s="1089">
        <f>+'Average .'!I15</f>
        <v>613137490</v>
      </c>
      <c r="H10" s="1090">
        <f t="shared" si="1"/>
        <v>-1.3983030294484666E-2</v>
      </c>
      <c r="I10" s="1089">
        <f>+'Average .'!K15</f>
        <v>613650690</v>
      </c>
      <c r="J10" s="1090">
        <f t="shared" si="2"/>
        <v>8.3700639476469441E-4</v>
      </c>
      <c r="K10" s="1089"/>
      <c r="L10" s="1090"/>
      <c r="M10" s="1089"/>
      <c r="N10" s="1090"/>
      <c r="O10" s="1089"/>
      <c r="P10" s="1090"/>
      <c r="Q10" s="1089"/>
      <c r="R10" s="1090"/>
      <c r="S10" s="1089"/>
      <c r="T10" s="1090"/>
      <c r="U10" s="1089"/>
      <c r="V10" s="1090"/>
      <c r="W10" s="1089"/>
      <c r="X10" s="1090"/>
      <c r="Y10" s="1227"/>
      <c r="Z10" s="1090"/>
    </row>
    <row r="11" spans="1:26" ht="18" customHeight="1">
      <c r="A11" s="1558"/>
      <c r="B11" s="1082" t="s">
        <v>83</v>
      </c>
      <c r="C11" s="1083">
        <f>+'Average .'!D15</f>
        <v>41</v>
      </c>
      <c r="D11" s="1084">
        <f t="shared" si="3"/>
        <v>0</v>
      </c>
      <c r="E11" s="1083">
        <f>+'Average .'!F15</f>
        <v>41</v>
      </c>
      <c r="F11" s="1084">
        <f t="shared" si="0"/>
        <v>0</v>
      </c>
      <c r="G11" s="1083">
        <f>+'Average .'!H15</f>
        <v>42</v>
      </c>
      <c r="H11" s="1084">
        <f t="shared" si="1"/>
        <v>2.4390243902439046E-2</v>
      </c>
      <c r="I11" s="1083">
        <f>+'Average .'!J15</f>
        <v>42</v>
      </c>
      <c r="J11" s="1084">
        <f t="shared" si="2"/>
        <v>0</v>
      </c>
      <c r="K11" s="1083"/>
      <c r="L11" s="1084"/>
      <c r="M11" s="1083"/>
      <c r="N11" s="1084"/>
      <c r="O11" s="1083"/>
      <c r="P11" s="1084"/>
      <c r="Q11" s="1083"/>
      <c r="R11" s="1084"/>
      <c r="S11" s="1083"/>
      <c r="T11" s="1084"/>
      <c r="U11" s="1083"/>
      <c r="V11" s="1084"/>
      <c r="W11" s="1083"/>
      <c r="X11" s="1084"/>
      <c r="Y11" s="1228"/>
      <c r="Z11" s="1084"/>
    </row>
    <row r="12" spans="1:26" ht="18" customHeight="1">
      <c r="A12" s="1559"/>
      <c r="B12" s="1085" t="s">
        <v>84</v>
      </c>
      <c r="C12" s="1086">
        <f>+C10/C11</f>
        <v>28795912</v>
      </c>
      <c r="D12" s="1087">
        <f t="shared" si="3"/>
        <v>0.73694314414881124</v>
      </c>
      <c r="E12" s="1086">
        <f>+E10/E11</f>
        <v>15166648.634146342</v>
      </c>
      <c r="F12" s="1087">
        <f t="shared" si="0"/>
        <v>-0.47330549439981817</v>
      </c>
      <c r="G12" s="1086">
        <f>+G10/G11</f>
        <v>14598511.666666666</v>
      </c>
      <c r="H12" s="1087">
        <f t="shared" si="1"/>
        <v>-3.7459624811282732E-2</v>
      </c>
      <c r="I12" s="1086">
        <f>+I10/I11</f>
        <v>14610730.714285715</v>
      </c>
      <c r="J12" s="1087">
        <f t="shared" si="2"/>
        <v>8.3700639476469441E-4</v>
      </c>
      <c r="K12" s="1086"/>
      <c r="L12" s="1087"/>
      <c r="M12" s="1086"/>
      <c r="N12" s="1087"/>
      <c r="O12" s="1086"/>
      <c r="P12" s="1087"/>
      <c r="Q12" s="1086"/>
      <c r="R12" s="1087"/>
      <c r="S12" s="1086"/>
      <c r="T12" s="1087"/>
      <c r="U12" s="1086"/>
      <c r="V12" s="1087"/>
      <c r="W12" s="1086"/>
      <c r="X12" s="1087"/>
      <c r="Y12" s="1226"/>
      <c r="Z12" s="1087"/>
    </row>
    <row r="13" spans="1:26" ht="18" customHeight="1">
      <c r="A13" s="1560" t="s">
        <v>78</v>
      </c>
      <c r="B13" s="1088" t="s">
        <v>82</v>
      </c>
      <c r="C13" s="1089">
        <f>+'Average .'!E18</f>
        <v>1457480963</v>
      </c>
      <c r="D13" s="1090">
        <f t="shared" si="3"/>
        <v>0.88442226981067251</v>
      </c>
      <c r="E13" s="1089">
        <f>+'Average .'!G18</f>
        <v>765859284</v>
      </c>
      <c r="F13" s="1090">
        <f t="shared" si="0"/>
        <v>-0.47453222138586515</v>
      </c>
      <c r="G13" s="1089">
        <f>+'Average .'!I18</f>
        <v>743406762</v>
      </c>
      <c r="H13" s="1090">
        <f t="shared" si="1"/>
        <v>-2.9316771982880296E-2</v>
      </c>
      <c r="I13" s="1089">
        <f>+'Average .'!K18</f>
        <v>773244725</v>
      </c>
      <c r="J13" s="1090">
        <f t="shared" si="2"/>
        <v>4.0136792567942781E-2</v>
      </c>
      <c r="K13" s="1089"/>
      <c r="L13" s="1090"/>
      <c r="M13" s="1089"/>
      <c r="N13" s="1090"/>
      <c r="O13" s="1089"/>
      <c r="P13" s="1090"/>
      <c r="Q13" s="1089"/>
      <c r="R13" s="1090"/>
      <c r="S13" s="1089"/>
      <c r="T13" s="1090"/>
      <c r="U13" s="1089"/>
      <c r="V13" s="1090"/>
      <c r="W13" s="1089"/>
      <c r="X13" s="1090"/>
      <c r="Y13" s="1227"/>
      <c r="Z13" s="1090"/>
    </row>
    <row r="14" spans="1:26" ht="18" customHeight="1">
      <c r="A14" s="1558"/>
      <c r="B14" s="1082" t="s">
        <v>83</v>
      </c>
      <c r="C14" s="1083">
        <f>+'Average .'!D18</f>
        <v>27</v>
      </c>
      <c r="D14" s="1084">
        <f t="shared" si="3"/>
        <v>8.0000000000000071E-2</v>
      </c>
      <c r="E14" s="1083">
        <f>+'Average .'!F18</f>
        <v>27</v>
      </c>
      <c r="F14" s="1084">
        <f t="shared" si="0"/>
        <v>0</v>
      </c>
      <c r="G14" s="1083">
        <f>+'Average .'!H18</f>
        <v>27</v>
      </c>
      <c r="H14" s="1084">
        <f t="shared" si="1"/>
        <v>0</v>
      </c>
      <c r="I14" s="1083">
        <f>+'Average .'!J18</f>
        <v>27</v>
      </c>
      <c r="J14" s="1084">
        <f t="shared" si="2"/>
        <v>0</v>
      </c>
      <c r="K14" s="1083"/>
      <c r="L14" s="1084"/>
      <c r="M14" s="1083"/>
      <c r="N14" s="1084"/>
      <c r="O14" s="1082"/>
      <c r="P14" s="1084"/>
      <c r="Q14" s="1083"/>
      <c r="R14" s="1084"/>
      <c r="S14" s="1083"/>
      <c r="T14" s="1084"/>
      <c r="U14" s="1083"/>
      <c r="V14" s="1084"/>
      <c r="W14" s="1083"/>
      <c r="X14" s="1084"/>
      <c r="Y14" s="1228"/>
      <c r="Z14" s="1084"/>
    </row>
    <row r="15" spans="1:26" ht="18" customHeight="1">
      <c r="A15" s="1559"/>
      <c r="B15" s="1085" t="s">
        <v>84</v>
      </c>
      <c r="C15" s="1086">
        <f>+C13/C14</f>
        <v>53980776.40740741</v>
      </c>
      <c r="D15" s="1087">
        <f t="shared" si="3"/>
        <v>0.74483543500988203</v>
      </c>
      <c r="E15" s="1086">
        <f>+E13/E14</f>
        <v>28365158.666666668</v>
      </c>
      <c r="F15" s="1087">
        <f t="shared" si="0"/>
        <v>-0.47453222138586515</v>
      </c>
      <c r="G15" s="1086">
        <f>+G13/G14</f>
        <v>27533583.777777776</v>
      </c>
      <c r="H15" s="1087">
        <f t="shared" si="1"/>
        <v>-2.9316771982880407E-2</v>
      </c>
      <c r="I15" s="1086">
        <f>+I13/I14</f>
        <v>28638693.518518519</v>
      </c>
      <c r="J15" s="1087">
        <f t="shared" si="2"/>
        <v>4.0136792567942781E-2</v>
      </c>
      <c r="K15" s="1086"/>
      <c r="L15" s="1087"/>
      <c r="M15" s="1086"/>
      <c r="N15" s="1087"/>
      <c r="O15" s="1086"/>
      <c r="P15" s="1087"/>
      <c r="Q15" s="1086"/>
      <c r="R15" s="1087"/>
      <c r="S15" s="1086"/>
      <c r="T15" s="1087"/>
      <c r="U15" s="1086"/>
      <c r="V15" s="1087"/>
      <c r="W15" s="1086"/>
      <c r="X15" s="1087"/>
      <c r="Y15" s="1226"/>
      <c r="Z15" s="1087"/>
    </row>
    <row r="16" spans="1:26" ht="18" customHeight="1">
      <c r="A16" s="1560" t="s">
        <v>5</v>
      </c>
      <c r="B16" s="1088" t="s">
        <v>82</v>
      </c>
      <c r="C16" s="1089">
        <v>1285996102</v>
      </c>
      <c r="D16" s="1090">
        <f t="shared" si="3"/>
        <v>1.2118763157876766</v>
      </c>
      <c r="E16" s="1089">
        <v>681681739</v>
      </c>
      <c r="F16" s="1090">
        <f t="shared" si="0"/>
        <v>-0.46991928051738374</v>
      </c>
      <c r="G16" s="1089">
        <v>669487099</v>
      </c>
      <c r="H16" s="1090">
        <f t="shared" si="1"/>
        <v>-1.7889051887892804E-2</v>
      </c>
      <c r="I16" s="1089">
        <f>+'Foreign Salary'!L11</f>
        <v>686964617</v>
      </c>
      <c r="J16" s="1090">
        <f t="shared" si="2"/>
        <v>2.6105832399318629E-2</v>
      </c>
      <c r="K16" s="1089"/>
      <c r="L16" s="1090"/>
      <c r="M16" s="1089"/>
      <c r="N16" s="1090"/>
      <c r="O16" s="1091"/>
      <c r="P16" s="1090"/>
      <c r="Q16" s="1089"/>
      <c r="R16" s="1090"/>
      <c r="S16" s="1089"/>
      <c r="T16" s="1090"/>
      <c r="U16" s="1089"/>
      <c r="V16" s="1090"/>
      <c r="W16" s="1089"/>
      <c r="X16" s="1090"/>
      <c r="Y16" s="1227"/>
      <c r="Z16" s="1090"/>
    </row>
    <row r="17" spans="1:26" ht="18" customHeight="1">
      <c r="A17" s="1558"/>
      <c r="B17" s="1082" t="s">
        <v>83</v>
      </c>
      <c r="C17" s="1083">
        <v>3</v>
      </c>
      <c r="D17" s="1084">
        <f t="shared" si="3"/>
        <v>0</v>
      </c>
      <c r="E17" s="1083">
        <v>3</v>
      </c>
      <c r="F17" s="1084">
        <f t="shared" si="0"/>
        <v>0</v>
      </c>
      <c r="G17" s="1083">
        <v>3</v>
      </c>
      <c r="H17" s="1084">
        <f t="shared" si="1"/>
        <v>0</v>
      </c>
      <c r="I17" s="1083">
        <v>3</v>
      </c>
      <c r="J17" s="1084">
        <f t="shared" si="2"/>
        <v>0</v>
      </c>
      <c r="K17" s="1083"/>
      <c r="L17" s="1084"/>
      <c r="M17" s="1083"/>
      <c r="N17" s="1084"/>
      <c r="O17" s="1082"/>
      <c r="P17" s="1084"/>
      <c r="Q17" s="1083"/>
      <c r="R17" s="1084"/>
      <c r="S17" s="1083"/>
      <c r="T17" s="1084"/>
      <c r="U17" s="1083"/>
      <c r="V17" s="1084"/>
      <c r="W17" s="1083"/>
      <c r="X17" s="1084"/>
      <c r="Y17" s="1228"/>
      <c r="Z17" s="1084"/>
    </row>
    <row r="18" spans="1:26" ht="18" customHeight="1">
      <c r="A18" s="1559"/>
      <c r="B18" s="1085" t="s">
        <v>84</v>
      </c>
      <c r="C18" s="1086">
        <f>+C16/C17</f>
        <v>428665367.33333331</v>
      </c>
      <c r="D18" s="1087">
        <f t="shared" si="3"/>
        <v>1.2118763157876766</v>
      </c>
      <c r="E18" s="1086">
        <f>+E16/E17</f>
        <v>227227246.33333334</v>
      </c>
      <c r="F18" s="1087">
        <f t="shared" si="0"/>
        <v>-0.46991928051738363</v>
      </c>
      <c r="G18" s="1086">
        <f>+G16/G17</f>
        <v>223162366.33333334</v>
      </c>
      <c r="H18" s="1087">
        <f t="shared" si="1"/>
        <v>-1.7889051887892804E-2</v>
      </c>
      <c r="I18" s="1086">
        <f>+I16/I17</f>
        <v>228988205.66666666</v>
      </c>
      <c r="J18" s="1087">
        <f t="shared" si="2"/>
        <v>2.6105832399318407E-2</v>
      </c>
      <c r="K18" s="1086"/>
      <c r="L18" s="1087"/>
      <c r="M18" s="1086"/>
      <c r="N18" s="1087"/>
      <c r="O18" s="1086"/>
      <c r="P18" s="1087"/>
      <c r="Q18" s="1086"/>
      <c r="R18" s="1087"/>
      <c r="S18" s="1086"/>
      <c r="T18" s="1087"/>
      <c r="U18" s="1086"/>
      <c r="V18" s="1087"/>
      <c r="W18" s="1086"/>
      <c r="X18" s="1087"/>
      <c r="Y18" s="1226"/>
      <c r="Z18" s="1087"/>
    </row>
    <row r="19" spans="1:26" ht="18" customHeight="1">
      <c r="A19" s="1552" t="s">
        <v>85</v>
      </c>
      <c r="B19" s="1092" t="s">
        <v>82</v>
      </c>
      <c r="C19" s="1093">
        <f>+C4-C16</f>
        <v>20894531972</v>
      </c>
      <c r="D19" s="1094">
        <f t="shared" si="3"/>
        <v>0.35231545250423779</v>
      </c>
      <c r="E19" s="1093">
        <f>+E4-E16</f>
        <v>12481338378</v>
      </c>
      <c r="F19" s="1094">
        <f t="shared" si="0"/>
        <v>-0.40265049273533449</v>
      </c>
      <c r="G19" s="1093">
        <f>+G4-G16</f>
        <v>13336423624</v>
      </c>
      <c r="H19" s="1094">
        <f t="shared" si="1"/>
        <v>6.850909895265711E-2</v>
      </c>
      <c r="I19" s="1093">
        <f>+I4-I16</f>
        <v>13642799084</v>
      </c>
      <c r="J19" s="1094">
        <f t="shared" si="2"/>
        <v>2.2972835044670514E-2</v>
      </c>
      <c r="K19" s="1093"/>
      <c r="L19" s="1094"/>
      <c r="M19" s="1093"/>
      <c r="N19" s="1094"/>
      <c r="O19" s="1093"/>
      <c r="P19" s="1094"/>
      <c r="Q19" s="1093"/>
      <c r="R19" s="1094"/>
      <c r="S19" s="1093"/>
      <c r="T19" s="1094"/>
      <c r="U19" s="1093"/>
      <c r="V19" s="1094"/>
      <c r="W19" s="1093"/>
      <c r="X19" s="1094"/>
      <c r="Y19" s="1229"/>
      <c r="Z19" s="1094"/>
    </row>
    <row r="20" spans="1:26" ht="18" customHeight="1">
      <c r="A20" s="1553"/>
      <c r="B20" s="1095" t="s">
        <v>83</v>
      </c>
      <c r="C20" s="1096">
        <f>+C5-C17</f>
        <v>1241</v>
      </c>
      <c r="D20" s="1097">
        <f t="shared" si="3"/>
        <v>-4.6118370484242943E-2</v>
      </c>
      <c r="E20" s="1096">
        <f>+E5-E17</f>
        <v>1273</v>
      </c>
      <c r="F20" s="1097">
        <f t="shared" si="0"/>
        <v>2.5785656728444906E-2</v>
      </c>
      <c r="G20" s="1096">
        <f>+G5-G17</f>
        <v>1291</v>
      </c>
      <c r="H20" s="1097">
        <f t="shared" si="1"/>
        <v>1.4139827179890041E-2</v>
      </c>
      <c r="I20" s="1096">
        <f>+I5-I17</f>
        <v>1286</v>
      </c>
      <c r="J20" s="1097">
        <f t="shared" si="2"/>
        <v>-3.8729666924864903E-3</v>
      </c>
      <c r="K20" s="1096"/>
      <c r="L20" s="1097"/>
      <c r="M20" s="1096"/>
      <c r="N20" s="1097"/>
      <c r="O20" s="1096"/>
      <c r="P20" s="1097"/>
      <c r="Q20" s="1096"/>
      <c r="R20" s="1097"/>
      <c r="S20" s="1096"/>
      <c r="T20" s="1097"/>
      <c r="U20" s="1096"/>
      <c r="V20" s="1097"/>
      <c r="W20" s="1096"/>
      <c r="X20" s="1097"/>
      <c r="Y20" s="1230"/>
      <c r="Z20" s="1097"/>
    </row>
    <row r="21" spans="1:26" ht="18" customHeight="1" thickBot="1">
      <c r="A21" s="1554"/>
      <c r="B21" s="1098" t="s">
        <v>84</v>
      </c>
      <c r="C21" s="1099">
        <f>+C19/C20</f>
        <v>16836850.90410959</v>
      </c>
      <c r="D21" s="1100">
        <f t="shared" si="3"/>
        <v>0.41769734384207347</v>
      </c>
      <c r="E21" s="1099">
        <f>+E19/E20</f>
        <v>9804664.8688138258</v>
      </c>
      <c r="F21" s="1100">
        <f t="shared" si="0"/>
        <v>-0.41766634837749417</v>
      </c>
      <c r="G21" s="1099">
        <f>+G19/G20</f>
        <v>10330304.898528272</v>
      </c>
      <c r="H21" s="1100">
        <f t="shared" si="1"/>
        <v>5.3611218409552741E-2</v>
      </c>
      <c r="I21" s="1099">
        <f>+I19/I20</f>
        <v>10608708.463452566</v>
      </c>
      <c r="J21" s="1100">
        <f t="shared" si="2"/>
        <v>2.6950178882324982E-2</v>
      </c>
      <c r="K21" s="1099"/>
      <c r="L21" s="1100"/>
      <c r="M21" s="1099"/>
      <c r="N21" s="1100"/>
      <c r="O21" s="1099"/>
      <c r="P21" s="1100"/>
      <c r="Q21" s="1099"/>
      <c r="R21" s="1100"/>
      <c r="S21" s="1099"/>
      <c r="T21" s="1100"/>
      <c r="U21" s="1099"/>
      <c r="V21" s="1100"/>
      <c r="W21" s="1099"/>
      <c r="X21" s="1100"/>
      <c r="Y21" s="1231"/>
      <c r="Z21" s="1100"/>
    </row>
    <row r="22" spans="1:26" ht="12.75" customHeight="1" thickTop="1" thickBot="1">
      <c r="C22" s="1101">
        <f>+C21-'Average .'!E23</f>
        <v>0</v>
      </c>
      <c r="E22" s="1101">
        <f>+E21-'Average .'!G23</f>
        <v>0</v>
      </c>
      <c r="G22" s="1101">
        <f>+G21-'Average .'!I23</f>
        <v>0</v>
      </c>
      <c r="I22" s="1101">
        <f>+I21-'Average .'!K23</f>
        <v>0</v>
      </c>
      <c r="K22" s="1101"/>
      <c r="M22" s="1101"/>
      <c r="O22" s="1101"/>
      <c r="Q22" s="1101"/>
      <c r="S22" s="1101"/>
      <c r="U22" s="1101"/>
      <c r="W22" s="1101"/>
      <c r="Y22" s="1101"/>
    </row>
    <row r="23" spans="1:26" ht="18" customHeight="1" thickTop="1">
      <c r="A23" s="1573" t="s">
        <v>646</v>
      </c>
      <c r="B23" s="1574"/>
      <c r="C23" s="1600">
        <v>2024</v>
      </c>
      <c r="D23" s="1601"/>
      <c r="E23" s="1600">
        <v>2024</v>
      </c>
      <c r="F23" s="1601"/>
      <c r="G23" s="1600">
        <v>2024</v>
      </c>
      <c r="H23" s="1601"/>
      <c r="I23" s="1600">
        <v>2024</v>
      </c>
      <c r="J23" s="1601"/>
      <c r="K23" s="1600">
        <v>2024</v>
      </c>
      <c r="L23" s="1601"/>
      <c r="M23" s="1600">
        <v>2024</v>
      </c>
      <c r="N23" s="1601"/>
      <c r="O23" s="1600">
        <v>2024</v>
      </c>
      <c r="P23" s="1601"/>
      <c r="Q23" s="1600">
        <v>2024</v>
      </c>
      <c r="R23" s="1601"/>
      <c r="S23" s="1600">
        <v>2024</v>
      </c>
      <c r="T23" s="1601"/>
      <c r="U23" s="1600">
        <v>2024</v>
      </c>
      <c r="V23" s="1601"/>
      <c r="W23" s="1600">
        <v>2024</v>
      </c>
      <c r="X23" s="1601"/>
      <c r="Y23" s="1600">
        <v>2024</v>
      </c>
      <c r="Z23" s="1602"/>
    </row>
    <row r="24" spans="1:26" ht="18" customHeight="1" thickBot="1">
      <c r="A24" s="1575"/>
      <c r="B24" s="1576"/>
      <c r="C24" s="1279" t="s">
        <v>63</v>
      </c>
      <c r="D24" s="1280" t="str">
        <f>C24&amp;"/"&amp;Y45</f>
        <v>Jan/Dec</v>
      </c>
      <c r="E24" s="1279" t="s">
        <v>64</v>
      </c>
      <c r="F24" s="1280" t="str">
        <f>E24&amp;"/"&amp;C24</f>
        <v>Feb/Jan</v>
      </c>
      <c r="G24" s="1279" t="s">
        <v>65</v>
      </c>
      <c r="H24" s="1280" t="str">
        <f>G24&amp;"/"&amp;E24</f>
        <v>Mar/Feb</v>
      </c>
      <c r="I24" s="1279" t="s">
        <v>66</v>
      </c>
      <c r="J24" s="1280" t="str">
        <f>I24&amp;"/"&amp;G24</f>
        <v>Apr/Mar</v>
      </c>
      <c r="K24" s="1279" t="s">
        <v>67</v>
      </c>
      <c r="L24" s="1280" t="str">
        <f>K24&amp;"/"&amp;I24</f>
        <v>May/Apr</v>
      </c>
      <c r="M24" s="1279" t="s">
        <v>68</v>
      </c>
      <c r="N24" s="1280" t="str">
        <f>M24&amp;"/"&amp;K24</f>
        <v>Jun/May</v>
      </c>
      <c r="O24" s="1279" t="s">
        <v>184</v>
      </c>
      <c r="P24" s="1280" t="str">
        <f>O24&amp;"/"&amp;M24</f>
        <v>July/Jun</v>
      </c>
      <c r="Q24" s="1279" t="s">
        <v>70</v>
      </c>
      <c r="R24" s="1280" t="str">
        <f>Q24&amp;"/"&amp;O24</f>
        <v>Aug/July</v>
      </c>
      <c r="S24" s="1279" t="s">
        <v>71</v>
      </c>
      <c r="T24" s="1280" t="str">
        <f>S24&amp;"/"&amp;Q24</f>
        <v>Sep/Aug</v>
      </c>
      <c r="U24" s="1281" t="s">
        <v>72</v>
      </c>
      <c r="V24" s="1280" t="str">
        <f>U24&amp;"/"&amp;S24</f>
        <v>Oct/Sep</v>
      </c>
      <c r="W24" s="1279" t="s">
        <v>73</v>
      </c>
      <c r="X24" s="1280" t="str">
        <f>W24&amp;"/"&amp;U24</f>
        <v>Nov/Oct</v>
      </c>
      <c r="Y24" s="1279" t="s">
        <v>74</v>
      </c>
      <c r="Z24" s="1282" t="str">
        <f>Y24&amp;"/"&amp;W24</f>
        <v>Dec/Nov</v>
      </c>
    </row>
    <row r="25" spans="1:26" ht="18" customHeight="1" thickTop="1">
      <c r="A25" s="1557" t="s">
        <v>81</v>
      </c>
      <c r="B25" s="1079" t="s">
        <v>82</v>
      </c>
      <c r="C25" s="1080">
        <v>20072984542</v>
      </c>
      <c r="D25" s="1081">
        <f>+C25/Y46-1</f>
        <v>0.52386069838759952</v>
      </c>
      <c r="E25" s="1080">
        <v>9905176785</v>
      </c>
      <c r="F25" s="1081">
        <f>+E25/C25-1</f>
        <v>-0.50654190141606703</v>
      </c>
      <c r="G25" s="1080">
        <v>12018334989</v>
      </c>
      <c r="H25" s="1081">
        <f>+G25/E25-1</f>
        <v>0.21333876717880296</v>
      </c>
      <c r="I25" s="1080">
        <v>12383687513</v>
      </c>
      <c r="J25" s="1081">
        <f>+I25/G25-1</f>
        <v>3.0399595645685951E-2</v>
      </c>
      <c r="K25" s="1080">
        <v>13470299403</v>
      </c>
      <c r="L25" s="1081">
        <f>+K25/I25-1</f>
        <v>8.7745422262901052E-2</v>
      </c>
      <c r="M25" s="1080">
        <v>11900688752</v>
      </c>
      <c r="N25" s="1081">
        <f>+M25/K25-1</f>
        <v>-0.11652381317154903</v>
      </c>
      <c r="O25" s="1080">
        <v>14339152118</v>
      </c>
      <c r="P25" s="1081">
        <f>+O25/M25-1</f>
        <v>0.20490102857199743</v>
      </c>
      <c r="Q25" s="1080">
        <v>14937471959</v>
      </c>
      <c r="R25" s="1081">
        <f>+Q25/O25-1</f>
        <v>4.1726305438166467E-2</v>
      </c>
      <c r="S25" s="1080">
        <v>14863151562</v>
      </c>
      <c r="T25" s="1081">
        <f>+S25/Q25-1</f>
        <v>-4.9754334069374018E-3</v>
      </c>
      <c r="U25" s="1080">
        <v>15691426840</v>
      </c>
      <c r="V25" s="1081">
        <f>+U25/S25-1</f>
        <v>5.5726759869529685E-2</v>
      </c>
      <c r="W25" s="1080">
        <v>13768717392</v>
      </c>
      <c r="X25" s="1081">
        <f>+W25/U25-1</f>
        <v>-0.12253248016290663</v>
      </c>
      <c r="Y25" s="1232">
        <v>16032335496</v>
      </c>
      <c r="Z25" s="1081">
        <f>+Y25/W25-1</f>
        <v>0.16440297520488167</v>
      </c>
    </row>
    <row r="26" spans="1:26" ht="18" customHeight="1">
      <c r="A26" s="1558"/>
      <c r="B26" s="1082" t="s">
        <v>83</v>
      </c>
      <c r="C26" s="1083">
        <v>1171</v>
      </c>
      <c r="D26" s="1084">
        <f>+C26/Y47-1</f>
        <v>-5.7924376508447284E-2</v>
      </c>
      <c r="E26" s="1083">
        <v>1193</v>
      </c>
      <c r="F26" s="1084">
        <f t="shared" ref="F26:J42" si="4">+E26/C26-1</f>
        <v>1.8787361229718247E-2</v>
      </c>
      <c r="G26" s="1083">
        <v>1249</v>
      </c>
      <c r="H26" s="1084">
        <f t="shared" si="4"/>
        <v>4.6940486169321005E-2</v>
      </c>
      <c r="I26" s="1083">
        <v>1253</v>
      </c>
      <c r="J26" s="1084">
        <f t="shared" si="4"/>
        <v>3.2025620496396456E-3</v>
      </c>
      <c r="K26" s="1083">
        <v>1231</v>
      </c>
      <c r="L26" s="1084">
        <f t="shared" ref="L26:T40" si="5">+K26/I26-1</f>
        <v>-1.7557861133280173E-2</v>
      </c>
      <c r="M26" s="1083">
        <v>1211</v>
      </c>
      <c r="N26" s="1084">
        <f t="shared" si="5"/>
        <v>-1.6246953696182009E-2</v>
      </c>
      <c r="O26" s="1082">
        <v>1217</v>
      </c>
      <c r="P26" s="1084">
        <f t="shared" si="5"/>
        <v>4.9545829892649884E-3</v>
      </c>
      <c r="Q26" s="1082">
        <v>1225</v>
      </c>
      <c r="R26" s="1084">
        <f t="shared" si="5"/>
        <v>6.5735414954806171E-3</v>
      </c>
      <c r="S26" s="1083">
        <v>1270</v>
      </c>
      <c r="T26" s="1084">
        <f t="shared" si="5"/>
        <v>3.6734693877551017E-2</v>
      </c>
      <c r="U26" s="1083">
        <v>1294</v>
      </c>
      <c r="V26" s="1084">
        <f t="shared" ref="V26:V27" si="6">+U26/S26-1</f>
        <v>1.8897637795275646E-2</v>
      </c>
      <c r="W26" s="1083">
        <v>1292</v>
      </c>
      <c r="X26" s="1084">
        <f t="shared" ref="X26:X27" si="7">+W26/U26-1</f>
        <v>-1.5455950540957941E-3</v>
      </c>
      <c r="Y26" s="1228">
        <v>1304</v>
      </c>
      <c r="Z26" s="1084">
        <f t="shared" ref="Z26:Z27" si="8">+Y26/W26-1</f>
        <v>9.2879256965945345E-3</v>
      </c>
    </row>
    <row r="27" spans="1:26" ht="18" customHeight="1">
      <c r="A27" s="1559"/>
      <c r="B27" s="1085" t="s">
        <v>84</v>
      </c>
      <c r="C27" s="1086">
        <v>17141745.979504697</v>
      </c>
      <c r="D27" s="1087">
        <f>+C27/Y48-1</f>
        <v>0.61755665934738357</v>
      </c>
      <c r="E27" s="1086">
        <v>8302746.6764459349</v>
      </c>
      <c r="F27" s="1087">
        <f t="shared" si="4"/>
        <v>-0.51564171547209925</v>
      </c>
      <c r="G27" s="1086">
        <v>9622365.8839071263</v>
      </c>
      <c r="H27" s="1087">
        <f t="shared" si="4"/>
        <v>0.15893766953107447</v>
      </c>
      <c r="I27" s="1086">
        <v>9883230.2577813249</v>
      </c>
      <c r="J27" s="1087">
        <f t="shared" si="4"/>
        <v>2.7110211461661482E-2</v>
      </c>
      <c r="K27" s="1086">
        <v>10942566.533712428</v>
      </c>
      <c r="L27" s="1087">
        <f t="shared" si="5"/>
        <v>0.10718522672251418</v>
      </c>
      <c r="M27" s="1086">
        <v>9827158.3418662269</v>
      </c>
      <c r="N27" s="1087">
        <f t="shared" si="5"/>
        <v>-0.10193295954927883</v>
      </c>
      <c r="O27" s="1086">
        <v>11782376.432210354</v>
      </c>
      <c r="P27" s="1087">
        <f t="shared" si="5"/>
        <v>0.19896067839004838</v>
      </c>
      <c r="Q27" s="1086">
        <v>12193854.660408163</v>
      </c>
      <c r="R27" s="1087">
        <f t="shared" si="5"/>
        <v>3.4923194872039653E-2</v>
      </c>
      <c r="S27" s="1086">
        <v>11703268.946456693</v>
      </c>
      <c r="T27" s="1087">
        <f t="shared" si="5"/>
        <v>-4.0232209388581408E-2</v>
      </c>
      <c r="U27" s="1086">
        <v>12126295.857805256</v>
      </c>
      <c r="V27" s="1087">
        <f t="shared" si="6"/>
        <v>3.6146047167158413E-2</v>
      </c>
      <c r="W27" s="1086">
        <v>10656902.00619195</v>
      </c>
      <c r="X27" s="1087">
        <f t="shared" si="7"/>
        <v>-0.1211741713086697</v>
      </c>
      <c r="Y27" s="1226">
        <v>12294735.809815951</v>
      </c>
      <c r="Z27" s="1087">
        <f t="shared" si="8"/>
        <v>0.15368761040238277</v>
      </c>
    </row>
    <row r="28" spans="1:26" ht="18" customHeight="1">
      <c r="A28" s="1560" t="s">
        <v>77</v>
      </c>
      <c r="B28" s="1088" t="s">
        <v>82</v>
      </c>
      <c r="C28" s="1089">
        <v>16617129488</v>
      </c>
      <c r="D28" s="1090">
        <f t="shared" ref="D28:D42" si="9">C28/Y49-1</f>
        <v>0.48602544091733724</v>
      </c>
      <c r="E28" s="1089">
        <v>8295353828</v>
      </c>
      <c r="F28" s="1090">
        <f t="shared" si="4"/>
        <v>-0.50079501793673453</v>
      </c>
      <c r="G28" s="1089">
        <v>10346977802</v>
      </c>
      <c r="H28" s="1090">
        <f t="shared" si="4"/>
        <v>0.24732205720688882</v>
      </c>
      <c r="I28" s="1089">
        <v>10668316228</v>
      </c>
      <c r="J28" s="1090">
        <f t="shared" si="4"/>
        <v>3.1056259339600434E-2</v>
      </c>
      <c r="K28" s="1089">
        <v>11658214787</v>
      </c>
      <c r="L28" s="1090">
        <f t="shared" si="5"/>
        <v>9.2788640479358753E-2</v>
      </c>
      <c r="M28" s="1089">
        <v>10131474903</v>
      </c>
      <c r="N28" s="1090">
        <f t="shared" si="5"/>
        <v>-0.13095829094712319</v>
      </c>
      <c r="O28" s="1089">
        <v>12498537738</v>
      </c>
      <c r="P28" s="1090">
        <f>+O28/M28-1</f>
        <v>0.23363457518895858</v>
      </c>
      <c r="Q28" s="1089">
        <v>13073813329</v>
      </c>
      <c r="R28" s="1090">
        <f>+Q28/O28-1</f>
        <v>4.6027431613136383E-2</v>
      </c>
      <c r="S28" s="1089">
        <v>13102842874</v>
      </c>
      <c r="T28" s="1090">
        <f>+S28/Q28-1</f>
        <v>2.2204344110992036E-3</v>
      </c>
      <c r="U28" s="1089">
        <v>13854165433</v>
      </c>
      <c r="V28" s="1090">
        <f>+U28/S28-1</f>
        <v>5.7340423465723767E-2</v>
      </c>
      <c r="W28" s="1089">
        <v>12027919699</v>
      </c>
      <c r="X28" s="1090">
        <f>+W28/U28-1</f>
        <v>-0.13181925268843442</v>
      </c>
      <c r="Y28" s="1227">
        <v>13997775426</v>
      </c>
      <c r="Z28" s="1090">
        <f>+Y28/W28-1</f>
        <v>0.16377360144529174</v>
      </c>
    </row>
    <row r="29" spans="1:26" ht="18" customHeight="1">
      <c r="A29" s="1558"/>
      <c r="B29" s="1082" t="s">
        <v>83</v>
      </c>
      <c r="C29" s="1083">
        <v>1105</v>
      </c>
      <c r="D29" s="1084">
        <f t="shared" si="9"/>
        <v>-5.7971014492753659E-2</v>
      </c>
      <c r="E29" s="1083">
        <v>1127</v>
      </c>
      <c r="F29" s="1084">
        <f t="shared" si="4"/>
        <v>1.9909502262443368E-2</v>
      </c>
      <c r="G29" s="1083">
        <v>1185</v>
      </c>
      <c r="H29" s="1084">
        <f t="shared" si="4"/>
        <v>5.1464063886424105E-2</v>
      </c>
      <c r="I29" s="1083">
        <v>1188</v>
      </c>
      <c r="J29" s="1084">
        <f t="shared" si="4"/>
        <v>2.5316455696202667E-3</v>
      </c>
      <c r="K29" s="1083">
        <v>1164</v>
      </c>
      <c r="L29" s="1084">
        <f t="shared" si="5"/>
        <v>-2.0202020202020221E-2</v>
      </c>
      <c r="M29" s="1083">
        <v>1143</v>
      </c>
      <c r="N29" s="1084">
        <f t="shared" si="5"/>
        <v>-1.8041237113402109E-2</v>
      </c>
      <c r="O29" s="1082">
        <v>1149</v>
      </c>
      <c r="P29" s="1084">
        <f t="shared" si="5"/>
        <v>5.249343832020914E-3</v>
      </c>
      <c r="Q29" s="1082">
        <v>1222</v>
      </c>
      <c r="R29" s="1084">
        <f t="shared" si="5"/>
        <v>6.3533507397737221E-2</v>
      </c>
      <c r="S29" s="1083">
        <v>1267</v>
      </c>
      <c r="T29" s="1084">
        <f t="shared" si="5"/>
        <v>3.6824877250409171E-2</v>
      </c>
      <c r="U29" s="1083">
        <v>1291</v>
      </c>
      <c r="V29" s="1084">
        <f t="shared" ref="V29:V40" si="10">+U29/S29-1</f>
        <v>1.8942383583267608E-2</v>
      </c>
      <c r="W29" s="1083">
        <v>1289</v>
      </c>
      <c r="X29" s="1084">
        <f t="shared" ref="X29:X40" si="11">+W29/U29-1</f>
        <v>-1.5491866769945517E-3</v>
      </c>
      <c r="Y29" s="1228">
        <v>1301</v>
      </c>
      <c r="Z29" s="1084">
        <f t="shared" ref="Z29:Z40" si="12">+Y29/W29-1</f>
        <v>9.3095422808378014E-3</v>
      </c>
    </row>
    <row r="30" spans="1:26" ht="18" customHeight="1">
      <c r="A30" s="1559"/>
      <c r="B30" s="1085" t="s">
        <v>84</v>
      </c>
      <c r="C30" s="1086">
        <v>15038126.233484162</v>
      </c>
      <c r="D30" s="1087">
        <f t="shared" si="9"/>
        <v>0.57747316035840424</v>
      </c>
      <c r="E30" s="1086">
        <v>7360562.4028393971</v>
      </c>
      <c r="F30" s="1087">
        <f t="shared" si="4"/>
        <v>-0.51053992441889218</v>
      </c>
      <c r="G30" s="1086">
        <v>8731626.8371308018</v>
      </c>
      <c r="H30" s="1087">
        <f t="shared" si="4"/>
        <v>0.18627169491321816</v>
      </c>
      <c r="I30" s="1086">
        <v>8980064.1649831645</v>
      </c>
      <c r="J30" s="1087">
        <f t="shared" si="4"/>
        <v>2.8452581917025599E-2</v>
      </c>
      <c r="K30" s="1086">
        <v>10015648.442439863</v>
      </c>
      <c r="L30" s="1087">
        <f t="shared" si="5"/>
        <v>0.11532036502532494</v>
      </c>
      <c r="M30" s="1086">
        <v>8863932.5485564303</v>
      </c>
      <c r="N30" s="1087">
        <f t="shared" si="5"/>
        <v>-0.11499164537397333</v>
      </c>
      <c r="O30" s="1086">
        <v>10877752.600522194</v>
      </c>
      <c r="P30" s="1087">
        <f t="shared" si="5"/>
        <v>0.22719261918275002</v>
      </c>
      <c r="Q30" s="1086">
        <v>10698701.578559738</v>
      </c>
      <c r="R30" s="1087">
        <f t="shared" si="5"/>
        <v>-1.6460295479956089E-2</v>
      </c>
      <c r="S30" s="1086">
        <v>10341628.156274665</v>
      </c>
      <c r="T30" s="1087">
        <f t="shared" si="5"/>
        <v>-3.3375397908158244E-2</v>
      </c>
      <c r="U30" s="1086">
        <v>10731344.254841208</v>
      </c>
      <c r="V30" s="1087">
        <f t="shared" si="10"/>
        <v>3.7684211100752707E-2</v>
      </c>
      <c r="W30" s="1086">
        <v>9331202.2490302566</v>
      </c>
      <c r="X30" s="1087">
        <f t="shared" si="11"/>
        <v>-0.13047219179268321</v>
      </c>
      <c r="Y30" s="1226">
        <v>10759243.217524981</v>
      </c>
      <c r="Z30" s="1087">
        <f t="shared" si="12"/>
        <v>0.15303933302304462</v>
      </c>
    </row>
    <row r="31" spans="1:26" ht="18" customHeight="1">
      <c r="A31" s="1561" t="s">
        <v>1</v>
      </c>
      <c r="B31" s="1088" t="s">
        <v>82</v>
      </c>
      <c r="C31" s="1089">
        <v>1044075658</v>
      </c>
      <c r="D31" s="1090">
        <f t="shared" si="9"/>
        <v>0.57324914492683932</v>
      </c>
      <c r="E31" s="1089">
        <v>483621050</v>
      </c>
      <c r="F31" s="1090">
        <f t="shared" si="4"/>
        <v>-0.53679501452374634</v>
      </c>
      <c r="G31" s="1089">
        <v>502346834</v>
      </c>
      <c r="H31" s="1090">
        <f t="shared" si="4"/>
        <v>3.8719952326309981E-2</v>
      </c>
      <c r="I31" s="1089">
        <v>523018655</v>
      </c>
      <c r="J31" s="1090">
        <f t="shared" si="4"/>
        <v>4.1150495237320506E-2</v>
      </c>
      <c r="K31" s="1089">
        <v>547784839</v>
      </c>
      <c r="L31" s="1090">
        <f t="shared" si="5"/>
        <v>4.7352391283251638E-2</v>
      </c>
      <c r="M31" s="1089">
        <v>556516050</v>
      </c>
      <c r="N31" s="1090">
        <f t="shared" si="5"/>
        <v>1.5939124959973627E-2</v>
      </c>
      <c r="O31" s="1089">
        <v>580694389</v>
      </c>
      <c r="P31" s="1090">
        <f t="shared" si="5"/>
        <v>4.3445897023095759E-2</v>
      </c>
      <c r="Q31" s="1089">
        <v>582236140</v>
      </c>
      <c r="R31" s="1090">
        <f t="shared" si="5"/>
        <v>2.6550127385509548E-3</v>
      </c>
      <c r="S31" s="1089">
        <v>547843800</v>
      </c>
      <c r="T31" s="1090">
        <f t="shared" si="5"/>
        <v>-5.9069400947869721E-2</v>
      </c>
      <c r="U31" s="1089">
        <v>569814608</v>
      </c>
      <c r="V31" s="1090">
        <f t="shared" si="10"/>
        <v>4.0104146473867175E-2</v>
      </c>
      <c r="W31" s="1089">
        <v>538309777</v>
      </c>
      <c r="X31" s="1090">
        <f t="shared" si="11"/>
        <v>-5.5289616232513272E-2</v>
      </c>
      <c r="Y31" s="1227">
        <v>679718502</v>
      </c>
      <c r="Z31" s="1090">
        <f t="shared" si="12"/>
        <v>0.26269024090194071</v>
      </c>
    </row>
    <row r="32" spans="1:26" ht="18" customHeight="1">
      <c r="A32" s="1558"/>
      <c r="B32" s="1082" t="s">
        <v>83</v>
      </c>
      <c r="C32" s="1083">
        <v>39</v>
      </c>
      <c r="D32" s="1084">
        <f t="shared" si="9"/>
        <v>-9.3023255813953543E-2</v>
      </c>
      <c r="E32" s="1083">
        <v>39</v>
      </c>
      <c r="F32" s="1084">
        <f t="shared" si="4"/>
        <v>0</v>
      </c>
      <c r="G32" s="1083">
        <v>37</v>
      </c>
      <c r="H32" s="1084">
        <f t="shared" si="4"/>
        <v>-5.1282051282051322E-2</v>
      </c>
      <c r="I32" s="1083">
        <v>38</v>
      </c>
      <c r="J32" s="1084">
        <f t="shared" si="4"/>
        <v>2.7027027027026973E-2</v>
      </c>
      <c r="K32" s="1083">
        <v>39</v>
      </c>
      <c r="L32" s="1084">
        <f t="shared" si="5"/>
        <v>2.6315789473684292E-2</v>
      </c>
      <c r="M32" s="1083">
        <v>40</v>
      </c>
      <c r="N32" s="1084">
        <f t="shared" si="5"/>
        <v>2.564102564102555E-2</v>
      </c>
      <c r="O32" s="1083">
        <v>40</v>
      </c>
      <c r="P32" s="1084">
        <f t="shared" si="5"/>
        <v>0</v>
      </c>
      <c r="Q32" s="1083">
        <v>40</v>
      </c>
      <c r="R32" s="1084">
        <f t="shared" si="5"/>
        <v>0</v>
      </c>
      <c r="S32" s="1083">
        <v>41</v>
      </c>
      <c r="T32" s="1084">
        <f t="shared" si="5"/>
        <v>2.4999999999999911E-2</v>
      </c>
      <c r="U32" s="1083">
        <v>40</v>
      </c>
      <c r="V32" s="1084">
        <f t="shared" si="10"/>
        <v>-2.4390243902439046E-2</v>
      </c>
      <c r="W32" s="1083">
        <v>40</v>
      </c>
      <c r="X32" s="1084">
        <f t="shared" si="11"/>
        <v>0</v>
      </c>
      <c r="Y32" s="1228">
        <v>41</v>
      </c>
      <c r="Z32" s="1084">
        <f t="shared" si="12"/>
        <v>2.4999999999999911E-2</v>
      </c>
    </row>
    <row r="33" spans="1:26" ht="18" customHeight="1">
      <c r="A33" s="1559"/>
      <c r="B33" s="1085" t="s">
        <v>84</v>
      </c>
      <c r="C33" s="1086">
        <v>26771170.717948716</v>
      </c>
      <c r="D33" s="1087">
        <f t="shared" si="9"/>
        <v>0.73460803158600219</v>
      </c>
      <c r="E33" s="1086">
        <v>12400539.743589744</v>
      </c>
      <c r="F33" s="1087">
        <f t="shared" si="4"/>
        <v>-0.53679501452374634</v>
      </c>
      <c r="G33" s="1086">
        <v>13576941.459459459</v>
      </c>
      <c r="H33" s="1087">
        <f t="shared" si="4"/>
        <v>9.4866976776380785E-2</v>
      </c>
      <c r="I33" s="1086">
        <v>13763648.815789474</v>
      </c>
      <c r="J33" s="1087">
        <f t="shared" si="4"/>
        <v>1.3751797994233206E-2</v>
      </c>
      <c r="K33" s="1086">
        <v>14045765.102564102</v>
      </c>
      <c r="L33" s="1087">
        <f t="shared" si="5"/>
        <v>2.049720176316816E-2</v>
      </c>
      <c r="M33" s="1086">
        <v>13912901.25</v>
      </c>
      <c r="N33" s="1087">
        <f t="shared" si="5"/>
        <v>-9.4593531640256856E-3</v>
      </c>
      <c r="O33" s="1086">
        <v>14517359.725</v>
      </c>
      <c r="P33" s="1087">
        <f t="shared" si="5"/>
        <v>4.3445897023095759E-2</v>
      </c>
      <c r="Q33" s="1086">
        <v>14555903.5</v>
      </c>
      <c r="R33" s="1087">
        <f t="shared" si="5"/>
        <v>2.6550127385509548E-3</v>
      </c>
      <c r="S33" s="1086">
        <v>13362043.902439024</v>
      </c>
      <c r="T33" s="1087">
        <f t="shared" si="5"/>
        <v>-8.20189277540192E-2</v>
      </c>
      <c r="U33" s="1086">
        <v>14245365.199999999</v>
      </c>
      <c r="V33" s="1087">
        <f t="shared" si="10"/>
        <v>6.6106750135713765E-2</v>
      </c>
      <c r="W33" s="1086">
        <v>13457744.425000001</v>
      </c>
      <c r="X33" s="1087">
        <f t="shared" si="11"/>
        <v>-5.5289616232513161E-2</v>
      </c>
      <c r="Y33" s="1226">
        <v>16578500.048780488</v>
      </c>
      <c r="Z33" s="1087">
        <f t="shared" si="12"/>
        <v>0.23189291795311284</v>
      </c>
    </row>
    <row r="34" spans="1:26" ht="18" customHeight="1">
      <c r="A34" s="1560" t="s">
        <v>78</v>
      </c>
      <c r="B34" s="1088" t="s">
        <v>82</v>
      </c>
      <c r="C34" s="1089">
        <v>1269400227</v>
      </c>
      <c r="D34" s="1090">
        <f t="shared" si="9"/>
        <v>0.62912849372279722</v>
      </c>
      <c r="E34" s="1089">
        <v>562546190</v>
      </c>
      <c r="F34" s="1090">
        <f t="shared" si="4"/>
        <v>-0.55684095682771606</v>
      </c>
      <c r="G34" s="1089">
        <v>602055077</v>
      </c>
      <c r="H34" s="1090">
        <f t="shared" si="4"/>
        <v>7.0232254172764019E-2</v>
      </c>
      <c r="I34" s="1089">
        <v>613564453</v>
      </c>
      <c r="J34" s="1090">
        <f t="shared" si="4"/>
        <v>1.9116815785941821E-2</v>
      </c>
      <c r="K34" s="1089">
        <v>662328915</v>
      </c>
      <c r="L34" s="1090">
        <f t="shared" si="5"/>
        <v>7.9477325913468455E-2</v>
      </c>
      <c r="M34" s="1089">
        <v>633044910</v>
      </c>
      <c r="N34" s="1090">
        <f t="shared" si="5"/>
        <v>-4.4213689508029397E-2</v>
      </c>
      <c r="O34" s="1089">
        <v>659697808</v>
      </c>
      <c r="P34" s="1090">
        <f t="shared" si="5"/>
        <v>4.2102696947677876E-2</v>
      </c>
      <c r="Q34" s="1089">
        <v>690652625</v>
      </c>
      <c r="R34" s="1090">
        <f t="shared" si="5"/>
        <v>4.6922722229205904E-2</v>
      </c>
      <c r="S34" s="1089">
        <v>650515840</v>
      </c>
      <c r="T34" s="1090">
        <f t="shared" si="5"/>
        <v>-5.8114287193218206E-2</v>
      </c>
      <c r="U34" s="1089">
        <v>666988308</v>
      </c>
      <c r="V34" s="1090">
        <f t="shared" si="10"/>
        <v>2.5322162793145919E-2</v>
      </c>
      <c r="W34" s="1089">
        <v>623130849</v>
      </c>
      <c r="X34" s="1090">
        <f t="shared" si="11"/>
        <v>-6.5754464469563123E-2</v>
      </c>
      <c r="Y34" s="1227">
        <v>773436499</v>
      </c>
      <c r="Z34" s="1090">
        <f t="shared" si="12"/>
        <v>0.24121041389815701</v>
      </c>
    </row>
    <row r="35" spans="1:26" ht="18" customHeight="1">
      <c r="A35" s="1558"/>
      <c r="B35" s="1082" t="s">
        <v>83</v>
      </c>
      <c r="C35" s="1083">
        <v>24</v>
      </c>
      <c r="D35" s="1084">
        <f t="shared" si="9"/>
        <v>0</v>
      </c>
      <c r="E35" s="1083">
        <v>24</v>
      </c>
      <c r="F35" s="1084">
        <f t="shared" si="4"/>
        <v>0</v>
      </c>
      <c r="G35" s="1083">
        <v>24</v>
      </c>
      <c r="H35" s="1084">
        <f t="shared" si="4"/>
        <v>0</v>
      </c>
      <c r="I35" s="1083">
        <v>24</v>
      </c>
      <c r="J35" s="1084">
        <f t="shared" si="4"/>
        <v>0</v>
      </c>
      <c r="K35" s="1083">
        <v>25</v>
      </c>
      <c r="L35" s="1084">
        <f t="shared" si="5"/>
        <v>4.1666666666666741E-2</v>
      </c>
      <c r="M35" s="1083">
        <v>25</v>
      </c>
      <c r="N35" s="1084">
        <f t="shared" si="5"/>
        <v>0</v>
      </c>
      <c r="O35" s="1082">
        <v>25</v>
      </c>
      <c r="P35" s="1084">
        <f t="shared" si="5"/>
        <v>0</v>
      </c>
      <c r="Q35" s="1083">
        <v>26</v>
      </c>
      <c r="R35" s="1084">
        <f t="shared" si="5"/>
        <v>4.0000000000000036E-2</v>
      </c>
      <c r="S35" s="1083">
        <v>26</v>
      </c>
      <c r="T35" s="1084">
        <f t="shared" si="5"/>
        <v>0</v>
      </c>
      <c r="U35" s="1083">
        <v>25</v>
      </c>
      <c r="V35" s="1084">
        <f t="shared" si="10"/>
        <v>-3.8461538461538436E-2</v>
      </c>
      <c r="W35" s="1083">
        <v>25</v>
      </c>
      <c r="X35" s="1084">
        <f t="shared" si="11"/>
        <v>0</v>
      </c>
      <c r="Y35" s="1228">
        <v>25</v>
      </c>
      <c r="Z35" s="1084">
        <f t="shared" si="12"/>
        <v>0</v>
      </c>
    </row>
    <row r="36" spans="1:26" ht="18" customHeight="1">
      <c r="A36" s="1559"/>
      <c r="B36" s="1085" t="s">
        <v>84</v>
      </c>
      <c r="C36" s="1086">
        <v>52891676.125</v>
      </c>
      <c r="D36" s="1087">
        <f t="shared" si="9"/>
        <v>0.62912849372279722</v>
      </c>
      <c r="E36" s="1086">
        <v>23439424.583333332</v>
      </c>
      <c r="F36" s="1087">
        <f t="shared" si="4"/>
        <v>-0.55684095682771617</v>
      </c>
      <c r="G36" s="1086">
        <v>25085628.208333332</v>
      </c>
      <c r="H36" s="1087">
        <f t="shared" si="4"/>
        <v>7.0232254172764019E-2</v>
      </c>
      <c r="I36" s="1086">
        <v>25565185.541666668</v>
      </c>
      <c r="J36" s="1087">
        <f t="shared" si="4"/>
        <v>1.9116815785941821E-2</v>
      </c>
      <c r="K36" s="1086">
        <v>26493156.600000001</v>
      </c>
      <c r="L36" s="1087">
        <f t="shared" si="5"/>
        <v>3.6298232876929681E-2</v>
      </c>
      <c r="M36" s="1086">
        <v>25321796.399999999</v>
      </c>
      <c r="N36" s="1087">
        <f t="shared" si="5"/>
        <v>-4.4213689508029508E-2</v>
      </c>
      <c r="O36" s="1086">
        <v>26387912.32</v>
      </c>
      <c r="P36" s="1087">
        <f t="shared" si="5"/>
        <v>4.2102696947677876E-2</v>
      </c>
      <c r="Q36" s="1086">
        <v>26563562.5</v>
      </c>
      <c r="R36" s="1087">
        <f t="shared" si="5"/>
        <v>6.656463681928626E-3</v>
      </c>
      <c r="S36" s="1086">
        <v>25019840</v>
      </c>
      <c r="T36" s="1087">
        <f t="shared" si="5"/>
        <v>-5.8114287193218206E-2</v>
      </c>
      <c r="U36" s="1086">
        <v>26679532.32</v>
      </c>
      <c r="V36" s="1087">
        <f t="shared" si="10"/>
        <v>6.6335049304871774E-2</v>
      </c>
      <c r="W36" s="1086">
        <v>24925233.960000001</v>
      </c>
      <c r="X36" s="1087">
        <f t="shared" si="11"/>
        <v>-6.5754464469563012E-2</v>
      </c>
      <c r="Y36" s="1226">
        <v>30937459.960000001</v>
      </c>
      <c r="Z36" s="1087">
        <f t="shared" si="12"/>
        <v>0.24121041389815701</v>
      </c>
    </row>
    <row r="37" spans="1:26" ht="18" customHeight="1">
      <c r="A37" s="1560" t="s">
        <v>5</v>
      </c>
      <c r="B37" s="1088" t="s">
        <v>82</v>
      </c>
      <c r="C37" s="1089">
        <v>1142379169</v>
      </c>
      <c r="D37" s="1090">
        <f t="shared" si="9"/>
        <v>1.0870839813714199</v>
      </c>
      <c r="E37" s="1089">
        <v>563655717</v>
      </c>
      <c r="F37" s="1090">
        <f t="shared" si="4"/>
        <v>-0.50659489222531506</v>
      </c>
      <c r="G37" s="1089">
        <v>566955276</v>
      </c>
      <c r="H37" s="1090">
        <f t="shared" si="4"/>
        <v>5.8538552887594797E-3</v>
      </c>
      <c r="I37" s="1089">
        <v>578788177</v>
      </c>
      <c r="J37" s="1090">
        <f t="shared" si="4"/>
        <v>2.0870960198984045E-2</v>
      </c>
      <c r="K37" s="1089">
        <v>601970862</v>
      </c>
      <c r="L37" s="1090">
        <f t="shared" si="5"/>
        <v>4.0053833027760666E-2</v>
      </c>
      <c r="M37" s="1089">
        <v>579652889</v>
      </c>
      <c r="N37" s="1090">
        <f t="shared" si="5"/>
        <v>-3.7074839346626032E-2</v>
      </c>
      <c r="O37" s="1091">
        <v>600222183</v>
      </c>
      <c r="P37" s="1090">
        <f t="shared" si="5"/>
        <v>3.5485536931396222E-2</v>
      </c>
      <c r="Q37" s="1089">
        <v>590769865</v>
      </c>
      <c r="R37" s="1090">
        <f t="shared" si="5"/>
        <v>-1.5748031758432979E-2</v>
      </c>
      <c r="S37" s="1089">
        <v>561949048</v>
      </c>
      <c r="T37" s="1090">
        <f t="shared" si="5"/>
        <v>-4.8785184735176013E-2</v>
      </c>
      <c r="U37" s="1089">
        <v>600458491</v>
      </c>
      <c r="V37" s="1090">
        <f t="shared" si="10"/>
        <v>6.8528353481613236E-2</v>
      </c>
      <c r="W37" s="1089">
        <v>579357067</v>
      </c>
      <c r="X37" s="1090">
        <f t="shared" si="11"/>
        <v>-3.5142186039967216E-2</v>
      </c>
      <c r="Y37" s="1227">
        <v>581405069</v>
      </c>
      <c r="Z37" s="1090">
        <f t="shared" si="12"/>
        <v>3.5349564485418483E-3</v>
      </c>
    </row>
    <row r="38" spans="1:26" ht="18" customHeight="1">
      <c r="A38" s="1558"/>
      <c r="B38" s="1082" t="s">
        <v>83</v>
      </c>
      <c r="C38" s="1083">
        <v>3</v>
      </c>
      <c r="D38" s="1084">
        <f t="shared" si="9"/>
        <v>0</v>
      </c>
      <c r="E38" s="1083">
        <v>3</v>
      </c>
      <c r="F38" s="1084">
        <f t="shared" si="4"/>
        <v>0</v>
      </c>
      <c r="G38" s="1083">
        <v>3</v>
      </c>
      <c r="H38" s="1084">
        <f t="shared" si="4"/>
        <v>0</v>
      </c>
      <c r="I38" s="1083">
        <v>3</v>
      </c>
      <c r="J38" s="1084">
        <f t="shared" si="4"/>
        <v>0</v>
      </c>
      <c r="K38" s="1083">
        <v>3</v>
      </c>
      <c r="L38" s="1084">
        <f t="shared" si="5"/>
        <v>0</v>
      </c>
      <c r="M38" s="1083">
        <v>3</v>
      </c>
      <c r="N38" s="1084">
        <f t="shared" si="5"/>
        <v>0</v>
      </c>
      <c r="O38" s="1082">
        <v>3</v>
      </c>
      <c r="P38" s="1084">
        <f t="shared" si="5"/>
        <v>0</v>
      </c>
      <c r="Q38" s="1083">
        <v>3</v>
      </c>
      <c r="R38" s="1084">
        <f t="shared" si="5"/>
        <v>0</v>
      </c>
      <c r="S38" s="1083">
        <v>3</v>
      </c>
      <c r="T38" s="1084">
        <f t="shared" si="5"/>
        <v>0</v>
      </c>
      <c r="U38" s="1083">
        <v>3</v>
      </c>
      <c r="V38" s="1084">
        <f t="shared" si="10"/>
        <v>0</v>
      </c>
      <c r="W38" s="1083">
        <v>3</v>
      </c>
      <c r="X38" s="1084">
        <f t="shared" si="11"/>
        <v>0</v>
      </c>
      <c r="Y38" s="1228">
        <v>3</v>
      </c>
      <c r="Z38" s="1084">
        <f t="shared" si="12"/>
        <v>0</v>
      </c>
    </row>
    <row r="39" spans="1:26" ht="18" customHeight="1">
      <c r="A39" s="1559"/>
      <c r="B39" s="1085" t="s">
        <v>84</v>
      </c>
      <c r="C39" s="1086">
        <v>380793056.33333331</v>
      </c>
      <c r="D39" s="1087">
        <f t="shared" si="9"/>
        <v>1.0870839813714199</v>
      </c>
      <c r="E39" s="1086">
        <v>187885239</v>
      </c>
      <c r="F39" s="1087">
        <f t="shared" si="4"/>
        <v>-0.50659489222531506</v>
      </c>
      <c r="G39" s="1086">
        <v>188985092</v>
      </c>
      <c r="H39" s="1087">
        <f t="shared" si="4"/>
        <v>5.8538552887594797E-3</v>
      </c>
      <c r="I39" s="1086">
        <v>192929392.33333334</v>
      </c>
      <c r="J39" s="1087">
        <f t="shared" si="4"/>
        <v>2.0870960198984045E-2</v>
      </c>
      <c r="K39" s="1086">
        <v>200656954</v>
      </c>
      <c r="L39" s="1087">
        <f t="shared" si="5"/>
        <v>4.0053833027760666E-2</v>
      </c>
      <c r="M39" s="1086">
        <v>193217629.66666666</v>
      </c>
      <c r="N39" s="1087">
        <f t="shared" si="5"/>
        <v>-3.7074839346626143E-2</v>
      </c>
      <c r="O39" s="1086">
        <v>200074061</v>
      </c>
      <c r="P39" s="1087">
        <f t="shared" si="5"/>
        <v>3.5485536931396222E-2</v>
      </c>
      <c r="Q39" s="1086">
        <v>196923288.33333334</v>
      </c>
      <c r="R39" s="1087">
        <f t="shared" si="5"/>
        <v>-1.5748031758432979E-2</v>
      </c>
      <c r="S39" s="1086">
        <v>187316349.33333334</v>
      </c>
      <c r="T39" s="1087">
        <f t="shared" si="5"/>
        <v>-4.8785184735176013E-2</v>
      </c>
      <c r="U39" s="1086">
        <v>200152830.33333334</v>
      </c>
      <c r="V39" s="1087">
        <f t="shared" si="10"/>
        <v>6.8528353481613236E-2</v>
      </c>
      <c r="W39" s="1086">
        <v>193119022.33333334</v>
      </c>
      <c r="X39" s="1087">
        <f t="shared" si="11"/>
        <v>-3.5142186039967216E-2</v>
      </c>
      <c r="Y39" s="1226">
        <v>193801689.66666666</v>
      </c>
      <c r="Z39" s="1087">
        <f t="shared" si="12"/>
        <v>3.5349564485418483E-3</v>
      </c>
    </row>
    <row r="40" spans="1:26" ht="18" customHeight="1">
      <c r="A40" s="1581" t="s">
        <v>85</v>
      </c>
      <c r="B40" s="1267" t="s">
        <v>82</v>
      </c>
      <c r="C40" s="1268">
        <v>18930605373</v>
      </c>
      <c r="D40" s="1269">
        <f t="shared" si="9"/>
        <v>0.49944235359769396</v>
      </c>
      <c r="E40" s="1268">
        <v>9341521068</v>
      </c>
      <c r="F40" s="1269">
        <f t="shared" si="4"/>
        <v>-0.50653870365268638</v>
      </c>
      <c r="G40" s="1268">
        <v>11451379713</v>
      </c>
      <c r="H40" s="1269">
        <f t="shared" si="4"/>
        <v>0.22585814768726054</v>
      </c>
      <c r="I40" s="1268">
        <v>11804899336</v>
      </c>
      <c r="J40" s="1269">
        <f t="shared" si="4"/>
        <v>3.0871356278464157E-2</v>
      </c>
      <c r="K40" s="1268">
        <v>12868328541</v>
      </c>
      <c r="L40" s="1269">
        <f t="shared" si="5"/>
        <v>9.0083716491930366E-2</v>
      </c>
      <c r="M40" s="1268">
        <v>11321035863</v>
      </c>
      <c r="N40" s="1269">
        <f t="shared" si="5"/>
        <v>-0.12024037722305148</v>
      </c>
      <c r="O40" s="1268">
        <v>13738929935</v>
      </c>
      <c r="P40" s="1269">
        <f t="shared" si="5"/>
        <v>0.21357533897602843</v>
      </c>
      <c r="Q40" s="1268">
        <v>14346702094</v>
      </c>
      <c r="R40" s="1269">
        <f t="shared" si="5"/>
        <v>4.4237226761867143E-2</v>
      </c>
      <c r="S40" s="1268">
        <v>14301202514</v>
      </c>
      <c r="T40" s="1269">
        <f t="shared" si="5"/>
        <v>-3.1714312949335799E-3</v>
      </c>
      <c r="U40" s="1268">
        <v>15090968349</v>
      </c>
      <c r="V40" s="1269">
        <f t="shared" si="10"/>
        <v>5.5223736201684304E-2</v>
      </c>
      <c r="W40" s="1268">
        <v>13189360325</v>
      </c>
      <c r="X40" s="1269">
        <f t="shared" si="11"/>
        <v>-0.12600967545770581</v>
      </c>
      <c r="Y40" s="1270">
        <v>15450930427</v>
      </c>
      <c r="Z40" s="1269">
        <f t="shared" si="12"/>
        <v>0.17146927874229556</v>
      </c>
    </row>
    <row r="41" spans="1:26" ht="18" customHeight="1">
      <c r="A41" s="1582"/>
      <c r="B41" s="1271" t="s">
        <v>83</v>
      </c>
      <c r="C41" s="1272">
        <v>1168</v>
      </c>
      <c r="D41" s="1273">
        <f t="shared" si="9"/>
        <v>-5.8064516129032295E-2</v>
      </c>
      <c r="E41" s="1272">
        <v>1190</v>
      </c>
      <c r="F41" s="1273">
        <f>+E41/C41-1</f>
        <v>1.8835616438356073E-2</v>
      </c>
      <c r="G41" s="1272">
        <v>1246</v>
      </c>
      <c r="H41" s="1273">
        <f>+G41/E41-1</f>
        <v>4.705882352941182E-2</v>
      </c>
      <c r="I41" s="1272">
        <v>1250</v>
      </c>
      <c r="J41" s="1273">
        <f>+I41/G41-1</f>
        <v>3.2102728731941976E-3</v>
      </c>
      <c r="K41" s="1272">
        <v>1228</v>
      </c>
      <c r="L41" s="1273">
        <f>+K41/I41-1</f>
        <v>-1.7599999999999949E-2</v>
      </c>
      <c r="M41" s="1272">
        <v>1208</v>
      </c>
      <c r="N41" s="1273">
        <f>+M41/K41-1</f>
        <v>-1.6286644951140072E-2</v>
      </c>
      <c r="O41" s="1272">
        <v>1214</v>
      </c>
      <c r="P41" s="1273">
        <f>+O41/M41-1</f>
        <v>4.9668874172186239E-3</v>
      </c>
      <c r="Q41" s="1272">
        <v>1222</v>
      </c>
      <c r="R41" s="1273">
        <f>+Q41/O41-1</f>
        <v>6.5897858319605707E-3</v>
      </c>
      <c r="S41" s="1272">
        <v>1267</v>
      </c>
      <c r="T41" s="1273">
        <f>+S41/Q41-1</f>
        <v>3.6824877250409171E-2</v>
      </c>
      <c r="U41" s="1272">
        <v>1291</v>
      </c>
      <c r="V41" s="1273">
        <f>+U41/S41-1</f>
        <v>1.8942383583267608E-2</v>
      </c>
      <c r="W41" s="1272">
        <v>1289</v>
      </c>
      <c r="X41" s="1273">
        <f>+W41/U41-1</f>
        <v>-1.5491866769945517E-3</v>
      </c>
      <c r="Y41" s="1274">
        <v>1301</v>
      </c>
      <c r="Z41" s="1273">
        <f>+Y41/W41-1</f>
        <v>9.3095422808378014E-3</v>
      </c>
    </row>
    <row r="42" spans="1:26" ht="18" customHeight="1" thickBot="1">
      <c r="A42" s="1575"/>
      <c r="B42" s="1275" t="s">
        <v>84</v>
      </c>
      <c r="C42" s="1276">
        <v>16207710.079623288</v>
      </c>
      <c r="D42" s="1277">
        <f t="shared" si="9"/>
        <v>0.59187373155919576</v>
      </c>
      <c r="E42" s="1276">
        <v>7850017.7042016806</v>
      </c>
      <c r="F42" s="1277">
        <f t="shared" si="4"/>
        <v>-0.51566151753473766</v>
      </c>
      <c r="G42" s="1276">
        <v>9190513.4133226331</v>
      </c>
      <c r="H42" s="1277">
        <f t="shared" si="4"/>
        <v>0.17076339947659736</v>
      </c>
      <c r="I42" s="1276">
        <v>9443919.4688000008</v>
      </c>
      <c r="J42" s="1277">
        <f t="shared" si="4"/>
        <v>2.7572567938373149E-2</v>
      </c>
      <c r="K42" s="1276">
        <v>10479094.903094463</v>
      </c>
      <c r="L42" s="1277">
        <f t="shared" ref="L42:T42" si="13">+K42/I42-1</f>
        <v>0.10961290359520581</v>
      </c>
      <c r="M42" s="1276">
        <v>9371718.4296357613</v>
      </c>
      <c r="N42" s="1277">
        <f t="shared" si="13"/>
        <v>-0.10567482055455901</v>
      </c>
      <c r="O42" s="1276">
        <v>11317075.728995057</v>
      </c>
      <c r="P42" s="1277">
        <f t="shared" si="13"/>
        <v>0.20757743779492777</v>
      </c>
      <c r="Q42" s="1276">
        <v>11740345.412438625</v>
      </c>
      <c r="R42" s="1277">
        <f t="shared" si="13"/>
        <v>3.7400976504833761E-2</v>
      </c>
      <c r="S42" s="1276">
        <v>11287452.655090766</v>
      </c>
      <c r="T42" s="1277">
        <f t="shared" si="13"/>
        <v>-3.8575760885878996E-2</v>
      </c>
      <c r="U42" s="1276">
        <v>11689363.554608831</v>
      </c>
      <c r="V42" s="1277">
        <f t="shared" ref="V42" si="14">+U42/S42-1</f>
        <v>3.5606873561219166E-2</v>
      </c>
      <c r="W42" s="1276">
        <v>10232242.300232738</v>
      </c>
      <c r="X42" s="1277">
        <f t="shared" ref="X42" si="15">+W42/U42-1</f>
        <v>-0.12465360047781093</v>
      </c>
      <c r="Y42" s="1278">
        <v>11876195.56264412</v>
      </c>
      <c r="Z42" s="1277">
        <f t="shared" ref="Z42" si="16">+Y42/W42-1</f>
        <v>0.16066402790070655</v>
      </c>
    </row>
    <row r="43" spans="1:26" ht="12.75" customHeight="1" thickTop="1">
      <c r="C43" s="1101">
        <f>+C42-'Average .'!E59</f>
        <v>0</v>
      </c>
      <c r="E43" s="1101">
        <f>+E42-'Average .'!G59</f>
        <v>0</v>
      </c>
      <c r="G43" s="1101">
        <f>+G42-'Average .'!I59</f>
        <v>0</v>
      </c>
      <c r="I43" s="1101">
        <f>+I42-'Average .'!K59</f>
        <v>0</v>
      </c>
      <c r="K43" s="1101">
        <f>+K42-'Average .'!M59</f>
        <v>0</v>
      </c>
      <c r="M43" s="1101">
        <f>+'Average .'!O59-M42</f>
        <v>0</v>
      </c>
      <c r="O43" s="1101">
        <f>+O42-'Average .'!Q59</f>
        <v>0</v>
      </c>
      <c r="Q43" s="1101">
        <f>++Q42-'Average .'!S59</f>
        <v>0</v>
      </c>
      <c r="S43" s="1101">
        <f>+S42-'Average .'!U59</f>
        <v>0</v>
      </c>
      <c r="U43" s="1101">
        <f>+U42-'Average .'!W59</f>
        <v>0</v>
      </c>
      <c r="W43" s="1101">
        <f>+W42-'Average .'!Y59</f>
        <v>0</v>
      </c>
      <c r="Y43" s="1101">
        <f>+'Average .'!AA59-급여.!Y42</f>
        <v>0</v>
      </c>
    </row>
    <row r="44" spans="1:26" ht="13.5" hidden="1" thickTop="1">
      <c r="A44" s="1577" t="s">
        <v>639</v>
      </c>
      <c r="B44" s="1578"/>
      <c r="C44" s="1578">
        <v>2023</v>
      </c>
      <c r="D44" s="1578"/>
      <c r="E44" s="1578">
        <v>2023</v>
      </c>
      <c r="F44" s="1578"/>
      <c r="G44" s="1578">
        <v>2023</v>
      </c>
      <c r="H44" s="1578"/>
      <c r="I44" s="1578">
        <v>2023</v>
      </c>
      <c r="J44" s="1578"/>
      <c r="K44" s="1578">
        <v>2023</v>
      </c>
      <c r="L44" s="1578"/>
      <c r="M44" s="1578">
        <v>2023</v>
      </c>
      <c r="N44" s="1578"/>
      <c r="O44" s="1578">
        <v>2023</v>
      </c>
      <c r="P44" s="1578"/>
      <c r="Q44" s="1578">
        <v>2023</v>
      </c>
      <c r="R44" s="1578"/>
      <c r="S44" s="1578">
        <v>2023</v>
      </c>
      <c r="T44" s="1578"/>
      <c r="U44" s="1578">
        <v>2023</v>
      </c>
      <c r="V44" s="1578"/>
      <c r="W44" s="1578">
        <v>2023</v>
      </c>
      <c r="X44" s="1578"/>
      <c r="Y44" s="1578">
        <v>2023</v>
      </c>
      <c r="Z44" s="1578"/>
    </row>
    <row r="45" spans="1:26" ht="13.5" hidden="1" thickBot="1">
      <c r="A45" s="1579"/>
      <c r="B45" s="1580"/>
      <c r="C45" s="1102" t="s">
        <v>63</v>
      </c>
      <c r="D45" s="1103" t="str">
        <f>C45&amp;"/"&amp;A45</f>
        <v>Jan/</v>
      </c>
      <c r="E45" s="1102" t="s">
        <v>64</v>
      </c>
      <c r="F45" s="1103" t="str">
        <f>E45&amp;"/"&amp;C45</f>
        <v>Feb/Jan</v>
      </c>
      <c r="G45" s="1102" t="s">
        <v>65</v>
      </c>
      <c r="H45" s="1103" t="str">
        <f>G45&amp;"/"&amp;E45</f>
        <v>Mar/Feb</v>
      </c>
      <c r="I45" s="1102" t="s">
        <v>66</v>
      </c>
      <c r="J45" s="1103" t="str">
        <f>I45&amp;"/"&amp;G45</f>
        <v>Apr/Mar</v>
      </c>
      <c r="K45" s="1102" t="s">
        <v>67</v>
      </c>
      <c r="L45" s="1103" t="str">
        <f>K45&amp;"/"&amp;I45</f>
        <v>May/Apr</v>
      </c>
      <c r="M45" s="1102" t="s">
        <v>68</v>
      </c>
      <c r="N45" s="1103" t="str">
        <f>M45&amp;"/"&amp;K45</f>
        <v>Jun/May</v>
      </c>
      <c r="O45" s="1102" t="s">
        <v>184</v>
      </c>
      <c r="P45" s="1103" t="str">
        <f>O45&amp;"/"&amp;M45</f>
        <v>July/Jun</v>
      </c>
      <c r="Q45" s="1102" t="s">
        <v>70</v>
      </c>
      <c r="R45" s="1103" t="str">
        <f>Q45&amp;"/"&amp;O45</f>
        <v>Aug/July</v>
      </c>
      <c r="S45" s="1102" t="s">
        <v>71</v>
      </c>
      <c r="T45" s="1103" t="str">
        <f>S45&amp;"/"&amp;Q45</f>
        <v>Sep/Aug</v>
      </c>
      <c r="U45" s="1104" t="s">
        <v>72</v>
      </c>
      <c r="V45" s="1103" t="str">
        <f>U45&amp;"/"&amp;S45</f>
        <v>Oct/Sep</v>
      </c>
      <c r="W45" s="1102" t="s">
        <v>73</v>
      </c>
      <c r="X45" s="1103" t="str">
        <f>W45&amp;"/"&amp;U45</f>
        <v>Nov/Oct</v>
      </c>
      <c r="Y45" s="1102" t="s">
        <v>74</v>
      </c>
      <c r="Z45" s="1103" t="str">
        <f>Y45&amp;"/"&amp;W45</f>
        <v>Dec/Nov</v>
      </c>
    </row>
    <row r="46" spans="1:26" ht="13.5" hidden="1" customHeight="1" thickTop="1">
      <c r="A46" s="1557" t="s">
        <v>81</v>
      </c>
      <c r="B46" s="1079" t="s">
        <v>82</v>
      </c>
      <c r="C46" s="1105">
        <v>17791367957</v>
      </c>
      <c r="D46" s="1106">
        <v>0.45475580701040969</v>
      </c>
      <c r="E46" s="1105">
        <v>12599169816</v>
      </c>
      <c r="F46" s="1106">
        <v>-0.29183805053939849</v>
      </c>
      <c r="G46" s="1105">
        <v>13774189277</v>
      </c>
      <c r="H46" s="1106">
        <v>9.3261657566343262E-2</v>
      </c>
      <c r="I46" s="1105">
        <v>13119157790</v>
      </c>
      <c r="J46" s="1106">
        <v>-4.7554993896719924E-2</v>
      </c>
      <c r="K46" s="1107">
        <v>13392984605</v>
      </c>
      <c r="L46" s="1106">
        <v>2.0872286116470285E-2</v>
      </c>
      <c r="M46" s="1105">
        <v>14143059927</v>
      </c>
      <c r="N46" s="1106">
        <v>5.600509103250776E-2</v>
      </c>
      <c r="O46" s="1105">
        <v>13398944142</v>
      </c>
      <c r="P46" s="1108">
        <v>-5.2613493037630119E-2</v>
      </c>
      <c r="Q46" s="1107">
        <v>13856341515</v>
      </c>
      <c r="R46" s="1108">
        <v>3.4136822137070748E-2</v>
      </c>
      <c r="S46" s="1107">
        <v>12266912826</v>
      </c>
      <c r="T46" s="1108">
        <v>-0.11470767282109674</v>
      </c>
      <c r="U46" s="1107">
        <v>12519941965</v>
      </c>
      <c r="V46" s="1108">
        <v>2.0626961533769035E-2</v>
      </c>
      <c r="W46" s="1105">
        <v>11172398806</v>
      </c>
      <c r="X46" s="1108">
        <v>-0.10763174164601649</v>
      </c>
      <c r="Y46" s="1105">
        <v>13172453731</v>
      </c>
      <c r="Z46" s="1108">
        <v>0.17901750194648394</v>
      </c>
    </row>
    <row r="47" spans="1:26" ht="13.5" hidden="1" customHeight="1">
      <c r="A47" s="1558"/>
      <c r="B47" s="1109" t="s">
        <v>83</v>
      </c>
      <c r="C47" s="1110">
        <v>1398</v>
      </c>
      <c r="D47" s="1111">
        <v>-5.9219380888290714E-2</v>
      </c>
      <c r="E47" s="1110">
        <v>1385</v>
      </c>
      <c r="F47" s="1112">
        <v>-9.2989985693848354E-3</v>
      </c>
      <c r="G47" s="1110">
        <v>1352</v>
      </c>
      <c r="H47" s="1112">
        <v>-2.3826714801444042E-2</v>
      </c>
      <c r="I47" s="1110">
        <v>1324</v>
      </c>
      <c r="J47" s="1112">
        <v>-2.0710059171597635E-2</v>
      </c>
      <c r="K47" s="1113">
        <v>1273</v>
      </c>
      <c r="L47" s="1112">
        <v>-3.8519637462235648E-2</v>
      </c>
      <c r="M47" s="1110">
        <v>1228</v>
      </c>
      <c r="N47" s="1112">
        <v>-3.5349567949725061E-2</v>
      </c>
      <c r="O47" s="1110">
        <v>1215</v>
      </c>
      <c r="P47" s="1114">
        <v>-1.0586319218241042E-2</v>
      </c>
      <c r="Q47" s="1113">
        <v>1234</v>
      </c>
      <c r="R47" s="1114">
        <v>1.5637860082304528E-2</v>
      </c>
      <c r="S47" s="1113">
        <v>1213</v>
      </c>
      <c r="T47" s="1114">
        <v>-1.7017828200972446E-2</v>
      </c>
      <c r="U47" s="1113">
        <v>1209</v>
      </c>
      <c r="V47" s="1114">
        <v>-3.2976092333058533E-3</v>
      </c>
      <c r="W47" s="1110">
        <v>1196</v>
      </c>
      <c r="X47" s="1114">
        <v>-1.0752688172043012E-2</v>
      </c>
      <c r="Y47" s="1110">
        <v>1243</v>
      </c>
      <c r="Z47" s="1114">
        <v>3.9297658862876256E-2</v>
      </c>
    </row>
    <row r="48" spans="1:26" ht="15" hidden="1" customHeight="1">
      <c r="A48" s="1559"/>
      <c r="B48" s="1085" t="s">
        <v>84</v>
      </c>
      <c r="C48" s="1086">
        <v>12726300.398426324</v>
      </c>
      <c r="D48" s="1115">
        <v>0.54632841861049286</v>
      </c>
      <c r="E48" s="1086">
        <v>9096873.5133574009</v>
      </c>
      <c r="F48" s="1115">
        <v>-0.28519104307153725</v>
      </c>
      <c r="G48" s="1086">
        <v>10188009.820266273</v>
      </c>
      <c r="H48" s="1115">
        <v>0.11994629861640939</v>
      </c>
      <c r="I48" s="1086">
        <v>9908729.4486404825</v>
      </c>
      <c r="J48" s="1115">
        <v>-2.7412652377919591E-2</v>
      </c>
      <c r="K48" s="1086">
        <v>10520804.874312647</v>
      </c>
      <c r="L48" s="1115">
        <v>6.1771332928677689E-2</v>
      </c>
      <c r="M48" s="1086">
        <v>11517149.777687296</v>
      </c>
      <c r="N48" s="1115">
        <v>9.4702345997054099E-2</v>
      </c>
      <c r="O48" s="1116">
        <v>11027937.5654321</v>
      </c>
      <c r="P48" s="1117">
        <v>-4.2476847284123188E-2</v>
      </c>
      <c r="Q48" s="1086">
        <v>11228801.876012966</v>
      </c>
      <c r="R48" s="1117">
        <v>1.8214132006921287E-2</v>
      </c>
      <c r="S48" s="1086">
        <v>10112871.2497939</v>
      </c>
      <c r="T48" s="1117">
        <v>-9.93810950216268E-2</v>
      </c>
      <c r="U48" s="1116">
        <v>10355617.837055417</v>
      </c>
      <c r="V48" s="1117">
        <v>2.400372567449267E-2</v>
      </c>
      <c r="W48" s="1086">
        <v>9341470.5735785961</v>
      </c>
      <c r="X48" s="1117">
        <v>-9.7932086663907819E-2</v>
      </c>
      <c r="Y48" s="1086">
        <v>10597307.909090908</v>
      </c>
      <c r="Z48" s="1117">
        <v>0.13443679189701896</v>
      </c>
    </row>
    <row r="49" spans="1:26" hidden="1">
      <c r="A49" s="1560" t="s">
        <v>77</v>
      </c>
      <c r="B49" s="1088" t="s">
        <v>82</v>
      </c>
      <c r="C49" s="1089">
        <v>14888436148</v>
      </c>
      <c r="D49" s="1118">
        <v>0.41149435253710309</v>
      </c>
      <c r="E49" s="1089">
        <v>10932023556</v>
      </c>
      <c r="F49" s="1118">
        <v>-0.26573728447171224</v>
      </c>
      <c r="G49" s="1089">
        <v>11997871927</v>
      </c>
      <c r="H49" s="1118">
        <v>9.7497811410680063E-2</v>
      </c>
      <c r="I49" s="1089">
        <v>11442195258</v>
      </c>
      <c r="J49" s="1118">
        <v>-4.6314602487921692E-2</v>
      </c>
      <c r="K49" s="1089">
        <v>11636928893</v>
      </c>
      <c r="L49" s="1118">
        <v>1.7018905079761573E-2</v>
      </c>
      <c r="M49" s="1119">
        <v>12479979012</v>
      </c>
      <c r="N49" s="1118">
        <v>7.2446100406020592E-2</v>
      </c>
      <c r="O49" s="1119">
        <v>11681549832</v>
      </c>
      <c r="P49" s="1120">
        <v>-6.3976804707145604E-2</v>
      </c>
      <c r="Q49" s="1121">
        <v>12051656455</v>
      </c>
      <c r="R49" s="1122">
        <v>3.1683006820391567E-2</v>
      </c>
      <c r="S49" s="1121">
        <v>10561015280</v>
      </c>
      <c r="T49" s="1122">
        <v>-0.12368765908370725</v>
      </c>
      <c r="U49" s="1121">
        <v>10782199990</v>
      </c>
      <c r="V49" s="1122">
        <v>2.0943508188921017E-2</v>
      </c>
      <c r="W49" s="1121">
        <v>9480484523</v>
      </c>
      <c r="X49" s="1122">
        <v>-0.12072818795860603</v>
      </c>
      <c r="Y49" s="1089">
        <v>11182264469</v>
      </c>
      <c r="Z49" s="1120">
        <v>0.17950347810509262</v>
      </c>
    </row>
    <row r="50" spans="1:26" hidden="1">
      <c r="A50" s="1558"/>
      <c r="B50" s="1109" t="s">
        <v>83</v>
      </c>
      <c r="C50" s="1123">
        <v>1327</v>
      </c>
      <c r="D50" s="1111">
        <v>-5.9532246633593196E-2</v>
      </c>
      <c r="E50" s="1123">
        <v>1312</v>
      </c>
      <c r="F50" s="1112">
        <v>-1.1303692539562924E-2</v>
      </c>
      <c r="G50" s="1123">
        <v>1279</v>
      </c>
      <c r="H50" s="1112">
        <v>-2.5152439024390245E-2</v>
      </c>
      <c r="I50" s="1124">
        <v>1253</v>
      </c>
      <c r="J50" s="1112">
        <v>-2.0328381548084442E-2</v>
      </c>
      <c r="K50" s="1123">
        <v>1204</v>
      </c>
      <c r="L50" s="1112">
        <v>-3.9106145251396648E-2</v>
      </c>
      <c r="M50" s="1124">
        <v>1160</v>
      </c>
      <c r="N50" s="1112">
        <v>-3.6544850498338874E-2</v>
      </c>
      <c r="O50" s="1124">
        <v>1145</v>
      </c>
      <c r="P50" s="1114">
        <v>-1.2931034482758621E-2</v>
      </c>
      <c r="Q50" s="1125">
        <v>1165</v>
      </c>
      <c r="R50" s="1126">
        <v>1.7467248908296942E-2</v>
      </c>
      <c r="S50" s="1125">
        <v>1145</v>
      </c>
      <c r="T50" s="1126">
        <v>-1.7167381974248927E-2</v>
      </c>
      <c r="U50" s="1125">
        <v>1140</v>
      </c>
      <c r="V50" s="1126">
        <v>-4.3668122270742356E-3</v>
      </c>
      <c r="W50" s="1125">
        <v>1127</v>
      </c>
      <c r="X50" s="1126">
        <v>-1.1403508771929825E-2</v>
      </c>
      <c r="Y50" s="1123">
        <v>1173</v>
      </c>
      <c r="Z50" s="1114">
        <v>4.0816326530612242E-2</v>
      </c>
    </row>
    <row r="51" spans="1:26" ht="14.25" hidden="1" customHeight="1">
      <c r="A51" s="1559"/>
      <c r="B51" s="1085" t="s">
        <v>84</v>
      </c>
      <c r="C51" s="1086">
        <v>11219620.307460437</v>
      </c>
      <c r="D51" s="1115">
        <v>0.50084290235859263</v>
      </c>
      <c r="E51" s="1086">
        <v>8332335.0274390243</v>
      </c>
      <c r="F51" s="1115">
        <v>-0.2573425125716175</v>
      </c>
      <c r="G51" s="1086">
        <v>9380666.0883502737</v>
      </c>
      <c r="H51" s="1115">
        <v>0.12581479950806274</v>
      </c>
      <c r="I51" s="1116">
        <v>9131839.790901836</v>
      </c>
      <c r="J51" s="1115">
        <v>-2.6525440209139495E-2</v>
      </c>
      <c r="K51" s="1086">
        <v>9665223.3330564778</v>
      </c>
      <c r="L51" s="1115">
        <v>5.840920935626339E-2</v>
      </c>
      <c r="M51" s="1116">
        <v>10758602.596551724</v>
      </c>
      <c r="N51" s="1115">
        <v>0.1131250904214214</v>
      </c>
      <c r="O51" s="1116">
        <v>10202226.927510917</v>
      </c>
      <c r="P51" s="1117">
        <v>-5.1714492105055763E-2</v>
      </c>
      <c r="Q51" s="1127">
        <v>10344769.489270385</v>
      </c>
      <c r="R51" s="1128">
        <v>1.3971710565964142E-2</v>
      </c>
      <c r="S51" s="1127">
        <v>9223594.131004367</v>
      </c>
      <c r="T51" s="1128">
        <v>-0.1083808933035099</v>
      </c>
      <c r="U51" s="1127">
        <v>9458070.166666666</v>
      </c>
      <c r="V51" s="1128">
        <v>2.5421330593258299E-2</v>
      </c>
      <c r="W51" s="1127">
        <v>8412142.4338952973</v>
      </c>
      <c r="X51" s="1128">
        <v>-0.1105857446963716</v>
      </c>
      <c r="Y51" s="1086">
        <v>9533047.2881500423</v>
      </c>
      <c r="Z51" s="1117">
        <v>0.13324843974803011</v>
      </c>
    </row>
    <row r="52" spans="1:26" ht="14.25" hidden="1" customHeight="1">
      <c r="A52" s="1561" t="s">
        <v>1</v>
      </c>
      <c r="B52" s="1088" t="s">
        <v>82</v>
      </c>
      <c r="C52" s="1119">
        <v>928275907</v>
      </c>
      <c r="D52" s="1118">
        <v>0.2438361675364393</v>
      </c>
      <c r="E52" s="1110">
        <v>507380151</v>
      </c>
      <c r="F52" s="1118">
        <v>-0.45341665427927563</v>
      </c>
      <c r="G52" s="1110">
        <v>519638185</v>
      </c>
      <c r="H52" s="1118">
        <v>2.4159466971343937E-2</v>
      </c>
      <c r="I52" s="1110">
        <v>497504500</v>
      </c>
      <c r="J52" s="1118">
        <v>-4.2594415958865685E-2</v>
      </c>
      <c r="K52" s="1113">
        <v>505820347</v>
      </c>
      <c r="L52" s="1118">
        <v>1.6715119159726195E-2</v>
      </c>
      <c r="M52" s="1110">
        <v>473512308</v>
      </c>
      <c r="N52" s="1118">
        <v>-6.38725571077116E-2</v>
      </c>
      <c r="O52" s="1110">
        <v>497242096</v>
      </c>
      <c r="P52" s="1120">
        <v>5.0114405896287705E-2</v>
      </c>
      <c r="Q52" s="1129">
        <v>526911097</v>
      </c>
      <c r="R52" s="1122">
        <v>5.9667114346650167E-2</v>
      </c>
      <c r="S52" s="1129">
        <v>492822381</v>
      </c>
      <c r="T52" s="1122">
        <v>-6.469538446634765E-2</v>
      </c>
      <c r="U52" s="1129">
        <v>513002654</v>
      </c>
      <c r="V52" s="1122">
        <v>4.0948369591193544E-2</v>
      </c>
      <c r="W52" s="1130">
        <v>526423246</v>
      </c>
      <c r="X52" s="1122">
        <v>2.616086270773952E-2</v>
      </c>
      <c r="Y52" s="1110">
        <v>663642921</v>
      </c>
      <c r="Z52" s="1120">
        <v>0.26066416337549048</v>
      </c>
    </row>
    <row r="53" spans="1:26" ht="14.25" hidden="1" customHeight="1">
      <c r="A53" s="1558"/>
      <c r="B53" s="1109" t="s">
        <v>83</v>
      </c>
      <c r="C53" s="1131">
        <v>43</v>
      </c>
      <c r="D53" s="1111">
        <v>-0.21818181818181817</v>
      </c>
      <c r="E53" s="1110">
        <v>44</v>
      </c>
      <c r="F53" s="1112">
        <v>2.3255813953488372E-2</v>
      </c>
      <c r="G53" s="1110">
        <v>42</v>
      </c>
      <c r="H53" s="1112">
        <v>-4.5454545454545456E-2</v>
      </c>
      <c r="I53" s="1110">
        <v>41</v>
      </c>
      <c r="J53" s="1112">
        <v>-2.3809523809523808E-2</v>
      </c>
      <c r="K53" s="1113">
        <v>39</v>
      </c>
      <c r="L53" s="1112">
        <v>-4.878048780487805E-2</v>
      </c>
      <c r="M53" s="1110">
        <v>38</v>
      </c>
      <c r="N53" s="1112">
        <v>-2.564102564102564E-2</v>
      </c>
      <c r="O53" s="1110">
        <v>40</v>
      </c>
      <c r="P53" s="1114">
        <v>5.2631578947368418E-2</v>
      </c>
      <c r="Q53" s="1129">
        <v>39</v>
      </c>
      <c r="R53" s="1126">
        <v>-2.5000000000000001E-2</v>
      </c>
      <c r="S53" s="1129">
        <v>39</v>
      </c>
      <c r="T53" s="1126">
        <v>0</v>
      </c>
      <c r="U53" s="1129">
        <v>40</v>
      </c>
      <c r="V53" s="1126">
        <v>2.564102564102564E-2</v>
      </c>
      <c r="W53" s="1130">
        <v>42</v>
      </c>
      <c r="X53" s="1126">
        <v>0.05</v>
      </c>
      <c r="Y53" s="1110">
        <v>43</v>
      </c>
      <c r="Z53" s="1114">
        <v>2.3809523809523808E-2</v>
      </c>
    </row>
    <row r="54" spans="1:26" ht="14.25" hidden="1" customHeight="1">
      <c r="A54" s="1559"/>
      <c r="B54" s="1085" t="s">
        <v>84</v>
      </c>
      <c r="C54" s="1086">
        <v>21587811.790697675</v>
      </c>
      <c r="D54" s="1115">
        <v>0.59095323754660845</v>
      </c>
      <c r="E54" s="1086">
        <v>11531367.068181818</v>
      </c>
      <c r="F54" s="1115">
        <v>-0.46583900304565573</v>
      </c>
      <c r="G54" s="1086">
        <v>12372337.738095239</v>
      </c>
      <c r="H54" s="1115">
        <v>7.2928965398550843E-2</v>
      </c>
      <c r="I54" s="1116">
        <v>12134256.097560976</v>
      </c>
      <c r="J54" s="1115">
        <v>-1.9243060250545386E-2</v>
      </c>
      <c r="K54" s="1086">
        <v>12969752.487179488</v>
      </c>
      <c r="L54" s="1115">
        <v>6.8854356039712211E-2</v>
      </c>
      <c r="M54" s="1116">
        <v>12460850.210526315</v>
      </c>
      <c r="N54" s="1115">
        <v>-3.9237624400019884E-2</v>
      </c>
      <c r="O54" s="1116">
        <v>12431052.4</v>
      </c>
      <c r="P54" s="1117">
        <v>-2.3913143985266265E-3</v>
      </c>
      <c r="Q54" s="1127">
        <v>13510540.948717948</v>
      </c>
      <c r="R54" s="1128">
        <v>8.6838065996564184E-2</v>
      </c>
      <c r="S54" s="1127">
        <v>12636471.307692308</v>
      </c>
      <c r="T54" s="1128">
        <v>-6.469538446634758E-2</v>
      </c>
      <c r="U54" s="1127">
        <v>12825066.35</v>
      </c>
      <c r="V54" s="1128">
        <v>1.4924660351413654E-2</v>
      </c>
      <c r="W54" s="1127">
        <v>12533886.80952381</v>
      </c>
      <c r="X54" s="1128">
        <v>-2.2703940278343271E-2</v>
      </c>
      <c r="Y54" s="1086">
        <v>15433556.302325582</v>
      </c>
      <c r="Z54" s="1117">
        <v>0.23134639213420002</v>
      </c>
    </row>
    <row r="55" spans="1:26" ht="14.25" hidden="1" customHeight="1">
      <c r="A55" s="1560" t="s">
        <v>78</v>
      </c>
      <c r="B55" s="1088" t="s">
        <v>82</v>
      </c>
      <c r="C55" s="1110">
        <v>1093186855</v>
      </c>
      <c r="D55" s="1118">
        <v>1.743324043051282</v>
      </c>
      <c r="E55" s="1110">
        <v>623556096</v>
      </c>
      <c r="F55" s="1118">
        <v>-0.42959788333715376</v>
      </c>
      <c r="G55" s="1110">
        <v>706613685</v>
      </c>
      <c r="H55" s="1118">
        <v>0.13319986691301627</v>
      </c>
      <c r="I55" s="1110">
        <v>650557217</v>
      </c>
      <c r="J55" s="1118">
        <v>-7.9331138343294333E-2</v>
      </c>
      <c r="K55" s="1113">
        <v>682846267</v>
      </c>
      <c r="L55" s="1118">
        <v>4.9632913379854184E-2</v>
      </c>
      <c r="M55" s="1110">
        <v>657883281</v>
      </c>
      <c r="N55" s="1118">
        <v>-3.6557256305539708E-2</v>
      </c>
      <c r="O55" s="1110">
        <v>685441685</v>
      </c>
      <c r="P55" s="1120">
        <v>4.188950349689765E-2</v>
      </c>
      <c r="Q55" s="1129">
        <v>712782139</v>
      </c>
      <c r="R55" s="1122">
        <v>3.988735234274525E-2</v>
      </c>
      <c r="S55" s="1129">
        <v>663398089</v>
      </c>
      <c r="T55" s="1122">
        <v>-6.9283512167243017E-2</v>
      </c>
      <c r="U55" s="1129">
        <v>669725362</v>
      </c>
      <c r="V55" s="1122">
        <v>9.5376714297408845E-3</v>
      </c>
      <c r="W55" s="1130">
        <v>617438145</v>
      </c>
      <c r="X55" s="1122">
        <v>-7.8072624939654001E-2</v>
      </c>
      <c r="Y55" s="1110">
        <v>779189752</v>
      </c>
      <c r="Z55" s="1120">
        <v>0.26197216402948348</v>
      </c>
    </row>
    <row r="56" spans="1:26" ht="14.25" hidden="1" customHeight="1">
      <c r="A56" s="1558"/>
      <c r="B56" s="1109" t="s">
        <v>83</v>
      </c>
      <c r="C56" s="1110">
        <v>25</v>
      </c>
      <c r="D56" s="1111">
        <v>0.5625</v>
      </c>
      <c r="E56" s="1110">
        <v>26</v>
      </c>
      <c r="F56" s="1112">
        <v>0.04</v>
      </c>
      <c r="G56" s="1110">
        <v>28</v>
      </c>
      <c r="H56" s="1112">
        <v>7.6923076923076927E-2</v>
      </c>
      <c r="I56" s="1110">
        <v>27</v>
      </c>
      <c r="J56" s="1112">
        <v>-3.5714285714285712E-2</v>
      </c>
      <c r="K56" s="1113">
        <v>27</v>
      </c>
      <c r="L56" s="1112">
        <v>0</v>
      </c>
      <c r="M56" s="1110">
        <v>27</v>
      </c>
      <c r="N56" s="1112">
        <v>0</v>
      </c>
      <c r="O56" s="1110">
        <v>27</v>
      </c>
      <c r="P56" s="1114">
        <v>0</v>
      </c>
      <c r="Q56" s="1129">
        <v>27</v>
      </c>
      <c r="R56" s="1126">
        <v>0</v>
      </c>
      <c r="S56" s="1129">
        <v>26</v>
      </c>
      <c r="T56" s="1126">
        <v>-3.7037037037037035E-2</v>
      </c>
      <c r="U56" s="1129">
        <v>26</v>
      </c>
      <c r="V56" s="1126">
        <v>0</v>
      </c>
      <c r="W56" s="1130">
        <v>24</v>
      </c>
      <c r="X56" s="1126">
        <v>-7.6923076923076927E-2</v>
      </c>
      <c r="Y56" s="1110">
        <v>24</v>
      </c>
      <c r="Z56" s="1114">
        <v>0</v>
      </c>
    </row>
    <row r="57" spans="1:26" ht="14.25" hidden="1" customHeight="1">
      <c r="A57" s="1559"/>
      <c r="B57" s="1085" t="s">
        <v>84</v>
      </c>
      <c r="C57" s="1086">
        <v>43727474.200000003</v>
      </c>
      <c r="D57" s="1115">
        <v>0.75572738755282065</v>
      </c>
      <c r="E57" s="1086">
        <v>23982926.769230768</v>
      </c>
      <c r="F57" s="1115">
        <v>-0.45153642628572482</v>
      </c>
      <c r="G57" s="1086">
        <v>25236203.035714287</v>
      </c>
      <c r="H57" s="1115">
        <v>5.2257019276372371E-2</v>
      </c>
      <c r="I57" s="1116">
        <v>24094711.740740743</v>
      </c>
      <c r="J57" s="1115">
        <v>-4.5232291615268184E-2</v>
      </c>
      <c r="K57" s="1116">
        <v>25290602.481481481</v>
      </c>
      <c r="L57" s="1115">
        <v>4.96329133798541E-2</v>
      </c>
      <c r="M57" s="1116">
        <v>24366047.444444444</v>
      </c>
      <c r="N57" s="1115">
        <v>-3.6557256305539715E-2</v>
      </c>
      <c r="O57" s="1116">
        <v>25386729.074074075</v>
      </c>
      <c r="P57" s="1117">
        <v>4.1889503496897691E-2</v>
      </c>
      <c r="Q57" s="1127">
        <v>26399338.481481481</v>
      </c>
      <c r="R57" s="1128">
        <v>3.9887352342745222E-2</v>
      </c>
      <c r="S57" s="1127">
        <v>25515311.115384616</v>
      </c>
      <c r="T57" s="1128">
        <v>-3.348672417367541E-2</v>
      </c>
      <c r="U57" s="1127">
        <v>25758667.769230768</v>
      </c>
      <c r="V57" s="1128">
        <v>9.5376714297408169E-3</v>
      </c>
      <c r="W57" s="1127">
        <v>25726589.375</v>
      </c>
      <c r="X57" s="1128">
        <v>-1.2453436846251169E-3</v>
      </c>
      <c r="Y57" s="1086">
        <v>32466239.666666668</v>
      </c>
      <c r="Z57" s="1117">
        <v>0.26197216402948353</v>
      </c>
    </row>
    <row r="58" spans="1:26" ht="14.25" hidden="1" customHeight="1">
      <c r="A58" s="1560" t="s">
        <v>5</v>
      </c>
      <c r="B58" s="1088" t="s">
        <v>82</v>
      </c>
      <c r="C58" s="1110">
        <v>881469047</v>
      </c>
      <c r="D58" s="1118">
        <v>0.64143689321661124</v>
      </c>
      <c r="E58" s="1110">
        <v>536210013</v>
      </c>
      <c r="F58" s="1118">
        <v>-0.39168594197953727</v>
      </c>
      <c r="G58" s="1110">
        <v>550065480</v>
      </c>
      <c r="H58" s="1118">
        <v>2.5839627504307721E-2</v>
      </c>
      <c r="I58" s="1110">
        <v>528900815</v>
      </c>
      <c r="J58" s="1118">
        <v>-3.8476628273419376E-2</v>
      </c>
      <c r="K58" s="1113">
        <v>567389098</v>
      </c>
      <c r="L58" s="1118">
        <v>7.2770322730548259E-2</v>
      </c>
      <c r="M58" s="1110">
        <v>531685326</v>
      </c>
      <c r="N58" s="1118">
        <v>-6.2926432893851622E-2</v>
      </c>
      <c r="O58" s="1110">
        <v>534710529</v>
      </c>
      <c r="P58" s="1120">
        <v>5.6898373004937884E-3</v>
      </c>
      <c r="Q58" s="1129">
        <v>564991824</v>
      </c>
      <c r="R58" s="1122">
        <v>5.663119268781034E-2</v>
      </c>
      <c r="S58" s="1129">
        <v>549677076</v>
      </c>
      <c r="T58" s="1122">
        <v>-2.7106140920014447E-2</v>
      </c>
      <c r="U58" s="1129">
        <v>555013959</v>
      </c>
      <c r="V58" s="1122">
        <v>9.7091241985867351E-3</v>
      </c>
      <c r="W58" s="1130">
        <v>548052892</v>
      </c>
      <c r="X58" s="1122">
        <v>-1.2542147611101796E-2</v>
      </c>
      <c r="Y58" s="1110">
        <v>547356589</v>
      </c>
      <c r="Z58" s="1120">
        <v>-1.2705032856573267E-3</v>
      </c>
    </row>
    <row r="59" spans="1:26" ht="14.25" hidden="1" customHeight="1">
      <c r="A59" s="1558"/>
      <c r="B59" s="1109" t="s">
        <v>83</v>
      </c>
      <c r="C59" s="1110">
        <v>3</v>
      </c>
      <c r="D59" s="1111">
        <v>-0.25</v>
      </c>
      <c r="E59" s="1110">
        <v>3</v>
      </c>
      <c r="F59" s="1112">
        <v>0</v>
      </c>
      <c r="G59" s="1110">
        <v>3</v>
      </c>
      <c r="H59" s="1112">
        <v>0</v>
      </c>
      <c r="I59" s="1110">
        <v>3</v>
      </c>
      <c r="J59" s="1112">
        <v>0</v>
      </c>
      <c r="K59" s="1113">
        <v>3</v>
      </c>
      <c r="L59" s="1112">
        <v>0</v>
      </c>
      <c r="M59" s="1110">
        <v>3</v>
      </c>
      <c r="N59" s="1112">
        <v>0</v>
      </c>
      <c r="O59" s="1110">
        <v>3</v>
      </c>
      <c r="P59" s="1114">
        <v>0</v>
      </c>
      <c r="Q59" s="1113">
        <v>3</v>
      </c>
      <c r="R59" s="1114">
        <v>0</v>
      </c>
      <c r="S59" s="1113">
        <v>3</v>
      </c>
      <c r="T59" s="1114">
        <v>0</v>
      </c>
      <c r="U59" s="1113">
        <v>3</v>
      </c>
      <c r="V59" s="1114">
        <v>0</v>
      </c>
      <c r="W59" s="1110">
        <v>3</v>
      </c>
      <c r="X59" s="1114">
        <v>0</v>
      </c>
      <c r="Y59" s="1110">
        <v>3</v>
      </c>
      <c r="Z59" s="1114">
        <v>0</v>
      </c>
    </row>
    <row r="60" spans="1:26" ht="14.25" hidden="1" customHeight="1">
      <c r="A60" s="1559"/>
      <c r="B60" s="1085" t="s">
        <v>84</v>
      </c>
      <c r="C60" s="1086">
        <v>293823015.66666669</v>
      </c>
      <c r="D60" s="1115">
        <v>1.1885825242888153</v>
      </c>
      <c r="E60" s="1086">
        <v>178736671</v>
      </c>
      <c r="F60" s="1115">
        <v>-0.39168594197953732</v>
      </c>
      <c r="G60" s="1086">
        <v>183355160</v>
      </c>
      <c r="H60" s="1115">
        <v>2.5839627504307721E-2</v>
      </c>
      <c r="I60" s="1116">
        <v>176300271.66666666</v>
      </c>
      <c r="J60" s="1115">
        <v>-3.8476628273419432E-2</v>
      </c>
      <c r="K60" s="1086">
        <v>189129699.33333334</v>
      </c>
      <c r="L60" s="1115">
        <v>7.277032273054837E-2</v>
      </c>
      <c r="M60" s="1086">
        <v>177228442</v>
      </c>
      <c r="N60" s="1115">
        <v>-6.2926432893851664E-2</v>
      </c>
      <c r="O60" s="1116">
        <v>178236843</v>
      </c>
      <c r="P60" s="1117">
        <v>5.6898373004937884E-3</v>
      </c>
      <c r="Q60" s="1086">
        <v>188330608</v>
      </c>
      <c r="R60" s="1117">
        <v>5.663119268781034E-2</v>
      </c>
      <c r="S60" s="1086">
        <v>183225692</v>
      </c>
      <c r="T60" s="1117">
        <v>-2.7106140920014447E-2</v>
      </c>
      <c r="U60" s="1086">
        <v>185004653</v>
      </c>
      <c r="V60" s="1117">
        <v>9.7091241985867351E-3</v>
      </c>
      <c r="W60" s="1086">
        <v>182684297.33333334</v>
      </c>
      <c r="X60" s="1117">
        <v>-1.2542147611101742E-2</v>
      </c>
      <c r="Y60" s="1086">
        <v>182452196.33333334</v>
      </c>
      <c r="Z60" s="1117">
        <v>-1.2705032856573267E-3</v>
      </c>
    </row>
    <row r="61" spans="1:26" ht="14.25" hidden="1" customHeight="1">
      <c r="A61" s="1585" t="s">
        <v>85</v>
      </c>
      <c r="B61" s="1132" t="s">
        <v>82</v>
      </c>
      <c r="C61" s="1133">
        <v>16909898910</v>
      </c>
      <c r="D61" s="1134">
        <v>0.44618216815001221</v>
      </c>
      <c r="E61" s="1133">
        <v>12062959803</v>
      </c>
      <c r="F61" s="1134">
        <v>-0.28663323966612642</v>
      </c>
      <c r="G61" s="1133">
        <v>13224123797</v>
      </c>
      <c r="H61" s="1134">
        <v>9.62586307973292E-2</v>
      </c>
      <c r="I61" s="1133">
        <v>12590256975</v>
      </c>
      <c r="J61" s="1134">
        <v>-4.7932614041604621E-2</v>
      </c>
      <c r="K61" s="1133">
        <v>12825595507</v>
      </c>
      <c r="L61" s="1134">
        <v>1.8692115059073287E-2</v>
      </c>
      <c r="M61" s="1133">
        <v>13611374601</v>
      </c>
      <c r="N61" s="1134">
        <v>6.126648026371443E-2</v>
      </c>
      <c r="O61" s="1133">
        <v>12864233613</v>
      </c>
      <c r="P61" s="1135">
        <v>-5.4890928352314176E-2</v>
      </c>
      <c r="Q61" s="1133">
        <v>13291349691</v>
      </c>
      <c r="R61" s="1135">
        <v>3.320182848423836E-2</v>
      </c>
      <c r="S61" s="1133">
        <v>11717235750</v>
      </c>
      <c r="T61" s="1135">
        <v>-0.11843145937736355</v>
      </c>
      <c r="U61" s="1133">
        <v>11964928006</v>
      </c>
      <c r="V61" s="1135">
        <v>2.1139137360106457E-2</v>
      </c>
      <c r="W61" s="1133">
        <v>10624345914</v>
      </c>
      <c r="X61" s="1135">
        <v>-0.11204263755935215</v>
      </c>
      <c r="Y61" s="1133">
        <v>12625097142</v>
      </c>
      <c r="Z61" s="1135">
        <v>0.18831759095527506</v>
      </c>
    </row>
    <row r="62" spans="1:26" ht="14.25" hidden="1" customHeight="1">
      <c r="A62" s="1586"/>
      <c r="B62" s="1136" t="s">
        <v>83</v>
      </c>
      <c r="C62" s="1137">
        <v>1395</v>
      </c>
      <c r="D62" s="1138">
        <v>-5.8704453441295545E-2</v>
      </c>
      <c r="E62" s="1137">
        <v>1382</v>
      </c>
      <c r="F62" s="1139">
        <v>-9.3189964157706102E-3</v>
      </c>
      <c r="G62" s="1137">
        <v>1349</v>
      </c>
      <c r="H62" s="1139">
        <v>-2.3878437047756874E-2</v>
      </c>
      <c r="I62" s="1137">
        <v>1321</v>
      </c>
      <c r="J62" s="1139">
        <v>-2.0756115641215715E-2</v>
      </c>
      <c r="K62" s="1137">
        <v>1270</v>
      </c>
      <c r="L62" s="1139">
        <v>-3.8607115821347467E-2</v>
      </c>
      <c r="M62" s="1137">
        <v>1225</v>
      </c>
      <c r="N62" s="1139">
        <v>-3.5433070866141732E-2</v>
      </c>
      <c r="O62" s="1137">
        <v>1212</v>
      </c>
      <c r="P62" s="1140">
        <v>-1.0612244897959184E-2</v>
      </c>
      <c r="Q62" s="1137">
        <v>1231</v>
      </c>
      <c r="R62" s="1140">
        <v>1.5676567656765675E-2</v>
      </c>
      <c r="S62" s="1137">
        <v>1210</v>
      </c>
      <c r="T62" s="1140">
        <v>-1.7059301380991064E-2</v>
      </c>
      <c r="U62" s="1137">
        <v>1206</v>
      </c>
      <c r="V62" s="1140">
        <v>-3.3057851239669421E-3</v>
      </c>
      <c r="W62" s="1137">
        <v>1193</v>
      </c>
      <c r="X62" s="1140">
        <v>-1.077943615257048E-2</v>
      </c>
      <c r="Y62" s="1137">
        <v>1240</v>
      </c>
      <c r="Z62" s="1140">
        <v>3.9396479463537304E-2</v>
      </c>
    </row>
    <row r="63" spans="1:26" ht="14.25" hidden="1" customHeight="1" thickBot="1">
      <c r="A63" s="1579"/>
      <c r="B63" s="1141" t="s">
        <v>84</v>
      </c>
      <c r="C63" s="1142">
        <v>12121791.333333334</v>
      </c>
      <c r="D63" s="1143">
        <v>0.536374174335712</v>
      </c>
      <c r="E63" s="1142">
        <v>8728625.038350217</v>
      </c>
      <c r="F63" s="1143">
        <v>-0.27992284322304373</v>
      </c>
      <c r="G63" s="1142">
        <v>9802908.670867309</v>
      </c>
      <c r="H63" s="1143">
        <v>0.12307592865968046</v>
      </c>
      <c r="I63" s="1142">
        <v>9530853.122634368</v>
      </c>
      <c r="J63" s="1143">
        <v>-2.7752533188587888E-2</v>
      </c>
      <c r="K63" s="1142">
        <v>10098894.1</v>
      </c>
      <c r="L63" s="1143">
        <v>5.9600223616563579E-2</v>
      </c>
      <c r="M63" s="1142">
        <v>11111326.204897959</v>
      </c>
      <c r="N63" s="1143">
        <v>0.10025177953870802</v>
      </c>
      <c r="O63" s="1142">
        <v>10614054.136138614</v>
      </c>
      <c r="P63" s="1144">
        <v>-4.4753619828040249E-2</v>
      </c>
      <c r="Q63" s="1145">
        <v>10797197.149471974</v>
      </c>
      <c r="R63" s="1144">
        <v>1.7254765331354061E-2</v>
      </c>
      <c r="S63" s="1145">
        <v>9683665.9090909082</v>
      </c>
      <c r="T63" s="1144">
        <v>-0.10313150949878894</v>
      </c>
      <c r="U63" s="1142">
        <v>9921167.5008291882</v>
      </c>
      <c r="V63" s="1144">
        <v>2.4526000170587908E-2</v>
      </c>
      <c r="W63" s="1142">
        <v>8905570.7577535622</v>
      </c>
      <c r="X63" s="1144">
        <v>-0.10236665624189338</v>
      </c>
      <c r="Y63" s="1142">
        <v>10181529.953225806</v>
      </c>
      <c r="Z63" s="1144">
        <v>0.14327652097551868</v>
      </c>
    </row>
    <row r="64" spans="1:26" ht="14.25" hidden="1" customHeight="1" thickTop="1" thickBot="1"/>
    <row r="65" spans="1:26" ht="13.5" hidden="1" thickTop="1">
      <c r="A65" s="1590" t="s">
        <v>645</v>
      </c>
      <c r="B65" s="1591"/>
      <c r="C65" s="1591">
        <v>2022</v>
      </c>
      <c r="D65" s="1591"/>
      <c r="E65" s="1591">
        <v>2022</v>
      </c>
      <c r="F65" s="1591"/>
      <c r="G65" s="1591">
        <v>2022</v>
      </c>
      <c r="H65" s="1591"/>
      <c r="I65" s="1591">
        <v>2022</v>
      </c>
      <c r="J65" s="1591"/>
      <c r="K65" s="1591">
        <v>2022</v>
      </c>
      <c r="L65" s="1591"/>
      <c r="M65" s="1591">
        <v>2022</v>
      </c>
      <c r="N65" s="1591"/>
      <c r="O65" s="1591">
        <v>2022</v>
      </c>
      <c r="P65" s="1591"/>
      <c r="Q65" s="1591">
        <v>2022</v>
      </c>
      <c r="R65" s="1591"/>
      <c r="S65" s="1591">
        <v>2022</v>
      </c>
      <c r="T65" s="1591"/>
      <c r="U65" s="1591">
        <v>2022</v>
      </c>
      <c r="V65" s="1591"/>
      <c r="W65" s="1591">
        <v>2022</v>
      </c>
      <c r="X65" s="1591"/>
      <c r="Y65" s="1591">
        <v>2022</v>
      </c>
      <c r="Z65" s="1591"/>
    </row>
    <row r="66" spans="1:26" ht="13.5" hidden="1" thickBot="1">
      <c r="A66" s="1592"/>
      <c r="B66" s="1593"/>
      <c r="C66" s="1146" t="s">
        <v>63</v>
      </c>
      <c r="D66" s="1147" t="s">
        <v>135</v>
      </c>
      <c r="E66" s="1146" t="s">
        <v>64</v>
      </c>
      <c r="F66" s="1147" t="s">
        <v>420</v>
      </c>
      <c r="G66" s="1146" t="s">
        <v>65</v>
      </c>
      <c r="H66" s="1147" t="s">
        <v>481</v>
      </c>
      <c r="I66" s="1146" t="s">
        <v>66</v>
      </c>
      <c r="J66" s="1147" t="s">
        <v>482</v>
      </c>
      <c r="K66" s="1146" t="s">
        <v>67</v>
      </c>
      <c r="L66" s="1147" t="s">
        <v>483</v>
      </c>
      <c r="M66" s="1146" t="s">
        <v>68</v>
      </c>
      <c r="N66" s="1147" t="s">
        <v>484</v>
      </c>
      <c r="O66" s="1146" t="s">
        <v>184</v>
      </c>
      <c r="P66" s="1147" t="s">
        <v>485</v>
      </c>
      <c r="Q66" s="1146" t="s">
        <v>70</v>
      </c>
      <c r="R66" s="1147" t="s">
        <v>486</v>
      </c>
      <c r="S66" s="1146" t="s">
        <v>71</v>
      </c>
      <c r="T66" s="1147" t="s">
        <v>128</v>
      </c>
      <c r="U66" s="1148" t="s">
        <v>72</v>
      </c>
      <c r="V66" s="1147" t="s">
        <v>487</v>
      </c>
      <c r="W66" s="1146" t="s">
        <v>73</v>
      </c>
      <c r="X66" s="1147" t="s">
        <v>488</v>
      </c>
      <c r="Y66" s="1146" t="s">
        <v>74</v>
      </c>
      <c r="Z66" s="1147" t="s">
        <v>489</v>
      </c>
    </row>
    <row r="67" spans="1:26" ht="13.5" hidden="1" thickTop="1">
      <c r="A67" s="1557" t="s">
        <v>81</v>
      </c>
      <c r="B67" s="1079" t="s">
        <v>82</v>
      </c>
      <c r="C67" s="1105">
        <v>21783778883</v>
      </c>
      <c r="D67" s="1108">
        <v>0.34649186865682868</v>
      </c>
      <c r="E67" s="1105">
        <v>14470374041</v>
      </c>
      <c r="F67" s="1108">
        <v>-0.33572709681272794</v>
      </c>
      <c r="G67" s="1105">
        <v>16336319245</v>
      </c>
      <c r="H67" s="1108">
        <v>0.12894934151066703</v>
      </c>
      <c r="I67" s="1105">
        <v>16477737044</v>
      </c>
      <c r="J67" s="1108">
        <v>8.6566500616889717E-3</v>
      </c>
      <c r="K67" s="1107">
        <v>16830714701</v>
      </c>
      <c r="L67" s="1108">
        <v>2.1421488646010949E-2</v>
      </c>
      <c r="M67" s="1105">
        <v>16843117519</v>
      </c>
      <c r="N67" s="1108">
        <v>7.3691570562140678E-4</v>
      </c>
      <c r="O67" s="1105">
        <v>16530593455</v>
      </c>
      <c r="P67" s="1108">
        <v>-1.8555001094509669E-2</v>
      </c>
      <c r="Q67" s="1105">
        <v>17224101843</v>
      </c>
      <c r="R67" s="1108">
        <v>4.1953024244887886E-2</v>
      </c>
      <c r="S67" s="1105">
        <v>14034239126</v>
      </c>
      <c r="T67" s="1108">
        <v>-0.18519762284710267</v>
      </c>
      <c r="U67" s="1107">
        <v>12911813957</v>
      </c>
      <c r="V67" s="1108">
        <v>-7.9977628920443689E-2</v>
      </c>
      <c r="W67" s="1105">
        <v>11766963505</v>
      </c>
      <c r="X67" s="1108">
        <v>-8.8666894970193685E-2</v>
      </c>
      <c r="Y67" s="1105">
        <v>12229796830</v>
      </c>
      <c r="Z67" s="1108">
        <v>3.9333284649292366E-2</v>
      </c>
    </row>
    <row r="68" spans="1:26" hidden="1">
      <c r="A68" s="1558"/>
      <c r="B68" s="1109" t="s">
        <v>83</v>
      </c>
      <c r="C68" s="1110">
        <v>1556</v>
      </c>
      <c r="D68" s="1149">
        <v>-7.8199052132701424E-2</v>
      </c>
      <c r="E68" s="1110">
        <v>1640</v>
      </c>
      <c r="F68" s="1114">
        <v>5.3984575835475578E-2</v>
      </c>
      <c r="G68" s="1110">
        <v>1633</v>
      </c>
      <c r="H68" s="1114">
        <v>-4.2682926829268296E-3</v>
      </c>
      <c r="I68" s="1110">
        <v>1606</v>
      </c>
      <c r="J68" s="1114">
        <v>-1.653398652786283E-2</v>
      </c>
      <c r="K68" s="1113">
        <v>1670</v>
      </c>
      <c r="L68" s="1114">
        <v>3.9850560398505604E-2</v>
      </c>
      <c r="M68" s="1110">
        <v>1711</v>
      </c>
      <c r="N68" s="1114">
        <v>2.4550898203592814E-2</v>
      </c>
      <c r="O68" s="1110">
        <v>1663</v>
      </c>
      <c r="P68" s="1114">
        <v>-2.8053769725306838E-2</v>
      </c>
      <c r="Q68" s="1110">
        <v>1668</v>
      </c>
      <c r="R68" s="1114">
        <v>3.0066145520144319E-3</v>
      </c>
      <c r="S68" s="1110">
        <v>1573</v>
      </c>
      <c r="T68" s="1114">
        <v>-5.6954436450839328E-2</v>
      </c>
      <c r="U68" s="1113">
        <v>1515</v>
      </c>
      <c r="V68" s="1114">
        <v>-3.6872218690400506E-2</v>
      </c>
      <c r="W68" s="1110">
        <v>1471</v>
      </c>
      <c r="X68" s="1114">
        <v>-2.9042904290429043E-2</v>
      </c>
      <c r="Y68" s="1110">
        <v>1486</v>
      </c>
      <c r="Z68" s="1114">
        <v>1.0197144799456152E-2</v>
      </c>
    </row>
    <row r="69" spans="1:26" hidden="1">
      <c r="A69" s="1559"/>
      <c r="B69" s="1085" t="s">
        <v>84</v>
      </c>
      <c r="C69" s="1086">
        <v>13999857.893958868</v>
      </c>
      <c r="D69" s="1117">
        <v>0.460718685278102</v>
      </c>
      <c r="E69" s="1086">
        <v>8823398.8054878041</v>
      </c>
      <c r="F69" s="1117">
        <v>-0.36975083087841754</v>
      </c>
      <c r="G69" s="1086">
        <v>10003869.715248009</v>
      </c>
      <c r="H69" s="1117">
        <v>0.13378868345223147</v>
      </c>
      <c r="I69" s="1116">
        <v>10260110.239103362</v>
      </c>
      <c r="J69" s="1117">
        <v>2.561414044255176E-2</v>
      </c>
      <c r="K69" s="1086">
        <v>10078272.276047904</v>
      </c>
      <c r="L69" s="1117">
        <v>-1.7722807924854117E-2</v>
      </c>
      <c r="M69" s="1086">
        <v>9844019.5902980715</v>
      </c>
      <c r="N69" s="1117">
        <v>-2.3243337680661714E-2</v>
      </c>
      <c r="O69" s="1116">
        <v>9940224.5670475047</v>
      </c>
      <c r="P69" s="1117">
        <v>9.7729363363162677E-3</v>
      </c>
      <c r="Q69" s="1116">
        <v>10326200.145683452</v>
      </c>
      <c r="R69" s="1117">
        <v>3.8829663860460668E-2</v>
      </c>
      <c r="S69" s="1116">
        <v>8921957.4863318503</v>
      </c>
      <c r="T69" s="1117">
        <v>-0.13598832479908907</v>
      </c>
      <c r="U69" s="1116">
        <v>8522649.4765676577</v>
      </c>
      <c r="V69" s="1117">
        <v>-4.4755650357661929E-2</v>
      </c>
      <c r="W69" s="1086">
        <v>7999295.3806934059</v>
      </c>
      <c r="X69" s="1117">
        <v>-6.1407441114781497E-2</v>
      </c>
      <c r="Y69" s="1086">
        <v>8230011.3257065946</v>
      </c>
      <c r="Z69" s="1117">
        <v>2.8842033458350617E-2</v>
      </c>
    </row>
    <row r="70" spans="1:26" hidden="1">
      <c r="A70" s="1560" t="s">
        <v>77</v>
      </c>
      <c r="B70" s="1088" t="s">
        <v>82</v>
      </c>
      <c r="C70" s="1089">
        <v>18746907312</v>
      </c>
      <c r="D70" s="1120">
        <v>0.34881222450298111</v>
      </c>
      <c r="E70" s="1089">
        <v>12491575844</v>
      </c>
      <c r="F70" s="1120">
        <v>-0.33367271539215043</v>
      </c>
      <c r="G70" s="1089">
        <v>14296744120</v>
      </c>
      <c r="H70" s="1120">
        <v>0.14451085263730476</v>
      </c>
      <c r="I70" s="1119">
        <v>14472163775</v>
      </c>
      <c r="J70" s="1120">
        <v>1.2269902400687297E-2</v>
      </c>
      <c r="K70" s="1089">
        <v>15646120463</v>
      </c>
      <c r="L70" s="1120">
        <v>8.1118256139966885E-2</v>
      </c>
      <c r="M70" s="1119">
        <v>14800594519</v>
      </c>
      <c r="N70" s="1120">
        <v>-5.404061319862024E-2</v>
      </c>
      <c r="O70" s="1119">
        <v>14481319031</v>
      </c>
      <c r="P70" s="1120">
        <v>-2.15718015644666E-2</v>
      </c>
      <c r="Q70" s="1150">
        <v>15207542237</v>
      </c>
      <c r="R70" s="1122">
        <v>5.0148968090916443E-2</v>
      </c>
      <c r="S70" s="1150">
        <v>11971874023</v>
      </c>
      <c r="T70" s="1122">
        <v>-0.21276733370679771</v>
      </c>
      <c r="U70" s="1121">
        <v>11069558894</v>
      </c>
      <c r="V70" s="1122">
        <v>-7.5369581008495376E-2</v>
      </c>
      <c r="W70" s="1121">
        <v>10118801857</v>
      </c>
      <c r="X70" s="1122">
        <v>-8.5889333631472525E-2</v>
      </c>
      <c r="Y70" s="1089">
        <v>10547995549</v>
      </c>
      <c r="Z70" s="1120">
        <v>4.2415465592212556E-2</v>
      </c>
    </row>
    <row r="71" spans="1:26" hidden="1">
      <c r="A71" s="1558"/>
      <c r="B71" s="1109" t="s">
        <v>83</v>
      </c>
      <c r="C71" s="1123">
        <v>1478</v>
      </c>
      <c r="D71" s="1149">
        <v>-8.5961657390228818E-2</v>
      </c>
      <c r="E71" s="1123">
        <v>1563</v>
      </c>
      <c r="F71" s="1114">
        <v>5.7510148849797021E-2</v>
      </c>
      <c r="G71" s="1123">
        <v>1551</v>
      </c>
      <c r="H71" s="1114">
        <v>-7.677543186180422E-3</v>
      </c>
      <c r="I71" s="1124">
        <v>1527</v>
      </c>
      <c r="J71" s="1114">
        <v>-1.5473887814313346E-2</v>
      </c>
      <c r="K71" s="1123">
        <v>1592</v>
      </c>
      <c r="L71" s="1114">
        <v>4.2567125081859856E-2</v>
      </c>
      <c r="M71" s="1124">
        <v>1630</v>
      </c>
      <c r="N71" s="1114">
        <v>2.3869346733668341E-2</v>
      </c>
      <c r="O71" s="1124">
        <v>1584</v>
      </c>
      <c r="P71" s="1114">
        <v>-2.8220858895705522E-2</v>
      </c>
      <c r="Q71" s="1151">
        <v>1589</v>
      </c>
      <c r="R71" s="1126">
        <v>3.1565656565656565E-3</v>
      </c>
      <c r="S71" s="1151">
        <v>1494</v>
      </c>
      <c r="T71" s="1126">
        <v>-5.9786028949024544E-2</v>
      </c>
      <c r="U71" s="1125">
        <v>1439</v>
      </c>
      <c r="V71" s="1126">
        <v>-3.6813922356091031E-2</v>
      </c>
      <c r="W71" s="1125">
        <v>1396</v>
      </c>
      <c r="X71" s="1126">
        <v>-2.9881862404447533E-2</v>
      </c>
      <c r="Y71" s="1123">
        <v>1411</v>
      </c>
      <c r="Z71" s="1114">
        <v>1.0744985673352435E-2</v>
      </c>
    </row>
    <row r="72" spans="1:26" hidden="1">
      <c r="A72" s="1559"/>
      <c r="B72" s="1085" t="s">
        <v>84</v>
      </c>
      <c r="C72" s="1086">
        <v>12683969.764546685</v>
      </c>
      <c r="D72" s="1117">
        <v>0.4756626299197026</v>
      </c>
      <c r="E72" s="1086">
        <v>7992051.0838131802</v>
      </c>
      <c r="F72" s="1117">
        <v>-0.3699093239600757</v>
      </c>
      <c r="G72" s="1086">
        <v>9217758.942617666</v>
      </c>
      <c r="H72" s="1117">
        <v>0.15336586890529158</v>
      </c>
      <c r="I72" s="1116">
        <v>9477513.932547478</v>
      </c>
      <c r="J72" s="1117">
        <v>2.8179841927613549E-2</v>
      </c>
      <c r="K72" s="1086">
        <v>9827965.1149497479</v>
      </c>
      <c r="L72" s="1117">
        <v>3.697712131013154E-2</v>
      </c>
      <c r="M72" s="1116">
        <v>9080119.3368098158</v>
      </c>
      <c r="N72" s="1117">
        <v>-7.6093654117916146E-2</v>
      </c>
      <c r="O72" s="1116">
        <v>9142246.8630050514</v>
      </c>
      <c r="P72" s="1117">
        <v>6.8421486426260194E-3</v>
      </c>
      <c r="Q72" s="1152">
        <v>9570511.1623662673</v>
      </c>
      <c r="R72" s="1128">
        <v>4.6844534585280893E-2</v>
      </c>
      <c r="S72" s="1152">
        <v>8013302.5589022757</v>
      </c>
      <c r="T72" s="1128">
        <v>-0.16270903163326739</v>
      </c>
      <c r="U72" s="1127">
        <v>7692535.7150799166</v>
      </c>
      <c r="V72" s="1128">
        <v>-4.0029293972683871E-2</v>
      </c>
      <c r="W72" s="1127">
        <v>7248425.3989971345</v>
      </c>
      <c r="X72" s="1128">
        <v>-5.7732629724705581E-2</v>
      </c>
      <c r="Y72" s="1086">
        <v>7475546.1013465626</v>
      </c>
      <c r="Z72" s="1117">
        <v>3.1333798700729082E-2</v>
      </c>
    </row>
    <row r="73" spans="1:26" hidden="1">
      <c r="A73" s="1561" t="s">
        <v>1</v>
      </c>
      <c r="B73" s="1088" t="s">
        <v>82</v>
      </c>
      <c r="C73" s="1119">
        <v>760502127</v>
      </c>
      <c r="D73" s="1120">
        <v>-9.6329445560191587E-2</v>
      </c>
      <c r="E73" s="1110">
        <v>735458794</v>
      </c>
      <c r="F73" s="1120">
        <v>-3.2929997314787261E-2</v>
      </c>
      <c r="G73" s="1110">
        <v>800689479</v>
      </c>
      <c r="H73" s="1120">
        <v>8.8693867735572959E-2</v>
      </c>
      <c r="I73" s="1110">
        <v>840402001</v>
      </c>
      <c r="J73" s="1120">
        <v>4.9597906606188839E-2</v>
      </c>
      <c r="K73" s="1113">
        <v>818030852</v>
      </c>
      <c r="L73" s="1120">
        <v>-2.6619580835576806E-2</v>
      </c>
      <c r="M73" s="1110">
        <v>855535753</v>
      </c>
      <c r="N73" s="1120">
        <v>4.5847783012467606E-2</v>
      </c>
      <c r="O73" s="1110">
        <v>833159814</v>
      </c>
      <c r="P73" s="1120">
        <v>-2.6154300298423649E-2</v>
      </c>
      <c r="Q73" s="1130">
        <v>857475095</v>
      </c>
      <c r="R73" s="1122">
        <v>2.9184414072088216E-2</v>
      </c>
      <c r="S73" s="1130">
        <v>820972591</v>
      </c>
      <c r="T73" s="1122">
        <v>-4.2569754168778513E-2</v>
      </c>
      <c r="U73" s="1129">
        <v>785019262</v>
      </c>
      <c r="V73" s="1122">
        <v>-4.3793580192739955E-2</v>
      </c>
      <c r="W73" s="1130">
        <v>709253963</v>
      </c>
      <c r="X73" s="1122">
        <v>-9.6513936240204004E-2</v>
      </c>
      <c r="Y73" s="1110">
        <v>746300784</v>
      </c>
      <c r="Z73" s="1120">
        <v>5.223350581405211E-2</v>
      </c>
    </row>
    <row r="74" spans="1:26" hidden="1">
      <c r="A74" s="1558"/>
      <c r="B74" s="1109" t="s">
        <v>83</v>
      </c>
      <c r="C74" s="1131">
        <v>56</v>
      </c>
      <c r="D74" s="1149">
        <v>-6.6666666666666666E-2</v>
      </c>
      <c r="E74" s="1110">
        <v>55</v>
      </c>
      <c r="F74" s="1114">
        <v>-1.7857142857142856E-2</v>
      </c>
      <c r="G74" s="1110">
        <v>59</v>
      </c>
      <c r="H74" s="1114">
        <v>7.2727272727272724E-2</v>
      </c>
      <c r="I74" s="1110">
        <v>58</v>
      </c>
      <c r="J74" s="1114">
        <v>-1.6949152542372881E-2</v>
      </c>
      <c r="K74" s="1113">
        <v>58</v>
      </c>
      <c r="L74" s="1114">
        <v>0</v>
      </c>
      <c r="M74" s="1110">
        <v>60</v>
      </c>
      <c r="N74" s="1114">
        <v>3.4482758620689655E-2</v>
      </c>
      <c r="O74" s="1110">
        <v>58</v>
      </c>
      <c r="P74" s="1114">
        <v>-3.3333333333333333E-2</v>
      </c>
      <c r="Q74" s="1130">
        <v>58</v>
      </c>
      <c r="R74" s="1126">
        <v>0</v>
      </c>
      <c r="S74" s="1130">
        <v>58</v>
      </c>
      <c r="T74" s="1126">
        <v>0</v>
      </c>
      <c r="U74" s="1129">
        <v>56</v>
      </c>
      <c r="V74" s="1126">
        <v>-3.4482758620689655E-2</v>
      </c>
      <c r="W74" s="1130">
        <v>55</v>
      </c>
      <c r="X74" s="1126">
        <v>-1.7857142857142856E-2</v>
      </c>
      <c r="Y74" s="1110">
        <v>55</v>
      </c>
      <c r="Z74" s="1114">
        <v>0</v>
      </c>
    </row>
    <row r="75" spans="1:26" hidden="1">
      <c r="A75" s="1559"/>
      <c r="B75" s="1085" t="s">
        <v>84</v>
      </c>
      <c r="C75" s="1086">
        <v>13580395.125</v>
      </c>
      <c r="D75" s="1117">
        <v>-3.1781548814490926E-2</v>
      </c>
      <c r="E75" s="1086">
        <v>13371978.072727272</v>
      </c>
      <c r="F75" s="1117">
        <v>-1.5346906356874334E-2</v>
      </c>
      <c r="G75" s="1086">
        <v>13571008.118644068</v>
      </c>
      <c r="H75" s="1117">
        <v>1.4884113990788402E-2</v>
      </c>
      <c r="I75" s="1116">
        <v>14489689.672413792</v>
      </c>
      <c r="J75" s="1117">
        <v>6.7694422237329965E-2</v>
      </c>
      <c r="K75" s="1086">
        <v>14103980.206896551</v>
      </c>
      <c r="L75" s="1117">
        <v>-2.6619580835576816E-2</v>
      </c>
      <c r="M75" s="1116">
        <v>14258929.216666667</v>
      </c>
      <c r="N75" s="1117">
        <v>1.0986190245385413E-2</v>
      </c>
      <c r="O75" s="1116">
        <v>14364824.379310345</v>
      </c>
      <c r="P75" s="1117">
        <v>7.4265858981824567E-3</v>
      </c>
      <c r="Q75" s="1152">
        <v>14784053.362068966</v>
      </c>
      <c r="R75" s="1128">
        <v>2.918441407208822E-2</v>
      </c>
      <c r="S75" s="1152">
        <v>14154699.844827587</v>
      </c>
      <c r="T75" s="1128">
        <v>-4.2569754168778506E-2</v>
      </c>
      <c r="U75" s="1127">
        <v>14018201.107142856</v>
      </c>
      <c r="V75" s="1128">
        <v>-9.6433509139093355E-3</v>
      </c>
      <c r="W75" s="1127">
        <v>12895526.6</v>
      </c>
      <c r="X75" s="1128">
        <v>-8.0086916899116775E-2</v>
      </c>
      <c r="Y75" s="1086">
        <v>13569105.163636364</v>
      </c>
      <c r="Z75" s="1117">
        <v>5.2233505814052172E-2</v>
      </c>
    </row>
    <row r="76" spans="1:26" hidden="1">
      <c r="A76" s="1560" t="s">
        <v>78</v>
      </c>
      <c r="B76" s="1088" t="s">
        <v>82</v>
      </c>
      <c r="C76" s="1110">
        <v>368158431</v>
      </c>
      <c r="D76" s="1120">
        <v>-0.19646121416162127</v>
      </c>
      <c r="E76" s="1110">
        <v>380685650</v>
      </c>
      <c r="F76" s="1120">
        <v>3.4026706833721811E-2</v>
      </c>
      <c r="G76" s="1110">
        <v>489031332</v>
      </c>
      <c r="H76" s="1120">
        <v>0.28460668795894983</v>
      </c>
      <c r="I76" s="1110">
        <v>411302535</v>
      </c>
      <c r="J76" s="1120">
        <v>-0.15894441094829481</v>
      </c>
      <c r="K76" s="1113">
        <v>394665322</v>
      </c>
      <c r="L76" s="1120">
        <v>-4.0450061899083602E-2</v>
      </c>
      <c r="M76" s="1110">
        <v>423082220</v>
      </c>
      <c r="N76" s="1120">
        <v>7.2002520657236765E-2</v>
      </c>
      <c r="O76" s="1110">
        <v>449867803</v>
      </c>
      <c r="P76" s="1120">
        <v>6.3310585351471396E-2</v>
      </c>
      <c r="Q76" s="1130">
        <v>463369505</v>
      </c>
      <c r="R76" s="1122">
        <v>3.0012599056794469E-2</v>
      </c>
      <c r="S76" s="1130">
        <v>445445614</v>
      </c>
      <c r="T76" s="1122">
        <v>-3.8681637023135568E-2</v>
      </c>
      <c r="U76" s="1129">
        <v>411090010</v>
      </c>
      <c r="V76" s="1122">
        <v>-7.7126371705615218E-2</v>
      </c>
      <c r="W76" s="1130">
        <v>392398030</v>
      </c>
      <c r="X76" s="1122">
        <v>-4.5469312182993694E-2</v>
      </c>
      <c r="Y76" s="1110">
        <v>398489875</v>
      </c>
      <c r="Z76" s="1120">
        <v>1.5524657450497394E-2</v>
      </c>
    </row>
    <row r="77" spans="1:26" hidden="1">
      <c r="A77" s="1558"/>
      <c r="B77" s="1109" t="s">
        <v>83</v>
      </c>
      <c r="C77" s="1110">
        <v>15</v>
      </c>
      <c r="D77" s="1149">
        <v>-6.25E-2</v>
      </c>
      <c r="E77" s="1110">
        <v>15</v>
      </c>
      <c r="F77" s="1114">
        <v>0</v>
      </c>
      <c r="G77" s="1110">
        <v>18</v>
      </c>
      <c r="H77" s="1114">
        <v>0.2</v>
      </c>
      <c r="I77" s="1110">
        <v>16</v>
      </c>
      <c r="J77" s="1114">
        <v>-0.1111111111111111</v>
      </c>
      <c r="K77" s="1113">
        <v>15</v>
      </c>
      <c r="L77" s="1114">
        <v>-6.25E-2</v>
      </c>
      <c r="M77" s="1110">
        <v>16</v>
      </c>
      <c r="N77" s="1114">
        <v>6.6666666666666666E-2</v>
      </c>
      <c r="O77" s="1110">
        <v>16</v>
      </c>
      <c r="P77" s="1114">
        <v>0</v>
      </c>
      <c r="Q77" s="1130">
        <v>16</v>
      </c>
      <c r="R77" s="1126">
        <v>0</v>
      </c>
      <c r="S77" s="1130">
        <v>16</v>
      </c>
      <c r="T77" s="1126">
        <v>0</v>
      </c>
      <c r="U77" s="1129">
        <v>16</v>
      </c>
      <c r="V77" s="1126">
        <v>0</v>
      </c>
      <c r="W77" s="1130">
        <v>16</v>
      </c>
      <c r="X77" s="1126">
        <v>0</v>
      </c>
      <c r="Y77" s="1110">
        <v>16</v>
      </c>
      <c r="Z77" s="1114">
        <v>0</v>
      </c>
    </row>
    <row r="78" spans="1:26" hidden="1">
      <c r="A78" s="1559"/>
      <c r="B78" s="1085" t="s">
        <v>84</v>
      </c>
      <c r="C78" s="1086">
        <v>24543895.399999999</v>
      </c>
      <c r="D78" s="1117">
        <v>-0.14289196177239608</v>
      </c>
      <c r="E78" s="1086">
        <v>25379043.333333332</v>
      </c>
      <c r="F78" s="1117">
        <v>3.4026706833721825E-2</v>
      </c>
      <c r="G78" s="1086">
        <v>27168407.333333332</v>
      </c>
      <c r="H78" s="1117">
        <v>7.050557329912488E-2</v>
      </c>
      <c r="I78" s="1116">
        <v>25706408.4375</v>
      </c>
      <c r="J78" s="1117">
        <v>-5.3812462316831629E-2</v>
      </c>
      <c r="K78" s="1086">
        <v>26311021.466666665</v>
      </c>
      <c r="L78" s="1117">
        <v>2.3519933974310757E-2</v>
      </c>
      <c r="M78" s="1116">
        <v>26442638.75</v>
      </c>
      <c r="N78" s="1117">
        <v>5.0023631161595352E-3</v>
      </c>
      <c r="O78" s="1116">
        <v>28116737.6875</v>
      </c>
      <c r="P78" s="1117">
        <v>6.3310585351471396E-2</v>
      </c>
      <c r="Q78" s="1152">
        <v>28960594.0625</v>
      </c>
      <c r="R78" s="1128">
        <v>3.0012599056794469E-2</v>
      </c>
      <c r="S78" s="1152">
        <v>27840350.875</v>
      </c>
      <c r="T78" s="1128">
        <v>-3.8681637023135568E-2</v>
      </c>
      <c r="U78" s="1127">
        <v>25693125.625</v>
      </c>
      <c r="V78" s="1128">
        <v>-7.7126371705615218E-2</v>
      </c>
      <c r="W78" s="1127">
        <v>24524876.875</v>
      </c>
      <c r="X78" s="1128">
        <v>-4.5469312182993694E-2</v>
      </c>
      <c r="Y78" s="1086">
        <v>24905617.1875</v>
      </c>
      <c r="Z78" s="1117">
        <v>1.5524657450497394E-2</v>
      </c>
    </row>
    <row r="79" spans="1:26" hidden="1">
      <c r="A79" s="1560" t="s">
        <v>5</v>
      </c>
      <c r="B79" s="1088" t="s">
        <v>82</v>
      </c>
      <c r="C79" s="1110">
        <v>1908211013</v>
      </c>
      <c r="D79" s="1120">
        <v>0.94357099484188278</v>
      </c>
      <c r="E79" s="1110">
        <v>862653753</v>
      </c>
      <c r="F79" s="1120">
        <v>-0.54792538816565362</v>
      </c>
      <c r="G79" s="1110">
        <v>749854314</v>
      </c>
      <c r="H79" s="1120">
        <v>-0.13075864865564435</v>
      </c>
      <c r="I79" s="1110">
        <v>753868733</v>
      </c>
      <c r="J79" s="1120">
        <v>5.3535985924860596E-3</v>
      </c>
      <c r="K79" s="1113">
        <v>761228708</v>
      </c>
      <c r="L79" s="1120">
        <v>9.7629397238842633E-3</v>
      </c>
      <c r="M79" s="1110">
        <v>763905027</v>
      </c>
      <c r="N79" s="1120">
        <v>3.5157883194284366E-3</v>
      </c>
      <c r="O79" s="1110">
        <v>766246807</v>
      </c>
      <c r="P79" s="1120">
        <v>3.0655381457517232E-3</v>
      </c>
      <c r="Q79" s="1130">
        <v>695715006</v>
      </c>
      <c r="R79" s="1122">
        <v>-9.2048410976282219E-2</v>
      </c>
      <c r="S79" s="1130">
        <v>795946898</v>
      </c>
      <c r="T79" s="1122">
        <v>0.14407033215552059</v>
      </c>
      <c r="U79" s="1129">
        <v>646145791</v>
      </c>
      <c r="V79" s="1122">
        <v>-0.18820490082492916</v>
      </c>
      <c r="W79" s="1130">
        <v>546509655</v>
      </c>
      <c r="X79" s="1122">
        <v>-0.15420070421846949</v>
      </c>
      <c r="Y79" s="1110">
        <v>537010622</v>
      </c>
      <c r="Z79" s="1120">
        <v>-1.7381272065541093E-2</v>
      </c>
    </row>
    <row r="80" spans="1:26" hidden="1">
      <c r="A80" s="1558"/>
      <c r="B80" s="1109" t="s">
        <v>83</v>
      </c>
      <c r="C80" s="1110">
        <v>7</v>
      </c>
      <c r="D80" s="1149">
        <v>0</v>
      </c>
      <c r="E80" s="1110">
        <v>7</v>
      </c>
      <c r="F80" s="1114">
        <v>0</v>
      </c>
      <c r="G80" s="1110">
        <v>5</v>
      </c>
      <c r="H80" s="1114">
        <v>-0.2857142857142857</v>
      </c>
      <c r="I80" s="1110">
        <v>5</v>
      </c>
      <c r="J80" s="1114">
        <v>0</v>
      </c>
      <c r="K80" s="1113">
        <v>5</v>
      </c>
      <c r="L80" s="1114">
        <v>0</v>
      </c>
      <c r="M80" s="1110">
        <v>5</v>
      </c>
      <c r="N80" s="1114">
        <v>0</v>
      </c>
      <c r="O80" s="1110">
        <v>5</v>
      </c>
      <c r="P80" s="1114">
        <v>0</v>
      </c>
      <c r="Q80" s="1110">
        <v>5</v>
      </c>
      <c r="R80" s="1114">
        <v>0</v>
      </c>
      <c r="S80" s="1110">
        <v>5</v>
      </c>
      <c r="T80" s="1114">
        <v>0</v>
      </c>
      <c r="U80" s="1113">
        <v>4</v>
      </c>
      <c r="V80" s="1114">
        <v>-0.2</v>
      </c>
      <c r="W80" s="1110">
        <v>4</v>
      </c>
      <c r="X80" s="1114">
        <v>0</v>
      </c>
      <c r="Y80" s="1110">
        <v>4</v>
      </c>
      <c r="Z80" s="1114">
        <v>0</v>
      </c>
    </row>
    <row r="81" spans="1:26" hidden="1">
      <c r="A81" s="1559"/>
      <c r="B81" s="1085" t="s">
        <v>84</v>
      </c>
      <c r="C81" s="1086">
        <v>272601573.28571427</v>
      </c>
      <c r="D81" s="1117">
        <v>0.94357099484188278</v>
      </c>
      <c r="E81" s="1086">
        <v>123236250.42857143</v>
      </c>
      <c r="F81" s="1117">
        <v>-0.5479253881656535</v>
      </c>
      <c r="G81" s="1086">
        <v>149970862.80000001</v>
      </c>
      <c r="H81" s="1117">
        <v>0.21693789188209797</v>
      </c>
      <c r="I81" s="1116">
        <v>150773746.59999999</v>
      </c>
      <c r="J81" s="1117">
        <v>5.3535985924859399E-3</v>
      </c>
      <c r="K81" s="1086">
        <v>152245741.59999999</v>
      </c>
      <c r="L81" s="1117">
        <v>9.762939723884265E-3</v>
      </c>
      <c r="M81" s="1086">
        <v>152781005.40000001</v>
      </c>
      <c r="N81" s="1117">
        <v>3.515788319428515E-3</v>
      </c>
      <c r="O81" s="1116">
        <v>153249361.40000001</v>
      </c>
      <c r="P81" s="1117">
        <v>3.0655381457517232E-3</v>
      </c>
      <c r="Q81" s="1116">
        <v>139143001.19999999</v>
      </c>
      <c r="R81" s="1117">
        <v>-9.204841097628233E-2</v>
      </c>
      <c r="S81" s="1116">
        <v>159189379.59999999</v>
      </c>
      <c r="T81" s="1117">
        <v>0.14407033215552065</v>
      </c>
      <c r="U81" s="1086">
        <v>161536447.75</v>
      </c>
      <c r="V81" s="1117">
        <v>1.4743873968838597E-2</v>
      </c>
      <c r="W81" s="1086">
        <v>136627413.75</v>
      </c>
      <c r="X81" s="1117">
        <v>-0.15420070421846949</v>
      </c>
      <c r="Y81" s="1086">
        <v>134252655.5</v>
      </c>
      <c r="Z81" s="1117">
        <v>-1.7381272065541093E-2</v>
      </c>
    </row>
    <row r="82" spans="1:26" hidden="1">
      <c r="A82" s="1594" t="s">
        <v>85</v>
      </c>
      <c r="B82" s="1153" t="s">
        <v>82</v>
      </c>
      <c r="C82" s="1154">
        <v>19875567870</v>
      </c>
      <c r="D82" s="1155">
        <v>0.30791578690618127</v>
      </c>
      <c r="E82" s="1154">
        <v>13607720288</v>
      </c>
      <c r="F82" s="1155">
        <v>-0.31535439002276922</v>
      </c>
      <c r="G82" s="1154">
        <v>15586464931</v>
      </c>
      <c r="H82" s="1155">
        <v>0.14541338307379528</v>
      </c>
      <c r="I82" s="1154">
        <v>15723868311</v>
      </c>
      <c r="J82" s="1155">
        <v>8.8155576398030906E-3</v>
      </c>
      <c r="K82" s="1154">
        <v>16069485993</v>
      </c>
      <c r="L82" s="1155">
        <v>2.1980448777875802E-2</v>
      </c>
      <c r="M82" s="1154">
        <v>16079212492</v>
      </c>
      <c r="N82" s="1155">
        <v>6.0527754305501392E-4</v>
      </c>
      <c r="O82" s="1154">
        <v>15764346648</v>
      </c>
      <c r="P82" s="1155">
        <v>-1.9582168228491126E-2</v>
      </c>
      <c r="Q82" s="1154">
        <v>16528386837</v>
      </c>
      <c r="R82" s="1155">
        <v>4.8466340284196469E-2</v>
      </c>
      <c r="S82" s="1154">
        <v>13238292228</v>
      </c>
      <c r="T82" s="1155">
        <v>-0.19905721238535409</v>
      </c>
      <c r="U82" s="1154">
        <v>12265668166</v>
      </c>
      <c r="V82" s="1155">
        <v>-7.3470508525474737E-2</v>
      </c>
      <c r="W82" s="1154">
        <v>11220453850</v>
      </c>
      <c r="X82" s="1155">
        <v>-8.5214625233160743E-2</v>
      </c>
      <c r="Y82" s="1154">
        <v>11692786208</v>
      </c>
      <c r="Z82" s="1155">
        <v>4.2095655337506692E-2</v>
      </c>
    </row>
    <row r="83" spans="1:26" hidden="1">
      <c r="A83" s="1595"/>
      <c r="B83" s="1156" t="s">
        <v>83</v>
      </c>
      <c r="C83" s="1157">
        <v>1549</v>
      </c>
      <c r="D83" s="1158">
        <v>-7.8524687685901248E-2</v>
      </c>
      <c r="E83" s="1157">
        <v>1633</v>
      </c>
      <c r="F83" s="1159">
        <v>5.4228534538411879E-2</v>
      </c>
      <c r="G83" s="1157">
        <v>1628</v>
      </c>
      <c r="H83" s="1159">
        <v>-3.0618493570116348E-3</v>
      </c>
      <c r="I83" s="1157">
        <v>1601</v>
      </c>
      <c r="J83" s="1159">
        <v>-1.6584766584766583E-2</v>
      </c>
      <c r="K83" s="1157">
        <v>1665</v>
      </c>
      <c r="L83" s="1159">
        <v>3.9975015615240472E-2</v>
      </c>
      <c r="M83" s="1157">
        <v>1706</v>
      </c>
      <c r="N83" s="1159">
        <v>2.4624624624624624E-2</v>
      </c>
      <c r="O83" s="1157">
        <v>1658</v>
      </c>
      <c r="P83" s="1159">
        <v>-2.8135990621336461E-2</v>
      </c>
      <c r="Q83" s="1157">
        <v>1663</v>
      </c>
      <c r="R83" s="1159">
        <v>3.0156815440289505E-3</v>
      </c>
      <c r="S83" s="1157">
        <v>1568</v>
      </c>
      <c r="T83" s="1159">
        <v>-5.7125676488274206E-2</v>
      </c>
      <c r="U83" s="1157">
        <v>1511</v>
      </c>
      <c r="V83" s="1159">
        <v>-3.6352040816326529E-2</v>
      </c>
      <c r="W83" s="1157">
        <v>1467</v>
      </c>
      <c r="X83" s="1159">
        <v>-2.911978821972204E-2</v>
      </c>
      <c r="Y83" s="1157">
        <v>1482</v>
      </c>
      <c r="Z83" s="1159">
        <v>1.0224948875255624E-2</v>
      </c>
    </row>
    <row r="84" spans="1:26" ht="13.5" hidden="1" thickBot="1">
      <c r="A84" s="1592"/>
      <c r="B84" s="1160" t="s">
        <v>84</v>
      </c>
      <c r="C84" s="1161">
        <v>12831225.222724339</v>
      </c>
      <c r="D84" s="1162">
        <v>0.4193714898575151</v>
      </c>
      <c r="E84" s="1161">
        <v>8332957.9228413962</v>
      </c>
      <c r="F84" s="1162">
        <v>-0.35057192293035488</v>
      </c>
      <c r="G84" s="1161">
        <v>9573995.6578624081</v>
      </c>
      <c r="H84" s="1162">
        <v>0.14893123744441508</v>
      </c>
      <c r="I84" s="1161">
        <v>9821279.3947532792</v>
      </c>
      <c r="J84" s="1162">
        <v>2.5828686969143901E-2</v>
      </c>
      <c r="K84" s="1161">
        <v>9651342.9387387391</v>
      </c>
      <c r="L84" s="1162">
        <v>-1.7302883787760223E-2</v>
      </c>
      <c r="M84" s="1161">
        <v>9425095.2473622505</v>
      </c>
      <c r="N84" s="1162">
        <v>-2.3442094308800433E-2</v>
      </c>
      <c r="O84" s="1161">
        <v>9508049.8480096497</v>
      </c>
      <c r="P84" s="1162">
        <v>8.8014601943269752E-3</v>
      </c>
      <c r="Q84" s="1161">
        <v>9938897.677089598</v>
      </c>
      <c r="R84" s="1162">
        <v>4.5314006128200843E-2</v>
      </c>
      <c r="S84" s="1161">
        <v>8442788.4107142854</v>
      </c>
      <c r="T84" s="1162">
        <v>-0.15053070420717093</v>
      </c>
      <c r="U84" s="1161">
        <v>8117583.1674387818</v>
      </c>
      <c r="V84" s="1162">
        <v>-3.8518701103867917E-2</v>
      </c>
      <c r="W84" s="1161">
        <v>7648571.1315610092</v>
      </c>
      <c r="X84" s="1162">
        <v>-5.7777299745948016E-2</v>
      </c>
      <c r="Y84" s="1161">
        <v>7889869.2361673415</v>
      </c>
      <c r="Z84" s="1162">
        <v>3.1548128461620951E-2</v>
      </c>
    </row>
    <row r="85" spans="1:26" ht="14.25" hidden="1" thickTop="1" thickBot="1"/>
    <row r="86" spans="1:26" ht="13.5" hidden="1" thickTop="1">
      <c r="A86" s="1596" t="s">
        <v>644</v>
      </c>
      <c r="B86" s="1584"/>
      <c r="C86" s="1584">
        <v>2021</v>
      </c>
      <c r="D86" s="1584"/>
      <c r="E86" s="1584">
        <v>2021</v>
      </c>
      <c r="F86" s="1584"/>
      <c r="G86" s="1584">
        <v>2021</v>
      </c>
      <c r="H86" s="1584"/>
      <c r="I86" s="1584">
        <v>2021</v>
      </c>
      <c r="J86" s="1584"/>
      <c r="K86" s="1584">
        <v>2021</v>
      </c>
      <c r="L86" s="1584"/>
      <c r="M86" s="1584">
        <v>2021</v>
      </c>
      <c r="N86" s="1584"/>
      <c r="O86" s="1584">
        <v>2021</v>
      </c>
      <c r="P86" s="1584"/>
      <c r="Q86" s="1584">
        <v>2021</v>
      </c>
      <c r="R86" s="1584"/>
      <c r="S86" s="1584">
        <v>2021</v>
      </c>
      <c r="T86" s="1584"/>
      <c r="U86" s="1584">
        <v>2021</v>
      </c>
      <c r="V86" s="1584"/>
      <c r="W86" s="1584">
        <v>2021</v>
      </c>
      <c r="X86" s="1584"/>
      <c r="Y86" s="1584">
        <v>2021</v>
      </c>
      <c r="Z86" s="1584"/>
    </row>
    <row r="87" spans="1:26" ht="13.5" hidden="1" thickBot="1">
      <c r="A87" s="1589"/>
      <c r="B87" s="1597"/>
      <c r="C87" s="1163" t="s">
        <v>63</v>
      </c>
      <c r="D87" s="1164" t="str">
        <f>C87&amp;"/"&amp;A87</f>
        <v>Jan/</v>
      </c>
      <c r="E87" s="1163" t="s">
        <v>64</v>
      </c>
      <c r="F87" s="1164" t="str">
        <f>E87&amp;"/"&amp;C87</f>
        <v>Feb/Jan</v>
      </c>
      <c r="G87" s="1163" t="s">
        <v>65</v>
      </c>
      <c r="H87" s="1164" t="str">
        <f>G87&amp;"/"&amp;E87</f>
        <v>Mar/Feb</v>
      </c>
      <c r="I87" s="1163" t="s">
        <v>66</v>
      </c>
      <c r="J87" s="1164" t="str">
        <f>I87&amp;"/"&amp;G87</f>
        <v>Apr/Mar</v>
      </c>
      <c r="K87" s="1163" t="s">
        <v>67</v>
      </c>
      <c r="L87" s="1164" t="str">
        <f>K87&amp;"/"&amp;I87</f>
        <v>May/Apr</v>
      </c>
      <c r="M87" s="1163" t="s">
        <v>68</v>
      </c>
      <c r="N87" s="1164" t="str">
        <f>M87&amp;"/"&amp;K87</f>
        <v>Jun/May</v>
      </c>
      <c r="O87" s="1163" t="s">
        <v>184</v>
      </c>
      <c r="P87" s="1164" t="str">
        <f>O87&amp;"/"&amp;M87</f>
        <v>July/Jun</v>
      </c>
      <c r="Q87" s="1163" t="s">
        <v>70</v>
      </c>
      <c r="R87" s="1164" t="str">
        <f>Q87&amp;"/"&amp;O87</f>
        <v>Aug/July</v>
      </c>
      <c r="S87" s="1163" t="s">
        <v>71</v>
      </c>
      <c r="T87" s="1164" t="str">
        <f>S87&amp;"/"&amp;Q87</f>
        <v>Sep/Aug</v>
      </c>
      <c r="U87" s="1165" t="s">
        <v>72</v>
      </c>
      <c r="V87" s="1164" t="str">
        <f>U87&amp;"/"&amp;S87</f>
        <v>Oct/Sep</v>
      </c>
      <c r="W87" s="1163" t="s">
        <v>73</v>
      </c>
      <c r="X87" s="1164" t="str">
        <f>W87&amp;"/"&amp;U87</f>
        <v>Nov/Oct</v>
      </c>
      <c r="Y87" s="1163" t="s">
        <v>74</v>
      </c>
      <c r="Z87" s="1164" t="str">
        <f>Y87&amp;"/"&amp;W87</f>
        <v>Dec/Nov</v>
      </c>
    </row>
    <row r="88" spans="1:26" ht="13.5" hidden="1" thickTop="1">
      <c r="A88" s="1557" t="s">
        <v>81</v>
      </c>
      <c r="B88" s="1079" t="s">
        <v>82</v>
      </c>
      <c r="C88" s="1166">
        <v>17455907196</v>
      </c>
      <c r="D88" s="1167">
        <v>-0.14554754742838288</v>
      </c>
      <c r="E88" s="1166">
        <v>13168291941</v>
      </c>
      <c r="F88" s="1167">
        <f>+(E88-C88)/C88</f>
        <v>-0.24562546116093592</v>
      </c>
      <c r="G88" s="1166">
        <v>20161575981</v>
      </c>
      <c r="H88" s="1167">
        <f>+(G88-E88)/E88</f>
        <v>0.53106994220154946</v>
      </c>
      <c r="I88" s="1166">
        <v>21332038786</v>
      </c>
      <c r="J88" s="1167">
        <f>+(I88-G88)/G88</f>
        <v>5.8054132578873222E-2</v>
      </c>
      <c r="K88" s="1168">
        <v>23262519614</v>
      </c>
      <c r="L88" s="1167">
        <f>+(K88-I88)/I88</f>
        <v>9.0496780329639884E-2</v>
      </c>
      <c r="M88" s="1166">
        <v>23929464835</v>
      </c>
      <c r="N88" s="1167">
        <f>+(M88-K88)/K88</f>
        <v>2.8670377588789424E-2</v>
      </c>
      <c r="O88" s="1166">
        <v>19676429716</v>
      </c>
      <c r="P88" s="1167">
        <f>+(O88-M88)/M88</f>
        <v>-0.17773214521619285</v>
      </c>
      <c r="Q88" s="1166">
        <v>18178290229</v>
      </c>
      <c r="R88" s="1167">
        <f>+(Q88-O88)/O88</f>
        <v>-7.6138786793306282E-2</v>
      </c>
      <c r="S88" s="1166">
        <v>15846022765</v>
      </c>
      <c r="T88" s="1167">
        <f>+(S88-Q88)/Q88</f>
        <v>-0.12829960544250257</v>
      </c>
      <c r="U88" s="1168">
        <v>14263482965</v>
      </c>
      <c r="V88" s="1167">
        <f>+(U88-S88)/S88</f>
        <v>-9.9869842639343204E-2</v>
      </c>
      <c r="W88" s="1166">
        <v>12002075819</v>
      </c>
      <c r="X88" s="1167">
        <f>+(W88-U88)/U88</f>
        <v>-0.15854522710540497</v>
      </c>
      <c r="Y88" s="1166">
        <v>16178173363</v>
      </c>
      <c r="Z88" s="1167">
        <f>+(Y88-W88)/W88</f>
        <v>0.34794793892144799</v>
      </c>
    </row>
    <row r="89" spans="1:26" hidden="1">
      <c r="A89" s="1558"/>
      <c r="B89" s="1109" t="s">
        <v>83</v>
      </c>
      <c r="C89" s="1130">
        <v>1752</v>
      </c>
      <c r="D89" s="1169">
        <v>-3.4710743801652892E-2</v>
      </c>
      <c r="E89" s="1130">
        <v>1769</v>
      </c>
      <c r="F89" s="1126">
        <f t="shared" ref="F89:F104" si="17">+(E89-C89)/C89</f>
        <v>9.7031963470319629E-3</v>
      </c>
      <c r="G89" s="1130">
        <v>1982</v>
      </c>
      <c r="H89" s="1126">
        <f t="shared" ref="H89:H104" si="18">+(G89-E89)/E89</f>
        <v>0.12040700960994913</v>
      </c>
      <c r="I89" s="1130">
        <v>2073</v>
      </c>
      <c r="J89" s="1126">
        <f t="shared" ref="J89:J104" si="19">+(I89-G89)/G89</f>
        <v>4.5913218970736629E-2</v>
      </c>
      <c r="K89" s="1129">
        <v>2136</v>
      </c>
      <c r="L89" s="1126">
        <f t="shared" ref="L89:L104" si="20">+(K89-I89)/I89</f>
        <v>3.0390738060781478E-2</v>
      </c>
      <c r="M89" s="1130">
        <v>2122</v>
      </c>
      <c r="N89" s="1126">
        <f t="shared" ref="N89:N104" si="21">+(M89-K89)/K89</f>
        <v>-6.5543071161048693E-3</v>
      </c>
      <c r="O89" s="1130">
        <v>2072</v>
      </c>
      <c r="P89" s="1126">
        <f t="shared" ref="P89:P104" si="22">+(O89-M89)/M89</f>
        <v>-2.35626767200754E-2</v>
      </c>
      <c r="Q89" s="1130">
        <v>1259</v>
      </c>
      <c r="R89" s="1126">
        <f t="shared" ref="R89:R104" si="23">+(Q89-O89)/O89</f>
        <v>-0.3923745173745174</v>
      </c>
      <c r="S89" s="1130">
        <v>1183</v>
      </c>
      <c r="T89" s="1126">
        <f t="shared" ref="T89:T104" si="24">+(S89-Q89)/Q89</f>
        <v>-6.0365369340746627E-2</v>
      </c>
      <c r="U89" s="1129">
        <v>1780</v>
      </c>
      <c r="V89" s="1126">
        <f t="shared" ref="V89:V104" si="25">+(U89-S89)/S89</f>
        <v>0.50464919695688926</v>
      </c>
      <c r="W89" s="1130">
        <v>1759</v>
      </c>
      <c r="X89" s="1126">
        <f t="shared" ref="X89:X104" si="26">+(W89-U89)/U89</f>
        <v>-1.1797752808988765E-2</v>
      </c>
      <c r="Y89" s="1130">
        <v>1688</v>
      </c>
      <c r="Z89" s="1126">
        <f t="shared" ref="Z89:Z104" si="27">+(Y89-W89)/W89</f>
        <v>-4.0363843092666288E-2</v>
      </c>
    </row>
    <row r="90" spans="1:26" hidden="1">
      <c r="A90" s="1559"/>
      <c r="B90" s="1085" t="s">
        <v>84</v>
      </c>
      <c r="C90" s="1127">
        <f>+C88/C89</f>
        <v>9963417.3493150678</v>
      </c>
      <c r="D90" s="1128">
        <v>-0.11482237362015707</v>
      </c>
      <c r="E90" s="1127">
        <f>+E88/E89</f>
        <v>7443918.5647258339</v>
      </c>
      <c r="F90" s="1128">
        <f t="shared" si="17"/>
        <v>-0.25287496209946841</v>
      </c>
      <c r="G90" s="1127">
        <f>+G88/G89</f>
        <v>10172339.041876892</v>
      </c>
      <c r="H90" s="1128">
        <f t="shared" si="18"/>
        <v>0.36653013509310844</v>
      </c>
      <c r="I90" s="1170">
        <v>10290419.095996141</v>
      </c>
      <c r="J90" s="1128">
        <f t="shared" si="19"/>
        <v>1.1607955027171699E-2</v>
      </c>
      <c r="K90" s="1127">
        <v>10890692.703183521</v>
      </c>
      <c r="L90" s="1128">
        <f t="shared" si="20"/>
        <v>5.8333251696321801E-2</v>
      </c>
      <c r="M90" s="1127">
        <v>11276844.879830349</v>
      </c>
      <c r="N90" s="1128">
        <f t="shared" si="21"/>
        <v>3.545708130520938E-2</v>
      </c>
      <c r="O90" s="1170">
        <v>9496346.3880308885</v>
      </c>
      <c r="P90" s="1128">
        <f t="shared" si="22"/>
        <v>-0.15788977420307007</v>
      </c>
      <c r="Q90" s="1170">
        <v>14438673.732327243</v>
      </c>
      <c r="R90" s="1128">
        <f t="shared" si="23"/>
        <v>0.52044514198909386</v>
      </c>
      <c r="S90" s="1170">
        <v>13394778.330515638</v>
      </c>
      <c r="T90" s="1128">
        <f t="shared" si="24"/>
        <v>-7.229856572452302E-2</v>
      </c>
      <c r="U90" s="1127">
        <v>8013192.6769662919</v>
      </c>
      <c r="V90" s="1128">
        <f t="shared" si="25"/>
        <v>-0.40176742912491181</v>
      </c>
      <c r="W90" s="1127">
        <v>6823238.1006253557</v>
      </c>
      <c r="X90" s="1128">
        <f t="shared" si="26"/>
        <v>-0.14849943390996059</v>
      </c>
      <c r="Y90" s="1086">
        <v>9584225.9259478673</v>
      </c>
      <c r="Z90" s="1128">
        <f t="shared" si="27"/>
        <v>0.40464480128129554</v>
      </c>
    </row>
    <row r="91" spans="1:26" hidden="1">
      <c r="A91" s="1560" t="s">
        <v>77</v>
      </c>
      <c r="B91" s="1088" t="s">
        <v>82</v>
      </c>
      <c r="C91" s="1121">
        <v>15446636249</v>
      </c>
      <c r="D91" s="1122">
        <v>-0.15124976935540246</v>
      </c>
      <c r="E91" s="1121">
        <v>11176485172</v>
      </c>
      <c r="F91" s="1122">
        <f t="shared" si="17"/>
        <v>-0.2764453702518207</v>
      </c>
      <c r="G91" s="1121">
        <v>17803158581</v>
      </c>
      <c r="H91" s="1122">
        <f t="shared" si="18"/>
        <v>0.59291211029398927</v>
      </c>
      <c r="I91" s="1150">
        <v>18870642693</v>
      </c>
      <c r="J91" s="1122">
        <f t="shared" si="19"/>
        <v>5.9960377656762952E-2</v>
      </c>
      <c r="K91" s="1121">
        <v>20706435115</v>
      </c>
      <c r="L91" s="1122">
        <f t="shared" si="20"/>
        <v>9.7282983513909724E-2</v>
      </c>
      <c r="M91" s="1150">
        <v>21323228831</v>
      </c>
      <c r="N91" s="1122">
        <f t="shared" si="21"/>
        <v>2.9787537670025437E-2</v>
      </c>
      <c r="O91" s="1150">
        <v>16810972066</v>
      </c>
      <c r="P91" s="1122">
        <f t="shared" si="22"/>
        <v>-0.21161226570152544</v>
      </c>
      <c r="Q91" s="1150">
        <v>15334636596</v>
      </c>
      <c r="R91" s="1122">
        <f t="shared" si="23"/>
        <v>-8.7819756299867491E-2</v>
      </c>
      <c r="S91" s="1150">
        <v>13300179614</v>
      </c>
      <c r="T91" s="1122">
        <f t="shared" si="24"/>
        <v>-0.13267070068883685</v>
      </c>
      <c r="U91" s="1121">
        <v>11956952414</v>
      </c>
      <c r="V91" s="1122">
        <f t="shared" si="25"/>
        <v>-0.10099316242211465</v>
      </c>
      <c r="W91" s="1121">
        <v>9652946760</v>
      </c>
      <c r="X91" s="1122">
        <f t="shared" si="26"/>
        <v>-0.19269171392723083</v>
      </c>
      <c r="Y91" s="1121">
        <v>13898826665</v>
      </c>
      <c r="Z91" s="1122">
        <f t="shared" si="27"/>
        <v>0.4398532396961029</v>
      </c>
    </row>
    <row r="92" spans="1:26" hidden="1">
      <c r="A92" s="1558"/>
      <c r="B92" s="1109" t="s">
        <v>83</v>
      </c>
      <c r="C92" s="1125">
        <v>1678</v>
      </c>
      <c r="D92" s="1169">
        <v>-3.4522439585730723E-2</v>
      </c>
      <c r="E92" s="1125">
        <v>1693</v>
      </c>
      <c r="F92" s="1126">
        <f t="shared" si="17"/>
        <v>8.9392133492252682E-3</v>
      </c>
      <c r="G92" s="1125">
        <v>1903</v>
      </c>
      <c r="H92" s="1126">
        <f t="shared" si="18"/>
        <v>0.12404016538688718</v>
      </c>
      <c r="I92" s="1151">
        <v>1992</v>
      </c>
      <c r="J92" s="1126">
        <f t="shared" si="19"/>
        <v>4.6768260641093011E-2</v>
      </c>
      <c r="K92" s="1125">
        <v>2051</v>
      </c>
      <c r="L92" s="1126">
        <f t="shared" si="20"/>
        <v>2.961847389558233E-2</v>
      </c>
      <c r="M92" s="1151">
        <v>2034</v>
      </c>
      <c r="N92" s="1126">
        <f t="shared" si="21"/>
        <v>-8.2886396879570945E-3</v>
      </c>
      <c r="O92" s="1151">
        <v>1980</v>
      </c>
      <c r="P92" s="1126">
        <f t="shared" si="22"/>
        <v>-2.6548672566371681E-2</v>
      </c>
      <c r="Q92" s="1151">
        <v>1168</v>
      </c>
      <c r="R92" s="1126">
        <f t="shared" si="23"/>
        <v>-0.41010101010101008</v>
      </c>
      <c r="S92" s="1151">
        <v>1098</v>
      </c>
      <c r="T92" s="1126">
        <f t="shared" si="24"/>
        <v>-5.9931506849315065E-2</v>
      </c>
      <c r="U92" s="1125">
        <v>1696</v>
      </c>
      <c r="V92" s="1126">
        <f t="shared" si="25"/>
        <v>0.54462659380692169</v>
      </c>
      <c r="W92" s="1125">
        <v>1675</v>
      </c>
      <c r="X92" s="1126">
        <f t="shared" si="26"/>
        <v>-1.2382075471698114E-2</v>
      </c>
      <c r="Y92" s="1125">
        <v>1617</v>
      </c>
      <c r="Z92" s="1126">
        <f t="shared" si="27"/>
        <v>-3.4626865671641791E-2</v>
      </c>
    </row>
    <row r="93" spans="1:26" hidden="1">
      <c r="A93" s="1559"/>
      <c r="B93" s="1085" t="s">
        <v>84</v>
      </c>
      <c r="C93" s="1127">
        <f>+C91/C92</f>
        <v>9205385.1305125151</v>
      </c>
      <c r="D93" s="1128">
        <v>-0.12090113178765767</v>
      </c>
      <c r="E93" s="1127">
        <f>+E91/E92</f>
        <v>6601586.0437093917</v>
      </c>
      <c r="F93" s="1128">
        <f t="shared" si="17"/>
        <v>-0.282856072818993</v>
      </c>
      <c r="G93" s="1127">
        <f>+G91/G92</f>
        <v>9355311.9185496587</v>
      </c>
      <c r="H93" s="1128">
        <f t="shared" si="18"/>
        <v>0.41713095256317601</v>
      </c>
      <c r="I93" s="1170">
        <v>9473214.2033132538</v>
      </c>
      <c r="J93" s="1128">
        <f t="shared" si="19"/>
        <v>1.2602710181134539E-2</v>
      </c>
      <c r="K93" s="1127">
        <v>10095775.287664553</v>
      </c>
      <c r="L93" s="1128">
        <f t="shared" si="20"/>
        <v>6.5718041521066708E-2</v>
      </c>
      <c r="M93" s="1170">
        <v>10483396.67207473</v>
      </c>
      <c r="N93" s="1128">
        <f t="shared" si="21"/>
        <v>3.8394414828526215E-2</v>
      </c>
      <c r="O93" s="1170">
        <v>8490389.9323232323</v>
      </c>
      <c r="P93" s="1128">
        <f t="shared" si="22"/>
        <v>-0.1901107820388398</v>
      </c>
      <c r="Q93" s="1152">
        <v>13128969.688356165</v>
      </c>
      <c r="R93" s="1128">
        <f t="shared" si="23"/>
        <v>0.54633294736837534</v>
      </c>
      <c r="S93" s="1152">
        <v>12113096.187613843</v>
      </c>
      <c r="T93" s="1128">
        <f t="shared" si="24"/>
        <v>-7.7376483064263674E-2</v>
      </c>
      <c r="U93" s="1127">
        <v>7050089.8667452829</v>
      </c>
      <c r="V93" s="1128">
        <f t="shared" si="25"/>
        <v>-0.41797788463412844</v>
      </c>
      <c r="W93" s="1127">
        <v>5762953.2895522388</v>
      </c>
      <c r="X93" s="1128">
        <f t="shared" si="26"/>
        <v>-0.18257023690781102</v>
      </c>
      <c r="Y93" s="1127">
        <v>8595440.1144094002</v>
      </c>
      <c r="Z93" s="1128">
        <f t="shared" si="27"/>
        <v>0.49149918150338429</v>
      </c>
    </row>
    <row r="94" spans="1:26" hidden="1">
      <c r="A94" s="1561" t="s">
        <v>1</v>
      </c>
      <c r="B94" s="1088" t="s">
        <v>82</v>
      </c>
      <c r="C94" s="1150">
        <v>706894785</v>
      </c>
      <c r="D94" s="1122">
        <v>-0.1759978680276679</v>
      </c>
      <c r="E94" s="1130">
        <v>656005794</v>
      </c>
      <c r="F94" s="1122">
        <f t="shared" si="17"/>
        <v>-7.1989484262498835E-2</v>
      </c>
      <c r="G94" s="1130">
        <v>862840050</v>
      </c>
      <c r="H94" s="1122">
        <f t="shared" si="18"/>
        <v>0.31529333718049446</v>
      </c>
      <c r="I94" s="1130">
        <v>840712112</v>
      </c>
      <c r="J94" s="1122">
        <f t="shared" si="19"/>
        <v>-2.5645469284834424E-2</v>
      </c>
      <c r="K94" s="1129">
        <v>851076252</v>
      </c>
      <c r="L94" s="1122">
        <f t="shared" si="20"/>
        <v>1.2327810973657056E-2</v>
      </c>
      <c r="M94" s="1130">
        <v>880342181</v>
      </c>
      <c r="N94" s="1122">
        <f t="shared" si="21"/>
        <v>3.4386964659425132E-2</v>
      </c>
      <c r="O94" s="1130">
        <v>897303464</v>
      </c>
      <c r="P94" s="1122">
        <f t="shared" si="22"/>
        <v>1.9266693526752639E-2</v>
      </c>
      <c r="Q94" s="1130">
        <v>876329973</v>
      </c>
      <c r="R94" s="1122">
        <f t="shared" si="23"/>
        <v>-2.3373910657275697E-2</v>
      </c>
      <c r="S94" s="1130">
        <v>783684964</v>
      </c>
      <c r="T94" s="1122">
        <f t="shared" si="24"/>
        <v>-0.10571932018123498</v>
      </c>
      <c r="U94" s="1129">
        <v>678115844</v>
      </c>
      <c r="V94" s="1122">
        <f t="shared" si="25"/>
        <v>-0.13470861998061762</v>
      </c>
      <c r="W94" s="1130">
        <v>727538257</v>
      </c>
      <c r="X94" s="1122">
        <f t="shared" si="26"/>
        <v>7.2881961743397936E-2</v>
      </c>
      <c r="Y94" s="1130">
        <v>841570109</v>
      </c>
      <c r="Z94" s="1122">
        <f t="shared" si="27"/>
        <v>0.15673657144877812</v>
      </c>
    </row>
    <row r="95" spans="1:26" hidden="1">
      <c r="A95" s="1558"/>
      <c r="B95" s="1109" t="s">
        <v>83</v>
      </c>
      <c r="C95" s="1171">
        <v>53</v>
      </c>
      <c r="D95" s="1169">
        <v>-5.3571428571428568E-2</v>
      </c>
      <c r="E95" s="1130">
        <v>55</v>
      </c>
      <c r="F95" s="1126">
        <f t="shared" si="17"/>
        <v>3.7735849056603772E-2</v>
      </c>
      <c r="G95" s="1130">
        <v>57</v>
      </c>
      <c r="H95" s="1126">
        <f t="shared" si="18"/>
        <v>3.6363636363636362E-2</v>
      </c>
      <c r="I95" s="1130">
        <v>58</v>
      </c>
      <c r="J95" s="1126">
        <f t="shared" si="19"/>
        <v>1.7543859649122806E-2</v>
      </c>
      <c r="K95" s="1129">
        <v>60</v>
      </c>
      <c r="L95" s="1126">
        <f t="shared" si="20"/>
        <v>3.4482758620689655E-2</v>
      </c>
      <c r="M95" s="1130">
        <v>61</v>
      </c>
      <c r="N95" s="1126">
        <f t="shared" si="21"/>
        <v>1.6666666666666666E-2</v>
      </c>
      <c r="O95" s="1130">
        <v>64</v>
      </c>
      <c r="P95" s="1126">
        <f t="shared" si="22"/>
        <v>4.9180327868852458E-2</v>
      </c>
      <c r="Q95" s="1130">
        <v>63</v>
      </c>
      <c r="R95" s="1126">
        <f t="shared" si="23"/>
        <v>-1.5625E-2</v>
      </c>
      <c r="S95" s="1130">
        <v>60</v>
      </c>
      <c r="T95" s="1126">
        <f t="shared" si="24"/>
        <v>-4.7619047619047616E-2</v>
      </c>
      <c r="U95" s="1129">
        <v>60</v>
      </c>
      <c r="V95" s="1126">
        <f t="shared" si="25"/>
        <v>0</v>
      </c>
      <c r="W95" s="1130">
        <v>60</v>
      </c>
      <c r="X95" s="1126">
        <f t="shared" si="26"/>
        <v>0</v>
      </c>
      <c r="Y95" s="1130">
        <v>60</v>
      </c>
      <c r="Z95" s="1126">
        <f t="shared" si="27"/>
        <v>0</v>
      </c>
    </row>
    <row r="96" spans="1:26" hidden="1">
      <c r="A96" s="1559"/>
      <c r="B96" s="1085" t="s">
        <v>84</v>
      </c>
      <c r="C96" s="1127">
        <f>+C94/C95</f>
        <v>13337637.452830188</v>
      </c>
      <c r="D96" s="1128">
        <v>-0.12935623791602649</v>
      </c>
      <c r="E96" s="1127">
        <f>+E94/E95</f>
        <v>11927378.072727272</v>
      </c>
      <c r="F96" s="1128">
        <f t="shared" si="17"/>
        <v>-0.10573532119840796</v>
      </c>
      <c r="G96" s="1127">
        <f>+G94/G95</f>
        <v>15137544.736842105</v>
      </c>
      <c r="H96" s="1128">
        <f t="shared" si="18"/>
        <v>0.26914269377065259</v>
      </c>
      <c r="I96" s="1170">
        <v>14495036.413793104</v>
      </c>
      <c r="J96" s="1128">
        <f t="shared" si="19"/>
        <v>-4.2444685331647601E-2</v>
      </c>
      <c r="K96" s="1127">
        <v>14184604.199999999</v>
      </c>
      <c r="L96" s="1128">
        <f t="shared" si="20"/>
        <v>-2.1416449392131585E-2</v>
      </c>
      <c r="M96" s="1170">
        <v>14431839.032786885</v>
      </c>
      <c r="N96" s="1128">
        <f t="shared" si="21"/>
        <v>1.7429801304352645E-2</v>
      </c>
      <c r="O96" s="1170">
        <v>14020366.625</v>
      </c>
      <c r="P96" s="1128">
        <f t="shared" si="22"/>
        <v>-2.8511432732313893E-2</v>
      </c>
      <c r="Q96" s="1152">
        <v>13909999.571428571</v>
      </c>
      <c r="R96" s="1128">
        <f t="shared" si="23"/>
        <v>-7.871909239137255E-3</v>
      </c>
      <c r="S96" s="1152">
        <v>13061416.066666666</v>
      </c>
      <c r="T96" s="1128">
        <f t="shared" si="24"/>
        <v>-6.1005286190296708E-2</v>
      </c>
      <c r="U96" s="1127">
        <v>11301930.733333332</v>
      </c>
      <c r="V96" s="1128">
        <f t="shared" si="25"/>
        <v>-0.13470861998061767</v>
      </c>
      <c r="W96" s="1127">
        <v>12125637.616666667</v>
      </c>
      <c r="X96" s="1128">
        <f t="shared" si="26"/>
        <v>7.288196174339806E-2</v>
      </c>
      <c r="Y96" s="1127">
        <v>14026168.483333332</v>
      </c>
      <c r="Z96" s="1128">
        <f t="shared" si="27"/>
        <v>0.15673657144877801</v>
      </c>
    </row>
    <row r="97" spans="1:26" hidden="1">
      <c r="A97" s="1560" t="s">
        <v>78</v>
      </c>
      <c r="B97" s="1088" t="s">
        <v>82</v>
      </c>
      <c r="C97" s="1130">
        <v>288005812</v>
      </c>
      <c r="D97" s="1122">
        <v>-0.18955199166547584</v>
      </c>
      <c r="E97" s="1130">
        <v>267556475</v>
      </c>
      <c r="F97" s="1122">
        <f t="shared" si="17"/>
        <v>-7.1003209476897644E-2</v>
      </c>
      <c r="G97" s="1130">
        <v>360160454</v>
      </c>
      <c r="H97" s="1122">
        <f t="shared" si="18"/>
        <v>0.34611002779880395</v>
      </c>
      <c r="I97" s="1130">
        <v>463600445</v>
      </c>
      <c r="J97" s="1122">
        <f t="shared" si="19"/>
        <v>0.28720529933583433</v>
      </c>
      <c r="K97" s="1129">
        <v>507548296</v>
      </c>
      <c r="L97" s="1122">
        <f t="shared" si="20"/>
        <v>9.4796826607877818E-2</v>
      </c>
      <c r="M97" s="1130">
        <v>508292537</v>
      </c>
      <c r="N97" s="1122">
        <f t="shared" si="21"/>
        <v>1.4663451850107285E-3</v>
      </c>
      <c r="O97" s="1130">
        <v>655274163</v>
      </c>
      <c r="P97" s="1122">
        <f t="shared" si="22"/>
        <v>0.28916738944762432</v>
      </c>
      <c r="Q97" s="1130">
        <v>654443637</v>
      </c>
      <c r="R97" s="1122">
        <f t="shared" si="23"/>
        <v>-1.2674481108756917E-3</v>
      </c>
      <c r="S97" s="1130">
        <v>446798692</v>
      </c>
      <c r="T97" s="1122">
        <f t="shared" si="24"/>
        <v>-0.31728468772628621</v>
      </c>
      <c r="U97" s="1129">
        <v>401560733</v>
      </c>
      <c r="V97" s="1122">
        <f t="shared" si="25"/>
        <v>-0.10124908557252446</v>
      </c>
      <c r="W97" s="1130">
        <v>388303395</v>
      </c>
      <c r="X97" s="1122">
        <f t="shared" si="26"/>
        <v>-3.3014527842292786E-2</v>
      </c>
      <c r="Y97" s="1130">
        <v>458171326</v>
      </c>
      <c r="Z97" s="1122">
        <f t="shared" si="27"/>
        <v>0.17993129058271562</v>
      </c>
    </row>
    <row r="98" spans="1:26" hidden="1">
      <c r="A98" s="1558"/>
      <c r="B98" s="1109" t="s">
        <v>83</v>
      </c>
      <c r="C98" s="1130">
        <v>14</v>
      </c>
      <c r="D98" s="1169">
        <v>0</v>
      </c>
      <c r="E98" s="1130">
        <v>14</v>
      </c>
      <c r="F98" s="1126">
        <f t="shared" si="17"/>
        <v>0</v>
      </c>
      <c r="G98" s="1130">
        <v>14</v>
      </c>
      <c r="H98" s="1126">
        <f t="shared" si="18"/>
        <v>0</v>
      </c>
      <c r="I98" s="1130">
        <v>15</v>
      </c>
      <c r="J98" s="1126">
        <f t="shared" si="19"/>
        <v>7.1428571428571425E-2</v>
      </c>
      <c r="K98" s="1129">
        <v>17</v>
      </c>
      <c r="L98" s="1126">
        <f t="shared" si="20"/>
        <v>0.13333333333333333</v>
      </c>
      <c r="M98" s="1130">
        <v>18</v>
      </c>
      <c r="N98" s="1126">
        <f t="shared" si="21"/>
        <v>5.8823529411764705E-2</v>
      </c>
      <c r="O98" s="1130">
        <v>19</v>
      </c>
      <c r="P98" s="1126">
        <f t="shared" si="22"/>
        <v>5.5555555555555552E-2</v>
      </c>
      <c r="Q98" s="1130">
        <v>19</v>
      </c>
      <c r="R98" s="1126">
        <f t="shared" si="23"/>
        <v>0</v>
      </c>
      <c r="S98" s="1130">
        <v>16</v>
      </c>
      <c r="T98" s="1126">
        <f t="shared" si="24"/>
        <v>-0.15789473684210525</v>
      </c>
      <c r="U98" s="1129">
        <v>16</v>
      </c>
      <c r="V98" s="1126">
        <f t="shared" si="25"/>
        <v>0</v>
      </c>
      <c r="W98" s="1130">
        <v>16</v>
      </c>
      <c r="X98" s="1126">
        <f t="shared" si="26"/>
        <v>0</v>
      </c>
      <c r="Y98" s="1130">
        <v>16</v>
      </c>
      <c r="Z98" s="1126">
        <f t="shared" si="27"/>
        <v>0</v>
      </c>
    </row>
    <row r="99" spans="1:26" hidden="1">
      <c r="A99" s="1559"/>
      <c r="B99" s="1085" t="s">
        <v>84</v>
      </c>
      <c r="C99" s="1127">
        <f>+C97/C98</f>
        <v>20571843.714285713</v>
      </c>
      <c r="D99" s="1128">
        <v>-0.18955199166547593</v>
      </c>
      <c r="E99" s="1127">
        <f>+E97/E98</f>
        <v>19111176.785714287</v>
      </c>
      <c r="F99" s="1128">
        <f t="shared" si="17"/>
        <v>-7.1003209476897491E-2</v>
      </c>
      <c r="G99" s="1127">
        <f>+G97/G98</f>
        <v>25725746.714285713</v>
      </c>
      <c r="H99" s="1128">
        <f t="shared" si="18"/>
        <v>0.34611002779880379</v>
      </c>
      <c r="I99" s="1170">
        <v>30906696.333333332</v>
      </c>
      <c r="J99" s="1128">
        <f t="shared" si="19"/>
        <v>0.20139161271344541</v>
      </c>
      <c r="K99" s="1127">
        <v>29855782.117647059</v>
      </c>
      <c r="L99" s="1128">
        <f t="shared" si="20"/>
        <v>-3.4002800051872457E-2</v>
      </c>
      <c r="M99" s="1152">
        <v>28238474.277777776</v>
      </c>
      <c r="N99" s="1128">
        <f t="shared" si="21"/>
        <v>-5.4170673991934384E-2</v>
      </c>
      <c r="O99" s="1170">
        <v>34488113.842105262</v>
      </c>
      <c r="P99" s="1128">
        <f t="shared" si="22"/>
        <v>0.22131647421353887</v>
      </c>
      <c r="Q99" s="1152">
        <v>34444401.947368421</v>
      </c>
      <c r="R99" s="1128">
        <f t="shared" si="23"/>
        <v>-1.2674481108756689E-3</v>
      </c>
      <c r="S99" s="1152">
        <v>27924918.25</v>
      </c>
      <c r="T99" s="1128">
        <f t="shared" si="24"/>
        <v>-0.18927556667496484</v>
      </c>
      <c r="U99" s="1127">
        <v>25097545.8125</v>
      </c>
      <c r="V99" s="1128">
        <f t="shared" si="25"/>
        <v>-0.10124908557252446</v>
      </c>
      <c r="W99" s="1127">
        <v>24268962.1875</v>
      </c>
      <c r="X99" s="1128">
        <f t="shared" si="26"/>
        <v>-3.3014527842292786E-2</v>
      </c>
      <c r="Y99" s="1127">
        <v>28635707.875</v>
      </c>
      <c r="Z99" s="1128">
        <f t="shared" si="27"/>
        <v>0.17993129058271562</v>
      </c>
    </row>
    <row r="100" spans="1:26" hidden="1">
      <c r="A100" s="1560" t="s">
        <v>5</v>
      </c>
      <c r="B100" s="1088" t="s">
        <v>82</v>
      </c>
      <c r="C100" s="1130">
        <v>1014370350</v>
      </c>
      <c r="D100" s="1122">
        <v>-2.4198222142934483E-3</v>
      </c>
      <c r="E100" s="1130">
        <v>1068244500</v>
      </c>
      <c r="F100" s="1122">
        <f t="shared" si="17"/>
        <v>5.3110927384657884E-2</v>
      </c>
      <c r="G100" s="1130">
        <v>1135416896</v>
      </c>
      <c r="H100" s="1122">
        <f t="shared" si="18"/>
        <v>6.2881106338483372E-2</v>
      </c>
      <c r="I100" s="1130">
        <v>1157083536</v>
      </c>
      <c r="J100" s="1122">
        <f t="shared" si="19"/>
        <v>1.908254146677768E-2</v>
      </c>
      <c r="K100" s="1129">
        <v>1197459951</v>
      </c>
      <c r="L100" s="1122">
        <f t="shared" si="20"/>
        <v>3.4894987046121102E-2</v>
      </c>
      <c r="M100" s="1130">
        <v>1217601286</v>
      </c>
      <c r="N100" s="1122">
        <f t="shared" si="21"/>
        <v>1.6820048957111217E-2</v>
      </c>
      <c r="O100" s="1130">
        <v>1312880023</v>
      </c>
      <c r="P100" s="1122">
        <f t="shared" si="22"/>
        <v>7.825117967229217E-2</v>
      </c>
      <c r="Q100" s="1130">
        <v>1312880023</v>
      </c>
      <c r="R100" s="1122">
        <f t="shared" si="23"/>
        <v>0</v>
      </c>
      <c r="S100" s="1130">
        <v>1315359495</v>
      </c>
      <c r="T100" s="1122">
        <f t="shared" si="24"/>
        <v>1.8885747033718099E-3</v>
      </c>
      <c r="U100" s="1129">
        <v>1226853974</v>
      </c>
      <c r="V100" s="1122">
        <f t="shared" si="25"/>
        <v>-6.7286183994893348E-2</v>
      </c>
      <c r="W100" s="1130">
        <v>1233287407</v>
      </c>
      <c r="X100" s="1122">
        <f t="shared" si="26"/>
        <v>5.2438457520943725E-3</v>
      </c>
      <c r="Y100" s="1130">
        <v>981806694</v>
      </c>
      <c r="Z100" s="1122">
        <f t="shared" si="27"/>
        <v>-0.20391087395575749</v>
      </c>
    </row>
    <row r="101" spans="1:26" hidden="1">
      <c r="A101" s="1558"/>
      <c r="B101" s="1109" t="s">
        <v>83</v>
      </c>
      <c r="C101" s="1130">
        <v>7</v>
      </c>
      <c r="D101" s="1169">
        <v>0</v>
      </c>
      <c r="E101" s="1130">
        <v>7</v>
      </c>
      <c r="F101" s="1126">
        <f t="shared" si="17"/>
        <v>0</v>
      </c>
      <c r="G101" s="1130">
        <v>8</v>
      </c>
      <c r="H101" s="1126">
        <f t="shared" si="18"/>
        <v>0.14285714285714285</v>
      </c>
      <c r="I101" s="1130">
        <v>8</v>
      </c>
      <c r="J101" s="1126">
        <f t="shared" si="19"/>
        <v>0</v>
      </c>
      <c r="K101" s="1129">
        <v>8</v>
      </c>
      <c r="L101" s="1126">
        <f t="shared" si="20"/>
        <v>0</v>
      </c>
      <c r="M101" s="1130">
        <v>9</v>
      </c>
      <c r="N101" s="1126">
        <f t="shared" si="21"/>
        <v>0.125</v>
      </c>
      <c r="O101" s="1130">
        <v>9</v>
      </c>
      <c r="P101" s="1126">
        <f t="shared" si="22"/>
        <v>0</v>
      </c>
      <c r="Q101" s="1130">
        <v>9</v>
      </c>
      <c r="R101" s="1126">
        <f t="shared" si="23"/>
        <v>0</v>
      </c>
      <c r="S101" s="1130">
        <v>9</v>
      </c>
      <c r="T101" s="1126">
        <f t="shared" si="24"/>
        <v>0</v>
      </c>
      <c r="U101" s="1129">
        <v>8</v>
      </c>
      <c r="V101" s="1126">
        <f t="shared" si="25"/>
        <v>-0.1111111111111111</v>
      </c>
      <c r="W101" s="1130">
        <v>8</v>
      </c>
      <c r="X101" s="1126">
        <f t="shared" si="26"/>
        <v>0</v>
      </c>
      <c r="Y101" s="1130">
        <v>7</v>
      </c>
      <c r="Z101" s="1126">
        <f t="shared" si="27"/>
        <v>-0.125</v>
      </c>
    </row>
    <row r="102" spans="1:26" hidden="1">
      <c r="A102" s="1559"/>
      <c r="B102" s="1085" t="s">
        <v>84</v>
      </c>
      <c r="C102" s="1127">
        <f>+C100/C101</f>
        <v>144910050</v>
      </c>
      <c r="D102" s="1128">
        <v>-2.4198222142933897E-3</v>
      </c>
      <c r="E102" s="1127">
        <f>+E100/E101</f>
        <v>152606357.14285713</v>
      </c>
      <c r="F102" s="1128">
        <f t="shared" si="17"/>
        <v>5.3110927384657822E-2</v>
      </c>
      <c r="G102" s="1127">
        <f>+G100/G101</f>
        <v>141927112</v>
      </c>
      <c r="H102" s="1128">
        <f t="shared" si="18"/>
        <v>-6.9979031953827001E-2</v>
      </c>
      <c r="I102" s="1170">
        <v>144635442</v>
      </c>
      <c r="J102" s="1128">
        <f t="shared" si="19"/>
        <v>1.908254146677768E-2</v>
      </c>
      <c r="K102" s="1127">
        <v>149682493.875</v>
      </c>
      <c r="L102" s="1128">
        <f t="shared" si="20"/>
        <v>3.4894987046121102E-2</v>
      </c>
      <c r="M102" s="1127">
        <v>135289031.77777779</v>
      </c>
      <c r="N102" s="1128">
        <f t="shared" si="21"/>
        <v>-9.6159956482567713E-2</v>
      </c>
      <c r="O102" s="1170">
        <v>145875558.1111111</v>
      </c>
      <c r="P102" s="1128">
        <f t="shared" si="22"/>
        <v>7.8251179672292018E-2</v>
      </c>
      <c r="Q102" s="1170">
        <v>145875558.1111111</v>
      </c>
      <c r="R102" s="1128">
        <f t="shared" si="23"/>
        <v>0</v>
      </c>
      <c r="S102" s="1170">
        <v>146151055</v>
      </c>
      <c r="T102" s="1128">
        <f t="shared" si="24"/>
        <v>1.8885747033718554E-3</v>
      </c>
      <c r="U102" s="1127">
        <v>153356746.75</v>
      </c>
      <c r="V102" s="1128">
        <f t="shared" si="25"/>
        <v>4.9303043005744979E-2</v>
      </c>
      <c r="W102" s="1127">
        <v>154160925.875</v>
      </c>
      <c r="X102" s="1128">
        <f t="shared" si="26"/>
        <v>5.2438457520943725E-3</v>
      </c>
      <c r="Y102" s="1127">
        <v>140258099.14285713</v>
      </c>
      <c r="Z102" s="1128">
        <f t="shared" si="27"/>
        <v>-9.0183855949437203E-2</v>
      </c>
    </row>
    <row r="103" spans="1:26" hidden="1">
      <c r="A103" s="1587" t="s">
        <v>85</v>
      </c>
      <c r="B103" s="1172" t="s">
        <v>82</v>
      </c>
      <c r="C103" s="1173">
        <v>16441536846</v>
      </c>
      <c r="D103" s="1174">
        <v>-0.15304460135573189</v>
      </c>
      <c r="E103" s="1173">
        <v>12100047441</v>
      </c>
      <c r="F103" s="1174">
        <f t="shared" si="17"/>
        <v>-0.26405617952048227</v>
      </c>
      <c r="G103" s="1173">
        <v>19026159085</v>
      </c>
      <c r="H103" s="1174">
        <f t="shared" si="18"/>
        <v>0.57240367674356785</v>
      </c>
      <c r="I103" s="1173">
        <v>20174955250</v>
      </c>
      <c r="J103" s="1174">
        <f t="shared" si="19"/>
        <v>6.0379825474375294E-2</v>
      </c>
      <c r="K103" s="1173">
        <v>22065059663</v>
      </c>
      <c r="L103" s="1174">
        <f t="shared" si="20"/>
        <v>9.3685680566751195E-2</v>
      </c>
      <c r="M103" s="1173">
        <v>22711863549</v>
      </c>
      <c r="N103" s="1174">
        <f t="shared" si="21"/>
        <v>2.9313489103525929E-2</v>
      </c>
      <c r="O103" s="1173">
        <v>18363549693</v>
      </c>
      <c r="P103" s="1174">
        <f t="shared" si="22"/>
        <v>-0.19145561730849056</v>
      </c>
      <c r="Q103" s="1173">
        <v>16865410206</v>
      </c>
      <c r="R103" s="1174">
        <f t="shared" si="23"/>
        <v>-8.1582238295196036E-2</v>
      </c>
      <c r="S103" s="1175">
        <v>14530663270</v>
      </c>
      <c r="T103" s="1174">
        <f t="shared" si="24"/>
        <v>-0.13843404384966548</v>
      </c>
      <c r="U103" s="1173">
        <v>13036628991</v>
      </c>
      <c r="V103" s="1174">
        <f t="shared" si="25"/>
        <v>-0.10281941376238361</v>
      </c>
      <c r="W103" s="1173">
        <v>10768788412</v>
      </c>
      <c r="X103" s="1174">
        <f t="shared" si="26"/>
        <v>-0.17395912551976681</v>
      </c>
      <c r="Y103" s="1173">
        <f>+Y88-Y100</f>
        <v>15196366669</v>
      </c>
      <c r="Z103" s="1174">
        <f t="shared" si="27"/>
        <v>0.41114915509587041</v>
      </c>
    </row>
    <row r="104" spans="1:26" hidden="1">
      <c r="A104" s="1588"/>
      <c r="B104" s="1176" t="s">
        <v>83</v>
      </c>
      <c r="C104" s="1177">
        <v>1745</v>
      </c>
      <c r="D104" s="1178">
        <v>-0.2643338954468803</v>
      </c>
      <c r="E104" s="1177">
        <v>1762</v>
      </c>
      <c r="F104" s="1179">
        <f t="shared" si="17"/>
        <v>9.7421203438395419E-3</v>
      </c>
      <c r="G104" s="1177">
        <v>1974</v>
      </c>
      <c r="H104" s="1179">
        <f t="shared" si="18"/>
        <v>0.12031782065834279</v>
      </c>
      <c r="I104" s="1177">
        <v>2065</v>
      </c>
      <c r="J104" s="1179">
        <f t="shared" si="19"/>
        <v>4.6099290780141841E-2</v>
      </c>
      <c r="K104" s="1177">
        <v>2128</v>
      </c>
      <c r="L104" s="1179">
        <f t="shared" si="20"/>
        <v>3.0508474576271188E-2</v>
      </c>
      <c r="M104" s="1177">
        <v>2113</v>
      </c>
      <c r="N104" s="1179">
        <f t="shared" si="21"/>
        <v>-7.0488721804511274E-3</v>
      </c>
      <c r="O104" s="1177">
        <v>2063</v>
      </c>
      <c r="P104" s="1179">
        <f t="shared" si="22"/>
        <v>-2.3663038334122102E-2</v>
      </c>
      <c r="Q104" s="1177">
        <v>1250</v>
      </c>
      <c r="R104" s="1179">
        <f t="shared" si="23"/>
        <v>-0.39408628211342706</v>
      </c>
      <c r="S104" s="1180">
        <v>1174</v>
      </c>
      <c r="T104" s="1179">
        <f t="shared" si="24"/>
        <v>-6.08E-2</v>
      </c>
      <c r="U104" s="1177">
        <v>1772</v>
      </c>
      <c r="V104" s="1179">
        <f t="shared" si="25"/>
        <v>0.50936967632027252</v>
      </c>
      <c r="W104" s="1177">
        <v>1751</v>
      </c>
      <c r="X104" s="1179">
        <f t="shared" si="26"/>
        <v>-1.1851015801354402E-2</v>
      </c>
      <c r="Y104" s="1177">
        <f>+Y89-Y101</f>
        <v>1681</v>
      </c>
      <c r="Z104" s="1179">
        <f t="shared" si="27"/>
        <v>-3.9977155910908051E-2</v>
      </c>
    </row>
    <row r="105" spans="1:26" ht="13.5" hidden="1" thickBot="1">
      <c r="A105" s="1589"/>
      <c r="B105" s="1181" t="s">
        <v>84</v>
      </c>
      <c r="C105" s="1182">
        <f>+C103/C104</f>
        <v>9422084.15243553</v>
      </c>
      <c r="D105" s="1183">
        <v>0.15127690864424295</v>
      </c>
      <c r="E105" s="1182">
        <f>+E103/E104</f>
        <v>6867223.2922814982</v>
      </c>
      <c r="F105" s="1183">
        <f>+(E105-C105)/C105</f>
        <v>-0.27115665905972847</v>
      </c>
      <c r="G105" s="1182">
        <f>+G103/G104</f>
        <v>9638378.4625126645</v>
      </c>
      <c r="H105" s="1183">
        <f>+(G105-E105)/E105</f>
        <v>0.40353357569511988</v>
      </c>
      <c r="I105" s="1182">
        <v>9769954.1162227597</v>
      </c>
      <c r="J105" s="1183">
        <f>+(I105-G105)/G105</f>
        <v>1.3651222995843459E-2</v>
      </c>
      <c r="K105" s="1184">
        <v>10368919.014567669</v>
      </c>
      <c r="L105" s="1183">
        <f>+(K105-I105)/I105</f>
        <v>6.130682818155142E-2</v>
      </c>
      <c r="M105" s="1182">
        <v>10748633.955986749</v>
      </c>
      <c r="N105" s="1183">
        <f>+(M105-K105)/K105</f>
        <v>3.6620494468671674E-2</v>
      </c>
      <c r="O105" s="1182">
        <v>8901381.3344643731</v>
      </c>
      <c r="P105" s="1183">
        <f>+(O105-M105)/M105</f>
        <v>-0.17185929198877387</v>
      </c>
      <c r="Q105" s="1182">
        <v>13492328.164799999</v>
      </c>
      <c r="R105" s="1183">
        <f>+(Q105-O105)/O105</f>
        <v>0.51575667391760827</v>
      </c>
      <c r="S105" s="1182">
        <v>12377055.59625213</v>
      </c>
      <c r="T105" s="1183">
        <f>+(S105-Q105)/Q105</f>
        <v>-8.2659757080137772E-2</v>
      </c>
      <c r="U105" s="1184">
        <v>7357014.1032731375</v>
      </c>
      <c r="V105" s="1183">
        <f>+(U105-S105)/S105</f>
        <v>-0.40559254613828355</v>
      </c>
      <c r="W105" s="1185">
        <v>6150079.047401485</v>
      </c>
      <c r="X105" s="1183">
        <f>+(W105-U105)/U105</f>
        <v>-0.16405229607140304</v>
      </c>
      <c r="Y105" s="1185">
        <f>+Y103/Y104</f>
        <v>9040075.3533610944</v>
      </c>
      <c r="Z105" s="1183">
        <f>+(Y105-W105)/W105</f>
        <v>0.46991205863942237</v>
      </c>
    </row>
    <row r="106" spans="1:26" ht="14.25" hidden="1" thickTop="1" thickBot="1"/>
    <row r="107" spans="1:26" ht="13.5" hidden="1" thickTop="1">
      <c r="A107" s="1566" t="s">
        <v>643</v>
      </c>
      <c r="B107" s="1567"/>
      <c r="C107" s="1598">
        <v>2020</v>
      </c>
      <c r="D107" s="1598"/>
      <c r="E107" s="1598">
        <v>2020</v>
      </c>
      <c r="F107" s="1598"/>
      <c r="G107" s="1598">
        <v>2020</v>
      </c>
      <c r="H107" s="1598"/>
      <c r="I107" s="1598">
        <v>2020</v>
      </c>
      <c r="J107" s="1598"/>
      <c r="K107" s="1598">
        <v>2020</v>
      </c>
      <c r="L107" s="1598"/>
      <c r="M107" s="1598">
        <v>2020</v>
      </c>
      <c r="N107" s="1598"/>
      <c r="O107" s="1598">
        <v>2020</v>
      </c>
      <c r="P107" s="1598"/>
      <c r="Q107" s="1598">
        <v>2020</v>
      </c>
      <c r="R107" s="1598"/>
      <c r="S107" s="1598">
        <v>2020</v>
      </c>
      <c r="T107" s="1598"/>
      <c r="U107" s="1598">
        <v>2020</v>
      </c>
      <c r="V107" s="1598"/>
      <c r="W107" s="1598">
        <v>2020</v>
      </c>
      <c r="X107" s="1598"/>
      <c r="Y107" s="1598">
        <v>2020</v>
      </c>
      <c r="Z107" s="1598"/>
    </row>
    <row r="108" spans="1:26" ht="13.5" hidden="1" thickBot="1">
      <c r="A108" s="1568"/>
      <c r="B108" s="1569"/>
      <c r="C108" s="1186" t="s">
        <v>63</v>
      </c>
      <c r="D108" s="1187" t="str">
        <f>C108&amp;"/"&amp;A108</f>
        <v>Jan/</v>
      </c>
      <c r="E108" s="1186" t="s">
        <v>64</v>
      </c>
      <c r="F108" s="1187" t="str">
        <f>E108&amp;"/"&amp;C108</f>
        <v>Feb/Jan</v>
      </c>
      <c r="G108" s="1186" t="s">
        <v>65</v>
      </c>
      <c r="H108" s="1187" t="str">
        <f>G108&amp;"/"&amp;E108</f>
        <v>Mar/Feb</v>
      </c>
      <c r="I108" s="1186" t="s">
        <v>66</v>
      </c>
      <c r="J108" s="1187" t="str">
        <f>I108&amp;"/"&amp;G108</f>
        <v>Apr/Mar</v>
      </c>
      <c r="K108" s="1186" t="s">
        <v>67</v>
      </c>
      <c r="L108" s="1187" t="str">
        <f>K108&amp;"/"&amp;I108</f>
        <v>May/Apr</v>
      </c>
      <c r="M108" s="1186" t="s">
        <v>68</v>
      </c>
      <c r="N108" s="1187" t="str">
        <f>M108&amp;"/"&amp;K108</f>
        <v>Jun/May</v>
      </c>
      <c r="O108" s="1186" t="s">
        <v>184</v>
      </c>
      <c r="P108" s="1187" t="str">
        <f>O108&amp;"/"&amp;M108</f>
        <v>July/Jun</v>
      </c>
      <c r="Q108" s="1186" t="s">
        <v>70</v>
      </c>
      <c r="R108" s="1187" t="str">
        <f>Q108&amp;"/"&amp;O108</f>
        <v>Aug/July</v>
      </c>
      <c r="S108" s="1186" t="s">
        <v>71</v>
      </c>
      <c r="T108" s="1187" t="str">
        <f>S108&amp;"/"&amp;Q108</f>
        <v>Sep/Aug</v>
      </c>
      <c r="U108" s="1188" t="s">
        <v>72</v>
      </c>
      <c r="V108" s="1187" t="str">
        <f>U108&amp;"/"&amp;S108</f>
        <v>Oct/Sep</v>
      </c>
      <c r="W108" s="1186" t="s">
        <v>73</v>
      </c>
      <c r="X108" s="1187" t="str">
        <f>W108&amp;"/"&amp;U108</f>
        <v>Nov/Oct</v>
      </c>
      <c r="Y108" s="1186" t="s">
        <v>74</v>
      </c>
      <c r="Z108" s="1187" t="str">
        <f>Y108&amp;"/"&amp;W108</f>
        <v>Dec/Nov</v>
      </c>
    </row>
    <row r="109" spans="1:26" ht="13.5" hidden="1" thickTop="1">
      <c r="A109" s="1557" t="s">
        <v>81</v>
      </c>
      <c r="B109" s="1079" t="s">
        <v>82</v>
      </c>
      <c r="C109" s="1105">
        <v>13910546738.400003</v>
      </c>
      <c r="D109" s="1108">
        <v>-3.8618225095868638E-2</v>
      </c>
      <c r="E109" s="1105">
        <v>15189058736</v>
      </c>
      <c r="F109" s="1108">
        <v>9.1909543287085171E-2</v>
      </c>
      <c r="G109" s="1105">
        <v>16181787009.98621</v>
      </c>
      <c r="H109" s="1108">
        <v>6.5358116736576807E-2</v>
      </c>
      <c r="I109" s="1105">
        <v>12272210247</v>
      </c>
      <c r="J109" s="1108">
        <v>-0.24160352379953501</v>
      </c>
      <c r="K109" s="1107">
        <v>11842688406</v>
      </c>
      <c r="L109" s="1108">
        <v>-3.4999550395170151E-2</v>
      </c>
      <c r="M109" s="1105">
        <v>13723240526</v>
      </c>
      <c r="N109" s="1108">
        <v>0.15879435948405379</v>
      </c>
      <c r="O109" s="1105">
        <v>18889035358</v>
      </c>
      <c r="P109" s="1108">
        <v>0.37642675009688159</v>
      </c>
      <c r="Q109" s="1105">
        <v>19641636868</v>
      </c>
      <c r="R109" s="1108">
        <v>3.984330039814625E-2</v>
      </c>
      <c r="S109" s="1105">
        <v>16919078413</v>
      </c>
      <c r="T109" s="1108">
        <v>-0.13861158687011318</v>
      </c>
      <c r="U109" s="1107">
        <v>16780654208</v>
      </c>
      <c r="V109" s="1108">
        <v>-8.1815452131033285E-3</v>
      </c>
      <c r="W109" s="1105">
        <v>16896429115</v>
      </c>
      <c r="X109" s="1108">
        <v>6.8993083085405298E-3</v>
      </c>
      <c r="Y109" s="1105">
        <v>20429348811</v>
      </c>
      <c r="Z109" s="1108">
        <v>0.20909268295415212</v>
      </c>
    </row>
    <row r="110" spans="1:26" hidden="1">
      <c r="A110" s="1558"/>
      <c r="B110" s="1109" t="s">
        <v>83</v>
      </c>
      <c r="C110" s="1110">
        <v>1742</v>
      </c>
      <c r="D110" s="1149">
        <v>-5.274605764002175E-2</v>
      </c>
      <c r="E110" s="1110">
        <v>1757</v>
      </c>
      <c r="F110" s="1114">
        <v>8.6107921928817444E-3</v>
      </c>
      <c r="G110" s="1110">
        <v>2148</v>
      </c>
      <c r="H110" s="1114">
        <v>0.22253841775754127</v>
      </c>
      <c r="I110" s="1110">
        <v>1757</v>
      </c>
      <c r="J110" s="1114">
        <v>-0.18202979515828677</v>
      </c>
      <c r="K110" s="1113">
        <v>1651</v>
      </c>
      <c r="L110" s="1114">
        <v>-6.033010813887308E-2</v>
      </c>
      <c r="M110" s="1110">
        <v>1660</v>
      </c>
      <c r="N110" s="1114">
        <v>5.4512416717141131E-3</v>
      </c>
      <c r="O110" s="1110">
        <v>1695</v>
      </c>
      <c r="P110" s="1114">
        <v>2.1084337349397589E-2</v>
      </c>
      <c r="Q110" s="1110">
        <v>1766</v>
      </c>
      <c r="R110" s="1114">
        <v>4.1887905604719763E-2</v>
      </c>
      <c r="S110" s="1110">
        <v>1800</v>
      </c>
      <c r="T110" s="1114">
        <v>1.9252548131370329E-2</v>
      </c>
      <c r="U110" s="1113">
        <v>1807</v>
      </c>
      <c r="V110" s="1114">
        <v>3.8888888888888888E-3</v>
      </c>
      <c r="W110" s="1110">
        <v>1795</v>
      </c>
      <c r="X110" s="1114">
        <v>-6.6408411732152743E-3</v>
      </c>
      <c r="Y110" s="1110">
        <v>1815</v>
      </c>
      <c r="Z110" s="1114">
        <v>1.1142061281337047E-2</v>
      </c>
    </row>
    <row r="111" spans="1:26" hidden="1">
      <c r="A111" s="1559"/>
      <c r="B111" s="1085" t="s">
        <v>84</v>
      </c>
      <c r="C111" s="1116">
        <v>7985388.4835820915</v>
      </c>
      <c r="D111" s="1117">
        <v>1.491451437927524E-2</v>
      </c>
      <c r="E111" s="1116">
        <v>8644882.6044393852</v>
      </c>
      <c r="F111" s="1117">
        <v>8.2587606377975159E-2</v>
      </c>
      <c r="G111" s="1116">
        <v>7533420.395710526</v>
      </c>
      <c r="H111" s="1117">
        <v>-0.12856880302320042</v>
      </c>
      <c r="I111" s="1116">
        <v>6984752.5594763802</v>
      </c>
      <c r="J111" s="1117">
        <v>-7.2831171952988744E-2</v>
      </c>
      <c r="K111" s="1086">
        <v>7173039.615990309</v>
      </c>
      <c r="L111" s="1117">
        <v>2.6956868537665702E-2</v>
      </c>
      <c r="M111" s="1086">
        <v>8267012.365060241</v>
      </c>
      <c r="N111" s="1117">
        <v>0.15251173946275468</v>
      </c>
      <c r="O111" s="1116">
        <v>11143973.662536873</v>
      </c>
      <c r="P111" s="1117">
        <v>0.34800495879694593</v>
      </c>
      <c r="Q111" s="1116">
        <v>11122104.681766704</v>
      </c>
      <c r="R111" s="1117">
        <v>-1.9624042044972365E-3</v>
      </c>
      <c r="S111" s="1116">
        <v>9399488.0072222222</v>
      </c>
      <c r="T111" s="1117">
        <v>-0.15488225689589991</v>
      </c>
      <c r="U111" s="1086">
        <v>9286471.614831211</v>
      </c>
      <c r="V111" s="1117">
        <v>-1.2023675364463837E-2</v>
      </c>
      <c r="W111" s="1086">
        <v>9413052.4317548741</v>
      </c>
      <c r="X111" s="1117">
        <v>1.3630668586926352E-2</v>
      </c>
      <c r="Y111" s="1086">
        <v>11255839.565289257</v>
      </c>
      <c r="Z111" s="1117">
        <v>0.19576934760479522</v>
      </c>
    </row>
    <row r="112" spans="1:26" hidden="1">
      <c r="A112" s="1560" t="s">
        <v>77</v>
      </c>
      <c r="B112" s="1088" t="s">
        <v>82</v>
      </c>
      <c r="C112" s="1119">
        <v>12244218735.700001</v>
      </c>
      <c r="D112" s="1120">
        <v>-2.3085204678550346E-2</v>
      </c>
      <c r="E112" s="1119">
        <v>13314182718</v>
      </c>
      <c r="F112" s="1120">
        <v>8.7385239139868204E-2</v>
      </c>
      <c r="G112" s="1119">
        <v>14201654931.086121</v>
      </c>
      <c r="H112" s="1120">
        <v>6.6656153958763828E-2</v>
      </c>
      <c r="I112" s="1119">
        <v>10293040664.808311</v>
      </c>
      <c r="J112" s="1120">
        <v>-0.27522245014714525</v>
      </c>
      <c r="K112" s="1089">
        <v>9840551206.1793022</v>
      </c>
      <c r="L112" s="1120">
        <v>-4.3960718058373281E-2</v>
      </c>
      <c r="M112" s="1119">
        <v>11862842264.171917</v>
      </c>
      <c r="N112" s="1120">
        <v>0.20550587214288685</v>
      </c>
      <c r="O112" s="1119">
        <v>16795978991.921482</v>
      </c>
      <c r="P112" s="1120">
        <v>0.41584778907906367</v>
      </c>
      <c r="Q112" s="1119">
        <v>17574026405.234722</v>
      </c>
      <c r="R112" s="1120">
        <v>4.6323433346008872E-2</v>
      </c>
      <c r="S112" s="1119">
        <v>14887477051.463129</v>
      </c>
      <c r="T112" s="1120">
        <v>-0.15287045164398744</v>
      </c>
      <c r="U112" s="1089">
        <v>14708672578</v>
      </c>
      <c r="V112" s="1120">
        <v>-1.2010394564843764E-2</v>
      </c>
      <c r="W112" s="1089">
        <v>14854870306</v>
      </c>
      <c r="X112" s="1120">
        <v>9.9395596186341324E-3</v>
      </c>
      <c r="Y112" s="1089">
        <v>18199271931</v>
      </c>
      <c r="Z112" s="1120">
        <v>0.22513839273636538</v>
      </c>
    </row>
    <row r="113" spans="1:26" hidden="1">
      <c r="A113" s="1558"/>
      <c r="B113" s="1109" t="s">
        <v>83</v>
      </c>
      <c r="C113" s="1131">
        <v>1669</v>
      </c>
      <c r="D113" s="1149">
        <v>-5.224304372515616E-2</v>
      </c>
      <c r="E113" s="1124">
        <v>1683</v>
      </c>
      <c r="F113" s="1114">
        <v>8.3882564409826239E-3</v>
      </c>
      <c r="G113" s="1124">
        <v>2071</v>
      </c>
      <c r="H113" s="1114">
        <v>0.23054070112893643</v>
      </c>
      <c r="I113" s="1124">
        <v>1682</v>
      </c>
      <c r="J113" s="1114">
        <v>-0.18783196523418638</v>
      </c>
      <c r="K113" s="1123">
        <v>1576</v>
      </c>
      <c r="L113" s="1114">
        <v>-6.3020214030915581E-2</v>
      </c>
      <c r="M113" s="1124">
        <v>1585</v>
      </c>
      <c r="N113" s="1114">
        <v>5.7106598984771571E-3</v>
      </c>
      <c r="O113" s="1124">
        <v>1622</v>
      </c>
      <c r="P113" s="1114">
        <v>2.334384858044164E-2</v>
      </c>
      <c r="Q113" s="1124">
        <v>1748</v>
      </c>
      <c r="R113" s="1114">
        <v>7.7681874229346484E-2</v>
      </c>
      <c r="S113" s="1124">
        <v>1721</v>
      </c>
      <c r="T113" s="1114">
        <v>-1.5446224256292907E-2</v>
      </c>
      <c r="U113" s="1123">
        <v>1730</v>
      </c>
      <c r="V113" s="1114">
        <v>5.2295177222545031E-3</v>
      </c>
      <c r="W113" s="1123">
        <v>1718</v>
      </c>
      <c r="X113" s="1114">
        <v>-6.9364161849710983E-3</v>
      </c>
      <c r="Y113" s="1123">
        <v>1738</v>
      </c>
      <c r="Z113" s="1114">
        <v>1.1641443538998836E-2</v>
      </c>
    </row>
    <row r="114" spans="1:26" hidden="1">
      <c r="A114" s="1559"/>
      <c r="B114" s="1085" t="s">
        <v>84</v>
      </c>
      <c r="C114" s="1116">
        <v>7336260.4767525485</v>
      </c>
      <c r="D114" s="1117">
        <v>3.0765101594411818E-2</v>
      </c>
      <c r="E114" s="1116">
        <v>7910982.0071301246</v>
      </c>
      <c r="F114" s="1117">
        <v>7.8339847964610576E-2</v>
      </c>
      <c r="G114" s="1116">
        <v>6857390.1164104883</v>
      </c>
      <c r="H114" s="1117">
        <v>-0.13318092365398376</v>
      </c>
      <c r="I114" s="1116">
        <v>6119524.7709918618</v>
      </c>
      <c r="J114" s="1117">
        <v>-0.10760148291007006</v>
      </c>
      <c r="K114" s="1086">
        <v>6244004.5724487957</v>
      </c>
      <c r="L114" s="1117">
        <v>2.0341416386939138E-2</v>
      </c>
      <c r="M114" s="1116">
        <v>7484443.0688781813</v>
      </c>
      <c r="N114" s="1117">
        <v>0.19866072838939419</v>
      </c>
      <c r="O114" s="1116">
        <v>10355104.187374527</v>
      </c>
      <c r="P114" s="1117">
        <v>0.38355039808280877</v>
      </c>
      <c r="Q114" s="1189">
        <v>10053790.849676615</v>
      </c>
      <c r="R114" s="1117">
        <v>-2.9098049835682836E-2</v>
      </c>
      <c r="S114" s="1189">
        <v>8650480.564475961</v>
      </c>
      <c r="T114" s="1117">
        <v>-0.1395802146854678</v>
      </c>
      <c r="U114" s="1086">
        <v>8502122.8774566483</v>
      </c>
      <c r="V114" s="1117">
        <v>-1.7150224882136376E-2</v>
      </c>
      <c r="W114" s="1086">
        <v>8646606.6973224673</v>
      </c>
      <c r="X114" s="1117">
        <v>1.6993852235294957E-2</v>
      </c>
      <c r="Y114" s="1086">
        <v>10471387.762370542</v>
      </c>
      <c r="Z114" s="1117">
        <v>0.21104013735389876</v>
      </c>
    </row>
    <row r="115" spans="1:26" hidden="1">
      <c r="A115" s="1561" t="s">
        <v>1</v>
      </c>
      <c r="B115" s="1088" t="s">
        <v>82</v>
      </c>
      <c r="C115" s="1119">
        <v>653063834.5</v>
      </c>
      <c r="D115" s="1120">
        <v>4.9037597506163808E-2</v>
      </c>
      <c r="E115" s="1110">
        <v>690704804</v>
      </c>
      <c r="F115" s="1120">
        <v>5.7637504194086558E-2</v>
      </c>
      <c r="G115" s="1110">
        <v>685683788.70840096</v>
      </c>
      <c r="H115" s="1120">
        <v>-7.2694083818751537E-3</v>
      </c>
      <c r="I115" s="1110">
        <v>690704804</v>
      </c>
      <c r="J115" s="1120">
        <v>7.3226396398505342E-3</v>
      </c>
      <c r="K115" s="1113">
        <v>667409849</v>
      </c>
      <c r="L115" s="1120">
        <v>-3.3726354392056609E-2</v>
      </c>
      <c r="M115" s="1110">
        <v>663402032</v>
      </c>
      <c r="N115" s="1120">
        <v>-6.0050312502954988E-3</v>
      </c>
      <c r="O115" s="1110">
        <v>829421490</v>
      </c>
      <c r="P115" s="1120">
        <v>0.25025467211713331</v>
      </c>
      <c r="Q115" s="1110">
        <v>799018900</v>
      </c>
      <c r="R115" s="1120">
        <v>-3.6655175163112785E-2</v>
      </c>
      <c r="S115" s="1110">
        <v>743564148</v>
      </c>
      <c r="T115" s="1120">
        <v>-6.9403554784498833E-2</v>
      </c>
      <c r="U115" s="1113">
        <v>751049175</v>
      </c>
      <c r="V115" s="1120">
        <v>1.0066417295848427E-2</v>
      </c>
      <c r="W115" s="1110">
        <v>716709048</v>
      </c>
      <c r="X115" s="1120">
        <v>-4.5722874271182046E-2</v>
      </c>
      <c r="Y115" s="1110">
        <v>857879801</v>
      </c>
      <c r="Z115" s="1120">
        <v>0.19697079783482796</v>
      </c>
    </row>
    <row r="116" spans="1:26" hidden="1">
      <c r="A116" s="1558"/>
      <c r="B116" s="1109" t="s">
        <v>83</v>
      </c>
      <c r="C116" s="1131">
        <v>55</v>
      </c>
      <c r="D116" s="1149">
        <v>-8.3333333333333329E-2</v>
      </c>
      <c r="E116" s="1110">
        <v>57</v>
      </c>
      <c r="F116" s="1114">
        <v>3.6363636363636362E-2</v>
      </c>
      <c r="G116" s="1110">
        <v>59</v>
      </c>
      <c r="H116" s="1114">
        <v>3.5087719298245612E-2</v>
      </c>
      <c r="I116" s="1110">
        <v>57</v>
      </c>
      <c r="J116" s="1114">
        <v>-3.3898305084745763E-2</v>
      </c>
      <c r="K116" s="1113">
        <v>56</v>
      </c>
      <c r="L116" s="1114">
        <v>-1.7543859649122806E-2</v>
      </c>
      <c r="M116" s="1110">
        <v>55</v>
      </c>
      <c r="N116" s="1114">
        <v>-1.7857142857142856E-2</v>
      </c>
      <c r="O116" s="1110">
        <v>54</v>
      </c>
      <c r="P116" s="1114">
        <v>-1.8181818181818181E-2</v>
      </c>
      <c r="Q116" s="1110">
        <v>54</v>
      </c>
      <c r="R116" s="1114">
        <v>0</v>
      </c>
      <c r="S116" s="1110">
        <v>57</v>
      </c>
      <c r="T116" s="1114">
        <v>5.5555555555555552E-2</v>
      </c>
      <c r="U116" s="1113">
        <v>55</v>
      </c>
      <c r="V116" s="1114">
        <v>-3.5087719298245612E-2</v>
      </c>
      <c r="W116" s="1110">
        <v>55</v>
      </c>
      <c r="X116" s="1114">
        <v>0</v>
      </c>
      <c r="Y116" s="1110">
        <v>56</v>
      </c>
      <c r="Z116" s="1114">
        <v>1.8181818181818181E-2</v>
      </c>
    </row>
    <row r="117" spans="1:26" hidden="1">
      <c r="A117" s="1559"/>
      <c r="B117" s="1085" t="s">
        <v>84</v>
      </c>
      <c r="C117" s="1116">
        <v>11873887.9</v>
      </c>
      <c r="D117" s="1117">
        <v>0.14440465182490594</v>
      </c>
      <c r="E117" s="1116">
        <v>12117628.140350876</v>
      </c>
      <c r="F117" s="1117">
        <v>2.0527416327627279E-2</v>
      </c>
      <c r="G117" s="1116">
        <v>11621759.130650863</v>
      </c>
      <c r="H117" s="1117">
        <v>-4.0921292843506506E-2</v>
      </c>
      <c r="I117" s="1116">
        <v>12117628.140350876</v>
      </c>
      <c r="J117" s="1117">
        <v>4.2667293662301431E-2</v>
      </c>
      <c r="K117" s="1086">
        <v>11918033.017857144</v>
      </c>
      <c r="L117" s="1117">
        <v>-1.6471467863343203E-2</v>
      </c>
      <c r="M117" s="1116">
        <v>12061855.127272727</v>
      </c>
      <c r="N117" s="1117">
        <v>1.2067604545153581E-2</v>
      </c>
      <c r="O117" s="1116">
        <v>15359657.222222222</v>
      </c>
      <c r="P117" s="1117">
        <v>0.27340753641559878</v>
      </c>
      <c r="Q117" s="1190">
        <v>14796646.296296297</v>
      </c>
      <c r="R117" s="1117">
        <v>-3.6655175163112751E-2</v>
      </c>
      <c r="S117" s="1189">
        <v>13044985.052631579</v>
      </c>
      <c r="T117" s="1086">
        <v>-0.11838231505899889</v>
      </c>
      <c r="U117" s="1086">
        <v>13655439.545454545</v>
      </c>
      <c r="V117" s="1117">
        <v>4.6796105197515571E-2</v>
      </c>
      <c r="W117" s="1086">
        <v>13031073.6</v>
      </c>
      <c r="X117" s="1117">
        <v>-4.5722874271182032E-2</v>
      </c>
      <c r="Y117" s="1086">
        <v>15319282.160714285</v>
      </c>
      <c r="Z117" s="1117">
        <v>0.17559631930206318</v>
      </c>
    </row>
    <row r="118" spans="1:26" hidden="1">
      <c r="A118" s="1560" t="s">
        <v>78</v>
      </c>
      <c r="B118" s="1088" t="s">
        <v>82</v>
      </c>
      <c r="C118" s="1110">
        <v>208378718.20000002</v>
      </c>
      <c r="D118" s="1120">
        <v>-0.14596114557520756</v>
      </c>
      <c r="E118" s="1110">
        <v>204977690</v>
      </c>
      <c r="F118" s="1120">
        <v>-1.6321379790501165E-2</v>
      </c>
      <c r="G118" s="1110">
        <v>176589476.19168884</v>
      </c>
      <c r="H118" s="1120">
        <v>-0.13849416396638661</v>
      </c>
      <c r="I118" s="1110">
        <v>176589476.19168884</v>
      </c>
      <c r="J118" s="1120">
        <v>0</v>
      </c>
      <c r="K118" s="1113">
        <v>204438552.82069841</v>
      </c>
      <c r="L118" s="1120">
        <v>0.1577051884948073</v>
      </c>
      <c r="M118" s="1110">
        <v>214569729.82808346</v>
      </c>
      <c r="N118" s="1120">
        <v>4.955609823882158E-2</v>
      </c>
      <c r="O118" s="1110">
        <v>284316088.07851923</v>
      </c>
      <c r="P118" s="1120">
        <v>0.32505217910428286</v>
      </c>
      <c r="Q118" s="1110">
        <v>289272774.76527715</v>
      </c>
      <c r="R118" s="1120">
        <v>1.7433718648341277E-2</v>
      </c>
      <c r="S118" s="1110">
        <v>267627329.53687084</v>
      </c>
      <c r="T118" s="1120">
        <v>-7.4827108240552331E-2</v>
      </c>
      <c r="U118" s="1113">
        <v>300522571</v>
      </c>
      <c r="V118" s="1120">
        <v>0.12291435826099818</v>
      </c>
      <c r="W118" s="1110">
        <v>306229521</v>
      </c>
      <c r="X118" s="1120">
        <v>1.8990087769480715E-2</v>
      </c>
      <c r="Y118" s="1110">
        <v>355366179</v>
      </c>
      <c r="Z118" s="1120">
        <v>0.16045695999374274</v>
      </c>
    </row>
    <row r="119" spans="1:26" hidden="1">
      <c r="A119" s="1558"/>
      <c r="B119" s="1109" t="s">
        <v>83</v>
      </c>
      <c r="C119" s="1110">
        <v>12</v>
      </c>
      <c r="D119" s="1149">
        <v>0</v>
      </c>
      <c r="E119" s="1110">
        <v>12</v>
      </c>
      <c r="F119" s="1114">
        <v>0</v>
      </c>
      <c r="G119" s="1110">
        <v>11</v>
      </c>
      <c r="H119" s="1114">
        <v>-8.3333333333333329E-2</v>
      </c>
      <c r="I119" s="1110">
        <v>11</v>
      </c>
      <c r="J119" s="1114">
        <v>0</v>
      </c>
      <c r="K119" s="1113">
        <v>12</v>
      </c>
      <c r="L119" s="1114">
        <v>9.0909090909090912E-2</v>
      </c>
      <c r="M119" s="1110">
        <v>13</v>
      </c>
      <c r="N119" s="1114">
        <v>8.3333333333333329E-2</v>
      </c>
      <c r="O119" s="1110">
        <v>12</v>
      </c>
      <c r="P119" s="1114">
        <v>-7.6923076923076927E-2</v>
      </c>
      <c r="Q119" s="1110">
        <v>11</v>
      </c>
      <c r="R119" s="1114">
        <v>-8.3333333333333329E-2</v>
      </c>
      <c r="S119" s="1110">
        <v>15</v>
      </c>
      <c r="T119" s="1114">
        <v>0.36363636363636365</v>
      </c>
      <c r="U119" s="1113">
        <v>15</v>
      </c>
      <c r="V119" s="1114">
        <v>0</v>
      </c>
      <c r="W119" s="1110">
        <v>15</v>
      </c>
      <c r="X119" s="1114">
        <v>0</v>
      </c>
      <c r="Y119" s="1110">
        <v>14</v>
      </c>
      <c r="Z119" s="1114">
        <v>-6.6666666666666666E-2</v>
      </c>
    </row>
    <row r="120" spans="1:26" hidden="1">
      <c r="A120" s="1559"/>
      <c r="B120" s="1085" t="s">
        <v>84</v>
      </c>
      <c r="C120" s="1116">
        <v>17364893.183333334</v>
      </c>
      <c r="D120" s="1117">
        <v>-0.14596114557520762</v>
      </c>
      <c r="E120" s="1116">
        <v>17081474.166666668</v>
      </c>
      <c r="F120" s="1117">
        <v>-1.6321379790501026E-2</v>
      </c>
      <c r="G120" s="1116">
        <v>16053588.744698985</v>
      </c>
      <c r="H120" s="1117">
        <v>-6.0175451599694577E-2</v>
      </c>
      <c r="I120" s="1116">
        <v>16053588.744698985</v>
      </c>
      <c r="J120" s="1117">
        <v>0</v>
      </c>
      <c r="K120" s="1086">
        <v>17036546.068391535</v>
      </c>
      <c r="L120" s="1117">
        <v>6.1229756120240141E-2</v>
      </c>
      <c r="M120" s="1116">
        <v>16505363.832929496</v>
      </c>
      <c r="N120" s="1117">
        <v>-3.1178986241087892E-2</v>
      </c>
      <c r="O120" s="1116">
        <v>23693007.339876603</v>
      </c>
      <c r="P120" s="1117">
        <v>0.43547319402963991</v>
      </c>
      <c r="Q120" s="1189">
        <v>26297524.97866156</v>
      </c>
      <c r="R120" s="1117">
        <v>0.10992769307091772</v>
      </c>
      <c r="S120" s="1189">
        <v>17841821.969124723</v>
      </c>
      <c r="T120" s="1117">
        <v>-0.32153987937640505</v>
      </c>
      <c r="U120" s="1086">
        <v>20034838.066666666</v>
      </c>
      <c r="V120" s="1117">
        <v>0.12291435826099813</v>
      </c>
      <c r="W120" s="1086">
        <v>20415301.399999999</v>
      </c>
      <c r="X120" s="1117">
        <v>1.8990087769480656E-2</v>
      </c>
      <c r="Y120" s="1086">
        <v>25383298.5</v>
      </c>
      <c r="Z120" s="1117">
        <v>0.24334674285043872</v>
      </c>
    </row>
    <row r="121" spans="1:26" hidden="1">
      <c r="A121" s="1560" t="s">
        <v>5</v>
      </c>
      <c r="B121" s="1088" t="s">
        <v>82</v>
      </c>
      <c r="C121" s="1110">
        <v>804885450</v>
      </c>
      <c r="D121" s="1120">
        <v>-0.24723572695307294</v>
      </c>
      <c r="E121" s="1110">
        <v>1111875302</v>
      </c>
      <c r="F121" s="1120">
        <v>0.38140812708193444</v>
      </c>
      <c r="G121" s="1110">
        <v>1117858814</v>
      </c>
      <c r="H121" s="1120">
        <v>5.3814595838553849E-3</v>
      </c>
      <c r="I121" s="1110">
        <v>1111875302</v>
      </c>
      <c r="J121" s="1120">
        <v>-5.3526544900508342E-3</v>
      </c>
      <c r="K121" s="1113">
        <v>1130288798</v>
      </c>
      <c r="L121" s="1120">
        <v>1.6560756378776006E-2</v>
      </c>
      <c r="M121" s="1110">
        <v>982426500</v>
      </c>
      <c r="N121" s="1120">
        <v>-0.13081815750243328</v>
      </c>
      <c r="O121" s="1110">
        <v>979318788</v>
      </c>
      <c r="P121" s="1120">
        <v>-3.1633022928432815E-3</v>
      </c>
      <c r="Q121" s="1110">
        <v>979318788</v>
      </c>
      <c r="R121" s="1120">
        <v>0</v>
      </c>
      <c r="S121" s="1110">
        <v>1020409884</v>
      </c>
      <c r="T121" s="1120">
        <v>4.1958855996133505E-2</v>
      </c>
      <c r="U121" s="1113">
        <v>1020409884</v>
      </c>
      <c r="V121" s="1120">
        <v>0</v>
      </c>
      <c r="W121" s="1110">
        <v>1018620240</v>
      </c>
      <c r="X121" s="1120">
        <v>-1.7538481624507667E-3</v>
      </c>
      <c r="Y121" s="1110">
        <v>1016830900</v>
      </c>
      <c r="Z121" s="1120">
        <v>-1.7566311071926079E-3</v>
      </c>
    </row>
    <row r="122" spans="1:26" hidden="1">
      <c r="A122" s="1558"/>
      <c r="B122" s="1109" t="s">
        <v>83</v>
      </c>
      <c r="C122" s="1110">
        <v>6</v>
      </c>
      <c r="D122" s="1149">
        <v>0</v>
      </c>
      <c r="E122" s="1110">
        <v>5</v>
      </c>
      <c r="F122" s="1114">
        <v>-0.16666666666666666</v>
      </c>
      <c r="G122" s="1110">
        <v>7</v>
      </c>
      <c r="H122" s="1114">
        <v>0.4</v>
      </c>
      <c r="I122" s="1110">
        <v>7</v>
      </c>
      <c r="J122" s="1114">
        <v>0</v>
      </c>
      <c r="K122" s="1113">
        <v>7</v>
      </c>
      <c r="L122" s="1114">
        <v>0</v>
      </c>
      <c r="M122" s="1110">
        <v>7</v>
      </c>
      <c r="N122" s="1114">
        <v>0</v>
      </c>
      <c r="O122" s="1110">
        <v>7</v>
      </c>
      <c r="P122" s="1114">
        <v>0</v>
      </c>
      <c r="Q122" s="1110">
        <v>7</v>
      </c>
      <c r="R122" s="1114">
        <v>0</v>
      </c>
      <c r="S122" s="1110">
        <v>7</v>
      </c>
      <c r="T122" s="1114">
        <v>0</v>
      </c>
      <c r="U122" s="1113">
        <v>7</v>
      </c>
      <c r="V122" s="1114">
        <v>0</v>
      </c>
      <c r="W122" s="1110">
        <v>7</v>
      </c>
      <c r="X122" s="1114">
        <v>0</v>
      </c>
      <c r="Y122" s="1110">
        <v>7</v>
      </c>
      <c r="Z122" s="1114">
        <v>0</v>
      </c>
    </row>
    <row r="123" spans="1:26" hidden="1">
      <c r="A123" s="1559"/>
      <c r="B123" s="1085" t="s">
        <v>84</v>
      </c>
      <c r="C123" s="1116">
        <v>134147575</v>
      </c>
      <c r="D123" s="1117">
        <v>-9.2402446709961658E-2</v>
      </c>
      <c r="E123" s="1116">
        <v>222375060.40000001</v>
      </c>
      <c r="F123" s="1117">
        <v>0.6576897524983214</v>
      </c>
      <c r="G123" s="1116">
        <v>159694116.2857143</v>
      </c>
      <c r="H123" s="1117">
        <v>-0.2818703860115318</v>
      </c>
      <c r="I123" s="1116">
        <v>158839328.85714287</v>
      </c>
      <c r="J123" s="1117">
        <v>-5.3526544900508602E-3</v>
      </c>
      <c r="K123" s="1086">
        <v>161469828.2857143</v>
      </c>
      <c r="L123" s="1117">
        <v>1.6560756378776034E-2</v>
      </c>
      <c r="M123" s="1086">
        <v>140346642.85714287</v>
      </c>
      <c r="N123" s="1117">
        <v>-0.13081815750243331</v>
      </c>
      <c r="O123" s="1116">
        <v>139902684</v>
      </c>
      <c r="P123" s="1117">
        <v>-3.1633022928433418E-3</v>
      </c>
      <c r="Q123" s="1116">
        <v>139902684</v>
      </c>
      <c r="R123" s="1117">
        <v>0</v>
      </c>
      <c r="S123" s="1116">
        <v>145772840.57142857</v>
      </c>
      <c r="T123" s="1117">
        <v>4.1958855996133478E-2</v>
      </c>
      <c r="U123" s="1086">
        <v>145772840.57142857</v>
      </c>
      <c r="V123" s="1117">
        <v>0</v>
      </c>
      <c r="W123" s="1086">
        <v>145517177.14285713</v>
      </c>
      <c r="X123" s="1117">
        <v>-1.753848162450796E-3</v>
      </c>
      <c r="Y123" s="1086">
        <v>145261557.14285713</v>
      </c>
      <c r="Z123" s="1117">
        <v>-1.7566311071926081E-3</v>
      </c>
    </row>
    <row r="124" spans="1:26" hidden="1">
      <c r="A124" s="1570" t="s">
        <v>85</v>
      </c>
      <c r="B124" s="1191" t="s">
        <v>82</v>
      </c>
      <c r="C124" s="1192">
        <v>13105661288.400003</v>
      </c>
      <c r="D124" s="1193">
        <v>-2.1971906253790443E-2</v>
      </c>
      <c r="E124" s="1192">
        <v>14077183434</v>
      </c>
      <c r="F124" s="1193">
        <v>7.4129959886869948E-2</v>
      </c>
      <c r="G124" s="1192">
        <v>15063928195.98621</v>
      </c>
      <c r="H124" s="1193">
        <v>7.009532600129148E-2</v>
      </c>
      <c r="I124" s="1192">
        <v>11160334945</v>
      </c>
      <c r="J124" s="1193">
        <v>-0.25913514723379549</v>
      </c>
      <c r="K124" s="1192">
        <v>10712399608</v>
      </c>
      <c r="L124" s="1193">
        <v>-4.0136370387403281E-2</v>
      </c>
      <c r="M124" s="1192">
        <v>12740814026</v>
      </c>
      <c r="N124" s="1193">
        <v>0.18935201189518583</v>
      </c>
      <c r="O124" s="1192">
        <v>17909716570</v>
      </c>
      <c r="P124" s="1193">
        <v>0.40569641260377032</v>
      </c>
      <c r="Q124" s="1192">
        <v>18662318080</v>
      </c>
      <c r="R124" s="1193">
        <v>4.2021966515129502E-2</v>
      </c>
      <c r="S124" s="1192">
        <v>15898668529</v>
      </c>
      <c r="T124" s="1193">
        <v>-0.14808715290099697</v>
      </c>
      <c r="U124" s="1192">
        <v>15760244324</v>
      </c>
      <c r="V124" s="1193">
        <v>-8.7066539407062316E-3</v>
      </c>
      <c r="W124" s="1192">
        <v>15877808875</v>
      </c>
      <c r="X124" s="1193">
        <v>7.4595639879116889E-3</v>
      </c>
      <c r="Y124" s="1192">
        <v>19412517911</v>
      </c>
      <c r="Z124" s="1193">
        <v>0.22261944729448696</v>
      </c>
    </row>
    <row r="125" spans="1:26" hidden="1">
      <c r="A125" s="1571"/>
      <c r="B125" s="1194" t="s">
        <v>83</v>
      </c>
      <c r="C125" s="1195">
        <v>1736</v>
      </c>
      <c r="D125" s="1196">
        <v>-0.21376811594202899</v>
      </c>
      <c r="E125" s="1195">
        <v>1752</v>
      </c>
      <c r="F125" s="1196">
        <v>9.2165898617511521E-3</v>
      </c>
      <c r="G125" s="1195">
        <v>2141</v>
      </c>
      <c r="H125" s="1196">
        <v>0.22203196347031964</v>
      </c>
      <c r="I125" s="1195">
        <v>1750</v>
      </c>
      <c r="J125" s="1196">
        <v>-0.18262494161606727</v>
      </c>
      <c r="K125" s="1195">
        <v>1644</v>
      </c>
      <c r="L125" s="1196">
        <v>-6.0571428571428575E-2</v>
      </c>
      <c r="M125" s="1195">
        <v>1653</v>
      </c>
      <c r="N125" s="1196">
        <v>5.4744525547445258E-3</v>
      </c>
      <c r="O125" s="1195">
        <v>1688</v>
      </c>
      <c r="P125" s="1196">
        <v>2.1173623714458561E-2</v>
      </c>
      <c r="Q125" s="1195">
        <v>1759</v>
      </c>
      <c r="R125" s="1196">
        <v>4.206161137440758E-2</v>
      </c>
      <c r="S125" s="1195">
        <v>1793</v>
      </c>
      <c r="T125" s="1196">
        <v>1.9329164297896533E-2</v>
      </c>
      <c r="U125" s="1195">
        <v>2292</v>
      </c>
      <c r="V125" s="1196">
        <v>0.27830451756832125</v>
      </c>
      <c r="W125" s="1195">
        <v>2253</v>
      </c>
      <c r="X125" s="1196">
        <v>-1.7015706806282723E-2</v>
      </c>
      <c r="Y125" s="1195">
        <v>2372</v>
      </c>
      <c r="Z125" s="1196">
        <v>5.2818464269862406E-2</v>
      </c>
    </row>
    <row r="126" spans="1:26" ht="13.5" hidden="1" thickBot="1">
      <c r="A126" s="1572"/>
      <c r="B126" s="1197" t="s">
        <v>84</v>
      </c>
      <c r="C126" s="1198">
        <v>7549344.0601382507</v>
      </c>
      <c r="D126" s="1199">
        <v>0.2439435662394186</v>
      </c>
      <c r="E126" s="1198">
        <v>8034922.0513698626</v>
      </c>
      <c r="F126" s="1199">
        <v>6.4320553860505808E-2</v>
      </c>
      <c r="G126" s="1198">
        <v>7035930.9649631996</v>
      </c>
      <c r="H126" s="1199">
        <v>-0.12433114845667313</v>
      </c>
      <c r="I126" s="1198">
        <v>6377334.2542857146</v>
      </c>
      <c r="J126" s="1199">
        <v>-9.36047715586035E-2</v>
      </c>
      <c r="K126" s="1198">
        <v>6516058.1557177613</v>
      </c>
      <c r="L126" s="1199">
        <v>2.1752647093700794E-2</v>
      </c>
      <c r="M126" s="1198">
        <v>7707691.4857834242</v>
      </c>
      <c r="N126" s="1199">
        <v>0.18287641110446801</v>
      </c>
      <c r="O126" s="1198">
        <v>10610021.664691944</v>
      </c>
      <c r="P126" s="1199">
        <v>0.37654986376423721</v>
      </c>
      <c r="Q126" s="1198">
        <v>10609618.010233087</v>
      </c>
      <c r="R126" s="1199">
        <v>-3.8044640398755493E-5</v>
      </c>
      <c r="S126" s="1198">
        <v>8867076.7032905743</v>
      </c>
      <c r="T126" s="1199">
        <v>-0.164241663108117</v>
      </c>
      <c r="U126" s="1198">
        <v>6876197.3490401395</v>
      </c>
      <c r="V126" s="1199">
        <v>-0.22452488242394689</v>
      </c>
      <c r="W126" s="1200">
        <v>7047407.401242787</v>
      </c>
      <c r="X126" s="1199">
        <v>2.4898943923787626E-2</v>
      </c>
      <c r="Y126" s="1200">
        <v>8184029.4734401349</v>
      </c>
      <c r="Z126" s="1199">
        <v>0.16128229964354102</v>
      </c>
    </row>
    <row r="127" spans="1:26" ht="14.25" hidden="1" thickTop="1" thickBot="1"/>
    <row r="128" spans="1:26" ht="13.5" hidden="1" thickTop="1">
      <c r="A128" s="1566" t="s">
        <v>642</v>
      </c>
      <c r="B128" s="1567"/>
      <c r="C128" s="1599">
        <v>2019</v>
      </c>
      <c r="D128" s="1599"/>
      <c r="E128" s="1599">
        <v>2019</v>
      </c>
      <c r="F128" s="1599"/>
      <c r="G128" s="1599">
        <v>2019</v>
      </c>
      <c r="H128" s="1599"/>
      <c r="I128" s="1599">
        <v>2019</v>
      </c>
      <c r="J128" s="1599"/>
      <c r="K128" s="1599">
        <v>2019</v>
      </c>
      <c r="L128" s="1599"/>
      <c r="M128" s="1599">
        <v>2019</v>
      </c>
      <c r="N128" s="1599"/>
      <c r="O128" s="1599">
        <v>2019</v>
      </c>
      <c r="P128" s="1599"/>
      <c r="Q128" s="1599">
        <v>2019</v>
      </c>
      <c r="R128" s="1599"/>
      <c r="S128" s="1599">
        <v>2019</v>
      </c>
      <c r="T128" s="1599"/>
      <c r="U128" s="1599">
        <v>2019</v>
      </c>
      <c r="V128" s="1599"/>
      <c r="W128" s="1599">
        <v>2019</v>
      </c>
      <c r="X128" s="1599"/>
      <c r="Y128" s="1599">
        <v>2019</v>
      </c>
      <c r="Z128" s="1599"/>
    </row>
    <row r="129" spans="1:26" ht="13.5" hidden="1" thickBot="1">
      <c r="A129" s="1568"/>
      <c r="B129" s="1569"/>
      <c r="C129" s="1201" t="s">
        <v>63</v>
      </c>
      <c r="D129" s="1202" t="s">
        <v>135</v>
      </c>
      <c r="E129" s="1201" t="s">
        <v>64</v>
      </c>
      <c r="F129" s="1202" t="str">
        <f>E129&amp;"/"&amp;C129</f>
        <v>Feb/Jan</v>
      </c>
      <c r="G129" s="1201" t="s">
        <v>65</v>
      </c>
      <c r="H129" s="1202" t="str">
        <f>G129&amp;"/"&amp;E129</f>
        <v>Mar/Feb</v>
      </c>
      <c r="I129" s="1201" t="s">
        <v>66</v>
      </c>
      <c r="J129" s="1202" t="str">
        <f>I129&amp;"/"&amp;G129</f>
        <v>Apr/Mar</v>
      </c>
      <c r="K129" s="1201" t="s">
        <v>67</v>
      </c>
      <c r="L129" s="1202" t="str">
        <f>K129&amp;"/"&amp;I129</f>
        <v>May/Apr</v>
      </c>
      <c r="M129" s="1201" t="s">
        <v>68</v>
      </c>
      <c r="N129" s="1202" t="str">
        <f>M129&amp;"/"&amp;K129</f>
        <v>Jun/May</v>
      </c>
      <c r="O129" s="1201" t="s">
        <v>69</v>
      </c>
      <c r="P129" s="1202" t="str">
        <f>O129&amp;"/"&amp;M129</f>
        <v>Jul/Jun</v>
      </c>
      <c r="Q129" s="1201" t="s">
        <v>70</v>
      </c>
      <c r="R129" s="1202" t="str">
        <f>Q129&amp;"/"&amp;O129</f>
        <v>Aug/Jul</v>
      </c>
      <c r="S129" s="1201" t="s">
        <v>71</v>
      </c>
      <c r="T129" s="1202" t="s">
        <v>128</v>
      </c>
      <c r="U129" s="1201" t="s">
        <v>72</v>
      </c>
      <c r="V129" s="1202" t="str">
        <f>U129&amp;"/"&amp;S129</f>
        <v>Oct/Sep</v>
      </c>
      <c r="W129" s="1201" t="s">
        <v>73</v>
      </c>
      <c r="X129" s="1202" t="str">
        <f>W129&amp;"/"&amp;U129</f>
        <v>Nov/Oct</v>
      </c>
      <c r="Y129" s="1201" t="s">
        <v>74</v>
      </c>
      <c r="Z129" s="1202" t="str">
        <f>Y129&amp;"/"&amp;W129</f>
        <v>Dec/Nov</v>
      </c>
    </row>
    <row r="130" spans="1:26" ht="13.5" hidden="1" thickTop="1">
      <c r="A130" s="1557" t="s">
        <v>81</v>
      </c>
      <c r="B130" s="1079" t="s">
        <v>82</v>
      </c>
      <c r="C130" s="1203">
        <v>10152726488</v>
      </c>
      <c r="D130" s="1106">
        <v>-2.6841657117195432E-3</v>
      </c>
      <c r="E130" s="1203">
        <v>9612950372</v>
      </c>
      <c r="F130" s="1108">
        <v>-5.3165631580638716E-2</v>
      </c>
      <c r="G130" s="1203">
        <v>13352324203</v>
      </c>
      <c r="H130" s="1108">
        <v>0.3889933564924889</v>
      </c>
      <c r="I130" s="1203">
        <v>13671270036</v>
      </c>
      <c r="J130" s="1108">
        <v>2.3886914978318102E-2</v>
      </c>
      <c r="K130" s="1203">
        <v>15111482178</v>
      </c>
      <c r="L130" s="1108">
        <v>0.10534589238655574</v>
      </c>
      <c r="M130" s="1203">
        <v>15173720578</v>
      </c>
      <c r="N130" s="1108">
        <v>4.1186165107357613E-3</v>
      </c>
      <c r="O130" s="1203">
        <v>16421208535</v>
      </c>
      <c r="P130" s="1108">
        <v>8.2213716180374499E-2</v>
      </c>
      <c r="Q130" s="1105">
        <v>16754340025</v>
      </c>
      <c r="R130" s="1108">
        <v>2.0286660953727421E-2</v>
      </c>
      <c r="S130" s="1105">
        <v>16466122931</v>
      </c>
      <c r="T130" s="1108">
        <v>-1.72025334074596E-2</v>
      </c>
      <c r="U130" s="1105">
        <v>17230149457</v>
      </c>
      <c r="V130" s="1108">
        <v>4.6399904166973212E-2</v>
      </c>
      <c r="W130" s="1105">
        <v>14138203085</v>
      </c>
      <c r="X130" s="1108">
        <v>-0.1794497708633544</v>
      </c>
      <c r="Y130" s="1105">
        <v>14469326444</v>
      </c>
      <c r="Z130" s="1108">
        <v>2.342046984395825E-2</v>
      </c>
    </row>
    <row r="131" spans="1:26" hidden="1">
      <c r="A131" s="1558"/>
      <c r="B131" s="1109" t="s">
        <v>83</v>
      </c>
      <c r="C131" s="1124">
        <v>1197</v>
      </c>
      <c r="D131" s="1112">
        <v>-1.6680567139282735E-3</v>
      </c>
      <c r="E131" s="1124">
        <v>1431</v>
      </c>
      <c r="F131" s="1114">
        <v>0.19548872180451127</v>
      </c>
      <c r="G131" s="1124">
        <v>1766</v>
      </c>
      <c r="H131" s="1114">
        <v>0.23410202655485673</v>
      </c>
      <c r="I131" s="1124">
        <v>1795</v>
      </c>
      <c r="J131" s="1114">
        <v>1.6421291053227632E-2</v>
      </c>
      <c r="K131" s="1124">
        <v>1848</v>
      </c>
      <c r="L131" s="1114">
        <v>2.9526462395543174E-2</v>
      </c>
      <c r="M131" s="1124">
        <v>1866</v>
      </c>
      <c r="N131" s="1114">
        <v>9.74025974025974E-3</v>
      </c>
      <c r="O131" s="1124">
        <v>1868</v>
      </c>
      <c r="P131" s="1114">
        <v>1.0718113612004287E-3</v>
      </c>
      <c r="Q131" s="1110">
        <v>1857</v>
      </c>
      <c r="R131" s="1114">
        <v>-5.8886509635974306E-3</v>
      </c>
      <c r="S131" s="1110">
        <v>1842</v>
      </c>
      <c r="T131" s="1114">
        <v>-8.0775444264943458E-3</v>
      </c>
      <c r="U131" s="1110">
        <v>1876</v>
      </c>
      <c r="V131" s="1114">
        <v>1.8458197611292075E-2</v>
      </c>
      <c r="W131" s="1110">
        <v>1828</v>
      </c>
      <c r="X131" s="1114">
        <v>-2.5586353944562899E-2</v>
      </c>
      <c r="Y131" s="1110">
        <v>1839</v>
      </c>
      <c r="Z131" s="1149">
        <v>6.0175054704595188E-3</v>
      </c>
    </row>
    <row r="132" spans="1:26" hidden="1">
      <c r="A132" s="1559"/>
      <c r="B132" s="1085" t="s">
        <v>84</v>
      </c>
      <c r="C132" s="1116">
        <v>8481809.9314954057</v>
      </c>
      <c r="D132" s="1115">
        <v>-1.0178067571859637E-3</v>
      </c>
      <c r="E132" s="1116">
        <v>6717645.2634521313</v>
      </c>
      <c r="F132" s="1117">
        <v>-0.20799389308317584</v>
      </c>
      <c r="G132" s="1116">
        <v>7560772.4818799552</v>
      </c>
      <c r="H132" s="1117">
        <v>0.12550933926429886</v>
      </c>
      <c r="I132" s="1116">
        <v>7616306.4267409472</v>
      </c>
      <c r="J132" s="1117">
        <v>7.3450093881390986E-3</v>
      </c>
      <c r="K132" s="1116">
        <v>8177208.9707792206</v>
      </c>
      <c r="L132" s="1117">
        <v>7.3644954996681528E-2</v>
      </c>
      <c r="M132" s="1116">
        <v>8131683.0535905678</v>
      </c>
      <c r="N132" s="1117">
        <v>-5.5674151597858148E-3</v>
      </c>
      <c r="O132" s="1116">
        <v>8790796.8602783717</v>
      </c>
      <c r="P132" s="1117">
        <v>8.1055029118082808E-2</v>
      </c>
      <c r="Q132" s="1116">
        <v>9022261.725901993</v>
      </c>
      <c r="R132" s="1117">
        <v>2.6330362230244011E-2</v>
      </c>
      <c r="S132" s="1116">
        <v>8939263.2633007597</v>
      </c>
      <c r="T132" s="1117">
        <v>-9.1992967088233707E-3</v>
      </c>
      <c r="U132" s="1116">
        <v>9184514.6359275058</v>
      </c>
      <c r="V132" s="1117">
        <v>2.7435300360109178E-2</v>
      </c>
      <c r="W132" s="1116">
        <v>7734246.7642231947</v>
      </c>
      <c r="X132" s="1117">
        <v>-0.15790359416830027</v>
      </c>
      <c r="Y132" s="1116">
        <v>7868040.4806960309</v>
      </c>
      <c r="Z132" s="1117">
        <v>1.7298868338638283E-2</v>
      </c>
    </row>
    <row r="133" spans="1:26" hidden="1">
      <c r="A133" s="1560" t="s">
        <v>77</v>
      </c>
      <c r="B133" s="1088" t="s">
        <v>82</v>
      </c>
      <c r="C133" s="1119">
        <v>8537042966</v>
      </c>
      <c r="D133" s="1118">
        <v>-1.9214074357607303E-2</v>
      </c>
      <c r="E133" s="1119">
        <v>7970882778</v>
      </c>
      <c r="F133" s="1120">
        <v>-6.6318067070157E-2</v>
      </c>
      <c r="G133" s="1119">
        <v>11607176086</v>
      </c>
      <c r="H133" s="1120">
        <v>0.45619706239267943</v>
      </c>
      <c r="I133" s="1119">
        <v>11902311806</v>
      </c>
      <c r="J133" s="1120">
        <v>2.5427004623112256E-2</v>
      </c>
      <c r="K133" s="1119">
        <v>13278779706</v>
      </c>
      <c r="L133" s="1120">
        <v>0.11564710473356254</v>
      </c>
      <c r="M133" s="1119">
        <v>13366741014</v>
      </c>
      <c r="N133" s="1120">
        <v>6.6242011651307681E-3</v>
      </c>
      <c r="O133" s="1119">
        <v>14524803425</v>
      </c>
      <c r="P133" s="1120">
        <v>8.6637603720089551E-2</v>
      </c>
      <c r="Q133" s="1119">
        <v>14849600987</v>
      </c>
      <c r="R133" s="1120">
        <v>2.2361580566450937E-2</v>
      </c>
      <c r="S133" s="1119">
        <v>14538046880</v>
      </c>
      <c r="T133" s="1120">
        <v>-2.0980638286021848E-2</v>
      </c>
      <c r="U133" s="1119">
        <v>15335625810</v>
      </c>
      <c r="V133" s="1120">
        <v>5.4861491133119805E-2</v>
      </c>
      <c r="W133" s="1119">
        <v>12202604020</v>
      </c>
      <c r="X133" s="1120">
        <v>-0.20429696373766698</v>
      </c>
      <c r="Y133" s="1119">
        <v>12533558499</v>
      </c>
      <c r="Z133" s="1120">
        <v>2.7121627355732224E-2</v>
      </c>
    </row>
    <row r="134" spans="1:26" hidden="1">
      <c r="A134" s="1558"/>
      <c r="B134" s="1109" t="s">
        <v>83</v>
      </c>
      <c r="C134" s="1124">
        <v>1137</v>
      </c>
      <c r="D134" s="1112">
        <v>8.8028169014084509E-4</v>
      </c>
      <c r="E134" s="1124">
        <v>1367</v>
      </c>
      <c r="F134" s="1114">
        <v>0.20228671943711521</v>
      </c>
      <c r="G134" s="1124">
        <v>1699</v>
      </c>
      <c r="H134" s="1114">
        <v>0.24286759326993415</v>
      </c>
      <c r="I134" s="1124">
        <v>1727</v>
      </c>
      <c r="J134" s="1114">
        <v>1.6480282519128898E-2</v>
      </c>
      <c r="K134" s="1124">
        <v>1779</v>
      </c>
      <c r="L134" s="1114">
        <v>3.0110017371163866E-2</v>
      </c>
      <c r="M134" s="1124">
        <v>1795</v>
      </c>
      <c r="N134" s="1114">
        <v>8.9938167509836988E-3</v>
      </c>
      <c r="O134" s="1124">
        <v>1797</v>
      </c>
      <c r="P134" s="1114">
        <v>1.1142061281337048E-3</v>
      </c>
      <c r="Q134" s="1124">
        <v>1784</v>
      </c>
      <c r="R134" s="1114">
        <v>-7.2342793544796884E-3</v>
      </c>
      <c r="S134" s="1124">
        <v>1771</v>
      </c>
      <c r="T134" s="1114">
        <v>-7.2869955156950675E-3</v>
      </c>
      <c r="U134" s="1124">
        <v>1803</v>
      </c>
      <c r="V134" s="1114">
        <v>1.8068887634105024E-2</v>
      </c>
      <c r="W134" s="1124">
        <v>1754</v>
      </c>
      <c r="X134" s="1114">
        <v>-2.7176927343316695E-2</v>
      </c>
      <c r="Y134" s="1124">
        <v>1761</v>
      </c>
      <c r="Z134" s="1149">
        <v>3.990877993158495E-3</v>
      </c>
    </row>
    <row r="135" spans="1:26" hidden="1">
      <c r="A135" s="1559"/>
      <c r="B135" s="1085" t="s">
        <v>84</v>
      </c>
      <c r="C135" s="1116">
        <v>7508393.1099384343</v>
      </c>
      <c r="D135" s="1115">
        <v>-2.0076682911382482E-2</v>
      </c>
      <c r="E135" s="1116">
        <v>5830931.0738844182</v>
      </c>
      <c r="F135" s="1117">
        <v>-0.22341158907005743</v>
      </c>
      <c r="G135" s="1116">
        <v>6831769.3266627425</v>
      </c>
      <c r="H135" s="1117">
        <v>0.1716429572047044</v>
      </c>
      <c r="I135" s="1116">
        <v>6891900.2929936303</v>
      </c>
      <c r="J135" s="1117">
        <v>8.8016681266170887E-3</v>
      </c>
      <c r="K135" s="1116">
        <v>7464181.959527825</v>
      </c>
      <c r="L135" s="1117">
        <v>8.3036846472660311E-2</v>
      </c>
      <c r="M135" s="1116">
        <v>7446652.3754874654</v>
      </c>
      <c r="N135" s="1117">
        <v>-2.348493664196323E-3</v>
      </c>
      <c r="O135" s="1116">
        <v>8082806.5804117974</v>
      </c>
      <c r="P135" s="1117">
        <v>8.5428212953567437E-2</v>
      </c>
      <c r="Q135" s="1116">
        <v>8323767.369394619</v>
      </c>
      <c r="R135" s="1117">
        <v>2.9811524819457615E-2</v>
      </c>
      <c r="S135" s="1116">
        <v>8208947.9841897236</v>
      </c>
      <c r="T135" s="1117">
        <v>-1.379416075791245E-2</v>
      </c>
      <c r="U135" s="1116">
        <v>8505616.0898502488</v>
      </c>
      <c r="V135" s="1117">
        <v>3.6139601107462518E-2</v>
      </c>
      <c r="W135" s="1116">
        <v>6957014.8346636258</v>
      </c>
      <c r="X135" s="1117">
        <v>-0.18206808758210574</v>
      </c>
      <c r="Y135" s="1116">
        <v>7117296.1379897781</v>
      </c>
      <c r="Z135" s="1117">
        <v>2.3038804305482257E-2</v>
      </c>
    </row>
    <row r="136" spans="1:26" hidden="1">
      <c r="A136" s="1561" t="s">
        <v>1</v>
      </c>
      <c r="B136" s="1088" t="s">
        <v>82</v>
      </c>
      <c r="C136" s="1119">
        <v>548764316</v>
      </c>
      <c r="D136" s="1118">
        <v>1.5516380142424367E-2</v>
      </c>
      <c r="E136" s="1119">
        <v>518629457</v>
      </c>
      <c r="F136" s="1120">
        <v>-5.4914027974078405E-2</v>
      </c>
      <c r="G136" s="1119">
        <v>552194537</v>
      </c>
      <c r="H136" s="1120">
        <v>6.4718807516558008E-2</v>
      </c>
      <c r="I136" s="1119">
        <v>567479232</v>
      </c>
      <c r="J136" s="1120">
        <v>2.7679909843077641E-2</v>
      </c>
      <c r="K136" s="1119">
        <v>607976837</v>
      </c>
      <c r="L136" s="1120">
        <v>7.1364030111325735E-2</v>
      </c>
      <c r="M136" s="1119">
        <v>586691816</v>
      </c>
      <c r="N136" s="1120">
        <v>-3.5009591985492042E-2</v>
      </c>
      <c r="O136" s="1119">
        <v>642304377</v>
      </c>
      <c r="P136" s="1120">
        <v>9.4790074590029735E-2</v>
      </c>
      <c r="Q136" s="1110">
        <v>634106224</v>
      </c>
      <c r="R136" s="1120">
        <v>-1.2763657377349618E-2</v>
      </c>
      <c r="S136" s="1110">
        <v>592715896</v>
      </c>
      <c r="T136" s="1120">
        <v>-6.5273492726354312E-2</v>
      </c>
      <c r="U136" s="1110">
        <v>633937128</v>
      </c>
      <c r="V136" s="1120">
        <v>6.9546358176295647E-2</v>
      </c>
      <c r="W136" s="1110">
        <v>679106016</v>
      </c>
      <c r="X136" s="1120">
        <v>7.1251368637301207E-2</v>
      </c>
      <c r="Y136" s="1110">
        <v>622536157</v>
      </c>
      <c r="Z136" s="1120">
        <v>-8.3300482792365668E-2</v>
      </c>
    </row>
    <row r="137" spans="1:26" hidden="1">
      <c r="A137" s="1558"/>
      <c r="B137" s="1109" t="s">
        <v>83</v>
      </c>
      <c r="C137" s="1124">
        <v>46</v>
      </c>
      <c r="D137" s="1112">
        <v>-0.08</v>
      </c>
      <c r="E137" s="1124">
        <v>47</v>
      </c>
      <c r="F137" s="1114">
        <v>2.1739130434782608E-2</v>
      </c>
      <c r="G137" s="1124">
        <v>49</v>
      </c>
      <c r="H137" s="1114">
        <v>4.2553191489361701E-2</v>
      </c>
      <c r="I137" s="1124">
        <v>50</v>
      </c>
      <c r="J137" s="1114">
        <v>2.0408163265306121E-2</v>
      </c>
      <c r="K137" s="1124">
        <v>51</v>
      </c>
      <c r="L137" s="1114">
        <v>0.02</v>
      </c>
      <c r="M137" s="1124">
        <v>53</v>
      </c>
      <c r="N137" s="1114">
        <v>3.9215686274509803E-2</v>
      </c>
      <c r="O137" s="1124">
        <v>53</v>
      </c>
      <c r="P137" s="1114">
        <v>0</v>
      </c>
      <c r="Q137" s="1110">
        <v>54</v>
      </c>
      <c r="R137" s="1114">
        <v>1.8867924528301886E-2</v>
      </c>
      <c r="S137" s="1110">
        <v>53</v>
      </c>
      <c r="T137" s="1114">
        <v>-1.8518518518518517E-2</v>
      </c>
      <c r="U137" s="1110">
        <v>55</v>
      </c>
      <c r="V137" s="1114">
        <v>3.7735849056603772E-2</v>
      </c>
      <c r="W137" s="1110">
        <v>56</v>
      </c>
      <c r="X137" s="1114">
        <v>1.8181818181818181E-2</v>
      </c>
      <c r="Y137" s="1110">
        <v>60</v>
      </c>
      <c r="Z137" s="1149">
        <v>7.1428571428571425E-2</v>
      </c>
    </row>
    <row r="138" spans="1:26" hidden="1">
      <c r="A138" s="1559"/>
      <c r="B138" s="1085" t="s">
        <v>84</v>
      </c>
      <c r="C138" s="1116">
        <v>11929659.043478262</v>
      </c>
      <c r="D138" s="1115">
        <v>0.1038221523287223</v>
      </c>
      <c r="E138" s="1116">
        <v>11034669.29787234</v>
      </c>
      <c r="F138" s="1117">
        <v>-7.5022240144842767E-2</v>
      </c>
      <c r="G138" s="1116">
        <v>11269276.265306123</v>
      </c>
      <c r="H138" s="1117">
        <v>2.1260897005678119E-2</v>
      </c>
      <c r="I138" s="1116">
        <v>11349584.640000001</v>
      </c>
      <c r="J138" s="1117">
        <v>7.1263116462161264E-3</v>
      </c>
      <c r="K138" s="1116">
        <v>11921114.450980391</v>
      </c>
      <c r="L138" s="1117">
        <v>5.0356892266005489E-2</v>
      </c>
      <c r="M138" s="1116">
        <v>11069656.905660378</v>
      </c>
      <c r="N138" s="1117">
        <v>-7.1424324363397892E-2</v>
      </c>
      <c r="O138" s="1116">
        <v>12118950.509433962</v>
      </c>
      <c r="P138" s="1117">
        <v>9.4790074590029708E-2</v>
      </c>
      <c r="Q138" s="1116">
        <v>11742707.851851853</v>
      </c>
      <c r="R138" s="1117">
        <v>-3.1045811870361609E-2</v>
      </c>
      <c r="S138" s="1116">
        <v>11183318.792452831</v>
      </c>
      <c r="T138" s="1117">
        <v>-4.7637143532511951E-2</v>
      </c>
      <c r="U138" s="1116">
        <v>11526129.6</v>
      </c>
      <c r="V138" s="1117">
        <v>3.0653763333521166E-2</v>
      </c>
      <c r="W138" s="1116">
        <v>12126893.142857144</v>
      </c>
      <c r="X138" s="1117">
        <v>5.2121879911635215E-2</v>
      </c>
      <c r="Y138" s="1116">
        <v>10375602.616666667</v>
      </c>
      <c r="Z138" s="1117">
        <v>-0.1444137839395413</v>
      </c>
    </row>
    <row r="139" spans="1:26" hidden="1">
      <c r="A139" s="1560" t="s">
        <v>78</v>
      </c>
      <c r="B139" s="1088" t="s">
        <v>82</v>
      </c>
      <c r="C139" s="1119">
        <v>127814000</v>
      </c>
      <c r="D139" s="1118">
        <v>-0.25016358341950667</v>
      </c>
      <c r="E139" s="1119">
        <v>187587231</v>
      </c>
      <c r="F139" s="1120">
        <v>0.46765793262083966</v>
      </c>
      <c r="G139" s="1119">
        <v>208824597</v>
      </c>
      <c r="H139" s="1120">
        <v>0.11321328155859393</v>
      </c>
      <c r="I139" s="1119">
        <v>192648569</v>
      </c>
      <c r="J139" s="1120">
        <v>-7.746227327808515E-2</v>
      </c>
      <c r="K139" s="1119">
        <v>209406159</v>
      </c>
      <c r="L139" s="1120">
        <v>8.6985281473853052E-2</v>
      </c>
      <c r="M139" s="1119">
        <v>211457319</v>
      </c>
      <c r="N139" s="1120">
        <v>9.7951273725430405E-3</v>
      </c>
      <c r="O139" s="1119">
        <v>247433319</v>
      </c>
      <c r="P139" s="1120">
        <v>0.17013362398678666</v>
      </c>
      <c r="Q139" s="1110">
        <v>235996899</v>
      </c>
      <c r="R139" s="1120">
        <v>-4.6220210140736948E-2</v>
      </c>
      <c r="S139" s="1110">
        <v>198474447</v>
      </c>
      <c r="T139" s="1120">
        <v>-0.15899552985227997</v>
      </c>
      <c r="U139" s="1110">
        <v>216842003</v>
      </c>
      <c r="V139" s="1120">
        <v>9.2543681454368781E-2</v>
      </c>
      <c r="W139" s="1110">
        <v>213755041</v>
      </c>
      <c r="X139" s="1120">
        <v>-1.4235996519548844E-2</v>
      </c>
      <c r="Y139" s="1110">
        <v>243992082</v>
      </c>
      <c r="Z139" s="1120">
        <v>0.14145650487840425</v>
      </c>
    </row>
    <row r="140" spans="1:26" hidden="1">
      <c r="A140" s="1558"/>
      <c r="B140" s="1109" t="s">
        <v>83</v>
      </c>
      <c r="C140" s="1124">
        <v>9</v>
      </c>
      <c r="D140" s="1112">
        <v>0</v>
      </c>
      <c r="E140" s="1124">
        <v>12</v>
      </c>
      <c r="F140" s="1114">
        <v>0.33333333333333331</v>
      </c>
      <c r="G140" s="1124">
        <v>12</v>
      </c>
      <c r="H140" s="1114">
        <v>0</v>
      </c>
      <c r="I140" s="1124">
        <v>12</v>
      </c>
      <c r="J140" s="1114">
        <v>0</v>
      </c>
      <c r="K140" s="1124">
        <v>12</v>
      </c>
      <c r="L140" s="1114">
        <v>0</v>
      </c>
      <c r="M140" s="1124">
        <v>12</v>
      </c>
      <c r="N140" s="1114">
        <v>0</v>
      </c>
      <c r="O140" s="1124">
        <v>12</v>
      </c>
      <c r="P140" s="1114">
        <v>0</v>
      </c>
      <c r="Q140" s="1110">
        <v>12</v>
      </c>
      <c r="R140" s="1114">
        <v>0</v>
      </c>
      <c r="S140" s="1110">
        <v>12</v>
      </c>
      <c r="T140" s="1114">
        <v>0</v>
      </c>
      <c r="U140" s="1110">
        <v>12</v>
      </c>
      <c r="V140" s="1114">
        <v>0</v>
      </c>
      <c r="W140" s="1110">
        <v>12</v>
      </c>
      <c r="X140" s="1114">
        <v>0</v>
      </c>
      <c r="Y140" s="1110">
        <v>12</v>
      </c>
      <c r="Z140" s="1149">
        <v>0</v>
      </c>
    </row>
    <row r="141" spans="1:26" hidden="1">
      <c r="A141" s="1559"/>
      <c r="B141" s="1085" t="s">
        <v>84</v>
      </c>
      <c r="C141" s="1116">
        <v>14201555.555555556</v>
      </c>
      <c r="D141" s="1115">
        <v>-0.25016358341950662</v>
      </c>
      <c r="E141" s="1116">
        <v>15632269.25</v>
      </c>
      <c r="F141" s="1117">
        <v>0.10074344946562971</v>
      </c>
      <c r="G141" s="1116">
        <v>17402049.75</v>
      </c>
      <c r="H141" s="1117">
        <v>0.11321328155859393</v>
      </c>
      <c r="I141" s="1116">
        <v>16054047.416666666</v>
      </c>
      <c r="J141" s="1117">
        <v>-7.7462273278085178E-2</v>
      </c>
      <c r="K141" s="1116">
        <v>17450513.25</v>
      </c>
      <c r="L141" s="1117">
        <v>8.6985281473853093E-2</v>
      </c>
      <c r="M141" s="1116">
        <v>17621443.25</v>
      </c>
      <c r="N141" s="1117">
        <v>9.7951273725430405E-3</v>
      </c>
      <c r="O141" s="1116">
        <v>20619443.25</v>
      </c>
      <c r="P141" s="1117">
        <v>0.17013362398678666</v>
      </c>
      <c r="Q141" s="1116">
        <v>19666408.25</v>
      </c>
      <c r="R141" s="1117">
        <v>-4.6220210140736948E-2</v>
      </c>
      <c r="S141" s="1116">
        <v>16539537.25</v>
      </c>
      <c r="T141" s="1117">
        <v>-0.15899552985227997</v>
      </c>
      <c r="U141" s="1116">
        <v>18070166.916666668</v>
      </c>
      <c r="V141" s="1117">
        <v>9.2543681454368865E-2</v>
      </c>
      <c r="W141" s="1116">
        <v>17812920.083333332</v>
      </c>
      <c r="X141" s="1117">
        <v>-1.4235996519548981E-2</v>
      </c>
      <c r="Y141" s="1116">
        <v>20332673.5</v>
      </c>
      <c r="Z141" s="1117">
        <v>0.14145650487840433</v>
      </c>
    </row>
    <row r="142" spans="1:26" hidden="1">
      <c r="A142" s="1560" t="s">
        <v>5</v>
      </c>
      <c r="B142" s="1088" t="s">
        <v>82</v>
      </c>
      <c r="C142" s="1119">
        <v>939105206</v>
      </c>
      <c r="D142" s="1118">
        <v>0.22770371935348996</v>
      </c>
      <c r="E142" s="1119">
        <v>935850906</v>
      </c>
      <c r="F142" s="1120">
        <v>-3.4653199441426587E-3</v>
      </c>
      <c r="G142" s="1119">
        <v>984128983</v>
      </c>
      <c r="H142" s="1120">
        <v>5.1587359365125193E-2</v>
      </c>
      <c r="I142" s="1119">
        <v>1008830429</v>
      </c>
      <c r="J142" s="1120">
        <v>2.5099805438816142E-2</v>
      </c>
      <c r="K142" s="1119">
        <v>1015319476</v>
      </c>
      <c r="L142" s="1120">
        <v>6.4322474951833556E-3</v>
      </c>
      <c r="M142" s="1119">
        <v>1008830429</v>
      </c>
      <c r="N142" s="1120">
        <v>-6.3911381130642275E-3</v>
      </c>
      <c r="O142" s="1119">
        <v>1006667414</v>
      </c>
      <c r="P142" s="1120">
        <v>-2.1440818375632084E-3</v>
      </c>
      <c r="Q142" s="1110">
        <v>1034635915</v>
      </c>
      <c r="R142" s="1120">
        <v>2.7783258513223316E-2</v>
      </c>
      <c r="S142" s="1110">
        <v>1136885708</v>
      </c>
      <c r="T142" s="1120">
        <v>9.8826835138426453E-2</v>
      </c>
      <c r="U142" s="1110">
        <v>1043744516</v>
      </c>
      <c r="V142" s="1120">
        <v>-8.192660998778252E-2</v>
      </c>
      <c r="W142" s="1110">
        <v>1042738008</v>
      </c>
      <c r="X142" s="1120">
        <v>-9.6432410860207093E-4</v>
      </c>
      <c r="Y142" s="1110">
        <v>1069239706</v>
      </c>
      <c r="Z142" s="1120">
        <v>2.5415490561076778E-2</v>
      </c>
    </row>
    <row r="143" spans="1:26" hidden="1">
      <c r="A143" s="1558"/>
      <c r="B143" s="1109" t="s">
        <v>83</v>
      </c>
      <c r="C143" s="1124">
        <v>5</v>
      </c>
      <c r="D143" s="1112">
        <v>0.25</v>
      </c>
      <c r="E143" s="1124">
        <v>5</v>
      </c>
      <c r="F143" s="1114">
        <v>0</v>
      </c>
      <c r="G143" s="1124">
        <v>6</v>
      </c>
      <c r="H143" s="1114">
        <v>0.2</v>
      </c>
      <c r="I143" s="1124">
        <v>6</v>
      </c>
      <c r="J143" s="1114">
        <v>0</v>
      </c>
      <c r="K143" s="1124">
        <v>6</v>
      </c>
      <c r="L143" s="1114">
        <v>0</v>
      </c>
      <c r="M143" s="1124">
        <v>6</v>
      </c>
      <c r="N143" s="1114">
        <v>0</v>
      </c>
      <c r="O143" s="1124">
        <v>6</v>
      </c>
      <c r="P143" s="1114">
        <v>0</v>
      </c>
      <c r="Q143" s="1110">
        <v>7</v>
      </c>
      <c r="R143" s="1114">
        <v>0.16666666666666666</v>
      </c>
      <c r="S143" s="1110">
        <v>6</v>
      </c>
      <c r="T143" s="1114">
        <v>-0.14285714285714285</v>
      </c>
      <c r="U143" s="1110">
        <v>6</v>
      </c>
      <c r="V143" s="1114">
        <v>0</v>
      </c>
      <c r="W143" s="1110">
        <v>6</v>
      </c>
      <c r="X143" s="1114">
        <v>0</v>
      </c>
      <c r="Y143" s="1110">
        <v>6</v>
      </c>
      <c r="Z143" s="1149">
        <v>0</v>
      </c>
    </row>
    <row r="144" spans="1:26" hidden="1">
      <c r="A144" s="1559"/>
      <c r="B144" s="1085" t="s">
        <v>84</v>
      </c>
      <c r="C144" s="1116">
        <v>187821041.19999999</v>
      </c>
      <c r="D144" s="1115">
        <v>-1.7837024517208089E-2</v>
      </c>
      <c r="E144" s="1116">
        <v>187170181.19999999</v>
      </c>
      <c r="F144" s="1117">
        <v>-3.4653199441426591E-3</v>
      </c>
      <c r="G144" s="1116">
        <v>164021497.16666666</v>
      </c>
      <c r="H144" s="1117">
        <v>-0.12367720052906234</v>
      </c>
      <c r="I144" s="1116">
        <v>168138404.83333334</v>
      </c>
      <c r="J144" s="1117">
        <v>2.5099805438816267E-2</v>
      </c>
      <c r="K144" s="1116">
        <v>169219912.66666666</v>
      </c>
      <c r="L144" s="1117">
        <v>6.4322474951832367E-3</v>
      </c>
      <c r="M144" s="1116">
        <v>168138404.83333334</v>
      </c>
      <c r="N144" s="1117">
        <v>-6.3911381130641104E-3</v>
      </c>
      <c r="O144" s="1116">
        <v>167777902.33333334</v>
      </c>
      <c r="P144" s="1117">
        <v>-2.1440818375632084E-3</v>
      </c>
      <c r="Q144" s="1116">
        <v>147805130.7142857</v>
      </c>
      <c r="R144" s="1117">
        <v>-0.11904292127438014</v>
      </c>
      <c r="S144" s="1116">
        <v>147805130.7142857</v>
      </c>
      <c r="T144" s="1117">
        <v>0</v>
      </c>
      <c r="U144" s="1116">
        <v>147805130.7142857</v>
      </c>
      <c r="V144" s="1117">
        <v>0</v>
      </c>
      <c r="W144" s="1116">
        <v>147805130.7142857</v>
      </c>
      <c r="X144" s="1117">
        <v>0</v>
      </c>
      <c r="Y144" s="1116">
        <v>147805130.7142857</v>
      </c>
      <c r="Z144" s="1117">
        <v>0</v>
      </c>
    </row>
    <row r="145" spans="1:26" hidden="1">
      <c r="A145" s="1570" t="s">
        <v>85</v>
      </c>
      <c r="B145" s="1191" t="s">
        <v>82</v>
      </c>
      <c r="C145" s="1204">
        <v>9213621282</v>
      </c>
      <c r="D145" s="1205">
        <v>-0.18427741180176793</v>
      </c>
      <c r="E145" s="1204">
        <v>8677099466</v>
      </c>
      <c r="F145" s="1193">
        <v>-5.8231372831458211E-2</v>
      </c>
      <c r="G145" s="1204">
        <v>12368195220</v>
      </c>
      <c r="H145" s="1193">
        <v>0.42538359373002949</v>
      </c>
      <c r="I145" s="1204">
        <v>12662439607</v>
      </c>
      <c r="J145" s="1193">
        <v>2.3790406099362976E-2</v>
      </c>
      <c r="K145" s="1204">
        <v>14096162702</v>
      </c>
      <c r="L145" s="1193">
        <v>0.11322645078657788</v>
      </c>
      <c r="M145" s="1204">
        <v>14164890149</v>
      </c>
      <c r="N145" s="1193">
        <v>4.8756139137248163E-3</v>
      </c>
      <c r="O145" s="1204">
        <v>15414541121</v>
      </c>
      <c r="P145" s="1193">
        <v>8.8221719960759573E-2</v>
      </c>
      <c r="Q145" s="1204">
        <v>15719704110</v>
      </c>
      <c r="R145" s="1193">
        <v>1.97970855314182E-2</v>
      </c>
      <c r="S145" s="1204">
        <v>15329237223</v>
      </c>
      <c r="T145" s="1193">
        <v>-2.4839328034909177E-2</v>
      </c>
      <c r="U145" s="1204">
        <v>16186404941</v>
      </c>
      <c r="V145" s="1193">
        <v>5.5917180061243028E-2</v>
      </c>
      <c r="W145" s="1204">
        <v>13095465077</v>
      </c>
      <c r="X145" s="1193">
        <v>-0.19095901006224555</v>
      </c>
      <c r="Y145" s="1204">
        <v>13400086738</v>
      </c>
      <c r="Z145" s="1193">
        <v>2.3261614551973196E-2</v>
      </c>
    </row>
    <row r="146" spans="1:26" hidden="1">
      <c r="A146" s="1571"/>
      <c r="B146" s="1194" t="s">
        <v>83</v>
      </c>
      <c r="C146" s="1206">
        <v>1504</v>
      </c>
      <c r="D146" s="1207">
        <v>-5.9484467944481163E-3</v>
      </c>
      <c r="E146" s="1206">
        <v>1709</v>
      </c>
      <c r="F146" s="1196">
        <v>0.13630319148936171</v>
      </c>
      <c r="G146" s="1206">
        <v>2075</v>
      </c>
      <c r="H146" s="1196">
        <v>0.2141603276770041</v>
      </c>
      <c r="I146" s="1206">
        <v>2149</v>
      </c>
      <c r="J146" s="1196">
        <v>3.566265060240964E-2</v>
      </c>
      <c r="K146" s="1206">
        <v>2217</v>
      </c>
      <c r="L146" s="1196">
        <v>3.1642624476500701E-2</v>
      </c>
      <c r="M146" s="1206">
        <v>2229</v>
      </c>
      <c r="N146" s="1196">
        <v>5.4127198917456026E-3</v>
      </c>
      <c r="O146" s="1206">
        <v>2241</v>
      </c>
      <c r="P146" s="1196">
        <v>5.3835800807537013E-3</v>
      </c>
      <c r="Q146" s="1206">
        <v>2204</v>
      </c>
      <c r="R146" s="1196">
        <v>-1.6510486390004461E-2</v>
      </c>
      <c r="S146" s="1206">
        <v>2205</v>
      </c>
      <c r="T146" s="1196">
        <v>4.5372050816696913E-4</v>
      </c>
      <c r="U146" s="1206">
        <v>2256</v>
      </c>
      <c r="V146" s="1196">
        <v>2.3129251700680271E-2</v>
      </c>
      <c r="W146" s="1206">
        <v>2186</v>
      </c>
      <c r="X146" s="1196">
        <v>-3.1028368794326241E-2</v>
      </c>
      <c r="Y146" s="1206">
        <v>2208</v>
      </c>
      <c r="Z146" s="1208">
        <v>1.0064043915827997E-2</v>
      </c>
    </row>
    <row r="147" spans="1:26" ht="13.5" hidden="1" customHeight="1" thickBot="1">
      <c r="A147" s="1572"/>
      <c r="B147" s="1197" t="s">
        <v>84</v>
      </c>
      <c r="C147" s="1209">
        <v>6126077.9800531911</v>
      </c>
      <c r="D147" s="1210">
        <v>-0.17939609312239024</v>
      </c>
      <c r="E147" s="1209">
        <v>5077296.3522527795</v>
      </c>
      <c r="F147" s="1199">
        <v>-0.17119952295992569</v>
      </c>
      <c r="G147" s="1209">
        <v>5960576.0096385544</v>
      </c>
      <c r="H147" s="1199">
        <v>0.17396653575162432</v>
      </c>
      <c r="I147" s="1209">
        <v>5892247.3741275016</v>
      </c>
      <c r="J147" s="1199">
        <v>-1.1463428266087358E-2</v>
      </c>
      <c r="K147" s="1209">
        <v>6358215.0211998196</v>
      </c>
      <c r="L147" s="1199">
        <v>7.9081480712835217E-2</v>
      </c>
      <c r="M147" s="1209">
        <v>6354818.3710183939</v>
      </c>
      <c r="N147" s="1199">
        <v>-5.3421442497626867E-4</v>
      </c>
      <c r="O147" s="1209">
        <v>6878420.8482820168</v>
      </c>
      <c r="P147" s="1199">
        <v>8.2394562156418133E-2</v>
      </c>
      <c r="Q147" s="1209">
        <v>7132352.1370235933</v>
      </c>
      <c r="R147" s="1199">
        <v>3.6917091050775036E-2</v>
      </c>
      <c r="S147" s="1209">
        <v>6952035.0217687078</v>
      </c>
      <c r="T147" s="1199">
        <v>-2.528157777276176E-2</v>
      </c>
      <c r="U147" s="1209">
        <v>7174824.8851950355</v>
      </c>
      <c r="V147" s="1199">
        <v>3.2046711894964885E-2</v>
      </c>
      <c r="W147" s="1209">
        <v>5990606.1651418116</v>
      </c>
      <c r="X147" s="1199">
        <v>-0.16505193353175934</v>
      </c>
      <c r="Y147" s="1209">
        <v>6068879.8632246377</v>
      </c>
      <c r="Z147" s="1199">
        <v>1.3066073102632875E-2</v>
      </c>
    </row>
    <row r="148" spans="1:26" ht="14.25" hidden="1" customHeight="1" thickTop="1" thickBot="1"/>
    <row r="149" spans="1:26" ht="14.25" hidden="1" customHeight="1" thickTop="1">
      <c r="A149" s="1566" t="s">
        <v>641</v>
      </c>
      <c r="B149" s="1567"/>
      <c r="C149" s="1583">
        <v>2018</v>
      </c>
      <c r="D149" s="1583"/>
      <c r="E149" s="1583">
        <v>2018</v>
      </c>
      <c r="F149" s="1583"/>
      <c r="G149" s="1583">
        <v>2018</v>
      </c>
      <c r="H149" s="1583"/>
      <c r="I149" s="1583">
        <v>2018</v>
      </c>
      <c r="J149" s="1583"/>
      <c r="K149" s="1583">
        <v>2018</v>
      </c>
      <c r="L149" s="1583"/>
      <c r="M149" s="1583">
        <v>2018</v>
      </c>
      <c r="N149" s="1583"/>
      <c r="O149" s="1583">
        <v>2018</v>
      </c>
      <c r="P149" s="1583"/>
      <c r="Q149" s="1583">
        <v>2018</v>
      </c>
      <c r="R149" s="1583"/>
      <c r="S149" s="1583">
        <v>2018</v>
      </c>
      <c r="T149" s="1583"/>
      <c r="U149" s="1583">
        <v>2018</v>
      </c>
      <c r="V149" s="1583"/>
      <c r="W149" s="1583">
        <v>2018</v>
      </c>
      <c r="X149" s="1583"/>
      <c r="Y149" s="1583">
        <v>2018</v>
      </c>
      <c r="Z149" s="1583"/>
    </row>
    <row r="150" spans="1:26" ht="14.25" hidden="1" customHeight="1" thickBot="1">
      <c r="A150" s="1568"/>
      <c r="B150" s="1569"/>
      <c r="C150" s="1211" t="s">
        <v>63</v>
      </c>
      <c r="D150" s="1212" t="s">
        <v>135</v>
      </c>
      <c r="E150" s="1211" t="s">
        <v>64</v>
      </c>
      <c r="F150" s="1212" t="str">
        <f>E150&amp;"/"&amp;C150</f>
        <v>Feb/Jan</v>
      </c>
      <c r="G150" s="1211" t="s">
        <v>65</v>
      </c>
      <c r="H150" s="1212" t="str">
        <f>G150&amp;"/"&amp;E150</f>
        <v>Mar/Feb</v>
      </c>
      <c r="I150" s="1211" t="s">
        <v>66</v>
      </c>
      <c r="J150" s="1212" t="str">
        <f>I150&amp;"/"&amp;G150</f>
        <v>Apr/Mar</v>
      </c>
      <c r="K150" s="1211" t="s">
        <v>67</v>
      </c>
      <c r="L150" s="1212" t="str">
        <f>K150&amp;"/"&amp;I150</f>
        <v>May/Apr</v>
      </c>
      <c r="M150" s="1211" t="s">
        <v>68</v>
      </c>
      <c r="N150" s="1212" t="str">
        <f>M150&amp;"/"&amp;K150</f>
        <v>Jun/May</v>
      </c>
      <c r="O150" s="1211" t="s">
        <v>69</v>
      </c>
      <c r="P150" s="1212" t="str">
        <f>O150&amp;"/"&amp;M150</f>
        <v>Jul/Jun</v>
      </c>
      <c r="Q150" s="1211" t="s">
        <v>70</v>
      </c>
      <c r="R150" s="1212" t="str">
        <f>Q150&amp;"/"&amp;O150</f>
        <v>Aug/Jul</v>
      </c>
      <c r="S150" s="1211" t="s">
        <v>71</v>
      </c>
      <c r="T150" s="1212" t="s">
        <v>128</v>
      </c>
      <c r="U150" s="1211" t="s">
        <v>72</v>
      </c>
      <c r="V150" s="1212" t="str">
        <f>U150&amp;"/"&amp;S150</f>
        <v>Oct/Sep</v>
      </c>
      <c r="W150" s="1211" t="s">
        <v>73</v>
      </c>
      <c r="X150" s="1212" t="str">
        <f>W150&amp;"/"&amp;U150</f>
        <v>Nov/Oct</v>
      </c>
      <c r="Y150" s="1211" t="s">
        <v>74</v>
      </c>
      <c r="Z150" s="1212" t="str">
        <f>Y150&amp;"/"&amp;W150</f>
        <v>Dec/Nov</v>
      </c>
    </row>
    <row r="151" spans="1:26" ht="14.25" hidden="1" customHeight="1" thickTop="1">
      <c r="A151" s="1557" t="s">
        <v>81</v>
      </c>
      <c r="B151" s="1079" t="s">
        <v>82</v>
      </c>
      <c r="C151" s="1203">
        <v>8244687025</v>
      </c>
      <c r="D151" s="1213">
        <v>2.3005151007852959E-2</v>
      </c>
      <c r="E151" s="1203">
        <v>6288471883</v>
      </c>
      <c r="F151" s="1213">
        <v>-0.23726978793352074</v>
      </c>
      <c r="G151" s="1203">
        <v>8473437917</v>
      </c>
      <c r="H151" s="1213">
        <v>0.34745580081334998</v>
      </c>
      <c r="I151" s="1203">
        <v>8006303936</v>
      </c>
      <c r="J151" s="1213">
        <v>-5.512921503358198E-2</v>
      </c>
      <c r="K151" s="1203">
        <v>8573759031</v>
      </c>
      <c r="L151" s="1213">
        <v>7.0876037124753988E-2</v>
      </c>
      <c r="M151" s="1203">
        <v>8118937673</v>
      </c>
      <c r="N151" s="1213">
        <v>-5.3048068689067404E-2</v>
      </c>
      <c r="O151" s="1203">
        <v>8130857273</v>
      </c>
      <c r="P151" s="1213">
        <v>1.4681231067506927E-3</v>
      </c>
      <c r="Q151" s="1203">
        <v>8993090062</v>
      </c>
      <c r="R151" s="1213">
        <v>0.10604451167322809</v>
      </c>
      <c r="S151" s="1203">
        <v>8919891143</v>
      </c>
      <c r="T151" s="1213">
        <v>-8.1394624645537098E-3</v>
      </c>
      <c r="U151" s="1203">
        <v>9440518677</v>
      </c>
      <c r="V151" s="1213">
        <v>5.8367027764522572E-2</v>
      </c>
      <c r="W151" s="1203">
        <v>9409707304</v>
      </c>
      <c r="X151" s="1213">
        <v>-3.2637373066234125E-3</v>
      </c>
      <c r="Y151" s="1203">
        <v>10180051433</v>
      </c>
      <c r="Z151" s="1213">
        <v>8.1866959737688358E-2</v>
      </c>
    </row>
    <row r="152" spans="1:26" ht="14.25" hidden="1" customHeight="1">
      <c r="A152" s="1558"/>
      <c r="B152" s="1109" t="s">
        <v>83</v>
      </c>
      <c r="C152" s="1124">
        <v>976</v>
      </c>
      <c r="D152" s="1214">
        <v>-1.0235414534288639E-3</v>
      </c>
      <c r="E152" s="1124">
        <v>937</v>
      </c>
      <c r="F152" s="1214">
        <v>-3.9959016393442626E-2</v>
      </c>
      <c r="G152" s="1124">
        <v>998</v>
      </c>
      <c r="H152" s="1214">
        <v>6.5101387406616862E-2</v>
      </c>
      <c r="I152" s="1124">
        <v>1005</v>
      </c>
      <c r="J152" s="1214">
        <v>7.0140280561122245E-3</v>
      </c>
      <c r="K152" s="1124">
        <v>1005</v>
      </c>
      <c r="L152" s="1214">
        <v>0</v>
      </c>
      <c r="M152" s="1124">
        <v>1000</v>
      </c>
      <c r="N152" s="1214">
        <v>-4.9751243781094526E-3</v>
      </c>
      <c r="O152" s="1124">
        <v>984</v>
      </c>
      <c r="P152" s="1214">
        <v>-1.6E-2</v>
      </c>
      <c r="Q152" s="1124">
        <v>1001</v>
      </c>
      <c r="R152" s="1214">
        <v>1.7276422764227643E-2</v>
      </c>
      <c r="S152" s="1124">
        <v>1021</v>
      </c>
      <c r="T152" s="1214">
        <v>1.998001998001998E-2</v>
      </c>
      <c r="U152" s="1124">
        <v>1056</v>
      </c>
      <c r="V152" s="1214">
        <v>3.4280117531831536E-2</v>
      </c>
      <c r="W152" s="1124">
        <v>1072</v>
      </c>
      <c r="X152" s="1214">
        <v>1.5151515151515152E-2</v>
      </c>
      <c r="Y152" s="1124">
        <v>1199</v>
      </c>
      <c r="Z152" s="1214">
        <v>0.11847014925373134</v>
      </c>
    </row>
    <row r="153" spans="1:26" ht="14.25" hidden="1" customHeight="1">
      <c r="A153" s="1559"/>
      <c r="B153" s="1085" t="s">
        <v>84</v>
      </c>
      <c r="C153" s="1116">
        <v>8447425.2305327877</v>
      </c>
      <c r="D153" s="1215">
        <v>2.405331202322996E-2</v>
      </c>
      <c r="E153" s="1116">
        <v>6711282.6926360726</v>
      </c>
      <c r="F153" s="1215">
        <v>-0.20552327964046566</v>
      </c>
      <c r="G153" s="1116">
        <v>8490418.7545090187</v>
      </c>
      <c r="H153" s="1215">
        <v>0.26509627791794493</v>
      </c>
      <c r="I153" s="1116">
        <v>7966471.5781094525</v>
      </c>
      <c r="J153" s="1215">
        <v>-6.1710404580611868E-2</v>
      </c>
      <c r="K153" s="1116">
        <v>8531103.5134328362</v>
      </c>
      <c r="L153" s="1215">
        <v>7.0876037124754071E-2</v>
      </c>
      <c r="M153" s="1116">
        <v>8118937.6730000004</v>
      </c>
      <c r="N153" s="1215">
        <v>-4.8313309032512734E-2</v>
      </c>
      <c r="O153" s="1116">
        <v>8263066.3343495931</v>
      </c>
      <c r="P153" s="1215">
        <v>1.7752157628811584E-2</v>
      </c>
      <c r="Q153" s="1116">
        <v>8984105.9560439568</v>
      </c>
      <c r="R153" s="1215">
        <v>8.726053894750907E-2</v>
      </c>
      <c r="S153" s="1116">
        <v>8736426.1929480899</v>
      </c>
      <c r="T153" s="1215">
        <v>-2.7568660065639933E-2</v>
      </c>
      <c r="U153" s="1116">
        <v>8939885.1107954551</v>
      </c>
      <c r="V153" s="1215">
        <v>2.3288575139751546E-2</v>
      </c>
      <c r="W153" s="1116">
        <v>8777712.0373134334</v>
      </c>
      <c r="X153" s="1215">
        <v>-1.8140397943837986E-2</v>
      </c>
      <c r="Y153" s="1116">
        <v>8490451.5704753958</v>
      </c>
      <c r="Z153" s="1215">
        <v>-3.2726121068555637E-2</v>
      </c>
    </row>
    <row r="154" spans="1:26" ht="14.25" hidden="1" customHeight="1">
      <c r="A154" s="1560" t="s">
        <v>77</v>
      </c>
      <c r="B154" s="1088" t="s">
        <v>82</v>
      </c>
      <c r="C154" s="1119">
        <v>6845141253</v>
      </c>
      <c r="D154" s="1216">
        <v>4.3696573587966954E-3</v>
      </c>
      <c r="E154" s="1119">
        <v>5102448170</v>
      </c>
      <c r="F154" s="1216">
        <v>-0.25458833040680279</v>
      </c>
      <c r="G154" s="1119">
        <v>7212045941</v>
      </c>
      <c r="H154" s="1216">
        <v>0.41344815286972331</v>
      </c>
      <c r="I154" s="1119">
        <v>6768155633</v>
      </c>
      <c r="J154" s="1216">
        <v>-6.1548458181126274E-2</v>
      </c>
      <c r="K154" s="1119">
        <v>7285700591</v>
      </c>
      <c r="L154" s="1216">
        <v>7.6467650282237537E-2</v>
      </c>
      <c r="M154" s="1119">
        <v>6850004555</v>
      </c>
      <c r="N154" s="1216">
        <v>-5.9801529112823243E-2</v>
      </c>
      <c r="O154" s="1119">
        <v>6839458515</v>
      </c>
      <c r="P154" s="1216">
        <v>-1.5395668594559058E-3</v>
      </c>
      <c r="Q154" s="1119">
        <v>7659084972</v>
      </c>
      <c r="R154" s="1216">
        <v>0.11983791629153555</v>
      </c>
      <c r="S154" s="1119">
        <v>7632254225</v>
      </c>
      <c r="T154" s="1216">
        <v>-3.5031269529046294E-3</v>
      </c>
      <c r="U154" s="1119">
        <v>8072850333</v>
      </c>
      <c r="V154" s="1216">
        <v>5.7728175059577502E-2</v>
      </c>
      <c r="W154" s="1119">
        <v>7998313641</v>
      </c>
      <c r="X154" s="1216">
        <v>-9.2330080362459759E-3</v>
      </c>
      <c r="Y154" s="1119">
        <v>8704287799</v>
      </c>
      <c r="Z154" s="1216">
        <v>8.8265375638824611E-2</v>
      </c>
    </row>
    <row r="155" spans="1:26" ht="14.25" hidden="1" customHeight="1">
      <c r="A155" s="1558"/>
      <c r="B155" s="1109" t="s">
        <v>83</v>
      </c>
      <c r="C155" s="1124">
        <v>927</v>
      </c>
      <c r="D155" s="1214">
        <v>0</v>
      </c>
      <c r="E155" s="1124">
        <v>889</v>
      </c>
      <c r="F155" s="1214">
        <v>-4.0992448759439054E-2</v>
      </c>
      <c r="G155" s="1124">
        <v>948</v>
      </c>
      <c r="H155" s="1214">
        <v>6.6366704161979748E-2</v>
      </c>
      <c r="I155" s="1124">
        <v>953</v>
      </c>
      <c r="J155" s="1214">
        <v>5.2742616033755272E-3</v>
      </c>
      <c r="K155" s="1124">
        <v>949</v>
      </c>
      <c r="L155" s="1214">
        <v>-4.1972717733473244E-3</v>
      </c>
      <c r="M155" s="1124">
        <v>946</v>
      </c>
      <c r="N155" s="1214">
        <v>-3.1612223393045311E-3</v>
      </c>
      <c r="O155" s="1124">
        <v>931</v>
      </c>
      <c r="P155" s="1214">
        <v>-1.5856236786469344E-2</v>
      </c>
      <c r="Q155" s="1124">
        <v>946</v>
      </c>
      <c r="R155" s="1214">
        <v>1.611170784103115E-2</v>
      </c>
      <c r="S155" s="1124">
        <v>968</v>
      </c>
      <c r="T155" s="1214">
        <v>2.3255813953488372E-2</v>
      </c>
      <c r="U155" s="1124">
        <v>1003</v>
      </c>
      <c r="V155" s="1214">
        <v>3.6157024793388427E-2</v>
      </c>
      <c r="W155" s="1124">
        <v>1014</v>
      </c>
      <c r="X155" s="1214">
        <v>1.0967098703888335E-2</v>
      </c>
      <c r="Y155" s="1124">
        <v>1136</v>
      </c>
      <c r="Z155" s="1214">
        <v>0.1203155818540434</v>
      </c>
    </row>
    <row r="156" spans="1:26" ht="14.25" hidden="1" customHeight="1">
      <c r="A156" s="1559"/>
      <c r="B156" s="1085" t="s">
        <v>84</v>
      </c>
      <c r="C156" s="1116">
        <v>7384186.8964401297</v>
      </c>
      <c r="D156" s="1215">
        <v>-0.13243832232384792</v>
      </c>
      <c r="E156" s="1116">
        <v>5739536.7491563559</v>
      </c>
      <c r="F156" s="1215">
        <v>-0.22272596432745351</v>
      </c>
      <c r="G156" s="1116">
        <v>7607643.3976793252</v>
      </c>
      <c r="H156" s="1215">
        <v>0.32548038808141772</v>
      </c>
      <c r="I156" s="1116">
        <v>7101947.1490031481</v>
      </c>
      <c r="J156" s="1215">
        <v>-6.6472128390039589E-2</v>
      </c>
      <c r="K156" s="1116">
        <v>7677239.8219178086</v>
      </c>
      <c r="L156" s="1215">
        <v>8.1004921727052065E-2</v>
      </c>
      <c r="M156" s="1116">
        <v>7241019.6141649047</v>
      </c>
      <c r="N156" s="1215">
        <v>-5.6819927196690614E-2</v>
      </c>
      <c r="O156" s="1116">
        <v>7346357.158968851</v>
      </c>
      <c r="P156" s="1215">
        <v>1.4547335930134018E-2</v>
      </c>
      <c r="Q156" s="1116">
        <v>8096284.3255813951</v>
      </c>
      <c r="R156" s="1215">
        <v>0.10208150112835045</v>
      </c>
      <c r="S156" s="1116">
        <v>7884560.1497933883</v>
      </c>
      <c r="T156" s="1215">
        <v>-2.6150783158520412E-2</v>
      </c>
      <c r="U156" s="1116">
        <v>8048704.2203389835</v>
      </c>
      <c r="V156" s="1215">
        <v>2.0818418203061899E-2</v>
      </c>
      <c r="W156" s="1116">
        <v>7887883.2751479289</v>
      </c>
      <c r="X156" s="1215">
        <v>-1.9980973432302547E-2</v>
      </c>
      <c r="Y156" s="1116">
        <v>7662225.1751760561</v>
      </c>
      <c r="Z156" s="1215">
        <v>-2.8608194632246352E-2</v>
      </c>
    </row>
    <row r="157" spans="1:26" ht="14.25" hidden="1" customHeight="1">
      <c r="A157" s="1561" t="s">
        <v>1</v>
      </c>
      <c r="B157" s="1088" t="s">
        <v>82</v>
      </c>
      <c r="C157" s="1119">
        <v>409695037</v>
      </c>
      <c r="D157" s="1216">
        <v>-3.0545716473160112E-2</v>
      </c>
      <c r="E157" s="1119">
        <v>357472342</v>
      </c>
      <c r="F157" s="1216">
        <v>-0.12746723851575484</v>
      </c>
      <c r="G157" s="1119">
        <v>420583952</v>
      </c>
      <c r="H157" s="1216">
        <v>0.17654963079633165</v>
      </c>
      <c r="I157" s="1119">
        <v>399193456</v>
      </c>
      <c r="J157" s="1216">
        <v>-5.0859039909349653E-2</v>
      </c>
      <c r="K157" s="1119">
        <v>445351697</v>
      </c>
      <c r="L157" s="1216">
        <v>0.11562875168975716</v>
      </c>
      <c r="M157" s="1119">
        <v>424163228</v>
      </c>
      <c r="N157" s="1216">
        <v>-4.7576935583115113E-2</v>
      </c>
      <c r="O157" s="1119">
        <v>439994742</v>
      </c>
      <c r="P157" s="1216">
        <v>3.732410768997637E-2</v>
      </c>
      <c r="Q157" s="1119">
        <v>470641977</v>
      </c>
      <c r="R157" s="1216">
        <v>6.9653639179170015E-2</v>
      </c>
      <c r="S157" s="1119">
        <v>429298965</v>
      </c>
      <c r="T157" s="1216">
        <v>-8.7843868631377942E-2</v>
      </c>
      <c r="U157" s="1119">
        <v>451771212</v>
      </c>
      <c r="V157" s="1216">
        <v>5.2346380569540857E-2</v>
      </c>
      <c r="W157" s="1119">
        <v>469848989</v>
      </c>
      <c r="X157" s="1216">
        <v>4.0015336346840978E-2</v>
      </c>
      <c r="Y157" s="1119">
        <v>540379581</v>
      </c>
      <c r="Z157" s="1216">
        <v>0.15011332077166606</v>
      </c>
    </row>
    <row r="158" spans="1:26" ht="14.25" hidden="1" customHeight="1">
      <c r="A158" s="1558"/>
      <c r="B158" s="1109" t="s">
        <v>83</v>
      </c>
      <c r="C158" s="1124">
        <v>35</v>
      </c>
      <c r="D158" s="1214">
        <v>0</v>
      </c>
      <c r="E158" s="1124">
        <v>35</v>
      </c>
      <c r="F158" s="1214">
        <v>0</v>
      </c>
      <c r="G158" s="1124">
        <v>37</v>
      </c>
      <c r="H158" s="1214">
        <v>5.7142857142857141E-2</v>
      </c>
      <c r="I158" s="1124">
        <v>39</v>
      </c>
      <c r="J158" s="1214">
        <v>5.4054054054054057E-2</v>
      </c>
      <c r="K158" s="1124">
        <v>41</v>
      </c>
      <c r="L158" s="1214">
        <v>5.128205128205128E-2</v>
      </c>
      <c r="M158" s="1124">
        <v>41</v>
      </c>
      <c r="N158" s="1214">
        <v>0</v>
      </c>
      <c r="O158" s="1124">
        <v>40</v>
      </c>
      <c r="P158" s="1214">
        <v>-2.4390243902439025E-2</v>
      </c>
      <c r="Q158" s="1124">
        <v>42</v>
      </c>
      <c r="R158" s="1214">
        <v>0.05</v>
      </c>
      <c r="S158" s="1124">
        <v>40</v>
      </c>
      <c r="T158" s="1214">
        <v>-4.7619047619047616E-2</v>
      </c>
      <c r="U158" s="1124">
        <v>40</v>
      </c>
      <c r="V158" s="1214">
        <v>0</v>
      </c>
      <c r="W158" s="1124">
        <v>44</v>
      </c>
      <c r="X158" s="1214">
        <v>0.1</v>
      </c>
      <c r="Y158" s="1124">
        <v>50</v>
      </c>
      <c r="Z158" s="1214">
        <v>0.13636363636363635</v>
      </c>
    </row>
    <row r="159" spans="1:26" ht="14.25" hidden="1" customHeight="1">
      <c r="A159" s="1559"/>
      <c r="B159" s="1085" t="s">
        <v>84</v>
      </c>
      <c r="C159" s="1116">
        <v>11705572.485714287</v>
      </c>
      <c r="D159" s="1215">
        <v>-3.0545716473160109E-2</v>
      </c>
      <c r="E159" s="1116">
        <v>10213495.485714287</v>
      </c>
      <c r="F159" s="1215">
        <v>-0.12746723851575481</v>
      </c>
      <c r="G159" s="1116">
        <v>11367133.837837838</v>
      </c>
      <c r="H159" s="1215">
        <v>0.11295235345598928</v>
      </c>
      <c r="I159" s="1116">
        <v>10235729.641025642</v>
      </c>
      <c r="J159" s="1215">
        <v>-9.9532935298613678E-2</v>
      </c>
      <c r="K159" s="1116">
        <v>10862236.512195121</v>
      </c>
      <c r="L159" s="1215">
        <v>6.1207836973183501E-2</v>
      </c>
      <c r="M159" s="1116">
        <v>10345444.585365854</v>
      </c>
      <c r="N159" s="1215">
        <v>-4.7576935583115022E-2</v>
      </c>
      <c r="O159" s="1116">
        <v>10999868.550000001</v>
      </c>
      <c r="P159" s="1215">
        <v>6.3257210382225801E-2</v>
      </c>
      <c r="Q159" s="1116">
        <v>11205761.357142856</v>
      </c>
      <c r="R159" s="1215">
        <v>1.8717751599209392E-2</v>
      </c>
      <c r="S159" s="1116">
        <v>10732474.125</v>
      </c>
      <c r="T159" s="1215">
        <v>-4.2236062062946771E-2</v>
      </c>
      <c r="U159" s="1116">
        <v>11294280.300000001</v>
      </c>
      <c r="V159" s="1215">
        <v>5.2346380569540926E-2</v>
      </c>
      <c r="W159" s="1116">
        <v>10678386.113636363</v>
      </c>
      <c r="X159" s="1215">
        <v>-5.4531512411962843E-2</v>
      </c>
      <c r="Y159" s="1116">
        <v>10807591.619999999</v>
      </c>
      <c r="Z159" s="1215">
        <v>1.2099722279066092E-2</v>
      </c>
    </row>
    <row r="160" spans="1:26" ht="14.25" hidden="1" customHeight="1">
      <c r="A160" s="1560" t="s">
        <v>78</v>
      </c>
      <c r="B160" s="1088" t="s">
        <v>82</v>
      </c>
      <c r="C160" s="1119">
        <v>129685514</v>
      </c>
      <c r="D160" s="1216">
        <v>-0.11512237215124659</v>
      </c>
      <c r="E160" s="1119">
        <v>118271166</v>
      </c>
      <c r="F160" s="1216">
        <v>-8.8015597486084687E-2</v>
      </c>
      <c r="G160" s="1119">
        <v>129904493</v>
      </c>
      <c r="H160" s="1216">
        <v>9.8361480599590947E-2</v>
      </c>
      <c r="I160" s="1119">
        <v>128362979</v>
      </c>
      <c r="J160" s="1216">
        <v>-1.1866517965625715E-2</v>
      </c>
      <c r="K160" s="1119">
        <v>131024054</v>
      </c>
      <c r="L160" s="1216">
        <v>2.0730860414200889E-2</v>
      </c>
      <c r="M160" s="1119">
        <v>128256423</v>
      </c>
      <c r="N160" s="1216">
        <v>-2.1123075614802759E-2</v>
      </c>
      <c r="O160" s="1119">
        <v>124917330</v>
      </c>
      <c r="P160" s="1216">
        <v>-2.6034509008566378E-2</v>
      </c>
      <c r="Q160" s="1119">
        <v>135941438</v>
      </c>
      <c r="R160" s="1216">
        <v>8.8251229833362588E-2</v>
      </c>
      <c r="S160" s="1119">
        <v>130137120</v>
      </c>
      <c r="T160" s="1216">
        <v>-4.2697194361001244E-2</v>
      </c>
      <c r="U160" s="1119">
        <v>131460153</v>
      </c>
      <c r="V160" s="1216">
        <v>1.0166453660569712E-2</v>
      </c>
      <c r="W160" s="1119">
        <v>129585923</v>
      </c>
      <c r="X160" s="1216">
        <v>-1.4257019767807511E-2</v>
      </c>
      <c r="Y160" s="1119">
        <v>170455845</v>
      </c>
      <c r="Z160" s="1216">
        <v>0.31538859355888527</v>
      </c>
    </row>
    <row r="161" spans="1:26" ht="14.25" hidden="1" customHeight="1">
      <c r="A161" s="1558"/>
      <c r="B161" s="1109" t="s">
        <v>83</v>
      </c>
      <c r="C161" s="1124">
        <v>9</v>
      </c>
      <c r="D161" s="1214">
        <v>0</v>
      </c>
      <c r="E161" s="1124">
        <v>9</v>
      </c>
      <c r="F161" s="1214">
        <v>0</v>
      </c>
      <c r="G161" s="1124">
        <v>9</v>
      </c>
      <c r="H161" s="1214">
        <v>0</v>
      </c>
      <c r="I161" s="1124">
        <v>9</v>
      </c>
      <c r="J161" s="1214">
        <v>0</v>
      </c>
      <c r="K161" s="1124">
        <v>9</v>
      </c>
      <c r="L161" s="1214">
        <v>0</v>
      </c>
      <c r="M161" s="1124">
        <v>9</v>
      </c>
      <c r="N161" s="1214">
        <v>0</v>
      </c>
      <c r="O161" s="1124">
        <v>9</v>
      </c>
      <c r="P161" s="1214">
        <v>0</v>
      </c>
      <c r="Q161" s="1124">
        <v>9</v>
      </c>
      <c r="R161" s="1214">
        <v>0</v>
      </c>
      <c r="S161" s="1124">
        <v>9</v>
      </c>
      <c r="T161" s="1214">
        <v>0</v>
      </c>
      <c r="U161" s="1124">
        <v>9</v>
      </c>
      <c r="V161" s="1214">
        <v>0</v>
      </c>
      <c r="W161" s="1124">
        <v>9</v>
      </c>
      <c r="X161" s="1214">
        <v>0</v>
      </c>
      <c r="Y161" s="1124">
        <v>9</v>
      </c>
      <c r="Z161" s="1214">
        <v>0</v>
      </c>
    </row>
    <row r="162" spans="1:26" ht="15" hidden="1" customHeight="1">
      <c r="A162" s="1559"/>
      <c r="B162" s="1085" t="s">
        <v>84</v>
      </c>
      <c r="C162" s="1116">
        <v>14409501.555555556</v>
      </c>
      <c r="D162" s="1215">
        <v>-0.1151223721512466</v>
      </c>
      <c r="E162" s="1116">
        <v>13141240.666666666</v>
      </c>
      <c r="F162" s="1215">
        <v>-8.8015597486084757E-2</v>
      </c>
      <c r="G162" s="1116">
        <v>14433832.555555556</v>
      </c>
      <c r="H162" s="1215">
        <v>9.8361480599591031E-2</v>
      </c>
      <c r="I162" s="1116">
        <v>14262553.222222222</v>
      </c>
      <c r="J162" s="1215">
        <v>-1.1866517965625758E-2</v>
      </c>
      <c r="K162" s="1116">
        <v>14558228.222222222</v>
      </c>
      <c r="L162" s="1215">
        <v>2.0730860414200889E-2</v>
      </c>
      <c r="M162" s="1116">
        <v>14250713.666666666</v>
      </c>
      <c r="N162" s="1215">
        <v>-2.112307561480279E-2</v>
      </c>
      <c r="O162" s="1116">
        <v>13879703.333333334</v>
      </c>
      <c r="P162" s="1215">
        <v>-2.6034509008566291E-2</v>
      </c>
      <c r="Q162" s="1116">
        <v>15104604.222222222</v>
      </c>
      <c r="R162" s="1215">
        <v>8.8251229833362532E-2</v>
      </c>
      <c r="S162" s="1116">
        <v>14459680</v>
      </c>
      <c r="T162" s="1215">
        <v>-4.269719436100123E-2</v>
      </c>
      <c r="U162" s="1116">
        <v>14606683.666666666</v>
      </c>
      <c r="V162" s="1215">
        <v>1.0166453660569671E-2</v>
      </c>
      <c r="W162" s="1116">
        <v>14398435.888888888</v>
      </c>
      <c r="X162" s="1215">
        <v>-1.4257019767807527E-2</v>
      </c>
      <c r="Y162" s="1116">
        <v>18939538.333333332</v>
      </c>
      <c r="Z162" s="1215">
        <v>0.31538859355888527</v>
      </c>
    </row>
    <row r="163" spans="1:26" ht="14.25" hidden="1" customHeight="1">
      <c r="A163" s="1560" t="s">
        <v>5</v>
      </c>
      <c r="B163" s="1088" t="s">
        <v>82</v>
      </c>
      <c r="C163" s="1119">
        <v>860165221</v>
      </c>
      <c r="D163" s="1216">
        <v>0.27477168070937602</v>
      </c>
      <c r="E163" s="1119">
        <v>710280205</v>
      </c>
      <c r="F163" s="1216">
        <v>-0.17425142558745699</v>
      </c>
      <c r="G163" s="1119">
        <v>710903531</v>
      </c>
      <c r="H163" s="1216">
        <v>8.7757760333472901E-4</v>
      </c>
      <c r="I163" s="1119">
        <v>710591868</v>
      </c>
      <c r="J163" s="1216">
        <v>-4.3840406807601015E-4</v>
      </c>
      <c r="K163" s="1119">
        <v>711682689</v>
      </c>
      <c r="L163" s="1216">
        <v>1.5350879303898818E-3</v>
      </c>
      <c r="M163" s="1119">
        <v>716513467</v>
      </c>
      <c r="N163" s="1216">
        <v>6.7878256344661488E-3</v>
      </c>
      <c r="O163" s="1119">
        <v>726486686</v>
      </c>
      <c r="P163" s="1216">
        <v>1.3919094977736126E-2</v>
      </c>
      <c r="Q163" s="1119">
        <v>727421675</v>
      </c>
      <c r="R163" s="1216">
        <v>1.2870008742321259E-3</v>
      </c>
      <c r="S163" s="1119">
        <v>728200833</v>
      </c>
      <c r="T163" s="1216">
        <v>1.0711228806867764E-3</v>
      </c>
      <c r="U163" s="1119">
        <v>784436979</v>
      </c>
      <c r="V163" s="1216">
        <v>7.7226148957179233E-2</v>
      </c>
      <c r="W163" s="1119">
        <v>811958751</v>
      </c>
      <c r="X163" s="1216">
        <v>3.5084745794473821E-2</v>
      </c>
      <c r="Y163" s="1119">
        <v>764928208</v>
      </c>
      <c r="Z163" s="1216">
        <v>-5.7922330342616138E-2</v>
      </c>
    </row>
    <row r="164" spans="1:26" ht="14.25" hidden="1" customHeight="1">
      <c r="A164" s="1558"/>
      <c r="B164" s="1109" t="s">
        <v>83</v>
      </c>
      <c r="C164" s="1124">
        <v>5</v>
      </c>
      <c r="D164" s="1214">
        <v>-0.16666666666666666</v>
      </c>
      <c r="E164" s="1124">
        <v>4</v>
      </c>
      <c r="F164" s="1214">
        <v>-0.2</v>
      </c>
      <c r="G164" s="1124">
        <v>4</v>
      </c>
      <c r="H164" s="1214">
        <v>0</v>
      </c>
      <c r="I164" s="1124">
        <v>4</v>
      </c>
      <c r="J164" s="1214">
        <v>0</v>
      </c>
      <c r="K164" s="1124">
        <v>6</v>
      </c>
      <c r="L164" s="1214">
        <v>0.5</v>
      </c>
      <c r="M164" s="1124">
        <v>4</v>
      </c>
      <c r="N164" s="1214">
        <v>-0.33333333333333331</v>
      </c>
      <c r="O164" s="1124">
        <v>4</v>
      </c>
      <c r="P164" s="1214">
        <v>0</v>
      </c>
      <c r="Q164" s="1124">
        <v>4</v>
      </c>
      <c r="R164" s="1214">
        <v>0</v>
      </c>
      <c r="S164" s="1124">
        <v>4</v>
      </c>
      <c r="T164" s="1214">
        <v>0</v>
      </c>
      <c r="U164" s="1124">
        <v>4</v>
      </c>
      <c r="V164" s="1214">
        <v>0</v>
      </c>
      <c r="W164" s="1124">
        <v>5</v>
      </c>
      <c r="X164" s="1214">
        <v>0.25</v>
      </c>
      <c r="Y164" s="1124">
        <v>4</v>
      </c>
      <c r="Z164" s="1214">
        <v>-0.2</v>
      </c>
    </row>
    <row r="165" spans="1:26" ht="15" hidden="1" customHeight="1">
      <c r="A165" s="1559"/>
      <c r="B165" s="1085" t="s">
        <v>84</v>
      </c>
      <c r="C165" s="1116">
        <v>172033044.19999999</v>
      </c>
      <c r="D165" s="1215">
        <v>5.5860831817419826E-2</v>
      </c>
      <c r="E165" s="1116">
        <v>177570051.25</v>
      </c>
      <c r="F165" s="1215">
        <v>3.2185718015678828E-2</v>
      </c>
      <c r="G165" s="1116">
        <v>177725882.75</v>
      </c>
      <c r="H165" s="1215">
        <v>8.7757760333472901E-4</v>
      </c>
      <c r="I165" s="1116">
        <v>177647967</v>
      </c>
      <c r="J165" s="1215">
        <v>-4.3840406807601015E-4</v>
      </c>
      <c r="K165" s="1116">
        <v>118613781.5</v>
      </c>
      <c r="L165" s="1215">
        <v>-0.33230994137974007</v>
      </c>
      <c r="M165" s="1116">
        <v>179128366.75</v>
      </c>
      <c r="N165" s="1215">
        <v>0.51018173845169923</v>
      </c>
      <c r="O165" s="1116">
        <v>181621671.5</v>
      </c>
      <c r="P165" s="1215">
        <v>1.3919094977736126E-2</v>
      </c>
      <c r="Q165" s="1116">
        <v>181855418.75</v>
      </c>
      <c r="R165" s="1215">
        <v>1.2870008742321259E-3</v>
      </c>
      <c r="S165" s="1116">
        <v>182050208.25</v>
      </c>
      <c r="T165" s="1215">
        <v>1.0711228806867764E-3</v>
      </c>
      <c r="U165" s="1116">
        <v>196109244.75</v>
      </c>
      <c r="V165" s="1215">
        <v>7.7226148957179233E-2</v>
      </c>
      <c r="W165" s="1116">
        <v>162391750.19999999</v>
      </c>
      <c r="X165" s="1215">
        <v>-0.171932203364421</v>
      </c>
      <c r="Y165" s="1116">
        <v>191232052</v>
      </c>
      <c r="Z165" s="1215">
        <v>0.17759708707172991</v>
      </c>
    </row>
    <row r="166" spans="1:26" hidden="1">
      <c r="A166" s="1570" t="s">
        <v>85</v>
      </c>
      <c r="B166" s="1191" t="s">
        <v>82</v>
      </c>
      <c r="C166" s="1204">
        <v>7384521804</v>
      </c>
      <c r="D166" s="1217">
        <v>0</v>
      </c>
      <c r="E166" s="1204">
        <v>5578191678</v>
      </c>
      <c r="F166" s="1217">
        <v>-0.24461030435600567</v>
      </c>
      <c r="G166" s="1204">
        <v>7762534386</v>
      </c>
      <c r="H166" s="1217">
        <v>0.39158616879640329</v>
      </c>
      <c r="I166" s="1204">
        <v>7295712068</v>
      </c>
      <c r="J166" s="1217">
        <v>-6.0137874408895405E-2</v>
      </c>
      <c r="K166" s="1204">
        <v>7862076342</v>
      </c>
      <c r="L166" s="1217">
        <v>7.762974590021883E-2</v>
      </c>
      <c r="M166" s="1204">
        <v>7402424206</v>
      </c>
      <c r="N166" s="1217">
        <v>-5.8464471216654587E-2</v>
      </c>
      <c r="O166" s="1204">
        <v>7404370587</v>
      </c>
      <c r="P166" s="1217">
        <v>2.6293832207324323E-4</v>
      </c>
      <c r="Q166" s="1204">
        <v>8265668387</v>
      </c>
      <c r="R166" s="1217">
        <v>0.1163228919838504</v>
      </c>
      <c r="S166" s="1204">
        <v>8191690310</v>
      </c>
      <c r="T166" s="1217">
        <v>-8.9500417312108164E-3</v>
      </c>
      <c r="U166" s="1204">
        <v>8656081698</v>
      </c>
      <c r="V166" s="1217">
        <v>5.6690544982284617E-2</v>
      </c>
      <c r="W166" s="1204">
        <v>8597748553</v>
      </c>
      <c r="X166" s="1217">
        <v>-6.7389781006200484E-3</v>
      </c>
      <c r="Y166" s="1204">
        <v>11295042475.593382</v>
      </c>
      <c r="Z166" s="1217">
        <v>0.31372095915182574</v>
      </c>
    </row>
    <row r="167" spans="1:26" hidden="1">
      <c r="A167" s="1571"/>
      <c r="B167" s="1194" t="s">
        <v>83</v>
      </c>
      <c r="C167" s="1206">
        <v>1199</v>
      </c>
      <c r="D167" s="1218">
        <v>-9.0909090909090905E-3</v>
      </c>
      <c r="E167" s="1206">
        <v>1105</v>
      </c>
      <c r="F167" s="1218">
        <v>-7.8398665554628863E-2</v>
      </c>
      <c r="G167" s="1206">
        <v>1218</v>
      </c>
      <c r="H167" s="1218">
        <v>0.10226244343891402</v>
      </c>
      <c r="I167" s="1206">
        <v>1252</v>
      </c>
      <c r="J167" s="1218">
        <v>2.7914614121510674E-2</v>
      </c>
      <c r="K167" s="1206">
        <v>1222</v>
      </c>
      <c r="L167" s="1218">
        <v>-2.3961661341853034E-2</v>
      </c>
      <c r="M167" s="1206">
        <v>1314</v>
      </c>
      <c r="N167" s="1218">
        <v>7.5286415711947621E-2</v>
      </c>
      <c r="O167" s="1206">
        <v>1227</v>
      </c>
      <c r="P167" s="1218">
        <v>-6.6210045662100453E-2</v>
      </c>
      <c r="Q167" s="1206">
        <v>1265</v>
      </c>
      <c r="R167" s="1218">
        <v>3.0969845150774247E-2</v>
      </c>
      <c r="S167" s="1206">
        <v>1280</v>
      </c>
      <c r="T167" s="1218">
        <v>1.1857707509881422E-2</v>
      </c>
      <c r="U167" s="1206">
        <v>1361</v>
      </c>
      <c r="V167" s="1218">
        <v>6.3281249999999997E-2</v>
      </c>
      <c r="W167" s="1219">
        <v>1387</v>
      </c>
      <c r="X167" s="1218">
        <v>1.9103600293901544E-2</v>
      </c>
      <c r="Y167" s="1220">
        <v>1513</v>
      </c>
      <c r="Z167" s="1218">
        <v>9.0843547224224941E-2</v>
      </c>
    </row>
    <row r="168" spans="1:26" ht="13.5" hidden="1" thickBot="1">
      <c r="A168" s="1572"/>
      <c r="B168" s="1197" t="s">
        <v>84</v>
      </c>
      <c r="C168" s="1209">
        <v>6158900.5871559633</v>
      </c>
      <c r="D168" s="1221">
        <v>9.1743119266054704E-3</v>
      </c>
      <c r="E168" s="1209">
        <v>5048137.2651583711</v>
      </c>
      <c r="F168" s="1221">
        <v>-0.18035090943244414</v>
      </c>
      <c r="G168" s="1209">
        <v>6373180.9408866996</v>
      </c>
      <c r="H168" s="1221">
        <v>0.26248170486044797</v>
      </c>
      <c r="I168" s="1209">
        <v>5827246.0607028753</v>
      </c>
      <c r="J168" s="1221">
        <v>-8.566128676520339E-2</v>
      </c>
      <c r="K168" s="1209">
        <v>6433777.6939443536</v>
      </c>
      <c r="L168" s="1221">
        <v>0.10408546797632899</v>
      </c>
      <c r="M168" s="1209">
        <v>5633503.9619482495</v>
      </c>
      <c r="N168" s="1221">
        <v>-0.12438628906145506</v>
      </c>
      <c r="O168" s="1209">
        <v>6034531.8557457216</v>
      </c>
      <c r="P168" s="1221">
        <v>7.1186227347354802E-2</v>
      </c>
      <c r="Q168" s="1209">
        <v>6534125.2071146248</v>
      </c>
      <c r="R168" s="1221">
        <v>8.2789081789869115E-2</v>
      </c>
      <c r="S168" s="1209">
        <v>6399758.0546875</v>
      </c>
      <c r="T168" s="1221">
        <v>-2.0563908429673233E-2</v>
      </c>
      <c r="U168" s="1209">
        <v>6360089.418074945</v>
      </c>
      <c r="V168" s="1221">
        <v>-6.1984587969696348E-3</v>
      </c>
      <c r="W168" s="1209">
        <v>6198809.3388608508</v>
      </c>
      <c r="X168" s="1221">
        <v>-2.5358146499599062E-2</v>
      </c>
      <c r="Y168" s="1209">
        <v>7465328.8007887518</v>
      </c>
      <c r="Z168" s="1221">
        <v>0.20431656995610195</v>
      </c>
    </row>
    <row r="169" spans="1:26" ht="13.5" hidden="1" thickTop="1"/>
    <row r="170" spans="1:26" ht="13.5" hidden="1" thickBot="1"/>
    <row r="171" spans="1:26" ht="13.5" hidden="1" thickTop="1">
      <c r="A171" s="1566" t="s">
        <v>640</v>
      </c>
      <c r="B171" s="1567"/>
      <c r="C171" s="1565">
        <v>2017</v>
      </c>
      <c r="D171" s="1565"/>
      <c r="E171" s="1565">
        <v>2017</v>
      </c>
      <c r="F171" s="1565"/>
      <c r="G171" s="1565">
        <v>2017</v>
      </c>
      <c r="H171" s="1565"/>
      <c r="I171" s="1565">
        <v>2017</v>
      </c>
      <c r="J171" s="1565"/>
      <c r="K171" s="1565">
        <v>2017</v>
      </c>
      <c r="L171" s="1565"/>
      <c r="M171" s="1565">
        <v>2017</v>
      </c>
      <c r="N171" s="1565"/>
      <c r="O171" s="1565">
        <v>2017</v>
      </c>
      <c r="P171" s="1565"/>
      <c r="Q171" s="1565">
        <v>2017</v>
      </c>
      <c r="R171" s="1565"/>
      <c r="S171" s="1565">
        <v>2017</v>
      </c>
      <c r="T171" s="1565"/>
      <c r="U171" s="1565">
        <v>2017</v>
      </c>
      <c r="V171" s="1565"/>
      <c r="W171" s="1565">
        <v>2017</v>
      </c>
      <c r="X171" s="1565"/>
      <c r="Y171" s="1565">
        <v>2017</v>
      </c>
      <c r="Z171" s="1565"/>
    </row>
    <row r="172" spans="1:26" ht="13.5" hidden="1" thickBot="1">
      <c r="A172" s="1568"/>
      <c r="B172" s="1569"/>
      <c r="C172" s="1222" t="s">
        <v>63</v>
      </c>
      <c r="D172" s="1223" t="s">
        <v>135</v>
      </c>
      <c r="E172" s="1222" t="s">
        <v>64</v>
      </c>
      <c r="F172" s="1223" t="str">
        <f>E172&amp;"/"&amp;C172</f>
        <v>Feb/Jan</v>
      </c>
      <c r="G172" s="1222" t="s">
        <v>65</v>
      </c>
      <c r="H172" s="1223" t="str">
        <f>G172&amp;"/"&amp;E172</f>
        <v>Mar/Feb</v>
      </c>
      <c r="I172" s="1222" t="s">
        <v>66</v>
      </c>
      <c r="J172" s="1223" t="str">
        <f>I172&amp;"/"&amp;G172</f>
        <v>Apr/Mar</v>
      </c>
      <c r="K172" s="1222" t="s">
        <v>67</v>
      </c>
      <c r="L172" s="1223" t="str">
        <f>K172&amp;"/"&amp;I172</f>
        <v>May/Apr</v>
      </c>
      <c r="M172" s="1222" t="s">
        <v>68</v>
      </c>
      <c r="N172" s="1223" t="str">
        <f>M172&amp;"/"&amp;K172</f>
        <v>Jun/May</v>
      </c>
      <c r="O172" s="1222" t="s">
        <v>69</v>
      </c>
      <c r="P172" s="1223" t="str">
        <f>O172&amp;"/"&amp;M172</f>
        <v>Jul/Jun</v>
      </c>
      <c r="Q172" s="1222" t="s">
        <v>70</v>
      </c>
      <c r="R172" s="1223" t="str">
        <f>Q172&amp;"/"&amp;O172</f>
        <v>Aug/Jul</v>
      </c>
      <c r="S172" s="1222" t="s">
        <v>71</v>
      </c>
      <c r="T172" s="1223" t="s">
        <v>128</v>
      </c>
      <c r="U172" s="1222" t="s">
        <v>72</v>
      </c>
      <c r="V172" s="1223" t="str">
        <f>U172&amp;"/"&amp;S172</f>
        <v>Oct/Sep</v>
      </c>
      <c r="W172" s="1222" t="s">
        <v>73</v>
      </c>
      <c r="X172" s="1223" t="str">
        <f>W172&amp;"/"&amp;U172</f>
        <v>Nov/Oct</v>
      </c>
      <c r="Y172" s="1222" t="s">
        <v>74</v>
      </c>
      <c r="Z172" s="1223" t="str">
        <f>Y172&amp;"/"&amp;W172</f>
        <v>Dec/Nov</v>
      </c>
    </row>
    <row r="173" spans="1:26" ht="13.5" hidden="1" thickTop="1">
      <c r="A173" s="1557" t="s">
        <v>81</v>
      </c>
      <c r="B173" s="1079" t="s">
        <v>82</v>
      </c>
      <c r="C173" s="1203">
        <v>7587788126</v>
      </c>
      <c r="D173" s="1213">
        <v>-0.19975345951488127</v>
      </c>
      <c r="E173" s="1203">
        <v>7290016262</v>
      </c>
      <c r="F173" s="1213">
        <v>-3.9243565984620379E-2</v>
      </c>
      <c r="G173" s="1203">
        <v>8269554785</v>
      </c>
      <c r="H173" s="1213">
        <v>0.13436712454345962</v>
      </c>
      <c r="I173" s="1203">
        <v>7931049311</v>
      </c>
      <c r="J173" s="1213">
        <v>-4.0933941766007662E-2</v>
      </c>
      <c r="K173" s="1203">
        <v>7474270017</v>
      </c>
      <c r="L173" s="1213">
        <v>-5.7593803302479554E-2</v>
      </c>
      <c r="M173" s="1203">
        <v>6775775210</v>
      </c>
      <c r="N173" s="1213">
        <v>-9.34532476631557E-2</v>
      </c>
      <c r="O173" s="1203">
        <v>7230381110</v>
      </c>
      <c r="P173" s="1213">
        <v>6.7092824940395271E-2</v>
      </c>
      <c r="Q173" s="1203">
        <v>8568027794</v>
      </c>
      <c r="R173" s="1213">
        <v>0.18500362064593853</v>
      </c>
      <c r="S173" s="1203">
        <v>8981641546</v>
      </c>
      <c r="T173" s="1213">
        <v>4.8274090834491051E-2</v>
      </c>
      <c r="U173" s="1203">
        <v>8567805152</v>
      </c>
      <c r="V173" s="1213">
        <v>-4.6075808289666516E-2</v>
      </c>
      <c r="W173" s="1203">
        <v>8079092469</v>
      </c>
      <c r="X173" s="1213">
        <v>-5.7040592582327673E-2</v>
      </c>
      <c r="Y173" s="1203">
        <v>8059282025</v>
      </c>
      <c r="Z173" s="1213">
        <v>-2.4520630350517653E-3</v>
      </c>
    </row>
    <row r="174" spans="1:26" hidden="1">
      <c r="A174" s="1558"/>
      <c r="B174" s="1109" t="s">
        <v>83</v>
      </c>
      <c r="C174" s="1124">
        <v>1035</v>
      </c>
      <c r="D174" s="1214">
        <v>-2.0813623462630087E-2</v>
      </c>
      <c r="E174" s="1124">
        <v>1056</v>
      </c>
      <c r="F174" s="1214">
        <v>2.0289855072463767E-2</v>
      </c>
      <c r="G174" s="1124">
        <v>1047</v>
      </c>
      <c r="H174" s="1214">
        <v>-8.5227272727272721E-3</v>
      </c>
      <c r="I174" s="1124">
        <v>1019</v>
      </c>
      <c r="J174" s="1214">
        <v>-2.6743075453677174E-2</v>
      </c>
      <c r="K174" s="1124">
        <v>1008</v>
      </c>
      <c r="L174" s="1214">
        <v>-1.0794896957801767E-2</v>
      </c>
      <c r="M174" s="1124">
        <v>984</v>
      </c>
      <c r="N174" s="1214">
        <v>-2.3809523809523808E-2</v>
      </c>
      <c r="O174" s="1124">
        <v>972</v>
      </c>
      <c r="P174" s="1214">
        <v>-1.2195121951219513E-2</v>
      </c>
      <c r="Q174" s="1124">
        <v>991</v>
      </c>
      <c r="R174" s="1214">
        <v>1.954732510288066E-2</v>
      </c>
      <c r="S174" s="1124">
        <v>979</v>
      </c>
      <c r="T174" s="1214">
        <v>-1.2108980827447022E-2</v>
      </c>
      <c r="U174" s="1124">
        <v>953</v>
      </c>
      <c r="V174" s="1214">
        <v>-2.6557711950970377E-2</v>
      </c>
      <c r="W174" s="1124">
        <v>942</v>
      </c>
      <c r="X174" s="1214">
        <v>-1.1542497376705142E-2</v>
      </c>
      <c r="Y174" s="1124">
        <v>977</v>
      </c>
      <c r="Z174" s="1214">
        <v>3.7154989384288746E-2</v>
      </c>
    </row>
    <row r="175" spans="1:26" hidden="1">
      <c r="A175" s="1559"/>
      <c r="B175" s="1085" t="s">
        <v>84</v>
      </c>
      <c r="C175" s="1116">
        <v>7331196.257004831</v>
      </c>
      <c r="D175" s="1215">
        <v>-0.18274338812292695</v>
      </c>
      <c r="E175" s="1116">
        <v>6903424.4905303027</v>
      </c>
      <c r="F175" s="1215">
        <v>-5.8349517797426267E-2</v>
      </c>
      <c r="G175" s="1116">
        <v>7898333.1279847184</v>
      </c>
      <c r="H175" s="1215">
        <v>0.14411813134469287</v>
      </c>
      <c r="I175" s="1116">
        <v>7783169.0981354266</v>
      </c>
      <c r="J175" s="1215">
        <v>-1.4580801794906844E-2</v>
      </c>
      <c r="K175" s="1116">
        <v>7414950.4136904757</v>
      </c>
      <c r="L175" s="1215">
        <v>-4.73096086956614E-2</v>
      </c>
      <c r="M175" s="1116">
        <v>6885950.416666667</v>
      </c>
      <c r="N175" s="1215">
        <v>-7.1342351264695986E-2</v>
      </c>
      <c r="O175" s="1116">
        <v>7438663.6934156381</v>
      </c>
      <c r="P175" s="1215">
        <v>8.0266810433486546E-2</v>
      </c>
      <c r="Q175" s="1116">
        <v>8645840.3572149351</v>
      </c>
      <c r="R175" s="1215">
        <v>0.16228407595141506</v>
      </c>
      <c r="S175" s="1116">
        <v>9174301.8855975494</v>
      </c>
      <c r="T175" s="1215">
        <v>6.1123211457590039E-2</v>
      </c>
      <c r="U175" s="1116">
        <v>8990351.6810073461</v>
      </c>
      <c r="V175" s="1215">
        <v>-2.0050594245103373E-2</v>
      </c>
      <c r="W175" s="1116">
        <v>8576531.2834394909</v>
      </c>
      <c r="X175" s="1215">
        <v>-4.602938931099608E-2</v>
      </c>
      <c r="Y175" s="1116">
        <v>8249009.2374616172</v>
      </c>
      <c r="Z175" s="1215">
        <v>-3.8188171319364195E-2</v>
      </c>
    </row>
    <row r="176" spans="1:26" hidden="1">
      <c r="A176" s="1560" t="s">
        <v>77</v>
      </c>
      <c r="B176" s="1088" t="s">
        <v>82</v>
      </c>
      <c r="C176" s="1119">
        <v>6221765660</v>
      </c>
      <c r="D176" s="1216">
        <v>-0.22465695289782761</v>
      </c>
      <c r="E176" s="1119">
        <v>5955808185</v>
      </c>
      <c r="F176" s="1216">
        <v>-4.2746302180722118E-2</v>
      </c>
      <c r="G176" s="1119">
        <v>6880778586</v>
      </c>
      <c r="H176" s="1216">
        <v>0.15530560627012538</v>
      </c>
      <c r="I176" s="1119">
        <v>6573842232</v>
      </c>
      <c r="J176" s="1216">
        <v>-4.4607794040126374E-2</v>
      </c>
      <c r="K176" s="1119">
        <v>6110500021</v>
      </c>
      <c r="L176" s="1216">
        <v>-7.0482709296635276E-2</v>
      </c>
      <c r="M176" s="1119">
        <v>5437583217</v>
      </c>
      <c r="N176" s="1216">
        <v>-0.11012467092502773</v>
      </c>
      <c r="O176" s="1119">
        <v>5905825772</v>
      </c>
      <c r="P176" s="1216">
        <v>8.6112255447620856E-2</v>
      </c>
      <c r="Q176" s="1119">
        <v>7157489838</v>
      </c>
      <c r="R176" s="1216">
        <v>0.21193718106860535</v>
      </c>
      <c r="S176" s="1119">
        <v>7521979998</v>
      </c>
      <c r="T176" s="1216">
        <v>5.0924300033913648E-2</v>
      </c>
      <c r="U176" s="1119">
        <v>7095572003</v>
      </c>
      <c r="V176" s="1216">
        <v>-5.6688264939999379E-2</v>
      </c>
      <c r="W176" s="1119">
        <v>6621262481</v>
      </c>
      <c r="X176" s="1216">
        <v>-6.6845847212805745E-2</v>
      </c>
      <c r="Y176" s="1119">
        <v>6815360463</v>
      </c>
      <c r="Z176" s="1216">
        <v>2.9314346404023792E-2</v>
      </c>
    </row>
    <row r="177" spans="1:26" hidden="1">
      <c r="A177" s="1558"/>
      <c r="B177" s="1109" t="s">
        <v>83</v>
      </c>
      <c r="C177" s="1124">
        <v>985</v>
      </c>
      <c r="D177" s="1214">
        <v>-2.1847070506454815E-2</v>
      </c>
      <c r="E177" s="1124">
        <v>1009</v>
      </c>
      <c r="F177" s="1214">
        <v>2.4365482233502538E-2</v>
      </c>
      <c r="G177" s="1124">
        <v>999</v>
      </c>
      <c r="H177" s="1214">
        <v>-9.9108027750247768E-3</v>
      </c>
      <c r="I177" s="1124">
        <v>972</v>
      </c>
      <c r="J177" s="1214">
        <v>-2.7027027027027029E-2</v>
      </c>
      <c r="K177" s="1124">
        <v>961</v>
      </c>
      <c r="L177" s="1214">
        <v>-1.131687242798354E-2</v>
      </c>
      <c r="M177" s="1124">
        <v>939</v>
      </c>
      <c r="N177" s="1214">
        <v>-2.2892819979188347E-2</v>
      </c>
      <c r="O177" s="1124">
        <v>929</v>
      </c>
      <c r="P177" s="1214">
        <v>-1.0649627263045794E-2</v>
      </c>
      <c r="Q177" s="1124">
        <v>944</v>
      </c>
      <c r="R177" s="1214">
        <v>1.6146393972012917E-2</v>
      </c>
      <c r="S177" s="1124">
        <v>931</v>
      </c>
      <c r="T177" s="1214">
        <v>-1.3771186440677966E-2</v>
      </c>
      <c r="U177" s="1124">
        <v>903</v>
      </c>
      <c r="V177" s="1214">
        <v>-3.007518796992481E-2</v>
      </c>
      <c r="W177" s="1124">
        <v>892</v>
      </c>
      <c r="X177" s="1214">
        <v>-1.2181616832779624E-2</v>
      </c>
      <c r="Y177" s="1124">
        <v>927</v>
      </c>
      <c r="Z177" s="1214">
        <v>3.923766816143498E-2</v>
      </c>
    </row>
    <row r="178" spans="1:26" hidden="1">
      <c r="A178" s="1559"/>
      <c r="B178" s="1085" t="s">
        <v>84</v>
      </c>
      <c r="C178" s="1116">
        <v>6316513.3604060914</v>
      </c>
      <c r="D178" s="1215">
        <v>-0.20733964626204301</v>
      </c>
      <c r="E178" s="1116">
        <v>5902684.028741328</v>
      </c>
      <c r="F178" s="1215">
        <v>-6.5515468432122193E-2</v>
      </c>
      <c r="G178" s="1116">
        <v>6887666.2522522518</v>
      </c>
      <c r="H178" s="1215">
        <v>0.16687022695350995</v>
      </c>
      <c r="I178" s="1116">
        <v>6763212.1728395065</v>
      </c>
      <c r="J178" s="1215">
        <v>-1.8069121652351999E-2</v>
      </c>
      <c r="K178" s="1116">
        <v>6358480.7710718</v>
      </c>
      <c r="L178" s="1215">
        <v>-5.9843073294827846E-2</v>
      </c>
      <c r="M178" s="1116">
        <v>5790823.4472843446</v>
      </c>
      <c r="N178" s="1215">
        <v>-8.9275621681524697E-2</v>
      </c>
      <c r="O178" s="1116">
        <v>6357185.976318622</v>
      </c>
      <c r="P178" s="1215">
        <v>9.7803453030480131E-2</v>
      </c>
      <c r="Q178" s="1116">
        <v>7582086.6927966103</v>
      </c>
      <c r="R178" s="1215">
        <v>0.19267970467450679</v>
      </c>
      <c r="S178" s="1116">
        <v>8079462.9409237383</v>
      </c>
      <c r="T178" s="1215">
        <v>6.5598860614408713E-2</v>
      </c>
      <c r="U178" s="1116">
        <v>7857776.3045404209</v>
      </c>
      <c r="V178" s="1215">
        <v>-2.7438288659069165E-2</v>
      </c>
      <c r="W178" s="1116">
        <v>7422940.0011210758</v>
      </c>
      <c r="X178" s="1215">
        <v>-5.533834084435385E-2</v>
      </c>
      <c r="Y178" s="1116">
        <v>8511425.8576051779</v>
      </c>
      <c r="Z178" s="1215">
        <v>0.14663810516044987</v>
      </c>
    </row>
    <row r="179" spans="1:26" hidden="1">
      <c r="A179" s="1561" t="s">
        <v>1</v>
      </c>
      <c r="B179" s="1088" t="s">
        <v>82</v>
      </c>
      <c r="C179" s="1119">
        <v>332283334</v>
      </c>
      <c r="D179" s="1216">
        <v>-0.18208050495422784</v>
      </c>
      <c r="E179" s="1119">
        <v>302924996</v>
      </c>
      <c r="F179" s="1216">
        <v>-8.8353326802721927E-2</v>
      </c>
      <c r="G179" s="1119">
        <v>341951921</v>
      </c>
      <c r="H179" s="1216">
        <v>0.12883362388490385</v>
      </c>
      <c r="I179" s="1119">
        <v>341404063</v>
      </c>
      <c r="J179" s="1216">
        <v>-1.6021492097422667E-3</v>
      </c>
      <c r="K179" s="1119">
        <v>356606607</v>
      </c>
      <c r="L179" s="1216">
        <v>4.4529475913120578E-2</v>
      </c>
      <c r="M179" s="1119">
        <v>334117788</v>
      </c>
      <c r="N179" s="1216">
        <v>-6.3063382894641654E-2</v>
      </c>
      <c r="O179" s="1119">
        <v>321361154</v>
      </c>
      <c r="P179" s="1216">
        <v>-3.8180050443767453E-2</v>
      </c>
      <c r="Q179" s="1119">
        <v>321361154</v>
      </c>
      <c r="R179" s="1216">
        <v>0</v>
      </c>
      <c r="S179" s="1119">
        <v>347281983</v>
      </c>
      <c r="T179" s="1216">
        <v>8.0659496884928419E-2</v>
      </c>
      <c r="U179" s="1119">
        <v>380218412</v>
      </c>
      <c r="V179" s="1216">
        <v>9.484059240700661E-2</v>
      </c>
      <c r="W179" s="1119">
        <v>375195470</v>
      </c>
      <c r="X179" s="1216">
        <v>-1.3210675342045246E-2</v>
      </c>
      <c r="Y179" s="1119">
        <v>422603772</v>
      </c>
      <c r="Z179" s="1216">
        <v>0.12635627503711599</v>
      </c>
    </row>
    <row r="180" spans="1:26" hidden="1">
      <c r="A180" s="1558"/>
      <c r="B180" s="1109" t="s">
        <v>83</v>
      </c>
      <c r="C180" s="1124">
        <v>35</v>
      </c>
      <c r="D180" s="1214">
        <v>0</v>
      </c>
      <c r="E180" s="1124">
        <v>32</v>
      </c>
      <c r="F180" s="1214">
        <v>-8.5714285714285715E-2</v>
      </c>
      <c r="G180" s="1124">
        <v>33</v>
      </c>
      <c r="H180" s="1214">
        <v>3.125E-2</v>
      </c>
      <c r="I180" s="1124">
        <v>33</v>
      </c>
      <c r="J180" s="1214">
        <v>0</v>
      </c>
      <c r="K180" s="1124">
        <v>33</v>
      </c>
      <c r="L180" s="1214">
        <v>0</v>
      </c>
      <c r="M180" s="1124">
        <v>31</v>
      </c>
      <c r="N180" s="1214">
        <v>-6.0606060606060608E-2</v>
      </c>
      <c r="O180" s="1124">
        <v>29</v>
      </c>
      <c r="P180" s="1214">
        <v>-6.4516129032258063E-2</v>
      </c>
      <c r="Q180" s="1124">
        <v>32</v>
      </c>
      <c r="R180" s="1214">
        <v>0.10344827586206896</v>
      </c>
      <c r="S180" s="1124">
        <v>33</v>
      </c>
      <c r="T180" s="1214">
        <v>3.125E-2</v>
      </c>
      <c r="U180" s="1124">
        <v>35</v>
      </c>
      <c r="V180" s="1214">
        <v>6.0606060606060608E-2</v>
      </c>
      <c r="W180" s="1124">
        <v>35</v>
      </c>
      <c r="X180" s="1214">
        <v>0</v>
      </c>
      <c r="Y180" s="1124">
        <v>35</v>
      </c>
      <c r="Z180" s="1214">
        <v>0</v>
      </c>
    </row>
    <row r="181" spans="1:26" hidden="1">
      <c r="A181" s="1559"/>
      <c r="B181" s="1085" t="s">
        <v>84</v>
      </c>
      <c r="C181" s="1116">
        <v>9493809.5428571422</v>
      </c>
      <c r="D181" s="1215">
        <v>-0.18208050495422798</v>
      </c>
      <c r="E181" s="1116">
        <v>9466406.125</v>
      </c>
      <c r="F181" s="1215">
        <v>-2.8864511904770278E-3</v>
      </c>
      <c r="G181" s="1116">
        <v>10362179.424242424</v>
      </c>
      <c r="H181" s="1215">
        <v>9.4626544373240043E-2</v>
      </c>
      <c r="I181" s="1116">
        <v>10345577.666666666</v>
      </c>
      <c r="J181" s="1215">
        <v>-1.6021492097422886E-3</v>
      </c>
      <c r="K181" s="1116">
        <v>10806260.818181818</v>
      </c>
      <c r="L181" s="1215">
        <v>4.4529475913120654E-2</v>
      </c>
      <c r="M181" s="1116">
        <v>10777993.161290323</v>
      </c>
      <c r="N181" s="1215">
        <v>-2.6158592104249339E-3</v>
      </c>
      <c r="O181" s="1116">
        <v>11081419.103448275</v>
      </c>
      <c r="P181" s="1215">
        <v>2.8152359870455369E-2</v>
      </c>
      <c r="Q181" s="1116">
        <v>10042536.0625</v>
      </c>
      <c r="R181" s="1215">
        <v>-9.3749999999999972E-2</v>
      </c>
      <c r="S181" s="1116">
        <v>10523696.454545455</v>
      </c>
      <c r="T181" s="1215">
        <v>4.7912239403566995E-2</v>
      </c>
      <c r="U181" s="1116">
        <v>10863383.199999999</v>
      </c>
      <c r="V181" s="1215">
        <v>3.2278272840891832E-2</v>
      </c>
      <c r="W181" s="1116">
        <v>10719870.571428571</v>
      </c>
      <c r="X181" s="1215">
        <v>-1.3210675342045227E-2</v>
      </c>
      <c r="Y181" s="1116">
        <v>12074393.485714287</v>
      </c>
      <c r="Z181" s="1215">
        <v>0.12635627503711613</v>
      </c>
    </row>
    <row r="182" spans="1:26" hidden="1">
      <c r="A182" s="1560" t="s">
        <v>78</v>
      </c>
      <c r="B182" s="1088" t="s">
        <v>82</v>
      </c>
      <c r="C182" s="1119">
        <v>145504012</v>
      </c>
      <c r="D182" s="1216">
        <v>-0.20190668724297442</v>
      </c>
      <c r="E182" s="1119">
        <v>136378351</v>
      </c>
      <c r="F182" s="1216">
        <v>-6.2717590220123964E-2</v>
      </c>
      <c r="G182" s="1119">
        <v>152704208</v>
      </c>
      <c r="H182" s="1216">
        <v>0.1197100337428189</v>
      </c>
      <c r="I182" s="1119">
        <v>122467606</v>
      </c>
      <c r="J182" s="1216">
        <v>-0.19800765411782234</v>
      </c>
      <c r="K182" s="1119">
        <v>115004969</v>
      </c>
      <c r="L182" s="1216">
        <v>-6.0935599573980405E-2</v>
      </c>
      <c r="M182" s="1119">
        <v>110738795</v>
      </c>
      <c r="N182" s="1216">
        <v>-3.709556236652696E-2</v>
      </c>
      <c r="O182" s="1119">
        <v>110054939</v>
      </c>
      <c r="P182" s="1216">
        <v>-6.175396797481858E-3</v>
      </c>
      <c r="Q182" s="1119">
        <v>110297510</v>
      </c>
      <c r="R182" s="1216">
        <v>2.2040900863158899E-3</v>
      </c>
      <c r="S182" s="1119">
        <v>133500273</v>
      </c>
      <c r="T182" s="1216">
        <v>0.2103652475926247</v>
      </c>
      <c r="U182" s="1119">
        <v>113135445</v>
      </c>
      <c r="V182" s="1216">
        <v>-0.15254521614349059</v>
      </c>
      <c r="W182" s="1119">
        <v>105045205</v>
      </c>
      <c r="X182" s="1216">
        <v>-7.1509331138442073E-2</v>
      </c>
      <c r="Y182" s="1119">
        <v>146557569</v>
      </c>
      <c r="Z182" s="1216">
        <v>0.39518571076138126</v>
      </c>
    </row>
    <row r="183" spans="1:26" hidden="1">
      <c r="A183" s="1558"/>
      <c r="B183" s="1109" t="s">
        <v>83</v>
      </c>
      <c r="C183" s="1124">
        <v>10</v>
      </c>
      <c r="D183" s="1214">
        <v>0</v>
      </c>
      <c r="E183" s="1124">
        <v>10</v>
      </c>
      <c r="F183" s="1214">
        <v>0</v>
      </c>
      <c r="G183" s="1124">
        <v>10</v>
      </c>
      <c r="H183" s="1214">
        <v>0</v>
      </c>
      <c r="I183" s="1124">
        <v>9</v>
      </c>
      <c r="J183" s="1214">
        <v>-0.1</v>
      </c>
      <c r="K183" s="1124">
        <v>9</v>
      </c>
      <c r="L183" s="1214">
        <v>0</v>
      </c>
      <c r="M183" s="1124">
        <v>9</v>
      </c>
      <c r="N183" s="1214">
        <v>0</v>
      </c>
      <c r="O183" s="1124">
        <v>9</v>
      </c>
      <c r="P183" s="1214">
        <v>0</v>
      </c>
      <c r="Q183" s="1124">
        <v>9</v>
      </c>
      <c r="R183" s="1214">
        <v>0</v>
      </c>
      <c r="S183" s="1124">
        <v>9</v>
      </c>
      <c r="T183" s="1214">
        <v>0</v>
      </c>
      <c r="U183" s="1124">
        <v>9</v>
      </c>
      <c r="V183" s="1214">
        <v>0</v>
      </c>
      <c r="W183" s="1124">
        <v>9</v>
      </c>
      <c r="X183" s="1214">
        <v>0</v>
      </c>
      <c r="Y183" s="1124">
        <v>9</v>
      </c>
      <c r="Z183" s="1214">
        <v>0</v>
      </c>
    </row>
    <row r="184" spans="1:26" hidden="1">
      <c r="A184" s="1559"/>
      <c r="B184" s="1085" t="s">
        <v>84</v>
      </c>
      <c r="C184" s="1116">
        <v>14550401.199999999</v>
      </c>
      <c r="D184" s="1215">
        <v>-0.20190668724297453</v>
      </c>
      <c r="E184" s="1116">
        <v>13637835.1</v>
      </c>
      <c r="F184" s="1215">
        <v>-6.2717590220123937E-2</v>
      </c>
      <c r="G184" s="1116">
        <v>15270420.800000001</v>
      </c>
      <c r="H184" s="1215">
        <v>0.11971003374281899</v>
      </c>
      <c r="I184" s="1116">
        <v>13607511.777777778</v>
      </c>
      <c r="J184" s="1215">
        <v>-0.10889739346424708</v>
      </c>
      <c r="K184" s="1116">
        <v>12778329.888888888</v>
      </c>
      <c r="L184" s="1215">
        <v>-6.0935599573980481E-2</v>
      </c>
      <c r="M184" s="1116">
        <v>12304310.555555556</v>
      </c>
      <c r="N184" s="1215">
        <v>-3.709556236652687E-2</v>
      </c>
      <c r="O184" s="1116">
        <v>12228326.555555556</v>
      </c>
      <c r="P184" s="1215">
        <v>-6.175396797481858E-3</v>
      </c>
      <c r="Q184" s="1116">
        <v>12255278.888888888</v>
      </c>
      <c r="R184" s="1215">
        <v>2.2040900863157884E-3</v>
      </c>
      <c r="S184" s="1116">
        <v>14833363.666666666</v>
      </c>
      <c r="T184" s="1215">
        <v>0.21036524759262473</v>
      </c>
      <c r="U184" s="1116">
        <v>12570605</v>
      </c>
      <c r="V184" s="1215">
        <v>-0.15254521614349054</v>
      </c>
      <c r="W184" s="1116">
        <v>11671689.444444444</v>
      </c>
      <c r="X184" s="1215">
        <v>-7.15093311384421E-2</v>
      </c>
      <c r="Y184" s="1116">
        <v>16284174.333333334</v>
      </c>
      <c r="Z184" s="1215">
        <v>0.39518571076138137</v>
      </c>
    </row>
    <row r="185" spans="1:26" hidden="1">
      <c r="A185" s="1560" t="s">
        <v>5</v>
      </c>
      <c r="B185" s="1088" t="s">
        <v>82</v>
      </c>
      <c r="C185" s="1119">
        <v>888235120</v>
      </c>
      <c r="D185" s="1216">
        <v>2.2474228811837103E-2</v>
      </c>
      <c r="E185" s="1119">
        <v>894904730</v>
      </c>
      <c r="F185" s="1216">
        <v>7.5088339222614837E-3</v>
      </c>
      <c r="G185" s="1119">
        <v>894120070</v>
      </c>
      <c r="H185" s="1216">
        <v>-8.7680841736080669E-4</v>
      </c>
      <c r="I185" s="1119">
        <v>893335410</v>
      </c>
      <c r="J185" s="1216">
        <v>-8.7757788503729707E-4</v>
      </c>
      <c r="K185" s="1119">
        <v>892158420</v>
      </c>
      <c r="L185" s="1216">
        <v>-1.3175230566534915E-3</v>
      </c>
      <c r="M185" s="1119">
        <v>893335410</v>
      </c>
      <c r="N185" s="1216">
        <v>1.3192612137203166E-3</v>
      </c>
      <c r="O185" s="1119">
        <v>893139245</v>
      </c>
      <c r="P185" s="1216">
        <v>-2.1958717610891525E-4</v>
      </c>
      <c r="Q185" s="1119">
        <v>978879292</v>
      </c>
      <c r="R185" s="1216">
        <v>9.5998521484743402E-2</v>
      </c>
      <c r="S185" s="1119">
        <v>978879292</v>
      </c>
      <c r="T185" s="1216">
        <v>0</v>
      </c>
      <c r="U185" s="1119">
        <v>978879292</v>
      </c>
      <c r="V185" s="1216">
        <v>0</v>
      </c>
      <c r="W185" s="1119">
        <v>977589313</v>
      </c>
      <c r="X185" s="1216">
        <v>-1.3178121250929475E-3</v>
      </c>
      <c r="Y185" s="1119">
        <v>674760221</v>
      </c>
      <c r="Z185" s="1216">
        <v>-0.30977127917927638</v>
      </c>
    </row>
    <row r="186" spans="1:26" hidden="1">
      <c r="A186" s="1558"/>
      <c r="B186" s="1109" t="s">
        <v>83</v>
      </c>
      <c r="C186" s="1124">
        <v>5</v>
      </c>
      <c r="D186" s="1214">
        <v>0</v>
      </c>
      <c r="E186" s="1124">
        <v>5</v>
      </c>
      <c r="F186" s="1214">
        <v>0</v>
      </c>
      <c r="G186" s="1124">
        <v>5</v>
      </c>
      <c r="H186" s="1214">
        <v>0</v>
      </c>
      <c r="I186" s="1124">
        <v>5</v>
      </c>
      <c r="J186" s="1214">
        <v>0</v>
      </c>
      <c r="K186" s="1124">
        <v>5</v>
      </c>
      <c r="L186" s="1214">
        <v>0</v>
      </c>
      <c r="M186" s="1124">
        <v>5</v>
      </c>
      <c r="N186" s="1214">
        <v>0</v>
      </c>
      <c r="O186" s="1124">
        <v>5</v>
      </c>
      <c r="P186" s="1214">
        <v>0</v>
      </c>
      <c r="Q186" s="1124">
        <v>6</v>
      </c>
      <c r="R186" s="1214">
        <v>0.2</v>
      </c>
      <c r="S186" s="1124">
        <v>6</v>
      </c>
      <c r="T186" s="1214">
        <v>0</v>
      </c>
      <c r="U186" s="1124">
        <v>6</v>
      </c>
      <c r="V186" s="1214">
        <v>0</v>
      </c>
      <c r="W186" s="1124">
        <v>6</v>
      </c>
      <c r="X186" s="1214">
        <v>0</v>
      </c>
      <c r="Y186" s="1124">
        <v>6</v>
      </c>
      <c r="Z186" s="1214">
        <v>0</v>
      </c>
    </row>
    <row r="187" spans="1:26" hidden="1">
      <c r="A187" s="1559"/>
      <c r="B187" s="1085" t="s">
        <v>84</v>
      </c>
      <c r="C187" s="1116">
        <v>177647024</v>
      </c>
      <c r="D187" s="1215">
        <v>2.2474228811837034E-2</v>
      </c>
      <c r="E187" s="1116">
        <v>178980946</v>
      </c>
      <c r="F187" s="1215">
        <v>7.5088339222614837E-3</v>
      </c>
      <c r="G187" s="1116">
        <v>178824014</v>
      </c>
      <c r="H187" s="1215">
        <v>-8.7680841736080669E-4</v>
      </c>
      <c r="I187" s="1116">
        <v>178667082</v>
      </c>
      <c r="J187" s="1215">
        <v>-8.7757788503729707E-4</v>
      </c>
      <c r="K187" s="1116">
        <v>178431684</v>
      </c>
      <c r="L187" s="1215">
        <v>-1.3175230566534915E-3</v>
      </c>
      <c r="M187" s="1116">
        <v>178667082</v>
      </c>
      <c r="N187" s="1215">
        <v>1.3192612137203166E-3</v>
      </c>
      <c r="O187" s="1116">
        <v>178627849</v>
      </c>
      <c r="P187" s="1215">
        <v>-2.1958717610891525E-4</v>
      </c>
      <c r="Q187" s="1116">
        <v>163146548.66666666</v>
      </c>
      <c r="R187" s="1215">
        <v>-8.6667898762713885E-2</v>
      </c>
      <c r="S187" s="1116">
        <v>163146548.66666666</v>
      </c>
      <c r="T187" s="1215">
        <v>0</v>
      </c>
      <c r="U187" s="1116">
        <v>163146548.66666666</v>
      </c>
      <c r="V187" s="1215">
        <v>0</v>
      </c>
      <c r="W187" s="1116">
        <v>162931552.16666666</v>
      </c>
      <c r="X187" s="1215">
        <v>-1.3178121250929477E-3</v>
      </c>
      <c r="Y187" s="1116">
        <v>162931552.16666666</v>
      </c>
      <c r="Z187" s="1215">
        <v>0</v>
      </c>
    </row>
    <row r="188" spans="1:26" hidden="1">
      <c r="A188" s="1570" t="s">
        <v>85</v>
      </c>
      <c r="B188" s="1191" t="s">
        <v>82</v>
      </c>
      <c r="C188" s="1204">
        <v>6699553006</v>
      </c>
      <c r="D188" s="1217">
        <v>-0.22216719121377088</v>
      </c>
      <c r="E188" s="1204">
        <v>6395111532</v>
      </c>
      <c r="F188" s="1217">
        <v>-4.5442057660764479E-2</v>
      </c>
      <c r="G188" s="1204">
        <v>7375434715</v>
      </c>
      <c r="H188" s="1217">
        <v>0.15329258576564886</v>
      </c>
      <c r="I188" s="1204">
        <v>7037713901</v>
      </c>
      <c r="J188" s="1217">
        <v>-4.5789953684106335E-2</v>
      </c>
      <c r="K188" s="1204">
        <v>6582111597</v>
      </c>
      <c r="L188" s="1217">
        <v>-6.473725849174726E-2</v>
      </c>
      <c r="M188" s="1204">
        <v>5882439800</v>
      </c>
      <c r="N188" s="1217">
        <v>-0.10629898729138791</v>
      </c>
      <c r="O188" s="1204">
        <v>6337241865</v>
      </c>
      <c r="P188" s="1217">
        <v>7.7315209413617803E-2</v>
      </c>
      <c r="Q188" s="1204">
        <v>7589148502</v>
      </c>
      <c r="R188" s="1217">
        <v>0.19754755517761827</v>
      </c>
      <c r="S188" s="1204">
        <v>8002762254</v>
      </c>
      <c r="T188" s="1217">
        <v>5.4500679739103622E-2</v>
      </c>
      <c r="U188" s="1204">
        <v>7588925860</v>
      </c>
      <c r="V188" s="1217">
        <v>-5.1711694145749894E-2</v>
      </c>
      <c r="W188" s="1204">
        <v>7101503156</v>
      </c>
      <c r="X188" s="1217">
        <v>-6.4228154681168548E-2</v>
      </c>
      <c r="Y188" s="1204">
        <v>7384521804</v>
      </c>
      <c r="Z188" s="1217">
        <v>3.985334397280102E-2</v>
      </c>
    </row>
    <row r="189" spans="1:26" hidden="1">
      <c r="A189" s="1571"/>
      <c r="B189" s="1194" t="s">
        <v>83</v>
      </c>
      <c r="C189" s="1206">
        <v>1220</v>
      </c>
      <c r="D189" s="1218">
        <v>0.1596958174904943</v>
      </c>
      <c r="E189" s="1206">
        <v>1253</v>
      </c>
      <c r="F189" s="1218">
        <v>2.7049180327868853E-2</v>
      </c>
      <c r="G189" s="1206">
        <v>1282</v>
      </c>
      <c r="H189" s="1218">
        <v>2.3144453312051078E-2</v>
      </c>
      <c r="I189" s="1206">
        <v>1292</v>
      </c>
      <c r="J189" s="1218">
        <v>7.8003120124804995E-3</v>
      </c>
      <c r="K189" s="1206">
        <v>1267</v>
      </c>
      <c r="L189" s="1218">
        <v>-1.9349845201238391E-2</v>
      </c>
      <c r="M189" s="1206">
        <v>1265</v>
      </c>
      <c r="N189" s="1218">
        <v>-1.5785319652722968E-3</v>
      </c>
      <c r="O189" s="1206">
        <v>1233</v>
      </c>
      <c r="P189" s="1218">
        <v>-2.5296442687747035E-2</v>
      </c>
      <c r="Q189" s="1206">
        <v>1219</v>
      </c>
      <c r="R189" s="1218">
        <v>-1.1354420113544201E-2</v>
      </c>
      <c r="S189" s="1206">
        <v>1237</v>
      </c>
      <c r="T189" s="1218">
        <v>1.4766201804757998E-2</v>
      </c>
      <c r="U189" s="1206">
        <v>1189</v>
      </c>
      <c r="V189" s="1218">
        <v>-3.8803556992724336E-2</v>
      </c>
      <c r="W189" s="1206">
        <v>1189</v>
      </c>
      <c r="X189" s="1218">
        <v>0</v>
      </c>
      <c r="Y189" s="1206">
        <v>1210</v>
      </c>
      <c r="Z189" s="1218">
        <v>1.7661900756938603E-2</v>
      </c>
    </row>
    <row r="190" spans="1:26" ht="13.5" hidden="1" thickBot="1">
      <c r="A190" s="1572"/>
      <c r="B190" s="1197" t="s">
        <v>84</v>
      </c>
      <c r="C190" s="1209">
        <v>5491436.8901639348</v>
      </c>
      <c r="D190" s="1221">
        <v>-0.32927859439089052</v>
      </c>
      <c r="E190" s="1209">
        <v>5103840.0095770154</v>
      </c>
      <c r="F190" s="1221">
        <v>-7.0582051353657374E-2</v>
      </c>
      <c r="G190" s="1209">
        <v>5753069.2004680187</v>
      </c>
      <c r="H190" s="1221">
        <v>0.12720406393475656</v>
      </c>
      <c r="I190" s="1209">
        <v>5447146.9821981424</v>
      </c>
      <c r="J190" s="1221">
        <v>-5.3175480358377943E-2</v>
      </c>
      <c r="K190" s="1209">
        <v>5195036.7774269925</v>
      </c>
      <c r="L190" s="1221">
        <v>-4.6282981824260105E-2</v>
      </c>
      <c r="M190" s="1209">
        <v>4650150.0395256914</v>
      </c>
      <c r="N190" s="1221">
        <v>-0.1048860212633901</v>
      </c>
      <c r="O190" s="1209">
        <v>5139693.3211678835</v>
      </c>
      <c r="P190" s="1221">
        <v>0.10527472823051635</v>
      </c>
      <c r="Q190" s="1209">
        <v>6225716.5726004923</v>
      </c>
      <c r="R190" s="1221">
        <v>0.21130117763248832</v>
      </c>
      <c r="S190" s="1209">
        <v>6469492.5254648346</v>
      </c>
      <c r="T190" s="1221">
        <v>3.9156288279682601E-2</v>
      </c>
      <c r="U190" s="1209">
        <v>6382612.1614802359</v>
      </c>
      <c r="V190" s="1221">
        <v>-1.3429239409833989E-2</v>
      </c>
      <c r="W190" s="1209">
        <v>5972668.7603027755</v>
      </c>
      <c r="X190" s="1221">
        <v>-6.4228154681168576E-2</v>
      </c>
      <c r="Y190" s="1209">
        <v>6102910.581818182</v>
      </c>
      <c r="Z190" s="1221">
        <v>2.1806302465835065E-2</v>
      </c>
    </row>
  </sheetData>
  <mergeCells count="171">
    <mergeCell ref="C23:D23"/>
    <mergeCell ref="E23:F23"/>
    <mergeCell ref="G23:H23"/>
    <mergeCell ref="I23:J23"/>
    <mergeCell ref="K23:L23"/>
    <mergeCell ref="M23:N23"/>
    <mergeCell ref="Y44:Z44"/>
    <mergeCell ref="S65:T65"/>
    <mergeCell ref="U65:V65"/>
    <mergeCell ref="W65:X65"/>
    <mergeCell ref="Y65:Z65"/>
    <mergeCell ref="O23:P23"/>
    <mergeCell ref="Q23:R23"/>
    <mergeCell ref="S23:T23"/>
    <mergeCell ref="U23:V23"/>
    <mergeCell ref="W23:X23"/>
    <mergeCell ref="Y23:Z23"/>
    <mergeCell ref="O86:P86"/>
    <mergeCell ref="Q86:R86"/>
    <mergeCell ref="S86:T86"/>
    <mergeCell ref="U86:V86"/>
    <mergeCell ref="O44:P44"/>
    <mergeCell ref="Q44:R44"/>
    <mergeCell ref="S44:T44"/>
    <mergeCell ref="U44:V44"/>
    <mergeCell ref="W44:X44"/>
    <mergeCell ref="W107:X107"/>
    <mergeCell ref="Y107:Z107"/>
    <mergeCell ref="S128:T128"/>
    <mergeCell ref="U128:V128"/>
    <mergeCell ref="W128:X128"/>
    <mergeCell ref="Y128:Z128"/>
    <mergeCell ref="C44:D44"/>
    <mergeCell ref="E44:F44"/>
    <mergeCell ref="G44:H44"/>
    <mergeCell ref="I44:J44"/>
    <mergeCell ref="K44:L44"/>
    <mergeCell ref="M44:N44"/>
    <mergeCell ref="W86:X86"/>
    <mergeCell ref="Y86:Z86"/>
    <mergeCell ref="C65:D65"/>
    <mergeCell ref="E65:F65"/>
    <mergeCell ref="G65:H65"/>
    <mergeCell ref="I65:J65"/>
    <mergeCell ref="K65:L65"/>
    <mergeCell ref="M65:N65"/>
    <mergeCell ref="O65:P65"/>
    <mergeCell ref="Q65:R65"/>
    <mergeCell ref="K86:L86"/>
    <mergeCell ref="M86:N86"/>
    <mergeCell ref="G107:H107"/>
    <mergeCell ref="I107:J107"/>
    <mergeCell ref="K107:L107"/>
    <mergeCell ref="M107:N107"/>
    <mergeCell ref="W149:X149"/>
    <mergeCell ref="Y149:Z149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K149:L149"/>
    <mergeCell ref="M149:N149"/>
    <mergeCell ref="O149:P149"/>
    <mergeCell ref="Q149:R149"/>
    <mergeCell ref="S149:T149"/>
    <mergeCell ref="U149:V149"/>
    <mergeCell ref="O107:P107"/>
    <mergeCell ref="Q107:R107"/>
    <mergeCell ref="S107:T107"/>
    <mergeCell ref="U107:V107"/>
    <mergeCell ref="C149:D149"/>
    <mergeCell ref="E149:F149"/>
    <mergeCell ref="G149:H149"/>
    <mergeCell ref="I149:J149"/>
    <mergeCell ref="C86:D86"/>
    <mergeCell ref="E86:F86"/>
    <mergeCell ref="G86:H86"/>
    <mergeCell ref="I86:J86"/>
    <mergeCell ref="A55:A57"/>
    <mergeCell ref="A58:A60"/>
    <mergeCell ref="A61:A63"/>
    <mergeCell ref="A100:A102"/>
    <mergeCell ref="A103:A105"/>
    <mergeCell ref="A65:B66"/>
    <mergeCell ref="A67:A69"/>
    <mergeCell ref="A70:A72"/>
    <mergeCell ref="A73:A75"/>
    <mergeCell ref="A76:A78"/>
    <mergeCell ref="A79:A81"/>
    <mergeCell ref="A82:A84"/>
    <mergeCell ref="A86:B87"/>
    <mergeCell ref="A88:A90"/>
    <mergeCell ref="C107:D107"/>
    <mergeCell ref="E107:F107"/>
    <mergeCell ref="A23:B24"/>
    <mergeCell ref="A25:A27"/>
    <mergeCell ref="A28:A30"/>
    <mergeCell ref="A31:A33"/>
    <mergeCell ref="A34:A36"/>
    <mergeCell ref="A44:B45"/>
    <mergeCell ref="A46:A48"/>
    <mergeCell ref="A49:A51"/>
    <mergeCell ref="A52:A54"/>
    <mergeCell ref="A37:A39"/>
    <mergeCell ref="A40:A42"/>
    <mergeCell ref="A91:A93"/>
    <mergeCell ref="A94:A96"/>
    <mergeCell ref="A97:A99"/>
    <mergeCell ref="A142:A144"/>
    <mergeCell ref="A145:A147"/>
    <mergeCell ref="A107:B108"/>
    <mergeCell ref="A109:A111"/>
    <mergeCell ref="A112:A114"/>
    <mergeCell ref="A115:A117"/>
    <mergeCell ref="A118:A120"/>
    <mergeCell ref="A121:A123"/>
    <mergeCell ref="A124:A126"/>
    <mergeCell ref="A128:B129"/>
    <mergeCell ref="A130:A132"/>
    <mergeCell ref="A133:A135"/>
    <mergeCell ref="A136:A138"/>
    <mergeCell ref="A139:A141"/>
    <mergeCell ref="A151:A153"/>
    <mergeCell ref="A163:A165"/>
    <mergeCell ref="A149:B150"/>
    <mergeCell ref="A166:A168"/>
    <mergeCell ref="A185:A187"/>
    <mergeCell ref="A188:A190"/>
    <mergeCell ref="A154:A156"/>
    <mergeCell ref="A157:A159"/>
    <mergeCell ref="A160:A162"/>
    <mergeCell ref="Y171:Z171"/>
    <mergeCell ref="A173:A175"/>
    <mergeCell ref="A176:A178"/>
    <mergeCell ref="A179:A181"/>
    <mergeCell ref="A182:A184"/>
    <mergeCell ref="M171:N171"/>
    <mergeCell ref="O171:P171"/>
    <mergeCell ref="Q171:R171"/>
    <mergeCell ref="S171:T171"/>
    <mergeCell ref="U171:V171"/>
    <mergeCell ref="W171:X171"/>
    <mergeCell ref="A171:B172"/>
    <mergeCell ref="C171:D171"/>
    <mergeCell ref="E171:F171"/>
    <mergeCell ref="G171:H171"/>
    <mergeCell ref="I171:J171"/>
    <mergeCell ref="K171:L171"/>
    <mergeCell ref="A19:A21"/>
    <mergeCell ref="S2:T2"/>
    <mergeCell ref="U2:V2"/>
    <mergeCell ref="W2:X2"/>
    <mergeCell ref="Y2:Z2"/>
    <mergeCell ref="A4:A6"/>
    <mergeCell ref="A7:A9"/>
    <mergeCell ref="A10:A12"/>
    <mergeCell ref="A13:A15"/>
    <mergeCell ref="A16:A18"/>
    <mergeCell ref="A2:B3"/>
    <mergeCell ref="C2:D2"/>
    <mergeCell ref="E2:F2"/>
    <mergeCell ref="G2:H2"/>
    <mergeCell ref="I2:J2"/>
    <mergeCell ref="K2:L2"/>
    <mergeCell ref="M2:N2"/>
    <mergeCell ref="O2:P2"/>
    <mergeCell ref="Q2:R2"/>
  </mergeCells>
  <conditionalFormatting sqref="A2:Z3 A4:C21">
    <cfRule type="cellIs" dxfId="85" priority="10" operator="lessThan">
      <formula>0</formula>
    </cfRule>
  </conditionalFormatting>
  <conditionalFormatting sqref="A23:Z42">
    <cfRule type="cellIs" dxfId="84" priority="11" operator="lessThan">
      <formula>0</formula>
    </cfRule>
  </conditionalFormatting>
  <conditionalFormatting sqref="A44:Z63 A65:Z84 A86:Z105 A107:Z126 A128:Z147 A149:Z168 A171:Z190">
    <cfRule type="cellIs" dxfId="83" priority="26" operator="lessThan">
      <formula>0</formula>
    </cfRule>
  </conditionalFormatting>
  <conditionalFormatting sqref="D4:D21">
    <cfRule type="cellIs" dxfId="82" priority="3" operator="greaterThan">
      <formula>0.01</formula>
    </cfRule>
    <cfRule type="top10" dxfId="81" priority="4" percent="1" rank="1"/>
  </conditionalFormatting>
  <conditionalFormatting sqref="F4:F21">
    <cfRule type="cellIs" dxfId="80" priority="1" operator="greaterThan">
      <formula>0.01</formula>
    </cfRule>
    <cfRule type="top10" dxfId="79" priority="2" percent="1" rank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FF00"/>
  </sheetPr>
  <dimension ref="A1:AM201"/>
  <sheetViews>
    <sheetView zoomScale="85" zoomScaleNormal="85" workbookViewId="0">
      <pane xSplit="3" ySplit="11" topLeftCell="D157" activePane="bottomRight" state="frozen"/>
      <selection activeCell="EA28" sqref="EA28"/>
      <selection pane="topRight" activeCell="EA28" sqref="EA28"/>
      <selection pane="bottomLeft" activeCell="EA28" sqref="EA28"/>
      <selection pane="bottomRight" activeCell="E10" sqref="E10"/>
    </sheetView>
  </sheetViews>
  <sheetFormatPr defaultColWidth="9.140625" defaultRowHeight="15"/>
  <cols>
    <col min="1" max="1" width="3.140625" style="40" customWidth="1"/>
    <col min="2" max="2" width="45.5703125" style="40" customWidth="1"/>
    <col min="3" max="3" width="10.28515625" style="38" customWidth="1"/>
    <col min="4" max="4" width="18.42578125" style="39" bestFit="1" customWidth="1"/>
    <col min="5" max="15" width="18.42578125" style="39" customWidth="1"/>
    <col min="16" max="16" width="21.5703125" style="253" customWidth="1"/>
    <col min="17" max="17" width="21.7109375" style="253" customWidth="1"/>
    <col min="18" max="18" width="16.7109375" style="40" hidden="1" customWidth="1"/>
    <col min="19" max="19" width="9.140625" style="40" hidden="1" customWidth="1"/>
    <col min="20" max="21" width="0" style="40" hidden="1" customWidth="1"/>
    <col min="22" max="22" width="15.7109375" style="847" customWidth="1"/>
    <col min="23" max="24" width="14.7109375" style="847" bestFit="1" customWidth="1"/>
    <col min="25" max="25" width="12.85546875" style="40" bestFit="1" customWidth="1"/>
    <col min="26" max="26" width="11.28515625" style="40" bestFit="1" customWidth="1"/>
    <col min="27" max="27" width="14.140625" style="40" customWidth="1"/>
    <col min="28" max="28" width="11.28515625" style="40" bestFit="1" customWidth="1"/>
    <col min="29" max="29" width="18.28515625" style="40" customWidth="1"/>
    <col min="30" max="33" width="11.28515625" style="40" bestFit="1" customWidth="1"/>
    <col min="34" max="34" width="12.85546875" style="40" bestFit="1" customWidth="1"/>
    <col min="35" max="16384" width="9.140625" style="40"/>
  </cols>
  <sheetData>
    <row r="1" spans="2:36" ht="23.25" customHeight="1">
      <c r="B1" s="37" t="s">
        <v>87</v>
      </c>
      <c r="P1" s="394" t="s">
        <v>306</v>
      </c>
    </row>
    <row r="2" spans="2:36" ht="23.25" customHeight="1">
      <c r="P2" s="394" t="s">
        <v>306</v>
      </c>
    </row>
    <row r="3" spans="2:36" ht="32.25" customHeight="1">
      <c r="B3" s="39" t="s">
        <v>146</v>
      </c>
      <c r="D3" s="39">
        <v>22700</v>
      </c>
      <c r="E3" s="39">
        <v>22700</v>
      </c>
      <c r="F3" s="39">
        <v>22700</v>
      </c>
      <c r="G3" s="39">
        <v>22700</v>
      </c>
      <c r="H3" s="39">
        <v>22700</v>
      </c>
      <c r="I3" s="39">
        <v>22700</v>
      </c>
      <c r="J3" s="39">
        <v>22700</v>
      </c>
      <c r="K3" s="39">
        <v>22700</v>
      </c>
      <c r="L3" s="39">
        <v>22700</v>
      </c>
      <c r="M3" s="39">
        <v>22700</v>
      </c>
      <c r="N3" s="39">
        <v>22700</v>
      </c>
      <c r="O3" s="39">
        <v>22700</v>
      </c>
      <c r="Q3" s="253">
        <v>22500</v>
      </c>
      <c r="AJ3" s="41"/>
    </row>
    <row r="4" spans="2:36" ht="32.25" customHeight="1">
      <c r="B4" s="39" t="s">
        <v>147</v>
      </c>
      <c r="D4" s="39">
        <v>22745</v>
      </c>
      <c r="E4" s="39">
        <v>22790</v>
      </c>
      <c r="F4" s="39">
        <v>22810</v>
      </c>
      <c r="G4" s="39">
        <v>22800</v>
      </c>
      <c r="H4" s="39">
        <v>22835</v>
      </c>
      <c r="I4" s="39">
        <v>22990</v>
      </c>
      <c r="J4" s="39">
        <v>23310</v>
      </c>
      <c r="K4" s="39">
        <f>+[6]Average!AF3</f>
        <v>23340</v>
      </c>
      <c r="L4" s="39">
        <v>23365</v>
      </c>
      <c r="M4" s="39">
        <v>23390</v>
      </c>
      <c r="N4" s="82">
        <v>23365</v>
      </c>
      <c r="O4" s="39">
        <v>23235</v>
      </c>
      <c r="AJ4" s="41"/>
    </row>
    <row r="5" spans="2:36" ht="32.25" customHeight="1">
      <c r="B5" s="39" t="s">
        <v>151</v>
      </c>
      <c r="D5" s="39">
        <v>23250</v>
      </c>
      <c r="E5" s="39">
        <v>23245</v>
      </c>
      <c r="F5" s="39">
        <v>23245</v>
      </c>
      <c r="G5" s="39">
        <v>23320</v>
      </c>
      <c r="H5" s="82">
        <v>23470</v>
      </c>
      <c r="I5" s="39">
        <v>23320</v>
      </c>
      <c r="J5" s="39">
        <v>23270</v>
      </c>
      <c r="K5" s="39">
        <v>23240</v>
      </c>
      <c r="L5" s="39">
        <v>23250</v>
      </c>
      <c r="M5" s="39">
        <v>23250</v>
      </c>
      <c r="N5" s="82">
        <v>23225</v>
      </c>
      <c r="O5" s="39">
        <v>23220</v>
      </c>
      <c r="AJ5" s="41"/>
    </row>
    <row r="6" spans="2:36" ht="32.25" customHeight="1">
      <c r="B6" s="39" t="s">
        <v>189</v>
      </c>
      <c r="D6" s="39">
        <v>23230</v>
      </c>
      <c r="E6" s="39">
        <v>23310</v>
      </c>
      <c r="F6" s="39">
        <v>23660</v>
      </c>
      <c r="G6" s="39">
        <v>23535</v>
      </c>
      <c r="H6" s="82">
        <v>23380</v>
      </c>
      <c r="I6" s="39">
        <v>23300</v>
      </c>
      <c r="J6" s="39">
        <v>23270</v>
      </c>
      <c r="K6" s="39">
        <v>23270</v>
      </c>
      <c r="L6" s="39">
        <v>23270</v>
      </c>
      <c r="M6" s="39">
        <v>23270</v>
      </c>
      <c r="N6" s="82">
        <v>23230</v>
      </c>
      <c r="O6" s="39">
        <v>23190</v>
      </c>
      <c r="AJ6" s="41"/>
    </row>
    <row r="7" spans="2:36" ht="32.25" customHeight="1">
      <c r="B7" s="39" t="s">
        <v>304</v>
      </c>
      <c r="D7" s="39">
        <v>23230</v>
      </c>
      <c r="E7" s="39">
        <v>23310</v>
      </c>
      <c r="F7" s="39">
        <v>23660</v>
      </c>
      <c r="G7" s="39">
        <v>23535</v>
      </c>
      <c r="H7" s="82">
        <v>23380</v>
      </c>
      <c r="I7" s="39">
        <v>23300</v>
      </c>
      <c r="J7" s="39">
        <v>23270</v>
      </c>
      <c r="K7" s="39">
        <v>22870</v>
      </c>
      <c r="L7" s="39">
        <v>22860</v>
      </c>
      <c r="M7" s="39">
        <v>22850</v>
      </c>
      <c r="N7" s="82">
        <v>22795</v>
      </c>
      <c r="O7" s="39">
        <v>22915</v>
      </c>
      <c r="AJ7" s="41"/>
    </row>
    <row r="8" spans="2:36" ht="32.25" customHeight="1">
      <c r="B8" s="39" t="s">
        <v>376</v>
      </c>
      <c r="D8" s="39">
        <v>22730</v>
      </c>
      <c r="E8" s="39">
        <v>22930</v>
      </c>
      <c r="F8" s="39">
        <v>22960</v>
      </c>
      <c r="G8" s="39">
        <v>23080</v>
      </c>
      <c r="H8" s="82">
        <v>23300</v>
      </c>
      <c r="I8" s="39">
        <v>23380</v>
      </c>
      <c r="J8" s="39">
        <v>23450</v>
      </c>
      <c r="K8" s="39">
        <v>23550</v>
      </c>
      <c r="L8" s="39">
        <v>23970</v>
      </c>
      <c r="M8" s="39">
        <v>24880</v>
      </c>
      <c r="N8" s="82">
        <v>24735</v>
      </c>
      <c r="O8" s="39">
        <v>23640</v>
      </c>
      <c r="AJ8" s="41"/>
    </row>
    <row r="9" spans="2:36" ht="32.25" customHeight="1">
      <c r="B9" s="39" t="s">
        <v>501</v>
      </c>
      <c r="D9" s="39">
        <v>23570</v>
      </c>
      <c r="E9" s="39">
        <v>23895</v>
      </c>
      <c r="F9" s="39">
        <v>23585</v>
      </c>
      <c r="G9" s="39">
        <v>23580</v>
      </c>
      <c r="H9" s="82">
        <v>23610</v>
      </c>
      <c r="I9" s="39">
        <v>23700</v>
      </c>
      <c r="J9" s="39">
        <v>23805</v>
      </c>
      <c r="K9" s="39">
        <v>24180</v>
      </c>
      <c r="L9" s="39">
        <v>24450</v>
      </c>
      <c r="M9" s="39">
        <v>24680</v>
      </c>
      <c r="N9" s="82">
        <v>24380</v>
      </c>
      <c r="O9" s="39">
        <v>24350</v>
      </c>
      <c r="AJ9" s="41"/>
    </row>
    <row r="10" spans="2:36" ht="32.25" customHeight="1" thickBot="1">
      <c r="B10" s="39" t="s">
        <v>630</v>
      </c>
      <c r="H10" s="82"/>
      <c r="N10" s="82"/>
      <c r="AJ10" s="41"/>
    </row>
    <row r="11" spans="2:36" s="42" customFormat="1" ht="28.5" customHeight="1" thickBot="1">
      <c r="B11" s="138" t="s">
        <v>176</v>
      </c>
      <c r="C11" s="139" t="s">
        <v>88</v>
      </c>
      <c r="D11" s="258" t="s">
        <v>63</v>
      </c>
      <c r="E11" s="258" t="s">
        <v>64</v>
      </c>
      <c r="F11" s="258" t="s">
        <v>65</v>
      </c>
      <c r="G11" s="258" t="s">
        <v>66</v>
      </c>
      <c r="H11" s="258" t="s">
        <v>67</v>
      </c>
      <c r="I11" s="258" t="s">
        <v>68</v>
      </c>
      <c r="J11" s="258" t="s">
        <v>69</v>
      </c>
      <c r="K11" s="258" t="s">
        <v>70</v>
      </c>
      <c r="L11" s="258" t="s">
        <v>71</v>
      </c>
      <c r="M11" s="258" t="s">
        <v>72</v>
      </c>
      <c r="N11" s="258" t="s">
        <v>73</v>
      </c>
      <c r="O11" s="396" t="s">
        <v>74</v>
      </c>
      <c r="P11" s="419" t="s">
        <v>236</v>
      </c>
      <c r="Q11" s="420" t="s">
        <v>89</v>
      </c>
      <c r="V11" s="848"/>
      <c r="W11" s="848"/>
      <c r="X11" s="848"/>
      <c r="AJ11" s="40"/>
    </row>
    <row r="12" spans="2:36" ht="20.45" customHeight="1">
      <c r="B12" s="49" t="s">
        <v>142</v>
      </c>
      <c r="C12" s="8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69"/>
      <c r="O12" s="397"/>
      <c r="P12" s="421"/>
      <c r="Q12" s="422"/>
    </row>
    <row r="13" spans="2:36" ht="20.45" customHeight="1">
      <c r="B13" s="113">
        <v>2016</v>
      </c>
      <c r="C13" s="46" t="s">
        <v>75</v>
      </c>
      <c r="D13" s="47">
        <v>5639851.288461538</v>
      </c>
      <c r="E13" s="47">
        <v>7094675.8731596833</v>
      </c>
      <c r="F13" s="47">
        <v>6975597.0510688834</v>
      </c>
      <c r="G13" s="47">
        <v>7396945.5618115058</v>
      </c>
      <c r="H13" s="47">
        <v>8158010.2931677019</v>
      </c>
      <c r="I13" s="47">
        <v>8707228.3868159205</v>
      </c>
      <c r="J13" s="47">
        <v>8073722.7220902601</v>
      </c>
      <c r="K13" s="47">
        <v>8103327.1387795303</v>
      </c>
      <c r="L13" s="47">
        <v>7788570.53654024</v>
      </c>
      <c r="M13" s="47">
        <v>8110049.5798872178</v>
      </c>
      <c r="N13" s="47">
        <v>8021292.2538167937</v>
      </c>
      <c r="O13" s="398">
        <v>8526000.3175355494</v>
      </c>
      <c r="P13" s="423">
        <f t="shared" ref="P13:P17" si="0">+SUM(D13:O13)</f>
        <v>92595271.003134817</v>
      </c>
      <c r="Q13" s="424">
        <f>AVERAGE(D13:O13)</f>
        <v>7716272.5835945681</v>
      </c>
      <c r="S13" s="45"/>
    </row>
    <row r="14" spans="2:36" ht="21" customHeight="1">
      <c r="B14" s="86">
        <v>2017</v>
      </c>
      <c r="C14" s="46" t="s">
        <v>75</v>
      </c>
      <c r="D14" s="47">
        <v>7419611.7513165046</v>
      </c>
      <c r="E14" s="47">
        <v>7036665.1474352051</v>
      </c>
      <c r="F14" s="47">
        <v>8214537.2028796552</v>
      </c>
      <c r="G14" s="47">
        <v>8422067.9984326437</v>
      </c>
      <c r="H14" s="47">
        <v>7974682.6770222839</v>
      </c>
      <c r="I14" s="47">
        <v>7479780.7884482117</v>
      </c>
      <c r="J14" s="47">
        <v>7838982.4092458114</v>
      </c>
      <c r="K14" s="47">
        <v>9052133.7195504066</v>
      </c>
      <c r="L14" s="47">
        <v>10075133.460866906</v>
      </c>
      <c r="M14" s="47">
        <v>10189479.01018057</v>
      </c>
      <c r="N14" s="47">
        <v>9616396.1565064099</v>
      </c>
      <c r="O14" s="398">
        <v>9512442.29237899</v>
      </c>
      <c r="P14" s="423">
        <f t="shared" si="0"/>
        <v>102831912.61426361</v>
      </c>
      <c r="Q14" s="424">
        <f>+[7]Average!O11</f>
        <v>9428987.9492199458</v>
      </c>
      <c r="S14" s="45"/>
    </row>
    <row r="15" spans="2:36" ht="21" customHeight="1">
      <c r="B15" s="86">
        <v>2018</v>
      </c>
      <c r="C15" s="46" t="s">
        <v>75</v>
      </c>
      <c r="D15" s="47">
        <v>9057033.9684299696</v>
      </c>
      <c r="E15" s="47">
        <v>6829832.7541819941</v>
      </c>
      <c r="F15" s="47">
        <v>9238934.3540560175</v>
      </c>
      <c r="G15" s="47">
        <v>8710293.3265276719</v>
      </c>
      <c r="H15" s="47">
        <v>9387345.8105560001</v>
      </c>
      <c r="I15" s="47">
        <v>9373152.769438507</v>
      </c>
      <c r="J15" s="47">
        <v>9127505.3196173478</v>
      </c>
      <c r="K15" s="47">
        <v>9877891.3971915748</v>
      </c>
      <c r="L15" s="47">
        <v>9777987.3393794689</v>
      </c>
      <c r="M15" s="47">
        <v>10075782.885910342</v>
      </c>
      <c r="N15" s="47">
        <v>9686533.5669960752</v>
      </c>
      <c r="O15" s="398">
        <v>9451918.389617892</v>
      </c>
      <c r="P15" s="423">
        <f t="shared" si="0"/>
        <v>110594211.88190287</v>
      </c>
      <c r="Q15" s="424">
        <f>+[6]Average!AP11</f>
        <v>9220117.0308254436</v>
      </c>
      <c r="S15" s="45"/>
    </row>
    <row r="16" spans="2:36" ht="21" customHeight="1">
      <c r="B16" s="86">
        <v>2019</v>
      </c>
      <c r="C16" s="46" t="s">
        <v>75</v>
      </c>
      <c r="D16" s="47">
        <v>7272544.2471527597</v>
      </c>
      <c r="E16" s="47">
        <v>5585409.2480983036</v>
      </c>
      <c r="F16" s="47">
        <v>6947495.8380722888</v>
      </c>
      <c r="G16" s="47">
        <v>6526761.6630991157</v>
      </c>
      <c r="H16" s="47">
        <v>7064922.8122032629</v>
      </c>
      <c r="I16" s="47">
        <v>7096702.7947435323</v>
      </c>
      <c r="J16" s="47">
        <v>7697503.6439089691</v>
      </c>
      <c r="K16" s="47">
        <v>7974855.175577472</v>
      </c>
      <c r="L16" s="47">
        <v>7666429.7705799434</v>
      </c>
      <c r="M16" s="47">
        <v>7823190.6968085105</v>
      </c>
      <c r="N16" s="47">
        <v>6673934.7387923151</v>
      </c>
      <c r="O16" s="398">
        <v>6719094.0817744564</v>
      </c>
      <c r="P16" s="423">
        <f t="shared" si="0"/>
        <v>85048844.71081093</v>
      </c>
      <c r="Q16" s="424">
        <f>AVERAGE(D16:O16)</f>
        <v>7087403.7259009108</v>
      </c>
      <c r="S16" s="45"/>
    </row>
    <row r="17" spans="1:24" ht="21" customHeight="1">
      <c r="B17" s="86">
        <v>2020</v>
      </c>
      <c r="C17" s="46" t="s">
        <v>75</v>
      </c>
      <c r="D17" s="47">
        <v>7549344.0601382498</v>
      </c>
      <c r="E17" s="47">
        <v>8110653.659817352</v>
      </c>
      <c r="F17" s="47">
        <v>7035930.9649631996</v>
      </c>
      <c r="G17" s="47">
        <v>6377334.2542857146</v>
      </c>
      <c r="H17" s="47">
        <v>6516058.1557177613</v>
      </c>
      <c r="I17" s="47">
        <v>7710116.0574712642</v>
      </c>
      <c r="J17" s="47">
        <v>10610021.664691944</v>
      </c>
      <c r="K17" s="47">
        <v>10837583.089430895</v>
      </c>
      <c r="L17" s="47">
        <v>8847384.2289664652</v>
      </c>
      <c r="M17" s="47">
        <v>8755691.2911111116</v>
      </c>
      <c r="N17" s="47">
        <v>8880206.305928411</v>
      </c>
      <c r="O17" s="398">
        <v>10737012.118915929</v>
      </c>
      <c r="P17" s="423">
        <f t="shared" si="0"/>
        <v>101967335.85143828</v>
      </c>
      <c r="Q17" s="424">
        <f>AVERAGE(D17:O17)</f>
        <v>8497277.9876198564</v>
      </c>
      <c r="S17" s="45"/>
    </row>
    <row r="18" spans="1:24" ht="21" customHeight="1">
      <c r="B18" s="86">
        <v>2021</v>
      </c>
      <c r="C18" s="46" t="s">
        <v>75</v>
      </c>
      <c r="D18" s="48">
        <v>9422084.15243553</v>
      </c>
      <c r="E18" s="48">
        <v>6867223.2922814982</v>
      </c>
      <c r="F18" s="48">
        <v>9638378.4625126645</v>
      </c>
      <c r="G18" s="48">
        <v>9769954.1162227597</v>
      </c>
      <c r="H18" s="48">
        <v>10368919.014567669</v>
      </c>
      <c r="I18" s="48">
        <v>10748633.955986749</v>
      </c>
      <c r="J18" s="48">
        <v>8901381.3344643731</v>
      </c>
      <c r="K18" s="48">
        <v>13492328.164799999</v>
      </c>
      <c r="L18" s="48">
        <v>12377055.59625213</v>
      </c>
      <c r="M18" s="48">
        <v>7357014.1032731375</v>
      </c>
      <c r="N18" s="48">
        <v>6150079.047401485</v>
      </c>
      <c r="O18" s="399">
        <v>9041384.9494348597</v>
      </c>
      <c r="P18" s="423">
        <f>+SUM(D18:O18)</f>
        <v>114134436.18963286</v>
      </c>
      <c r="Q18" s="424">
        <f>AVERAGE(D18:O18)</f>
        <v>9511203.0158027392</v>
      </c>
      <c r="R18" s="40" t="s">
        <v>281</v>
      </c>
      <c r="S18" s="45"/>
    </row>
    <row r="19" spans="1:24" ht="21" customHeight="1">
      <c r="B19" s="86">
        <v>2022</v>
      </c>
      <c r="C19" s="46" t="s">
        <v>75</v>
      </c>
      <c r="D19" s="48">
        <v>12831225.222724339</v>
      </c>
      <c r="E19" s="48">
        <v>8332957.9228413962</v>
      </c>
      <c r="F19" s="48">
        <v>9670187.7211302202</v>
      </c>
      <c r="G19" s="48">
        <v>9821279.3947532792</v>
      </c>
      <c r="H19" s="48">
        <v>9651342.9387387391</v>
      </c>
      <c r="I19" s="48">
        <v>9425095.2473622505</v>
      </c>
      <c r="J19" s="48">
        <v>9508049.8480096497</v>
      </c>
      <c r="K19" s="48">
        <v>9938897.677089598</v>
      </c>
      <c r="L19" s="48">
        <v>8442788.4107142854</v>
      </c>
      <c r="M19" s="48">
        <v>8117583.1674387818</v>
      </c>
      <c r="N19" s="48">
        <v>7648571.1315610092</v>
      </c>
      <c r="O19" s="399">
        <v>7889869.2361673415</v>
      </c>
      <c r="P19" s="423">
        <f t="shared" ref="P19" si="1">+SUM(D19:O19)</f>
        <v>111277847.91853088</v>
      </c>
      <c r="Q19" s="424">
        <f t="shared" ref="Q19:Q20" si="2">AVERAGE(D19:O19)</f>
        <v>9273153.9932109062</v>
      </c>
      <c r="S19" s="45"/>
    </row>
    <row r="20" spans="1:24" ht="21" customHeight="1">
      <c r="B20" s="726">
        <v>2023</v>
      </c>
      <c r="C20" s="46" t="s">
        <v>75</v>
      </c>
      <c r="D20" s="48">
        <v>12121791.333333334</v>
      </c>
      <c r="E20" s="48">
        <v>8728625.038350217</v>
      </c>
      <c r="F20" s="48">
        <v>9802908.670867309</v>
      </c>
      <c r="G20" s="48">
        <v>9530853.122634368</v>
      </c>
      <c r="H20" s="48">
        <v>10098894.1</v>
      </c>
      <c r="I20" s="48">
        <v>11111326.204897959</v>
      </c>
      <c r="J20" s="48">
        <v>10614054.136138614</v>
      </c>
      <c r="K20" s="48">
        <v>10797197.149471974</v>
      </c>
      <c r="L20" s="48">
        <v>9683665.9090909082</v>
      </c>
      <c r="M20" s="48">
        <v>9921167.5008291882</v>
      </c>
      <c r="N20" s="48">
        <v>8905570.7577535622</v>
      </c>
      <c r="O20" s="399">
        <v>10181529.953225806</v>
      </c>
      <c r="P20" s="423">
        <f>+SUM(D20:O20)</f>
        <v>121497583.87659325</v>
      </c>
      <c r="Q20" s="424">
        <f t="shared" si="2"/>
        <v>10124798.656382771</v>
      </c>
      <c r="S20" s="45"/>
    </row>
    <row r="21" spans="1:24" ht="21" customHeight="1">
      <c r="B21" s="726">
        <v>2024</v>
      </c>
      <c r="C21" s="46" t="s">
        <v>75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399"/>
      <c r="P21" s="426"/>
      <c r="Q21" s="892"/>
      <c r="S21" s="45"/>
    </row>
    <row r="22" spans="1:24" s="41" customFormat="1" ht="18.75" customHeight="1" thickBot="1">
      <c r="A22" s="40"/>
      <c r="B22" s="87" t="s">
        <v>631</v>
      </c>
      <c r="C22" s="88"/>
      <c r="D22" s="571">
        <f>+(D21-D20)/D20</f>
        <v>-1</v>
      </c>
      <c r="E22" s="571">
        <f t="shared" ref="E22:O22" si="3">+(E21-E20)/E20</f>
        <v>-1</v>
      </c>
      <c r="F22" s="571">
        <f t="shared" si="3"/>
        <v>-1</v>
      </c>
      <c r="G22" s="571">
        <f t="shared" si="3"/>
        <v>-1</v>
      </c>
      <c r="H22" s="571">
        <f t="shared" si="3"/>
        <v>-1</v>
      </c>
      <c r="I22" s="571">
        <f t="shared" si="3"/>
        <v>-1</v>
      </c>
      <c r="J22" s="571">
        <f t="shared" si="3"/>
        <v>-1</v>
      </c>
      <c r="K22" s="571">
        <f t="shared" si="3"/>
        <v>-1</v>
      </c>
      <c r="L22" s="571">
        <f t="shared" si="3"/>
        <v>-1</v>
      </c>
      <c r="M22" s="571">
        <f t="shared" si="3"/>
        <v>-1</v>
      </c>
      <c r="N22" s="571">
        <f t="shared" si="3"/>
        <v>-1</v>
      </c>
      <c r="O22" s="571">
        <f t="shared" si="3"/>
        <v>-1</v>
      </c>
      <c r="P22" s="796">
        <f>+(P20-P19)/P19</f>
        <v>9.1839805938235555E-2</v>
      </c>
      <c r="Q22" s="797">
        <f>+(Q20-Q19)/Q19</f>
        <v>9.1839805938235694E-2</v>
      </c>
      <c r="R22" s="40"/>
      <c r="S22" s="45"/>
      <c r="V22" s="849"/>
      <c r="W22" s="849"/>
      <c r="X22" s="849"/>
    </row>
    <row r="23" spans="1:24" ht="20.45" customHeight="1" thickBot="1">
      <c r="B23" s="49" t="s">
        <v>90</v>
      </c>
      <c r="C23" s="8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397"/>
      <c r="P23" s="421"/>
      <c r="Q23" s="425"/>
      <c r="S23" s="45"/>
    </row>
    <row r="24" spans="1:24" s="41" customFormat="1" ht="20.45" customHeight="1">
      <c r="A24" s="40"/>
      <c r="B24" s="85">
        <v>2016</v>
      </c>
      <c r="C24" s="50"/>
      <c r="D24" s="47">
        <v>884</v>
      </c>
      <c r="E24" s="47">
        <v>883</v>
      </c>
      <c r="F24" s="47">
        <v>842</v>
      </c>
      <c r="G24" s="47">
        <v>817</v>
      </c>
      <c r="H24" s="47">
        <v>805</v>
      </c>
      <c r="I24" s="47">
        <v>804</v>
      </c>
      <c r="J24" s="47">
        <v>842</v>
      </c>
      <c r="K24" s="47">
        <v>1016</v>
      </c>
      <c r="L24" s="47">
        <v>1081</v>
      </c>
      <c r="M24" s="47">
        <v>1064</v>
      </c>
      <c r="N24" s="47">
        <v>1048</v>
      </c>
      <c r="O24" s="398">
        <v>1055</v>
      </c>
      <c r="P24" s="423">
        <f>+SUM(D24:O24)</f>
        <v>11141</v>
      </c>
      <c r="Q24" s="424">
        <f t="shared" ref="Q24:Q31" si="4">AVERAGE(D24:O24)</f>
        <v>928.41666666666663</v>
      </c>
      <c r="R24" s="40"/>
      <c r="S24" s="45"/>
      <c r="V24" s="849"/>
      <c r="W24" s="849"/>
      <c r="X24" s="849"/>
    </row>
    <row r="25" spans="1:24" s="41" customFormat="1" ht="20.45" customHeight="1">
      <c r="A25" s="40"/>
      <c r="B25" s="86">
        <v>2017</v>
      </c>
      <c r="C25" s="50"/>
      <c r="D25" s="47">
        <v>1035</v>
      </c>
      <c r="E25" s="47">
        <v>1056</v>
      </c>
      <c r="F25" s="47">
        <v>1047</v>
      </c>
      <c r="G25" s="47">
        <v>1019</v>
      </c>
      <c r="H25" s="47">
        <v>1008</v>
      </c>
      <c r="I25" s="47">
        <v>984</v>
      </c>
      <c r="J25" s="47">
        <v>972</v>
      </c>
      <c r="K25" s="47">
        <v>991</v>
      </c>
      <c r="L25" s="47">
        <v>979</v>
      </c>
      <c r="M25" s="47">
        <v>953</v>
      </c>
      <c r="N25" s="47">
        <v>942</v>
      </c>
      <c r="O25" s="398">
        <v>977</v>
      </c>
      <c r="P25" s="423">
        <f>+SUM(D25:O25)</f>
        <v>11963</v>
      </c>
      <c r="Q25" s="424">
        <f t="shared" si="4"/>
        <v>996.91666666666663</v>
      </c>
      <c r="R25" s="40"/>
      <c r="S25" s="45"/>
      <c r="V25" s="849"/>
      <c r="W25" s="849"/>
      <c r="X25" s="849"/>
    </row>
    <row r="26" spans="1:24" s="41" customFormat="1" ht="20.45" customHeight="1">
      <c r="A26" s="40"/>
      <c r="B26" s="86">
        <v>2018</v>
      </c>
      <c r="C26" s="51"/>
      <c r="D26" s="48">
        <v>976</v>
      </c>
      <c r="E26" s="48">
        <v>937</v>
      </c>
      <c r="F26" s="48">
        <v>998</v>
      </c>
      <c r="G26" s="48">
        <v>1005</v>
      </c>
      <c r="H26" s="48">
        <v>1005</v>
      </c>
      <c r="I26" s="48">
        <v>1000</v>
      </c>
      <c r="J26" s="48">
        <v>984</v>
      </c>
      <c r="K26" s="48">
        <v>1001</v>
      </c>
      <c r="L26" s="48">
        <v>1021</v>
      </c>
      <c r="M26" s="48">
        <v>1056</v>
      </c>
      <c r="N26" s="48">
        <v>1072</v>
      </c>
      <c r="O26" s="399">
        <v>1199</v>
      </c>
      <c r="P26" s="426"/>
      <c r="Q26" s="424">
        <f t="shared" si="4"/>
        <v>1021.1666666666666</v>
      </c>
      <c r="R26" s="40"/>
      <c r="S26" s="45"/>
      <c r="V26" s="849"/>
      <c r="W26" s="849"/>
      <c r="X26" s="849"/>
    </row>
    <row r="27" spans="1:24" s="41" customFormat="1" ht="21" customHeight="1">
      <c r="A27" s="40"/>
      <c r="B27" s="86">
        <v>2019</v>
      </c>
      <c r="C27" s="51"/>
      <c r="D27" s="48">
        <v>1504</v>
      </c>
      <c r="E27" s="48">
        <v>1709</v>
      </c>
      <c r="F27" s="48">
        <v>2075</v>
      </c>
      <c r="G27" s="48">
        <v>2149</v>
      </c>
      <c r="H27" s="48">
        <v>2217</v>
      </c>
      <c r="I27" s="48">
        <v>2229</v>
      </c>
      <c r="J27" s="48">
        <v>2241</v>
      </c>
      <c r="K27" s="48">
        <v>2204</v>
      </c>
      <c r="L27" s="48">
        <v>2202</v>
      </c>
      <c r="M27" s="48">
        <v>2256</v>
      </c>
      <c r="N27" s="48">
        <v>2186</v>
      </c>
      <c r="O27" s="399">
        <v>2208</v>
      </c>
      <c r="P27" s="423">
        <f>+SUM(D27:O27)</f>
        <v>25180</v>
      </c>
      <c r="Q27" s="424">
        <f t="shared" si="4"/>
        <v>2098.3333333333335</v>
      </c>
      <c r="R27" s="40"/>
      <c r="S27" s="45"/>
      <c r="V27" s="849"/>
      <c r="W27" s="849"/>
      <c r="X27" s="849"/>
    </row>
    <row r="28" spans="1:24" s="41" customFormat="1" ht="21" customHeight="1">
      <c r="A28" s="40"/>
      <c r="B28" s="86">
        <v>2020</v>
      </c>
      <c r="C28" s="51"/>
      <c r="D28" s="48">
        <v>1736</v>
      </c>
      <c r="E28" s="48">
        <v>1752</v>
      </c>
      <c r="F28" s="48">
        <v>1750</v>
      </c>
      <c r="G28" s="48">
        <v>1750</v>
      </c>
      <c r="H28" s="48">
        <v>1644</v>
      </c>
      <c r="I28" s="48">
        <v>1653</v>
      </c>
      <c r="J28" s="48">
        <v>1688</v>
      </c>
      <c r="K28" s="48">
        <v>1759</v>
      </c>
      <c r="L28" s="48">
        <v>1793</v>
      </c>
      <c r="M28" s="48">
        <v>1800</v>
      </c>
      <c r="N28" s="48">
        <v>1788</v>
      </c>
      <c r="O28" s="399">
        <v>1808</v>
      </c>
      <c r="P28" s="423">
        <f>+SUM(D28:O28)</f>
        <v>20921</v>
      </c>
      <c r="Q28" s="424">
        <f t="shared" si="4"/>
        <v>1743.4166666666667</v>
      </c>
      <c r="R28" s="40"/>
      <c r="S28" s="45"/>
      <c r="V28" s="849"/>
      <c r="W28" s="849"/>
      <c r="X28" s="849"/>
    </row>
    <row r="29" spans="1:24" s="41" customFormat="1" ht="21" customHeight="1">
      <c r="A29" s="40"/>
      <c r="B29" s="86">
        <v>2021</v>
      </c>
      <c r="C29" s="51"/>
      <c r="D29" s="48">
        <v>1745</v>
      </c>
      <c r="E29" s="48">
        <v>1762</v>
      </c>
      <c r="F29" s="48">
        <v>1974</v>
      </c>
      <c r="G29" s="48">
        <v>2065</v>
      </c>
      <c r="H29" s="48">
        <v>2128</v>
      </c>
      <c r="I29" s="48">
        <v>2113</v>
      </c>
      <c r="J29" s="48">
        <v>2063</v>
      </c>
      <c r="K29" s="48">
        <v>1250</v>
      </c>
      <c r="L29" s="48">
        <v>1174</v>
      </c>
      <c r="M29" s="48">
        <v>1772</v>
      </c>
      <c r="N29" s="48">
        <v>1751</v>
      </c>
      <c r="O29" s="48">
        <v>1693</v>
      </c>
      <c r="P29" s="423">
        <f t="shared" ref="P29:P31" si="5">+SUM(D29:O29)</f>
        <v>21490</v>
      </c>
      <c r="Q29" s="424">
        <f t="shared" si="4"/>
        <v>1790.8333333333333</v>
      </c>
      <c r="R29" s="40" t="s">
        <v>281</v>
      </c>
      <c r="S29" s="45"/>
      <c r="V29" s="849"/>
      <c r="W29" s="849"/>
      <c r="X29" s="849"/>
    </row>
    <row r="30" spans="1:24" s="41" customFormat="1" ht="21" customHeight="1">
      <c r="A30" s="40"/>
      <c r="B30" s="86">
        <v>2022</v>
      </c>
      <c r="C30" s="51"/>
      <c r="D30" s="48">
        <v>1549</v>
      </c>
      <c r="E30" s="48">
        <v>1633</v>
      </c>
      <c r="F30" s="48">
        <v>1628</v>
      </c>
      <c r="G30" s="48">
        <v>1601</v>
      </c>
      <c r="H30" s="48">
        <v>1665</v>
      </c>
      <c r="I30" s="48">
        <v>1706</v>
      </c>
      <c r="J30" s="48">
        <v>1658</v>
      </c>
      <c r="K30" s="48">
        <v>1663</v>
      </c>
      <c r="L30" s="48">
        <v>1568</v>
      </c>
      <c r="M30" s="48">
        <v>1511</v>
      </c>
      <c r="N30" s="48">
        <v>1467</v>
      </c>
      <c r="O30" s="399">
        <v>1482</v>
      </c>
      <c r="P30" s="423">
        <f t="shared" si="5"/>
        <v>19131</v>
      </c>
      <c r="Q30" s="424">
        <f t="shared" si="4"/>
        <v>1594.25</v>
      </c>
      <c r="R30" s="40"/>
      <c r="S30" s="45"/>
      <c r="V30" s="849"/>
      <c r="W30" s="849"/>
      <c r="X30" s="849"/>
    </row>
    <row r="31" spans="1:24" ht="21" customHeight="1">
      <c r="B31" s="726">
        <v>2023</v>
      </c>
      <c r="C31" s="46"/>
      <c r="D31" s="48">
        <v>1395</v>
      </c>
      <c r="E31" s="48">
        <v>1382</v>
      </c>
      <c r="F31" s="48">
        <v>1349</v>
      </c>
      <c r="G31" s="48">
        <v>1321</v>
      </c>
      <c r="H31" s="48">
        <v>1270</v>
      </c>
      <c r="I31" s="48">
        <v>1225</v>
      </c>
      <c r="J31" s="48">
        <v>1212</v>
      </c>
      <c r="K31" s="48">
        <v>1231</v>
      </c>
      <c r="L31" s="48">
        <v>1210</v>
      </c>
      <c r="M31" s="48">
        <v>1206</v>
      </c>
      <c r="N31" s="48">
        <v>1193</v>
      </c>
      <c r="O31" s="399">
        <v>1240</v>
      </c>
      <c r="P31" s="423">
        <f t="shared" si="5"/>
        <v>15234</v>
      </c>
      <c r="Q31" s="424">
        <f t="shared" si="4"/>
        <v>1269.5</v>
      </c>
      <c r="S31" s="45"/>
    </row>
    <row r="32" spans="1:24" ht="21" customHeight="1">
      <c r="B32" s="726">
        <v>2024</v>
      </c>
      <c r="C32" s="889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399"/>
      <c r="P32" s="893"/>
      <c r="Q32" s="894"/>
      <c r="S32" s="45"/>
    </row>
    <row r="33" spans="1:36" s="41" customFormat="1" ht="18.75" customHeight="1" thickBot="1">
      <c r="A33" s="40"/>
      <c r="B33" s="87" t="s">
        <v>631</v>
      </c>
      <c r="C33" s="88"/>
      <c r="D33" s="571">
        <f>+(D32-D31)/D31</f>
        <v>-1</v>
      </c>
      <c r="E33" s="571">
        <f t="shared" ref="E33:O33" si="6">+(E32-E31)/E31</f>
        <v>-1</v>
      </c>
      <c r="F33" s="571">
        <f t="shared" si="6"/>
        <v>-1</v>
      </c>
      <c r="G33" s="571">
        <f t="shared" si="6"/>
        <v>-1</v>
      </c>
      <c r="H33" s="571">
        <f t="shared" si="6"/>
        <v>-1</v>
      </c>
      <c r="I33" s="571">
        <f t="shared" si="6"/>
        <v>-1</v>
      </c>
      <c r="J33" s="571">
        <f t="shared" si="6"/>
        <v>-1</v>
      </c>
      <c r="K33" s="571">
        <f t="shared" si="6"/>
        <v>-1</v>
      </c>
      <c r="L33" s="571">
        <f t="shared" si="6"/>
        <v>-1</v>
      </c>
      <c r="M33" s="571">
        <f t="shared" si="6"/>
        <v>-1</v>
      </c>
      <c r="N33" s="571">
        <f t="shared" si="6"/>
        <v>-1</v>
      </c>
      <c r="O33" s="571">
        <f t="shared" si="6"/>
        <v>-1</v>
      </c>
      <c r="P33" s="571">
        <f t="shared" ref="P33:Q33" si="7">+(P31-P30)/P30</f>
        <v>-0.20370079974909833</v>
      </c>
      <c r="Q33" s="571">
        <f t="shared" si="7"/>
        <v>-0.20370079974909833</v>
      </c>
      <c r="R33" s="40"/>
      <c r="S33" s="45"/>
      <c r="V33" s="849"/>
      <c r="W33" s="849"/>
      <c r="X33" s="849"/>
    </row>
    <row r="34" spans="1:36" ht="20.45" customHeight="1">
      <c r="B34" s="52" t="s">
        <v>91</v>
      </c>
      <c r="C34" s="8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397"/>
      <c r="P34" s="421"/>
      <c r="Q34" s="425"/>
      <c r="S34" s="45"/>
    </row>
    <row r="35" spans="1:36" ht="20.45" customHeight="1">
      <c r="B35" s="1603" t="s">
        <v>92</v>
      </c>
      <c r="C35" s="46" t="s">
        <v>75</v>
      </c>
      <c r="D35" s="47">
        <v>4985628539</v>
      </c>
      <c r="E35" s="47">
        <v>6264598796</v>
      </c>
      <c r="F35" s="47">
        <v>5873452717</v>
      </c>
      <c r="G35" s="47">
        <v>6043304524</v>
      </c>
      <c r="H35" s="47">
        <v>6567198286</v>
      </c>
      <c r="I35" s="47">
        <v>7000611623</v>
      </c>
      <c r="J35" s="47">
        <v>6798074532</v>
      </c>
      <c r="K35" s="47">
        <v>8232980373</v>
      </c>
      <c r="L35" s="47">
        <v>8419444750</v>
      </c>
      <c r="M35" s="47">
        <v>8629092753</v>
      </c>
      <c r="N35" s="47">
        <v>8406314282</v>
      </c>
      <c r="O35" s="398">
        <v>9481813094</v>
      </c>
      <c r="P35" s="423"/>
      <c r="Q35" s="424">
        <f>AVERAGE(D35:O35)</f>
        <v>7225209522.416667</v>
      </c>
      <c r="S35" s="45"/>
    </row>
    <row r="36" spans="1:36" ht="20.45" customHeight="1">
      <c r="B36" s="1603"/>
      <c r="C36" s="46" t="s">
        <v>76</v>
      </c>
      <c r="D36" s="53">
        <v>223570.78650224215</v>
      </c>
      <c r="E36" s="53">
        <v>280923.7128251121</v>
      </c>
      <c r="F36" s="53">
        <v>263383.5299103139</v>
      </c>
      <c r="G36" s="53">
        <v>271000.20286995516</v>
      </c>
      <c r="H36" s="53">
        <v>294493.19668161432</v>
      </c>
      <c r="I36" s="53">
        <v>313928.77233183855</v>
      </c>
      <c r="J36" s="53">
        <v>304846.39156950673</v>
      </c>
      <c r="K36" s="53">
        <v>369191.94497757847</v>
      </c>
      <c r="L36" s="53">
        <v>377553.57623318385</v>
      </c>
      <c r="M36" s="53">
        <v>386954.83197309414</v>
      </c>
      <c r="N36" s="53">
        <v>373613.96808888891</v>
      </c>
      <c r="O36" s="400">
        <v>421413.91528888891</v>
      </c>
      <c r="P36" s="427"/>
      <c r="Q36" s="428">
        <f>AVERAGE(D36:O36)</f>
        <v>323406.23577101808</v>
      </c>
      <c r="S36" s="45"/>
    </row>
    <row r="37" spans="1:36" ht="20.45" customHeight="1">
      <c r="B37" s="113" t="s">
        <v>93</v>
      </c>
      <c r="C37" s="46" t="s">
        <v>76</v>
      </c>
      <c r="D37" s="53">
        <v>1987291.36745</v>
      </c>
      <c r="E37" s="53">
        <v>1199083.4954000001</v>
      </c>
      <c r="F37" s="53">
        <v>1873767.2511976666</v>
      </c>
      <c r="G37" s="53">
        <v>1773881.2886000006</v>
      </c>
      <c r="H37" s="53">
        <v>1849495.2595406664</v>
      </c>
      <c r="I37" s="53">
        <v>2031953.9200000004</v>
      </c>
      <c r="J37" s="53">
        <v>2689634.7535999995</v>
      </c>
      <c r="K37" s="53">
        <v>2612671.2521666656</v>
      </c>
      <c r="L37" s="53">
        <v>2993469.0654309527</v>
      </c>
      <c r="M37" s="53">
        <v>3980024.1777500007</v>
      </c>
      <c r="N37" s="53">
        <v>2885257.5586661673</v>
      </c>
      <c r="O37" s="400">
        <v>2914375.2716595242</v>
      </c>
      <c r="P37" s="427"/>
      <c r="Q37" s="428">
        <f>AVERAGE(D37:O37)</f>
        <v>2399242.0551218032</v>
      </c>
      <c r="S37" s="45"/>
    </row>
    <row r="38" spans="1:36" s="41" customFormat="1" ht="20.45" customHeight="1" thickBot="1">
      <c r="A38" s="40"/>
      <c r="B38" s="54" t="s">
        <v>94</v>
      </c>
      <c r="C38" s="55"/>
      <c r="D38" s="260">
        <f>D36/D37</f>
        <v>0.11250025545530236</v>
      </c>
      <c r="E38" s="260">
        <v>0.23428202781775365</v>
      </c>
      <c r="F38" s="260">
        <f t="shared" ref="F38:N38" si="8">F36/F37</f>
        <v>0.1405636317648126</v>
      </c>
      <c r="G38" s="260">
        <f t="shared" si="8"/>
        <v>0.15277245699109693</v>
      </c>
      <c r="H38" s="260">
        <f t="shared" si="8"/>
        <v>0.15922895458231862</v>
      </c>
      <c r="I38" s="260">
        <f t="shared" si="8"/>
        <v>0.15449600960037446</v>
      </c>
      <c r="J38" s="260">
        <f t="shared" si="8"/>
        <v>0.11334118551282048</v>
      </c>
      <c r="K38" s="260">
        <f t="shared" si="8"/>
        <v>0.14130822799516427</v>
      </c>
      <c r="L38" s="260">
        <f t="shared" si="8"/>
        <v>0.12612576511754586</v>
      </c>
      <c r="M38" s="260">
        <v>9.7224241535097566E-2</v>
      </c>
      <c r="N38" s="260">
        <f t="shared" si="8"/>
        <v>0.12949068167820962</v>
      </c>
      <c r="O38" s="401">
        <v>9.2937551225032847E-2</v>
      </c>
      <c r="P38" s="429"/>
      <c r="Q38" s="430">
        <f>Q36/Q37</f>
        <v>0.13479516794923788</v>
      </c>
      <c r="S38" s="45"/>
      <c r="V38" s="849"/>
      <c r="W38" s="849"/>
      <c r="X38" s="849"/>
    </row>
    <row r="39" spans="1:36" ht="20.45" customHeight="1">
      <c r="B39" s="85" t="s">
        <v>95</v>
      </c>
      <c r="C39" s="43" t="s">
        <v>76</v>
      </c>
      <c r="D39" s="56">
        <v>1330265.31</v>
      </c>
      <c r="E39" s="56">
        <v>776254.62</v>
      </c>
      <c r="F39" s="56">
        <v>1245667.48</v>
      </c>
      <c r="G39" s="56">
        <v>1176874.1600000006</v>
      </c>
      <c r="H39" s="56">
        <v>1233247.52</v>
      </c>
      <c r="I39" s="56">
        <v>1439778.1700000009</v>
      </c>
      <c r="J39" s="56">
        <v>1884162.35</v>
      </c>
      <c r="K39" s="56">
        <v>1944249.6899999997</v>
      </c>
      <c r="L39" s="56">
        <v>2480298.5</v>
      </c>
      <c r="M39" s="56">
        <v>3378138.76</v>
      </c>
      <c r="N39" s="56">
        <v>2446838.4099999992</v>
      </c>
      <c r="O39" s="402">
        <v>2455810.69</v>
      </c>
      <c r="P39" s="431"/>
      <c r="Q39" s="432">
        <f>AVERAGE(D39:O39)</f>
        <v>1815965.4716666669</v>
      </c>
      <c r="S39" s="45"/>
    </row>
    <row r="40" spans="1:36" s="41" customFormat="1" ht="20.45" customHeight="1" thickBot="1">
      <c r="A40" s="40"/>
      <c r="B40" s="54" t="s">
        <v>94</v>
      </c>
      <c r="C40" s="55"/>
      <c r="D40" s="260">
        <f>D36/D39</f>
        <v>0.16806480994550038</v>
      </c>
      <c r="E40" s="260">
        <v>0.36189634893910466</v>
      </c>
      <c r="F40" s="260">
        <f t="shared" ref="F40:N40" si="9">F36/F39</f>
        <v>0.21143967723257406</v>
      </c>
      <c r="G40" s="260">
        <f t="shared" si="9"/>
        <v>0.2302711811345701</v>
      </c>
      <c r="H40" s="260">
        <f t="shared" si="9"/>
        <v>0.23879488254037951</v>
      </c>
      <c r="I40" s="260">
        <f t="shared" si="9"/>
        <v>0.2180396806070746</v>
      </c>
      <c r="J40" s="260">
        <f t="shared" si="9"/>
        <v>0.16179412117512418</v>
      </c>
      <c r="K40" s="260">
        <f t="shared" si="9"/>
        <v>0.18988916232131611</v>
      </c>
      <c r="L40" s="260">
        <f t="shared" si="9"/>
        <v>0.1522210234909967</v>
      </c>
      <c r="M40" s="260">
        <v>0.11454675472629021</v>
      </c>
      <c r="N40" s="260">
        <f t="shared" si="9"/>
        <v>0.15269253848638456</v>
      </c>
      <c r="O40" s="401">
        <v>0.17159869732828995</v>
      </c>
      <c r="P40" s="429"/>
      <c r="Q40" s="430">
        <f>Q36/Q39</f>
        <v>0.17809052034133693</v>
      </c>
      <c r="S40" s="45"/>
      <c r="V40" s="849"/>
      <c r="W40" s="849"/>
      <c r="X40" s="849"/>
      <c r="AJ40" s="40"/>
    </row>
    <row r="41" spans="1:36" ht="20.45" customHeight="1">
      <c r="B41" s="57" t="s">
        <v>96</v>
      </c>
      <c r="C41" s="8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397"/>
      <c r="P41" s="421"/>
      <c r="Q41" s="425"/>
      <c r="S41" s="45"/>
    </row>
    <row r="42" spans="1:36" ht="20.45" customHeight="1">
      <c r="B42" s="1603" t="s">
        <v>92</v>
      </c>
      <c r="C42" s="46" t="s">
        <v>75</v>
      </c>
      <c r="D42" s="47">
        <f>+[6]Average!C5</f>
        <v>7642200103.8559999</v>
      </c>
      <c r="E42" s="47">
        <f>+[6]Average!D5</f>
        <v>7395535069.9544001</v>
      </c>
      <c r="F42" s="47">
        <f>+[6]Average!E5</f>
        <v>8559547765.4006004</v>
      </c>
      <c r="G42" s="47">
        <f>+[6]Average!F5</f>
        <v>8539976950.4106998</v>
      </c>
      <c r="H42" s="47">
        <f>+[6]Average!G5</f>
        <v>7998606725.0533504</v>
      </c>
      <c r="I42" s="47">
        <f>+[6]Average!H5</f>
        <v>7322705391.8907995</v>
      </c>
      <c r="J42" s="47">
        <f>+[6]Average!I5</f>
        <v>7580295989.7406998</v>
      </c>
      <c r="K42" s="47">
        <f>+[6]Average!J5</f>
        <v>8916351713.7571507</v>
      </c>
      <c r="L42" s="47">
        <f>+[6]Average!K5</f>
        <v>9803104857.4235001</v>
      </c>
      <c r="M42" s="47">
        <f>+[6]Average!L5</f>
        <v>9649436622.6410007</v>
      </c>
      <c r="N42" s="47">
        <f>+[6]Average!M5</f>
        <v>9000946802.4899998</v>
      </c>
      <c r="O42" s="398">
        <f>+[6]Average!N5</f>
        <v>9236581465.8999996</v>
      </c>
      <c r="P42" s="423"/>
      <c r="Q42" s="424">
        <f>AVERAGE(D42:O42)</f>
        <v>8470440788.2098503</v>
      </c>
      <c r="S42" s="45"/>
    </row>
    <row r="43" spans="1:36" ht="20.45" customHeight="1">
      <c r="B43" s="1603"/>
      <c r="C43" s="46" t="s">
        <v>76</v>
      </c>
      <c r="D43" s="53">
        <f>+D42/D3</f>
        <v>336660.79752669606</v>
      </c>
      <c r="E43" s="53">
        <f>+E42/E3</f>
        <v>325794.49647376209</v>
      </c>
      <c r="F43" s="53">
        <f>+F42/F3</f>
        <v>377072.58878416743</v>
      </c>
      <c r="G43" s="53">
        <f>+G42/G3</f>
        <v>376210.43834408367</v>
      </c>
      <c r="H43" s="53">
        <f>+H42/H3</f>
        <v>352361.52973803307</v>
      </c>
      <c r="I43" s="53">
        <f>+I42/I4</f>
        <v>318516.98094348848</v>
      </c>
      <c r="J43" s="53">
        <f t="shared" ref="J43:O43" si="10">+J42/J3</f>
        <v>333933.74404144054</v>
      </c>
      <c r="K43" s="53">
        <f t="shared" si="10"/>
        <v>392790.82439458813</v>
      </c>
      <c r="L43" s="53">
        <f t="shared" si="10"/>
        <v>431854.83953407488</v>
      </c>
      <c r="M43" s="53">
        <f t="shared" si="10"/>
        <v>425085.31377273129</v>
      </c>
      <c r="N43" s="53">
        <f t="shared" si="10"/>
        <v>396517.48028590309</v>
      </c>
      <c r="O43" s="400">
        <f t="shared" si="10"/>
        <v>406897.86193392071</v>
      </c>
      <c r="P43" s="427"/>
      <c r="Q43" s="428">
        <f>AVERAGE(D43:O43)</f>
        <v>372808.07464774087</v>
      </c>
      <c r="R43" s="536"/>
      <c r="S43" s="45"/>
    </row>
    <row r="44" spans="1:36" ht="20.45" customHeight="1">
      <c r="B44" s="113" t="s">
        <v>93</v>
      </c>
      <c r="C44" s="46" t="s">
        <v>76</v>
      </c>
      <c r="D44" s="53">
        <v>2495199.88</v>
      </c>
      <c r="E44" s="53">
        <v>1902208.83</v>
      </c>
      <c r="F44" s="53">
        <v>2488804.8199999998</v>
      </c>
      <c r="G44" s="53">
        <v>2657488.1886</v>
      </c>
      <c r="H44" s="53">
        <v>2305065.5719523816</v>
      </c>
      <c r="I44" s="53">
        <v>1919010.63601433</v>
      </c>
      <c r="J44" s="53">
        <v>2247982.537204762</v>
      </c>
      <c r="K44" s="53">
        <v>2965495.4372928571</v>
      </c>
      <c r="L44" s="53">
        <v>3630914.2285500001</v>
      </c>
      <c r="M44" s="53">
        <v>3246484.5940333302</v>
      </c>
      <c r="N44" s="53">
        <v>2427016.8314333302</v>
      </c>
      <c r="O44" s="400">
        <v>3060043.5045166598</v>
      </c>
      <c r="P44" s="427"/>
      <c r="Q44" s="428">
        <f>AVERAGE(D44:O44)</f>
        <v>2612142.9216331379</v>
      </c>
      <c r="S44" s="45"/>
    </row>
    <row r="45" spans="1:36" s="41" customFormat="1" ht="20.45" customHeight="1" thickBot="1">
      <c r="A45" s="40"/>
      <c r="B45" s="54" t="s">
        <v>94</v>
      </c>
      <c r="C45" s="55"/>
      <c r="D45" s="260">
        <f t="shared" ref="D45:N45" si="11">D43/D44</f>
        <v>0.13492337837347768</v>
      </c>
      <c r="E45" s="260">
        <f t="shared" si="11"/>
        <v>0.17127167708172297</v>
      </c>
      <c r="F45" s="260">
        <f t="shared" si="11"/>
        <v>0.15150749699374474</v>
      </c>
      <c r="G45" s="260">
        <f t="shared" si="11"/>
        <v>0.14156617514160103</v>
      </c>
      <c r="H45" s="260">
        <f t="shared" si="11"/>
        <v>0.15286399399023787</v>
      </c>
      <c r="I45" s="260">
        <f>I43/I44</f>
        <v>0.16597978925485746</v>
      </c>
      <c r="J45" s="260">
        <f t="shared" si="11"/>
        <v>0.14854819310859421</v>
      </c>
      <c r="K45" s="260">
        <f t="shared" si="11"/>
        <v>0.13245369372517368</v>
      </c>
      <c r="L45" s="260">
        <f t="shared" si="11"/>
        <v>0.11893832031018134</v>
      </c>
      <c r="M45" s="260">
        <f t="shared" si="11"/>
        <v>0.13093711103819491</v>
      </c>
      <c r="N45" s="260">
        <f t="shared" si="11"/>
        <v>0.16337648554819895</v>
      </c>
      <c r="O45" s="401">
        <f>O43/O44</f>
        <v>0.13297126702065992</v>
      </c>
      <c r="P45" s="429"/>
      <c r="Q45" s="430">
        <f>Q43/Q44</f>
        <v>0.1427211625980471</v>
      </c>
      <c r="S45" s="45"/>
      <c r="V45" s="849"/>
      <c r="W45" s="849"/>
      <c r="X45" s="849"/>
      <c r="AJ45" s="40"/>
    </row>
    <row r="46" spans="1:36" ht="20.25" customHeight="1">
      <c r="B46" s="85" t="s">
        <v>95</v>
      </c>
      <c r="C46" s="43" t="s">
        <v>76</v>
      </c>
      <c r="D46" s="56">
        <v>1971480.14</v>
      </c>
      <c r="E46" s="56">
        <v>1455562.72</v>
      </c>
      <c r="F46" s="56">
        <v>1786971.49</v>
      </c>
      <c r="G46" s="56">
        <v>2062606.29</v>
      </c>
      <c r="H46" s="56">
        <v>1787595.2699999998</v>
      </c>
      <c r="I46" s="56">
        <v>1474122.62</v>
      </c>
      <c r="J46" s="58">
        <v>1759182.92</v>
      </c>
      <c r="K46" s="58">
        <v>2325160.7999999993</v>
      </c>
      <c r="L46" s="58">
        <v>2862589.9519999996</v>
      </c>
      <c r="M46" s="58">
        <v>2586948.8260000017</v>
      </c>
      <c r="N46" s="58">
        <v>2069141.2680000009</v>
      </c>
      <c r="O46" s="403">
        <v>2624582.1979999994</v>
      </c>
      <c r="P46" s="433"/>
      <c r="Q46" s="432">
        <f>AVERAGE(D46:O46)</f>
        <v>2063828.7078333332</v>
      </c>
      <c r="S46" s="45"/>
    </row>
    <row r="47" spans="1:36" s="41" customFormat="1" ht="20.45" customHeight="1" thickBot="1">
      <c r="A47" s="40"/>
      <c r="B47" s="54" t="s">
        <v>94</v>
      </c>
      <c r="C47" s="55"/>
      <c r="D47" s="260">
        <f>D43/D46</f>
        <v>0.17076550288084366</v>
      </c>
      <c r="E47" s="260">
        <f>E43/E46</f>
        <v>0.22382717831201537</v>
      </c>
      <c r="F47" s="260">
        <f t="shared" ref="F47:N47" si="12">F43/F46</f>
        <v>0.21101208994899379</v>
      </c>
      <c r="G47" s="260">
        <f>G43/G46</f>
        <v>0.18239566133781338</v>
      </c>
      <c r="H47" s="260">
        <f>H43/H46</f>
        <v>0.19711482551530421</v>
      </c>
      <c r="I47" s="260">
        <f>I43/I46</f>
        <v>0.21607224298850286</v>
      </c>
      <c r="J47" s="260">
        <f t="shared" si="12"/>
        <v>0.18982320726570068</v>
      </c>
      <c r="K47" s="260">
        <f t="shared" si="12"/>
        <v>0.16893060660346082</v>
      </c>
      <c r="L47" s="260">
        <f t="shared" si="12"/>
        <v>0.15086157877147294</v>
      </c>
      <c r="M47" s="260">
        <f t="shared" si="12"/>
        <v>0.16431918153943839</v>
      </c>
      <c r="N47" s="260">
        <f t="shared" si="12"/>
        <v>0.19163383690528321</v>
      </c>
      <c r="O47" s="401">
        <f>O43/O46</f>
        <v>0.15503338483511303</v>
      </c>
      <c r="P47" s="429"/>
      <c r="Q47" s="430">
        <f>Q43/Q46</f>
        <v>0.18063905848035494</v>
      </c>
      <c r="S47" s="45"/>
      <c r="V47" s="849"/>
      <c r="W47" s="849"/>
      <c r="X47" s="849"/>
      <c r="AJ47" s="40"/>
    </row>
    <row r="48" spans="1:36" ht="20.25" customHeight="1" thickBot="1">
      <c r="B48" s="59" t="s">
        <v>97</v>
      </c>
      <c r="C48" s="60"/>
      <c r="D48" s="61">
        <f>(D42-D35)/D35</f>
        <v>0.53284586769251086</v>
      </c>
      <c r="E48" s="61">
        <f>(E42-E35)/E35</f>
        <v>0.18052812490985257</v>
      </c>
      <c r="F48" s="61">
        <f t="shared" ref="F48:L48" si="13">(F42-F35)/F35</f>
        <v>0.45732811309198462</v>
      </c>
      <c r="G48" s="61">
        <f t="shared" si="13"/>
        <v>0.4131303356459321</v>
      </c>
      <c r="H48" s="61">
        <f t="shared" si="13"/>
        <v>0.21796333485237337</v>
      </c>
      <c r="I48" s="61">
        <f t="shared" si="13"/>
        <v>4.6009375499789743E-2</v>
      </c>
      <c r="J48" s="61">
        <f>(J42-J35)/J35</f>
        <v>0.11506514882392287</v>
      </c>
      <c r="K48" s="61">
        <f t="shared" si="13"/>
        <v>8.3004126063298059E-2</v>
      </c>
      <c r="L48" s="61">
        <f t="shared" si="13"/>
        <v>0.16434101636256951</v>
      </c>
      <c r="M48" s="61">
        <v>-7.1024385476321002E-3</v>
      </c>
      <c r="N48" s="61">
        <f>(N42-N35)/N35</f>
        <v>7.0736413193979109E-2</v>
      </c>
      <c r="O48" s="404">
        <v>-4.7428344720754903E-3</v>
      </c>
      <c r="P48" s="434"/>
      <c r="Q48" s="435">
        <f>(Q42-Q35)/Q35</f>
        <v>0.17234535025313452</v>
      </c>
      <c r="S48" s="45"/>
    </row>
    <row r="49" spans="1:36" ht="20.45" customHeight="1">
      <c r="B49" s="49" t="s">
        <v>129</v>
      </c>
      <c r="C49" s="8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397"/>
      <c r="P49" s="421"/>
      <c r="Q49" s="425"/>
      <c r="S49" s="45"/>
    </row>
    <row r="50" spans="1:36" ht="20.45" customHeight="1">
      <c r="B50" s="1603" t="s">
        <v>92</v>
      </c>
      <c r="C50" s="46" t="s">
        <v>75</v>
      </c>
      <c r="D50" s="47">
        <f>+[7]Average!Q4</f>
        <v>9654545204.3455009</v>
      </c>
      <c r="E50" s="47">
        <f>+[7]Average!R4</f>
        <v>7082514164.6518002</v>
      </c>
      <c r="F50" s="47">
        <f>+[7]Average!S4</f>
        <v>9183500747.9316807</v>
      </c>
      <c r="G50" s="47">
        <v>8719003619.8542004</v>
      </c>
      <c r="H50" s="47">
        <f>+[6]Average!Z5</f>
        <v>7285700591</v>
      </c>
      <c r="I50" s="47">
        <v>9335660158.3607521</v>
      </c>
      <c r="J50" s="47">
        <v>8944955213.2250004</v>
      </c>
      <c r="K50" s="47">
        <f>+[6]Average!AF5</f>
        <v>7659084972</v>
      </c>
      <c r="L50" s="47">
        <f>+[6]Average!AH5</f>
        <v>7632254225</v>
      </c>
      <c r="M50" s="47">
        <f>+[6]Average!AJ5</f>
        <v>8072850333</v>
      </c>
      <c r="N50" s="47">
        <f>+[6]Average!AL5</f>
        <v>7998313641</v>
      </c>
      <c r="O50" s="398">
        <f>+[6]Average!AN5</f>
        <v>8704287799</v>
      </c>
      <c r="P50" s="423"/>
      <c r="Q50" s="424">
        <f>AVERAGE(D50:O50)</f>
        <v>8356055889.1140776</v>
      </c>
      <c r="S50" s="45"/>
    </row>
    <row r="51" spans="1:36" ht="20.45" customHeight="1">
      <c r="B51" s="1603"/>
      <c r="C51" s="46" t="s">
        <v>76</v>
      </c>
      <c r="D51" s="53">
        <f t="shared" ref="D51:O51" si="14">+D50/D4</f>
        <v>424468.90324666962</v>
      </c>
      <c r="E51" s="53">
        <f t="shared" si="14"/>
        <v>310772.89006809128</v>
      </c>
      <c r="F51" s="53">
        <f t="shared" si="14"/>
        <v>402608.53783128806</v>
      </c>
      <c r="G51" s="53">
        <f t="shared" si="14"/>
        <v>382412.43946728949</v>
      </c>
      <c r="H51" s="53">
        <f t="shared" si="14"/>
        <v>319058.48876724328</v>
      </c>
      <c r="I51" s="53">
        <f t="shared" si="14"/>
        <v>406074.82202526106</v>
      </c>
      <c r="J51" s="53">
        <f t="shared" si="14"/>
        <v>383738.96238631487</v>
      </c>
      <c r="K51" s="53">
        <f t="shared" si="14"/>
        <v>328152.74087403598</v>
      </c>
      <c r="L51" s="53">
        <f t="shared" si="14"/>
        <v>326653.29445752193</v>
      </c>
      <c r="M51" s="53">
        <f t="shared" si="14"/>
        <v>345141.10017101327</v>
      </c>
      <c r="N51" s="53">
        <f t="shared" si="14"/>
        <v>342320.29278835864</v>
      </c>
      <c r="O51" s="400">
        <f t="shared" si="14"/>
        <v>374619.65995265765</v>
      </c>
      <c r="P51" s="427"/>
      <c r="Q51" s="428">
        <f>AVERAGE(D51:O51)</f>
        <v>362168.51100297872</v>
      </c>
      <c r="R51" s="536"/>
      <c r="S51" s="45"/>
    </row>
    <row r="52" spans="1:36" ht="20.45" customHeight="1">
      <c r="B52" s="113" t="s">
        <v>93</v>
      </c>
      <c r="C52" s="46" t="s">
        <v>76</v>
      </c>
      <c r="D52" s="53">
        <v>2741485.786638</v>
      </c>
      <c r="E52" s="53">
        <v>1667558.8590666701</v>
      </c>
      <c r="F52" s="53">
        <v>2714999.4772738083</v>
      </c>
      <c r="G52" s="53">
        <v>2505468.3401943799</v>
      </c>
      <c r="H52" s="53">
        <v>2892729.3481761902</v>
      </c>
      <c r="I52" s="53">
        <v>2588625.6919027101</v>
      </c>
      <c r="J52" s="53">
        <v>2382754.1621000003</v>
      </c>
      <c r="K52" s="53">
        <v>3080107.1056193332</v>
      </c>
      <c r="L52" s="53">
        <v>2772137.6090833298</v>
      </c>
      <c r="M52" s="53">
        <v>4078998.34595</v>
      </c>
      <c r="N52" s="53">
        <v>3497759.25373893</v>
      </c>
      <c r="O52" s="400">
        <v>3131843.5545121701</v>
      </c>
      <c r="P52" s="427"/>
      <c r="Q52" s="428">
        <f>AVERAGE(D52:O52)</f>
        <v>2837872.2945212931</v>
      </c>
      <c r="S52" s="45"/>
    </row>
    <row r="53" spans="1:36" s="41" customFormat="1" ht="20.45" customHeight="1" thickBot="1">
      <c r="A53" s="40"/>
      <c r="B53" s="54" t="s">
        <v>94</v>
      </c>
      <c r="C53" s="55"/>
      <c r="D53" s="260">
        <f t="shared" ref="D53:M53" si="15">D51/D52</f>
        <v>0.15483169940750041</v>
      </c>
      <c r="E53" s="260">
        <f t="shared" si="15"/>
        <v>0.18636397052997</v>
      </c>
      <c r="F53" s="260">
        <f t="shared" si="15"/>
        <v>0.14829046605767907</v>
      </c>
      <c r="G53" s="260">
        <f>G51/G52</f>
        <v>0.15263112023104672</v>
      </c>
      <c r="H53" s="260">
        <f t="shared" si="15"/>
        <v>0.11029669573767883</v>
      </c>
      <c r="I53" s="260">
        <f t="shared" si="15"/>
        <v>0.156868883475689</v>
      </c>
      <c r="J53" s="260">
        <f t="shared" si="15"/>
        <v>0.1610484910655294</v>
      </c>
      <c r="K53" s="260">
        <f t="shared" si="15"/>
        <v>0.10653939282674801</v>
      </c>
      <c r="L53" s="260">
        <f t="shared" si="15"/>
        <v>0.11783444421633069</v>
      </c>
      <c r="M53" s="260">
        <f t="shared" si="15"/>
        <v>8.4614179977224244E-2</v>
      </c>
      <c r="N53" s="260">
        <f>N51/N52</f>
        <v>9.7868454617748582E-2</v>
      </c>
      <c r="O53" s="401">
        <f>O51/O52</f>
        <v>0.1196163388854237</v>
      </c>
      <c r="P53" s="429"/>
      <c r="Q53" s="430">
        <f>Q51/Q52</f>
        <v>0.1276197352862459</v>
      </c>
      <c r="S53" s="45"/>
      <c r="V53" s="849"/>
      <c r="W53" s="849"/>
      <c r="X53" s="849"/>
      <c r="AJ53" s="40"/>
    </row>
    <row r="54" spans="1:36" ht="20.45" customHeight="1">
      <c r="B54" s="85" t="s">
        <v>95</v>
      </c>
      <c r="C54" s="43" t="s">
        <v>76</v>
      </c>
      <c r="D54" s="56">
        <v>2016502.6400000001</v>
      </c>
      <c r="E54" s="56">
        <v>1341924.9700000002</v>
      </c>
      <c r="F54" s="56">
        <v>2203671.5100000007</v>
      </c>
      <c r="G54" s="56">
        <v>2006802.4750000001</v>
      </c>
      <c r="H54" s="56">
        <v>2388287.0239999988</v>
      </c>
      <c r="I54" s="56">
        <v>2151890.5</v>
      </c>
      <c r="J54" s="56">
        <v>1971039.7399999993</v>
      </c>
      <c r="K54" s="56">
        <v>2651543.120000001</v>
      </c>
      <c r="L54" s="56">
        <v>2389961.2599999993</v>
      </c>
      <c r="M54" s="56">
        <v>3517271.9500000007</v>
      </c>
      <c r="N54" s="56">
        <v>3135932.5900000008</v>
      </c>
      <c r="O54" s="402">
        <v>2805415.5260000001</v>
      </c>
      <c r="P54" s="431"/>
      <c r="Q54" s="432">
        <f>AVERAGE(D54:O54)</f>
        <v>2381686.9420833332</v>
      </c>
      <c r="S54" s="45"/>
    </row>
    <row r="55" spans="1:36" s="41" customFormat="1" ht="20.45" customHeight="1" thickBot="1">
      <c r="A55" s="40"/>
      <c r="B55" s="54" t="s">
        <v>94</v>
      </c>
      <c r="C55" s="55"/>
      <c r="D55" s="260">
        <f t="shared" ref="D55:L55" si="16">D51/D54</f>
        <v>0.21049756882374804</v>
      </c>
      <c r="E55" s="260">
        <f t="shared" si="16"/>
        <v>0.23158738157178135</v>
      </c>
      <c r="F55" s="260">
        <f t="shared" si="16"/>
        <v>0.18269898031730145</v>
      </c>
      <c r="G55" s="260">
        <f t="shared" si="16"/>
        <v>0.1905580864241706</v>
      </c>
      <c r="H55" s="260">
        <f t="shared" si="16"/>
        <v>0.13359302527753608</v>
      </c>
      <c r="I55" s="260">
        <f t="shared" si="16"/>
        <v>0.18870608054882954</v>
      </c>
      <c r="J55" s="260">
        <f t="shared" si="16"/>
        <v>0.19468859739292471</v>
      </c>
      <c r="K55" s="260">
        <f t="shared" si="16"/>
        <v>0.1237591568467632</v>
      </c>
      <c r="L55" s="260">
        <f t="shared" si="16"/>
        <v>0.13667723403078175</v>
      </c>
      <c r="M55" s="260">
        <f>M51/M54</f>
        <v>9.812749911789255E-2</v>
      </c>
      <c r="N55" s="260">
        <f>N51/N54</f>
        <v>0.10916060309458328</v>
      </c>
      <c r="O55" s="401">
        <f>O51/O54</f>
        <v>0.13353446449581588</v>
      </c>
      <c r="P55" s="429"/>
      <c r="Q55" s="430">
        <f>Q51/Q54</f>
        <v>0.15206386053667451</v>
      </c>
      <c r="S55" s="45"/>
      <c r="V55" s="849"/>
      <c r="W55" s="849"/>
      <c r="X55" s="849"/>
      <c r="AJ55" s="40"/>
    </row>
    <row r="56" spans="1:36" ht="20.25" customHeight="1" thickBot="1">
      <c r="B56" s="59" t="s">
        <v>130</v>
      </c>
      <c r="C56" s="60"/>
      <c r="D56" s="61">
        <f t="shared" ref="D56:M56" si="17">+(D50-D42)/D42</f>
        <v>0.26332012681454631</v>
      </c>
      <c r="E56" s="61">
        <f t="shared" si="17"/>
        <v>-4.2325660326363639E-2</v>
      </c>
      <c r="F56" s="61">
        <f t="shared" si="17"/>
        <v>7.2895554722321038E-2</v>
      </c>
      <c r="G56" s="61">
        <f>+(G50-G42)/G42</f>
        <v>2.0963366819730218E-2</v>
      </c>
      <c r="H56" s="61">
        <f t="shared" si="17"/>
        <v>-8.9128789370325673E-2</v>
      </c>
      <c r="I56" s="61">
        <f t="shared" si="17"/>
        <v>0.27489222339862379</v>
      </c>
      <c r="J56" s="61">
        <f t="shared" si="17"/>
        <v>0.18002716850783312</v>
      </c>
      <c r="K56" s="61">
        <f t="shared" si="17"/>
        <v>-0.14100685819933484</v>
      </c>
      <c r="L56" s="61">
        <f t="shared" si="17"/>
        <v>-0.2214452118993302</v>
      </c>
      <c r="M56" s="61">
        <f t="shared" si="17"/>
        <v>-0.16338635625024678</v>
      </c>
      <c r="N56" s="61">
        <f>+(N50-N42)/N42</f>
        <v>-0.11139196614434314</v>
      </c>
      <c r="O56" s="404">
        <f>+(O50-O42)/O42</f>
        <v>-5.7628860727872516E-2</v>
      </c>
      <c r="P56" s="434"/>
      <c r="Q56" s="435">
        <f>(Q50-Q42)/Q42</f>
        <v>-1.3504007873473009E-2</v>
      </c>
      <c r="S56" s="45"/>
    </row>
    <row r="57" spans="1:36" ht="20.45" customHeight="1">
      <c r="B57" s="49" t="s">
        <v>152</v>
      </c>
      <c r="C57" s="8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397"/>
      <c r="P57" s="421"/>
      <c r="Q57" s="425"/>
      <c r="S57" s="45"/>
    </row>
    <row r="58" spans="1:36" ht="20.45" customHeight="1">
      <c r="B58" s="1603" t="s">
        <v>92</v>
      </c>
      <c r="C58" s="46" t="s">
        <v>75</v>
      </c>
      <c r="D58" s="47">
        <v>10937906547.717751</v>
      </c>
      <c r="E58" s="47">
        <v>9545464405</v>
      </c>
      <c r="F58" s="47">
        <v>14416053864</v>
      </c>
      <c r="G58" s="47">
        <v>14026010814</v>
      </c>
      <c r="H58" s="47">
        <v>15662933874.654634</v>
      </c>
      <c r="I58" s="47">
        <v>15818550529.483334</v>
      </c>
      <c r="J58" s="47">
        <v>17250105666</v>
      </c>
      <c r="K58" s="47">
        <v>17576580806.972748</v>
      </c>
      <c r="L58" s="47">
        <v>16896811214.358196</v>
      </c>
      <c r="M58" s="47">
        <v>17649118212</v>
      </c>
      <c r="N58" s="47">
        <v>14589221339</v>
      </c>
      <c r="O58" s="398">
        <v>14835759732.558001</v>
      </c>
      <c r="P58" s="423">
        <f>+SUM(D58:O58)</f>
        <v>179204517005.74466</v>
      </c>
      <c r="Q58" s="424">
        <f>AVERAGE(D58:O58)</f>
        <v>14933709750.478722</v>
      </c>
      <c r="S58" s="45"/>
    </row>
    <row r="59" spans="1:36" ht="20.45" customHeight="1">
      <c r="B59" s="1603"/>
      <c r="C59" s="46" t="s">
        <v>76</v>
      </c>
      <c r="D59" s="119">
        <f t="shared" ref="D59:O59" si="18">+D58/D5</f>
        <v>470447.59345022583</v>
      </c>
      <c r="E59" s="119">
        <f t="shared" si="18"/>
        <v>410645.91976769199</v>
      </c>
      <c r="F59" s="119">
        <f t="shared" si="18"/>
        <v>620178.69924714987</v>
      </c>
      <c r="G59" s="119">
        <f t="shared" si="18"/>
        <v>601458.43970840483</v>
      </c>
      <c r="H59" s="119">
        <f t="shared" si="18"/>
        <v>667359.77309989918</v>
      </c>
      <c r="I59" s="119">
        <f t="shared" si="18"/>
        <v>678325.49440323038</v>
      </c>
      <c r="J59" s="119">
        <f t="shared" si="18"/>
        <v>741302.34920498496</v>
      </c>
      <c r="K59" s="119">
        <f t="shared" si="18"/>
        <v>756307.26363910269</v>
      </c>
      <c r="L59" s="119">
        <f t="shared" si="18"/>
        <v>726744.56835949235</v>
      </c>
      <c r="M59" s="119">
        <f t="shared" si="18"/>
        <v>759101.85858064517</v>
      </c>
      <c r="N59" s="119">
        <f t="shared" si="18"/>
        <v>628168.84129171155</v>
      </c>
      <c r="O59" s="405">
        <f t="shared" si="18"/>
        <v>638921.60777596897</v>
      </c>
      <c r="P59" s="423">
        <f>+SUM(D59:O59)</f>
        <v>7698962.4085285086</v>
      </c>
      <c r="Q59" s="428">
        <f>AVERAGE(D59:O59)</f>
        <v>641580.20071070909</v>
      </c>
      <c r="R59" s="536"/>
      <c r="S59" s="45"/>
    </row>
    <row r="60" spans="1:36" ht="20.45" customHeight="1">
      <c r="B60" s="113" t="s">
        <v>93</v>
      </c>
      <c r="C60" s="46" t="s">
        <v>76</v>
      </c>
      <c r="D60" s="53">
        <v>4291675.2961166678</v>
      </c>
      <c r="E60" s="53">
        <v>1466595.6472666664</v>
      </c>
      <c r="F60" s="53">
        <v>3609759.1750066667</v>
      </c>
      <c r="G60" s="53">
        <v>3475679.7801170698</v>
      </c>
      <c r="H60" s="53">
        <v>4036823.8733333331</v>
      </c>
      <c r="I60" s="53">
        <v>3473209.7194350888</v>
      </c>
      <c r="J60" s="53">
        <v>4355517.1662309319</v>
      </c>
      <c r="K60" s="53">
        <v>5128775.3461278202</v>
      </c>
      <c r="L60" s="53">
        <v>5608231.8937999988</v>
      </c>
      <c r="M60" s="53">
        <v>6843626.3535443097</v>
      </c>
      <c r="N60" s="53">
        <v>4062174.2195227393</v>
      </c>
      <c r="O60" s="400">
        <v>4568594.3876833301</v>
      </c>
      <c r="P60" s="423">
        <f>+SUM(D60:O60)</f>
        <v>50920662.858184621</v>
      </c>
      <c r="Q60" s="428">
        <f>AVERAGE(D60:O60)</f>
        <v>4243388.5715153851</v>
      </c>
      <c r="S60" s="45"/>
    </row>
    <row r="61" spans="1:36" s="41" customFormat="1" ht="20.45" customHeight="1" thickBot="1">
      <c r="A61" s="40"/>
      <c r="B61" s="54" t="s">
        <v>94</v>
      </c>
      <c r="C61" s="55"/>
      <c r="D61" s="260">
        <f t="shared" ref="D61:I61" si="19">D59/D60</f>
        <v>0.10961863631107213</v>
      </c>
      <c r="E61" s="260">
        <f t="shared" si="19"/>
        <v>0.27999941260771077</v>
      </c>
      <c r="F61" s="260">
        <f t="shared" si="19"/>
        <v>0.17180611480709221</v>
      </c>
      <c r="G61" s="260">
        <f t="shared" si="19"/>
        <v>0.17304771375921926</v>
      </c>
      <c r="H61" s="260">
        <f t="shared" si="19"/>
        <v>0.16531803071924442</v>
      </c>
      <c r="I61" s="260">
        <f t="shared" si="19"/>
        <v>0.19530219859961662</v>
      </c>
      <c r="J61" s="260">
        <f t="shared" ref="J61:Q61" si="20">J59/J60</f>
        <v>0.17019846803783226</v>
      </c>
      <c r="K61" s="260">
        <f t="shared" si="20"/>
        <v>0.1474635195729733</v>
      </c>
      <c r="L61" s="260">
        <f t="shared" si="20"/>
        <v>0.12958532780410195</v>
      </c>
      <c r="M61" s="260">
        <f t="shared" si="20"/>
        <v>0.11092099705114772</v>
      </c>
      <c r="N61" s="260">
        <f t="shared" si="20"/>
        <v>0.15463857711290246</v>
      </c>
      <c r="O61" s="401">
        <f>O59/O60</f>
        <v>0.1398508060812895</v>
      </c>
      <c r="P61" s="429">
        <f>P59/P60</f>
        <v>0.15119525112959195</v>
      </c>
      <c r="Q61" s="430">
        <f t="shared" si="20"/>
        <v>0.15119525112959195</v>
      </c>
      <c r="S61" s="45"/>
      <c r="V61" s="849"/>
      <c r="W61" s="849"/>
      <c r="X61" s="849"/>
      <c r="AJ61" s="40"/>
    </row>
    <row r="62" spans="1:36" ht="20.45" customHeight="1">
      <c r="B62" s="85" t="s">
        <v>95</v>
      </c>
      <c r="C62" s="43" t="s">
        <v>76</v>
      </c>
      <c r="D62" s="56">
        <v>3854384.6500000004</v>
      </c>
      <c r="E62" s="56">
        <v>1221643.1300000004</v>
      </c>
      <c r="F62" s="56">
        <v>3045648.0099999988</v>
      </c>
      <c r="G62" s="56">
        <v>2929172.8059999999</v>
      </c>
      <c r="H62" s="56">
        <v>3458729.2954000011</v>
      </c>
      <c r="I62" s="56">
        <v>2929172.8059999999</v>
      </c>
      <c r="J62" s="56">
        <v>3712127.8110000002</v>
      </c>
      <c r="K62" s="56">
        <v>4450842.6166889798</v>
      </c>
      <c r="L62" s="56">
        <v>4941394.1160000004</v>
      </c>
      <c r="M62" s="56">
        <v>5774914.1799999978</v>
      </c>
      <c r="N62" s="56">
        <v>3473884.3370000008</v>
      </c>
      <c r="O62" s="402">
        <v>3862871.872</v>
      </c>
      <c r="P62" s="423">
        <f>+SUM(D62:O62)</f>
        <v>43654785.630088978</v>
      </c>
      <c r="Q62" s="432">
        <f>AVERAGE(D62:O62)</f>
        <v>3637898.8025074149</v>
      </c>
      <c r="S62" s="45"/>
    </row>
    <row r="63" spans="1:36" s="41" customFormat="1" ht="20.45" customHeight="1" thickBot="1">
      <c r="A63" s="40"/>
      <c r="B63" s="54" t="s">
        <v>94</v>
      </c>
      <c r="C63" s="55"/>
      <c r="D63" s="260">
        <f>D59/D62</f>
        <v>0.1220551751237972</v>
      </c>
      <c r="E63" s="260">
        <f t="shared" ref="E63:L63" si="21">E59/E62</f>
        <v>0.33614229039841764</v>
      </c>
      <c r="F63" s="260">
        <f t="shared" si="21"/>
        <v>0.20362783132222495</v>
      </c>
      <c r="G63" s="260">
        <f>G59/G62</f>
        <v>0.20533388760007656</v>
      </c>
      <c r="H63" s="260">
        <f>H59/H62</f>
        <v>0.19294940890212664</v>
      </c>
      <c r="I63" s="260">
        <f>I59/I62</f>
        <v>0.2315757858374814</v>
      </c>
      <c r="J63" s="260">
        <f t="shared" si="21"/>
        <v>0.19969742071065369</v>
      </c>
      <c r="K63" s="260">
        <f>K59/K62</f>
        <v>0.16992451290082375</v>
      </c>
      <c r="L63" s="260">
        <f t="shared" si="21"/>
        <v>0.14707277972552885</v>
      </c>
      <c r="M63" s="260">
        <f>M59/M62</f>
        <v>0.13144816267739678</v>
      </c>
      <c r="N63" s="260">
        <f>N59/N62</f>
        <v>0.18082606683278052</v>
      </c>
      <c r="O63" s="401">
        <f>O59/O62</f>
        <v>0.16540067311245496</v>
      </c>
      <c r="P63" s="429">
        <f>P59/P62</f>
        <v>0.17636010112994377</v>
      </c>
      <c r="Q63" s="430">
        <f>Q59/Q62</f>
        <v>0.1763601011299438</v>
      </c>
      <c r="S63" s="45"/>
      <c r="V63" s="849"/>
      <c r="W63" s="849"/>
      <c r="X63" s="849"/>
      <c r="AJ63" s="40"/>
    </row>
    <row r="64" spans="1:36" ht="20.25" customHeight="1" thickBot="1">
      <c r="B64" s="59" t="s">
        <v>153</v>
      </c>
      <c r="C64" s="60"/>
      <c r="D64" s="61">
        <f>+(D58-D50)/D50</f>
        <v>0.13292820285253934</v>
      </c>
      <c r="E64" s="61">
        <f>+(E58-E50)/E50</f>
        <v>0.34775083862741368</v>
      </c>
      <c r="F64" s="61">
        <f>+(F58-F50)/F50</f>
        <v>0.56977761092324208</v>
      </c>
      <c r="G64" s="61">
        <f>+(G58-G50)/G50</f>
        <v>0.60867129152935751</v>
      </c>
      <c r="H64" s="61">
        <f t="shared" ref="H64:M64" si="22">+(H58-H50)/H50</f>
        <v>1.1498184943261327</v>
      </c>
      <c r="I64" s="61">
        <f t="shared" si="22"/>
        <v>0.69442227557059144</v>
      </c>
      <c r="J64" s="61">
        <f t="shared" si="22"/>
        <v>0.92847311750604877</v>
      </c>
      <c r="K64" s="61">
        <f>+(K58-K50)/K50</f>
        <v>1.2948669287818351</v>
      </c>
      <c r="L64" s="61">
        <f t="shared" si="22"/>
        <v>1.2138690243062751</v>
      </c>
      <c r="M64" s="61">
        <f t="shared" si="22"/>
        <v>1.1862313165715914</v>
      </c>
      <c r="N64" s="61">
        <f>+(N58-N50)/N50</f>
        <v>0.82403716506120439</v>
      </c>
      <c r="O64" s="404">
        <f>+(O58-O50)/O50</f>
        <v>0.70441971533413916</v>
      </c>
      <c r="P64" s="434"/>
      <c r="Q64" s="435">
        <f>(Q58-Q50)/Q50</f>
        <v>0.78717207599505623</v>
      </c>
      <c r="S64" s="45"/>
    </row>
    <row r="65" spans="1:36" ht="20.45" customHeight="1">
      <c r="B65" s="49" t="s">
        <v>187</v>
      </c>
      <c r="C65" s="8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397"/>
      <c r="P65" s="421"/>
      <c r="Q65" s="425"/>
      <c r="S65" s="45"/>
    </row>
    <row r="66" spans="1:36" ht="20.45" customHeight="1">
      <c r="B66" s="1603" t="s">
        <v>92</v>
      </c>
      <c r="C66" s="46" t="s">
        <v>75</v>
      </c>
      <c r="D66" s="47">
        <v>15511171087.400002</v>
      </c>
      <c r="E66" s="47">
        <v>17662048991</v>
      </c>
      <c r="F66" s="47">
        <v>17177784001.98621</v>
      </c>
      <c r="G66" s="47">
        <v>11682502533</v>
      </c>
      <c r="H66" s="47">
        <v>10911324590</v>
      </c>
      <c r="I66" s="47">
        <v>14405105841.992615</v>
      </c>
      <c r="J66" s="47">
        <v>23464528569</v>
      </c>
      <c r="K66" s="47">
        <v>25889308850</v>
      </c>
      <c r="L66" s="47">
        <v>20683922318</v>
      </c>
      <c r="M66" s="47">
        <v>17596543903</v>
      </c>
      <c r="N66" s="47">
        <v>17788549233</v>
      </c>
      <c r="O66" s="398">
        <v>23159189818.000004</v>
      </c>
      <c r="P66" s="423">
        <f>+SUM(D66:O66)</f>
        <v>215931979736.37885</v>
      </c>
      <c r="Q66" s="424">
        <f>AVERAGE(D66:O66)</f>
        <v>17994331644.698238</v>
      </c>
      <c r="S66" s="45"/>
    </row>
    <row r="67" spans="1:36" ht="20.45" customHeight="1">
      <c r="B67" s="1603"/>
      <c r="C67" s="46" t="s">
        <v>76</v>
      </c>
      <c r="D67" s="119">
        <v>606536.21770985797</v>
      </c>
      <c r="E67" s="119">
        <v>673793.51681681687</v>
      </c>
      <c r="F67" s="119">
        <v>691399.02054041461</v>
      </c>
      <c r="G67" s="119">
        <v>496388.46539196942</v>
      </c>
      <c r="H67" s="119">
        <f t="shared" ref="H67:O67" si="23">+H66/H6</f>
        <v>466694.80710008554</v>
      </c>
      <c r="I67" s="119">
        <f t="shared" si="23"/>
        <v>618244.88592242985</v>
      </c>
      <c r="J67" s="119">
        <f t="shared" si="23"/>
        <v>1008359.6290932532</v>
      </c>
      <c r="K67" s="119">
        <f t="shared" si="23"/>
        <v>1112561.6179630426</v>
      </c>
      <c r="L67" s="119">
        <f t="shared" si="23"/>
        <v>888866.45113880537</v>
      </c>
      <c r="M67" s="119">
        <f t="shared" si="23"/>
        <v>756190.11186076491</v>
      </c>
      <c r="N67" s="119">
        <f t="shared" si="23"/>
        <v>765757.6079638399</v>
      </c>
      <c r="O67" s="405">
        <f t="shared" si="23"/>
        <v>998671.40224234597</v>
      </c>
      <c r="P67" s="423">
        <f>+SUM(D67:O67)</f>
        <v>9083463.7337436266</v>
      </c>
      <c r="Q67" s="428">
        <f>AVERAGE(D67:O67)</f>
        <v>756955.31114530226</v>
      </c>
      <c r="R67" s="536"/>
      <c r="S67" s="45"/>
    </row>
    <row r="68" spans="1:36" s="203" customFormat="1" ht="20.45" customHeight="1">
      <c r="A68" s="40"/>
      <c r="B68" s="86" t="s">
        <v>93</v>
      </c>
      <c r="C68" s="202" t="s">
        <v>76</v>
      </c>
      <c r="D68" s="53">
        <v>3419473.3111386686</v>
      </c>
      <c r="E68" s="53">
        <v>3294800.7374125002</v>
      </c>
      <c r="F68" s="53">
        <v>2816592.4007741818</v>
      </c>
      <c r="G68" s="53">
        <v>1804414.6501833326</v>
      </c>
      <c r="H68" s="53">
        <v>1835028.9905180002</v>
      </c>
      <c r="I68" s="53">
        <v>2158484.5573091069</v>
      </c>
      <c r="J68" s="53">
        <v>5351263.3446551356</v>
      </c>
      <c r="K68" s="53">
        <v>5076017.9941093</v>
      </c>
      <c r="L68" s="53">
        <v>4979280.5977986678</v>
      </c>
      <c r="M68" s="53">
        <v>4834063.1808058592</v>
      </c>
      <c r="N68" s="53">
        <v>3997080.1942287465</v>
      </c>
      <c r="O68" s="400">
        <v>3613884.6344125615</v>
      </c>
      <c r="P68" s="423">
        <f>+SUM(D68:O68)</f>
        <v>43180384.593346059</v>
      </c>
      <c r="Q68" s="428">
        <f>AVERAGE(D68:O68)</f>
        <v>3598365.3827788383</v>
      </c>
      <c r="S68" s="204"/>
      <c r="V68" s="2"/>
      <c r="W68" s="2"/>
      <c r="X68" s="2"/>
    </row>
    <row r="69" spans="1:36" s="41" customFormat="1" ht="20.45" customHeight="1" thickBot="1">
      <c r="A69" s="40"/>
      <c r="B69" s="54" t="s">
        <v>94</v>
      </c>
      <c r="C69" s="55"/>
      <c r="D69" s="260">
        <f>D67/D68</f>
        <v>0.17737708779130207</v>
      </c>
      <c r="E69" s="260">
        <f>E67/E68</f>
        <v>0.20450205354329437</v>
      </c>
      <c r="F69" s="260">
        <f t="shared" ref="F69:P69" si="24">F67/F68</f>
        <v>0.24547358018518173</v>
      </c>
      <c r="G69" s="260">
        <f t="shared" si="24"/>
        <v>0.27509667212108657</v>
      </c>
      <c r="H69" s="260">
        <f t="shared" si="24"/>
        <v>0.25432557714978926</v>
      </c>
      <c r="I69" s="260">
        <f>I67/I68</f>
        <v>0.28642543854618541</v>
      </c>
      <c r="J69" s="260">
        <f t="shared" si="24"/>
        <v>0.18843393870727873</v>
      </c>
      <c r="K69" s="260">
        <f>K67/K68</f>
        <v>0.21917999882076192</v>
      </c>
      <c r="L69" s="260">
        <f t="shared" si="24"/>
        <v>0.1785130268681327</v>
      </c>
      <c r="M69" s="260">
        <f t="shared" si="24"/>
        <v>0.1564295052789742</v>
      </c>
      <c r="N69" s="260">
        <f>N67/N68</f>
        <v>0.19157924553765329</v>
      </c>
      <c r="O69" s="401">
        <f t="shared" si="24"/>
        <v>0.27634291165043801</v>
      </c>
      <c r="P69" s="429">
        <f t="shared" si="24"/>
        <v>0.21036088073989401</v>
      </c>
      <c r="Q69" s="430">
        <f>Q67/Q68</f>
        <v>0.21036088073989401</v>
      </c>
      <c r="S69" s="45"/>
      <c r="V69" s="849"/>
      <c r="W69" s="849"/>
      <c r="X69" s="849"/>
      <c r="AJ69" s="40"/>
    </row>
    <row r="70" spans="1:36" ht="20.45" customHeight="1">
      <c r="B70" s="85" t="s">
        <v>95</v>
      </c>
      <c r="C70" s="43" t="s">
        <v>76</v>
      </c>
      <c r="D70" s="56">
        <v>2874088.1999999993</v>
      </c>
      <c r="E70" s="53">
        <v>2812160.9979999983</v>
      </c>
      <c r="F70" s="56">
        <v>2386361.7720000008</v>
      </c>
      <c r="G70" s="56">
        <v>1483041.1599999997</v>
      </c>
      <c r="H70" s="56">
        <v>1569432.2039999999</v>
      </c>
      <c r="I70" s="56">
        <v>1856853.9833999993</v>
      </c>
      <c r="J70" s="56">
        <v>4836700.6305999989</v>
      </c>
      <c r="K70" s="56">
        <v>4574294.7590000005</v>
      </c>
      <c r="L70" s="56">
        <v>4537212.3489999995</v>
      </c>
      <c r="M70" s="56">
        <v>4092720.9429999986</v>
      </c>
      <c r="N70" s="56">
        <v>3374933.0770000005</v>
      </c>
      <c r="O70" s="402">
        <v>3048751.4271075604</v>
      </c>
      <c r="P70" s="423">
        <f>+SUM(D70:O70)</f>
        <v>37446551.503107555</v>
      </c>
      <c r="Q70" s="432">
        <f>AVERAGE(D70:O70)</f>
        <v>3120545.9585922961</v>
      </c>
      <c r="S70" s="45"/>
    </row>
    <row r="71" spans="1:36" s="41" customFormat="1" ht="20.45" customHeight="1" thickBot="1">
      <c r="A71" s="40"/>
      <c r="B71" s="54" t="s">
        <v>94</v>
      </c>
      <c r="C71" s="55"/>
      <c r="D71" s="260">
        <f t="shared" ref="D71:Q71" si="25">D67/D70</f>
        <v>0.21103604882754054</v>
      </c>
      <c r="E71" s="260">
        <f>E67/E70</f>
        <v>0.23959990814751259</v>
      </c>
      <c r="F71" s="260">
        <f t="shared" si="25"/>
        <v>0.28972933972243264</v>
      </c>
      <c r="G71" s="260">
        <f t="shared" si="25"/>
        <v>0.33470983731292364</v>
      </c>
      <c r="H71" s="260">
        <f t="shared" si="25"/>
        <v>0.29736538214943214</v>
      </c>
      <c r="I71" s="260">
        <f t="shared" si="25"/>
        <v>0.33295288237494597</v>
      </c>
      <c r="J71" s="260">
        <f t="shared" si="25"/>
        <v>0.20848088523687786</v>
      </c>
      <c r="K71" s="260">
        <f t="shared" si="25"/>
        <v>0.24322035998534183</v>
      </c>
      <c r="L71" s="260">
        <f t="shared" si="25"/>
        <v>0.19590585204474975</v>
      </c>
      <c r="M71" s="260">
        <f t="shared" si="25"/>
        <v>0.18476464005055551</v>
      </c>
      <c r="N71" s="260">
        <f>N67/N70</f>
        <v>0.22689564222249015</v>
      </c>
      <c r="O71" s="401">
        <f t="shared" si="25"/>
        <v>0.32756734227749579</v>
      </c>
      <c r="P71" s="429">
        <f t="shared" si="25"/>
        <v>0.24257143499555153</v>
      </c>
      <c r="Q71" s="430">
        <f t="shared" si="25"/>
        <v>0.24257143499555156</v>
      </c>
      <c r="S71" s="45"/>
      <c r="V71" s="849"/>
      <c r="W71" s="849"/>
      <c r="X71" s="849"/>
      <c r="AJ71" s="40"/>
    </row>
    <row r="72" spans="1:36" ht="20.25" customHeight="1" thickBot="1">
      <c r="B72" s="59" t="s">
        <v>188</v>
      </c>
      <c r="C72" s="60"/>
      <c r="D72" s="61">
        <f t="shared" ref="D72:Q72" si="26">+(D66-D58)/D58</f>
        <v>0.41811150239133155</v>
      </c>
      <c r="E72" s="61">
        <f>+(E66-E58)/E58</f>
        <v>0.85030798310331135</v>
      </c>
      <c r="F72" s="61">
        <f t="shared" si="26"/>
        <v>0.19157323939270554</v>
      </c>
      <c r="G72" s="61">
        <f t="shared" si="26"/>
        <v>-0.16708302254129434</v>
      </c>
      <c r="H72" s="61">
        <f t="shared" si="26"/>
        <v>-0.30336649076604794</v>
      </c>
      <c r="I72" s="61">
        <f t="shared" si="26"/>
        <v>-8.9353615861091473E-2</v>
      </c>
      <c r="J72" s="61">
        <f t="shared" si="26"/>
        <v>0.36025419341335646</v>
      </c>
      <c r="K72" s="61">
        <f t="shared" si="26"/>
        <v>0.47294340886422787</v>
      </c>
      <c r="L72" s="61">
        <f t="shared" si="26"/>
        <v>0.22413170482864109</v>
      </c>
      <c r="M72" s="61">
        <f t="shared" si="26"/>
        <v>-2.9788632139283672E-3</v>
      </c>
      <c r="N72" s="61">
        <f t="shared" si="26"/>
        <v>0.21929394445799077</v>
      </c>
      <c r="O72" s="404">
        <f t="shared" si="26"/>
        <v>0.56103834488339122</v>
      </c>
      <c r="P72" s="434">
        <f>+(P66-P58)/P58</f>
        <v>0.20494719298541361</v>
      </c>
      <c r="Q72" s="435">
        <f t="shared" si="26"/>
        <v>0.2049471929854137</v>
      </c>
      <c r="S72" s="45"/>
    </row>
    <row r="73" spans="1:36" ht="20.45" customHeight="1">
      <c r="B73" s="49" t="s">
        <v>273</v>
      </c>
      <c r="C73" s="8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397"/>
      <c r="P73" s="421"/>
      <c r="Q73" s="425"/>
      <c r="S73" s="45"/>
    </row>
    <row r="74" spans="1:36" ht="20.45" customHeight="1">
      <c r="B74" s="1603" t="s">
        <v>92</v>
      </c>
      <c r="C74" s="46" t="s">
        <v>75</v>
      </c>
      <c r="D74" s="47">
        <v>16441536846</v>
      </c>
      <c r="E74" s="47">
        <v>12100047441</v>
      </c>
      <c r="F74" s="47">
        <v>19026159085</v>
      </c>
      <c r="G74" s="47">
        <v>20174955250</v>
      </c>
      <c r="H74" s="47">
        <v>22065059663</v>
      </c>
      <c r="I74" s="47">
        <v>22711863549</v>
      </c>
      <c r="J74" s="47">
        <v>18363549693</v>
      </c>
      <c r="K74" s="47">
        <v>16865410206</v>
      </c>
      <c r="L74" s="47">
        <v>14530663270</v>
      </c>
      <c r="M74" s="47">
        <v>13036628991</v>
      </c>
      <c r="N74" s="47">
        <v>10768788412</v>
      </c>
      <c r="O74" s="398">
        <v>15196366669</v>
      </c>
      <c r="P74" s="423">
        <f t="shared" ref="P74:P76" si="27">+SUM(D74:H74)</f>
        <v>89807758285</v>
      </c>
      <c r="Q74" s="424">
        <f t="shared" ref="Q74:Q76" si="28">AVERAGE(D74:H74)</f>
        <v>17961551657</v>
      </c>
      <c r="R74" s="40" t="s">
        <v>281</v>
      </c>
      <c r="S74" s="45"/>
    </row>
    <row r="75" spans="1:36" ht="20.45" customHeight="1">
      <c r="B75" s="1603"/>
      <c r="C75" s="46" t="s">
        <v>76</v>
      </c>
      <c r="D75" s="119">
        <v>710678.05688350985</v>
      </c>
      <c r="E75" s="119">
        <v>523811.57753246755</v>
      </c>
      <c r="F75" s="119">
        <v>821154.90224428137</v>
      </c>
      <c r="G75" s="119">
        <v>871300.16195206216</v>
      </c>
      <c r="H75" s="119">
        <v>953340.23171311303</v>
      </c>
      <c r="I75" s="119">
        <v>982772.11376027693</v>
      </c>
      <c r="J75" s="119">
        <v>796510.50500975922</v>
      </c>
      <c r="K75" s="119">
        <v>737446.88264101441</v>
      </c>
      <c r="L75" s="119">
        <v>635637.06342957134</v>
      </c>
      <c r="M75" s="119">
        <v>570530.80923413567</v>
      </c>
      <c r="N75" s="119">
        <v>472418.88186005701</v>
      </c>
      <c r="O75" s="405">
        <v>663162.41191359377</v>
      </c>
      <c r="P75" s="777">
        <f t="shared" si="27"/>
        <v>3880284.9303254336</v>
      </c>
      <c r="Q75" s="778">
        <f t="shared" si="28"/>
        <v>776056.98606508668</v>
      </c>
      <c r="R75" s="536" t="s">
        <v>281</v>
      </c>
      <c r="S75" s="45"/>
      <c r="T75" s="45"/>
    </row>
    <row r="76" spans="1:36" s="203" customFormat="1" ht="20.45" customHeight="1">
      <c r="A76" s="40"/>
      <c r="B76" s="86" t="s">
        <v>93</v>
      </c>
      <c r="C76" s="202" t="s">
        <v>76</v>
      </c>
      <c r="D76" s="191">
        <v>4797270.1268000007</v>
      </c>
      <c r="E76" s="53">
        <v>1842388.1336821292</v>
      </c>
      <c r="F76" s="53">
        <v>4563503.7206806373</v>
      </c>
      <c r="G76" s="53">
        <v>4075732.2314134547</v>
      </c>
      <c r="H76" s="53">
        <v>4058380.4866722994</v>
      </c>
      <c r="I76" s="53">
        <v>4400839.9865693813</v>
      </c>
      <c r="J76" s="53">
        <v>5517803.0962839685</v>
      </c>
      <c r="K76" s="53">
        <v>5957489.8122500004</v>
      </c>
      <c r="L76" s="53">
        <v>3722947.3890209589</v>
      </c>
      <c r="M76" s="53">
        <v>3390972.7524117692</v>
      </c>
      <c r="N76" s="53">
        <v>3277692.8662225339</v>
      </c>
      <c r="O76" s="400">
        <v>2911783.3330359836</v>
      </c>
      <c r="P76" s="777">
        <f t="shared" si="27"/>
        <v>19337274.699248523</v>
      </c>
      <c r="Q76" s="778">
        <f t="shared" si="28"/>
        <v>3867454.9398497045</v>
      </c>
      <c r="R76" s="203" t="s">
        <v>281</v>
      </c>
      <c r="S76" s="204" t="s">
        <v>293</v>
      </c>
      <c r="V76" s="2"/>
      <c r="W76" s="2"/>
      <c r="X76" s="2"/>
    </row>
    <row r="77" spans="1:36" s="41" customFormat="1" ht="20.45" customHeight="1" thickBot="1">
      <c r="A77" s="40"/>
      <c r="B77" s="733" t="s">
        <v>94</v>
      </c>
      <c r="C77" s="734"/>
      <c r="D77" s="735">
        <v>0.14814218046911706</v>
      </c>
      <c r="E77" s="735">
        <v>0.28431119803491001</v>
      </c>
      <c r="F77" s="735">
        <v>0.1799395711069581</v>
      </c>
      <c r="G77" s="735">
        <v>0.21377757725018584</v>
      </c>
      <c r="H77" s="735">
        <v>0.23490656798786547</v>
      </c>
      <c r="I77" s="735">
        <v>0.22331466646356857</v>
      </c>
      <c r="J77" s="735">
        <v>0.14435283229772713</v>
      </c>
      <c r="K77" s="735">
        <v>0.1237848331900879</v>
      </c>
      <c r="L77" s="735">
        <v>0.17073490356164497</v>
      </c>
      <c r="M77" s="735">
        <v>0.16824989490946388</v>
      </c>
      <c r="N77" s="735">
        <v>0.14413152822476286</v>
      </c>
      <c r="O77" s="742">
        <v>0.22775129055435062</v>
      </c>
      <c r="P77" s="736">
        <f>P75/P76</f>
        <v>0.20066348493649044</v>
      </c>
      <c r="Q77" s="737">
        <f>Q75/Q76</f>
        <v>0.20066348493649042</v>
      </c>
      <c r="R77" s="740"/>
      <c r="S77" s="741"/>
      <c r="T77" s="740"/>
      <c r="U77" s="740"/>
      <c r="V77" s="849"/>
      <c r="W77" s="849"/>
      <c r="X77" s="849"/>
      <c r="AJ77" s="40"/>
    </row>
    <row r="78" spans="1:36" ht="20.45" customHeight="1">
      <c r="B78" s="85" t="s">
        <v>95</v>
      </c>
      <c r="C78" s="43" t="s">
        <v>76</v>
      </c>
      <c r="D78" s="56">
        <v>3785994.0036000004</v>
      </c>
      <c r="E78" s="53">
        <v>1600923.6896000002</v>
      </c>
      <c r="F78" s="56">
        <v>3904152.1140000019</v>
      </c>
      <c r="G78" s="56">
        <v>3509590.9848345607</v>
      </c>
      <c r="H78" s="56">
        <v>3600402.3664000016</v>
      </c>
      <c r="I78" s="56">
        <v>3934112.8756000032</v>
      </c>
      <c r="J78" s="56">
        <v>5036755.5665808003</v>
      </c>
      <c r="K78" s="56">
        <v>5599387.9902000027</v>
      </c>
      <c r="L78" s="56">
        <v>3472228.7715999978</v>
      </c>
      <c r="M78" s="56">
        <v>3048561.901500002</v>
      </c>
      <c r="N78" s="56">
        <v>2965559.6610000017</v>
      </c>
      <c r="O78" s="402">
        <v>2606420.2084000041</v>
      </c>
      <c r="P78" s="777">
        <f>+SUM(D78:H78)</f>
        <v>16401063.158434566</v>
      </c>
      <c r="Q78" s="778">
        <f t="shared" ref="Q78" si="29">AVERAGE(D78:H78)</f>
        <v>3280212.6316869133</v>
      </c>
      <c r="R78" s="40" t="s">
        <v>281</v>
      </c>
      <c r="S78" s="204" t="s">
        <v>293</v>
      </c>
    </row>
    <row r="79" spans="1:36" s="41" customFormat="1" ht="20.45" customHeight="1" thickBot="1">
      <c r="A79" s="40"/>
      <c r="B79" s="733" t="s">
        <v>94</v>
      </c>
      <c r="C79" s="734"/>
      <c r="D79" s="735">
        <v>0.1877124095304285</v>
      </c>
      <c r="E79" s="735">
        <v>0.32719334527640404</v>
      </c>
      <c r="F79" s="735">
        <v>0.21032861381084009</v>
      </c>
      <c r="G79" s="735">
        <v>0.24826259405072371</v>
      </c>
      <c r="H79" s="735">
        <v>0.26478713618509986</v>
      </c>
      <c r="I79" s="735">
        <v>0.24980780797002208</v>
      </c>
      <c r="J79" s="735">
        <v>0.15813959889073395</v>
      </c>
      <c r="K79" s="735">
        <v>0.13170133663387626</v>
      </c>
      <c r="L79" s="735">
        <v>0.18306312897023508</v>
      </c>
      <c r="M79" s="735">
        <v>0.18714752321526226</v>
      </c>
      <c r="N79" s="735">
        <v>0.1593017628587364</v>
      </c>
      <c r="O79" s="742">
        <v>0.25443418899851433</v>
      </c>
      <c r="P79" s="736">
        <f>P75/P78</f>
        <v>0.23658740246542626</v>
      </c>
      <c r="Q79" s="737">
        <f t="shared" ref="Q79" si="30">Q75/Q78</f>
        <v>0.23658740246542623</v>
      </c>
      <c r="R79" s="740"/>
      <c r="S79" s="741"/>
      <c r="T79" s="740"/>
      <c r="U79" s="740"/>
      <c r="V79" s="849"/>
      <c r="W79" s="849"/>
      <c r="X79" s="849"/>
      <c r="AA79" s="764"/>
      <c r="AJ79" s="40"/>
    </row>
    <row r="80" spans="1:36" ht="20.25" customHeight="1" thickBot="1">
      <c r="B80" s="59" t="s">
        <v>274</v>
      </c>
      <c r="C80" s="60"/>
      <c r="D80" s="61">
        <f t="shared" ref="D80:O80" si="31">+(D74-D66)/D66</f>
        <v>5.99803685587448E-2</v>
      </c>
      <c r="E80" s="61">
        <f>+(E74-E66)/E66</f>
        <v>-0.31491258759582275</v>
      </c>
      <c r="F80" s="61">
        <f t="shared" si="31"/>
        <v>0.10760265019050587</v>
      </c>
      <c r="G80" s="61">
        <f t="shared" si="31"/>
        <v>0.72693780232540528</v>
      </c>
      <c r="H80" s="61">
        <f t="shared" si="31"/>
        <v>1.0222164120405843</v>
      </c>
      <c r="I80" s="61">
        <f t="shared" si="31"/>
        <v>0.57665370863101806</v>
      </c>
      <c r="J80" s="61">
        <f t="shared" si="31"/>
        <v>-0.21739106588057017</v>
      </c>
      <c r="K80" s="61">
        <f t="shared" si="31"/>
        <v>-0.3485569543893019</v>
      </c>
      <c r="L80" s="61">
        <f t="shared" si="31"/>
        <v>-0.29748995153811714</v>
      </c>
      <c r="M80" s="61">
        <f t="shared" si="31"/>
        <v>-0.25913696104964051</v>
      </c>
      <c r="N80" s="61">
        <f>+(N74-N66)/N66</f>
        <v>-0.39462244666796431</v>
      </c>
      <c r="O80" s="404">
        <f t="shared" si="31"/>
        <v>-0.34382995310185954</v>
      </c>
      <c r="P80" s="434">
        <f>+(P74-P66)/P66</f>
        <v>-0.58409236837154899</v>
      </c>
      <c r="Q80" s="435">
        <f>+(Q74-Q66)/Q66</f>
        <v>-1.8216840917176552E-3</v>
      </c>
      <c r="S80" s="45"/>
      <c r="AA80" s="765"/>
    </row>
    <row r="81" spans="1:39" ht="20.45" customHeight="1">
      <c r="B81" s="49" t="s">
        <v>377</v>
      </c>
      <c r="C81" s="8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397"/>
      <c r="P81" s="421"/>
      <c r="Q81" s="425"/>
      <c r="S81" s="45"/>
    </row>
    <row r="82" spans="1:39" ht="20.45" customHeight="1">
      <c r="B82" s="1603" t="s">
        <v>92</v>
      </c>
      <c r="C82" s="46" t="s">
        <v>75</v>
      </c>
      <c r="D82" s="47">
        <v>12076676872</v>
      </c>
      <c r="E82" s="47">
        <v>13607720288</v>
      </c>
      <c r="F82" s="47">
        <v>15586464931</v>
      </c>
      <c r="G82" s="47">
        <v>15723868311</v>
      </c>
      <c r="H82" s="47">
        <v>16069485993</v>
      </c>
      <c r="I82" s="47">
        <v>16079212492</v>
      </c>
      <c r="J82" s="47">
        <v>15764346648</v>
      </c>
      <c r="K82" s="47">
        <v>16528386837</v>
      </c>
      <c r="L82" s="47">
        <v>13238292228</v>
      </c>
      <c r="M82" s="47">
        <v>12265668166</v>
      </c>
      <c r="N82" s="47">
        <v>11220453850</v>
      </c>
      <c r="O82" s="398">
        <v>11692786208</v>
      </c>
      <c r="P82" s="423">
        <f>+SUM(D82:O82)</f>
        <v>169853362824</v>
      </c>
      <c r="Q82" s="424">
        <f>AVERAGE(D82:O82)</f>
        <v>14154446902</v>
      </c>
      <c r="R82" s="40" t="s">
        <v>281</v>
      </c>
      <c r="S82" s="45"/>
    </row>
    <row r="83" spans="1:39" ht="20.45" customHeight="1">
      <c r="B83" s="1603"/>
      <c r="C83" s="46" t="s">
        <v>76</v>
      </c>
      <c r="D83" s="119">
        <v>874420.05587329518</v>
      </c>
      <c r="E83" s="119">
        <v>593446.15298735281</v>
      </c>
      <c r="F83" s="119">
        <v>678853.0022212544</v>
      </c>
      <c r="G83" s="119">
        <v>681276.7899046794</v>
      </c>
      <c r="H83" s="119">
        <v>689677.51042918453</v>
      </c>
      <c r="I83" s="119">
        <v>687733.63952095807</v>
      </c>
      <c r="J83" s="119">
        <v>672253.58840085287</v>
      </c>
      <c r="K83" s="119">
        <v>701842.32853503188</v>
      </c>
      <c r="L83" s="119">
        <v>552285.86683354189</v>
      </c>
      <c r="M83" s="119">
        <v>492993.09348874597</v>
      </c>
      <c r="N83" s="119">
        <v>453626.5959167172</v>
      </c>
      <c r="O83" s="405">
        <v>494618.70592216583</v>
      </c>
      <c r="P83" s="777">
        <f t="shared" ref="P83:P84" si="32">+SUM(D83:O83)</f>
        <v>7573027.3300337801</v>
      </c>
      <c r="Q83" s="778">
        <f t="shared" ref="Q83:Q84" si="33">AVERAGE(D83:O83)</f>
        <v>631085.61083614838</v>
      </c>
      <c r="R83" s="536" t="s">
        <v>281</v>
      </c>
      <c r="S83" s="45"/>
      <c r="T83" s="45"/>
    </row>
    <row r="84" spans="1:39" s="203" customFormat="1" ht="20.45" customHeight="1">
      <c r="A84" s="40"/>
      <c r="B84" s="86" t="s">
        <v>93</v>
      </c>
      <c r="C84" s="202" t="s">
        <v>76</v>
      </c>
      <c r="D84" s="53">
        <v>4155635.0616992936</v>
      </c>
      <c r="E84" s="53">
        <v>2455440.7441237159</v>
      </c>
      <c r="F84" s="53">
        <v>3670805.6767460476</v>
      </c>
      <c r="G84" s="53">
        <v>4327561.4304966666</v>
      </c>
      <c r="H84" s="53">
        <v>4162711.9824404148</v>
      </c>
      <c r="I84" s="53">
        <v>5078232.7981430851</v>
      </c>
      <c r="J84" s="53">
        <v>6017079.2014242746</v>
      </c>
      <c r="K84" s="53">
        <v>6225964.5803246628</v>
      </c>
      <c r="L84" s="53">
        <v>4275739.0336093307</v>
      </c>
      <c r="M84" s="53">
        <v>4220745.2902499987</v>
      </c>
      <c r="N84" s="53">
        <v>2672276.440967001</v>
      </c>
      <c r="O84" s="400">
        <v>3303252.052333334</v>
      </c>
      <c r="P84" s="777">
        <f t="shared" si="32"/>
        <v>50565444.292557821</v>
      </c>
      <c r="Q84" s="778">
        <f t="shared" si="33"/>
        <v>4213787.0243798187</v>
      </c>
      <c r="R84" s="203" t="s">
        <v>281</v>
      </c>
      <c r="S84" s="204" t="s">
        <v>389</v>
      </c>
      <c r="V84" s="2"/>
      <c r="W84" s="2"/>
      <c r="X84" s="2"/>
      <c r="Y84" s="766"/>
      <c r="Z84" s="766"/>
      <c r="AA84" s="766"/>
      <c r="AB84" s="766"/>
      <c r="AC84" s="766"/>
      <c r="AD84" s="766"/>
      <c r="AE84" s="766"/>
      <c r="AF84" s="766"/>
      <c r="AG84" s="766"/>
      <c r="AH84" s="766"/>
      <c r="AI84" s="766"/>
      <c r="AJ84" s="766"/>
      <c r="AK84" s="766"/>
      <c r="AL84" s="766"/>
      <c r="AM84" s="766"/>
    </row>
    <row r="85" spans="1:39" s="41" customFormat="1" ht="19.5" customHeight="1" thickBot="1">
      <c r="A85" s="40"/>
      <c r="B85" s="733" t="s">
        <v>94</v>
      </c>
      <c r="C85" s="734"/>
      <c r="D85" s="751">
        <f>+D83/D84</f>
        <v>0.21041791275958033</v>
      </c>
      <c r="E85" s="793">
        <v>0.24168620416011652</v>
      </c>
      <c r="F85" s="793">
        <v>0.1849329716693196</v>
      </c>
      <c r="G85" s="793">
        <v>0.15742741052817139</v>
      </c>
      <c r="H85" s="793">
        <v>0.16567985326355847</v>
      </c>
      <c r="I85" s="793">
        <v>0.13542774954555764</v>
      </c>
      <c r="J85" s="793">
        <v>0.11172423793951837</v>
      </c>
      <c r="K85" s="793">
        <v>0.11272828803957526</v>
      </c>
      <c r="L85" s="793">
        <v>0.12916734685917775</v>
      </c>
      <c r="M85" s="793">
        <v>0.11680237957679401</v>
      </c>
      <c r="N85" s="793">
        <v>0.16975287023544838</v>
      </c>
      <c r="O85" s="793">
        <v>0.14973689506157414</v>
      </c>
      <c r="P85" s="794">
        <f>P83/P84</f>
        <v>0.14976685038538012</v>
      </c>
      <c r="Q85" s="795">
        <f>Q83/Q84</f>
        <v>0.14976685038538012</v>
      </c>
      <c r="R85" s="740"/>
      <c r="S85" s="741"/>
      <c r="T85" s="740"/>
      <c r="U85" s="740"/>
      <c r="V85" s="849"/>
      <c r="W85" s="849"/>
      <c r="X85" s="849"/>
      <c r="AJ85" s="40"/>
    </row>
    <row r="86" spans="1:39" ht="21" customHeight="1">
      <c r="B86" s="85" t="s">
        <v>95</v>
      </c>
      <c r="C86" s="43" t="s">
        <v>76</v>
      </c>
      <c r="D86" s="56">
        <v>3798938.1979999994</v>
      </c>
      <c r="E86" s="53">
        <v>2259735.9440000011</v>
      </c>
      <c r="F86" s="56">
        <v>3400819.3599999994</v>
      </c>
      <c r="G86" s="56">
        <v>3996271.0139999995</v>
      </c>
      <c r="H86" s="56">
        <v>3848453.1400000006</v>
      </c>
      <c r="I86" s="56">
        <v>4759217.778333338</v>
      </c>
      <c r="J86" s="56">
        <v>5697148.2110000039</v>
      </c>
      <c r="K86" s="56">
        <v>5924715.7862499971</v>
      </c>
      <c r="L86" s="56">
        <v>3917083.3978333343</v>
      </c>
      <c r="M86" s="56">
        <v>3850367.0616166661</v>
      </c>
      <c r="N86" s="56">
        <v>2379177.5080000022</v>
      </c>
      <c r="O86" s="402">
        <v>2838387.303899914</v>
      </c>
      <c r="P86" s="777">
        <f>+SUM(D86:O86)</f>
        <v>46670314.702933252</v>
      </c>
      <c r="Q86" s="778">
        <f>AVERAGE(D86:O86)</f>
        <v>3889192.8919111043</v>
      </c>
      <c r="R86" s="40" t="s">
        <v>281</v>
      </c>
      <c r="S86" s="204" t="s">
        <v>390</v>
      </c>
      <c r="V86" s="850"/>
      <c r="W86" s="850"/>
      <c r="X86" s="850"/>
      <c r="Y86" s="767"/>
      <c r="Z86" s="767"/>
      <c r="AA86" s="767"/>
      <c r="AB86" s="767"/>
      <c r="AC86" s="767"/>
      <c r="AD86" s="767"/>
      <c r="AE86" s="767"/>
    </row>
    <row r="87" spans="1:39" s="41" customFormat="1" ht="20.45" customHeight="1" thickBot="1">
      <c r="A87" s="40"/>
      <c r="B87" s="733" t="s">
        <v>94</v>
      </c>
      <c r="C87" s="734"/>
      <c r="D87" s="751">
        <f>+D83/D86</f>
        <v>0.2301748568412208</v>
      </c>
      <c r="E87" s="751">
        <v>0.26261747730439805</v>
      </c>
      <c r="F87" s="751">
        <v>0.19961454295568776</v>
      </c>
      <c r="G87" s="751">
        <v>0.17047812511163174</v>
      </c>
      <c r="H87" s="751">
        <v>0.17920901862122829</v>
      </c>
      <c r="I87" s="751">
        <v>0.1445056039780134</v>
      </c>
      <c r="J87" s="751">
        <v>0.11799826220123105</v>
      </c>
      <c r="K87" s="751">
        <v>0.11846008380078896</v>
      </c>
      <c r="L87" s="751">
        <v>0.14099415578923571</v>
      </c>
      <c r="M87" s="751">
        <v>0.12803794692803946</v>
      </c>
      <c r="N87" s="751">
        <v>0.19066530109308547</v>
      </c>
      <c r="O87" s="751">
        <v>0.17426047010658657</v>
      </c>
      <c r="P87" s="798">
        <f>P83/P86</f>
        <v>0.16226647234409611</v>
      </c>
      <c r="Q87" s="799">
        <f>Q83/Q86</f>
        <v>0.16226647234409611</v>
      </c>
      <c r="S87" s="45"/>
      <c r="V87" s="849"/>
      <c r="W87" s="849"/>
      <c r="X87" s="849"/>
      <c r="AA87" s="764"/>
      <c r="AJ87" s="40"/>
    </row>
    <row r="88" spans="1:39" ht="20.25" customHeight="1" thickBot="1">
      <c r="B88" s="59" t="s">
        <v>378</v>
      </c>
      <c r="C88" s="60"/>
      <c r="D88" s="61">
        <v>-0.26547761409918991</v>
      </c>
      <c r="E88" s="61">
        <v>0.12460057320861211</v>
      </c>
      <c r="F88" s="61">
        <v>-0.18078762711028809</v>
      </c>
      <c r="G88" s="61">
        <v>-0.22062437729570678</v>
      </c>
      <c r="H88" s="61">
        <v>-0.27172252246631057</v>
      </c>
      <c r="I88" s="61">
        <v>-0.29203464712132943</v>
      </c>
      <c r="J88" s="61">
        <v>-0.14154142790763324</v>
      </c>
      <c r="K88" s="61">
        <v>-1.9983111284189302E-2</v>
      </c>
      <c r="L88" s="61">
        <v>-8.894095320949516E-2</v>
      </c>
      <c r="M88" s="61">
        <v>-5.9138050605892251E-2</v>
      </c>
      <c r="N88" s="61">
        <v>4.1942084914278283E-2</v>
      </c>
      <c r="O88" s="61">
        <v>-0.23055382495785448</v>
      </c>
      <c r="P88" s="434">
        <f>+(P82-P66)/P66</f>
        <v>-0.2133941298025149</v>
      </c>
      <c r="Q88" s="435">
        <f>+(Q82-Q66)/Q66</f>
        <v>-0.21339412980251496</v>
      </c>
      <c r="S88" s="45"/>
      <c r="AA88" s="765"/>
    </row>
    <row r="89" spans="1:39" ht="20.45" customHeight="1" thickBot="1">
      <c r="B89" s="733" t="s">
        <v>492</v>
      </c>
      <c r="C89" s="8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397"/>
      <c r="P89" s="421"/>
      <c r="Q89" s="425"/>
      <c r="S89" s="45"/>
    </row>
    <row r="90" spans="1:39" ht="20.45" customHeight="1">
      <c r="B90" s="1603" t="s">
        <v>92</v>
      </c>
      <c r="C90" s="46" t="s">
        <v>75</v>
      </c>
      <c r="D90" s="47">
        <v>16909898910</v>
      </c>
      <c r="E90" s="47">
        <v>12062959803</v>
      </c>
      <c r="F90" s="47">
        <v>13224123797</v>
      </c>
      <c r="G90" s="47">
        <v>12590256975</v>
      </c>
      <c r="H90" s="47">
        <v>12825595507</v>
      </c>
      <c r="I90" s="47">
        <v>13611374601</v>
      </c>
      <c r="J90" s="47">
        <v>12864233613</v>
      </c>
      <c r="K90" s="47">
        <v>13291349691</v>
      </c>
      <c r="L90" s="47">
        <v>11717235750</v>
      </c>
      <c r="M90" s="47">
        <v>11964928006</v>
      </c>
      <c r="N90" s="47">
        <v>10624345914</v>
      </c>
      <c r="O90" s="47">
        <v>12625097142</v>
      </c>
      <c r="P90" s="423">
        <f t="shared" ref="P90:P92" si="34">+SUM(D90:O90)</f>
        <v>154311399709</v>
      </c>
      <c r="Q90" s="424">
        <f t="shared" ref="Q90:Q92" si="35">AVERAGE(D90:O90)</f>
        <v>12859283309.083334</v>
      </c>
      <c r="R90" s="40" t="s">
        <v>281</v>
      </c>
      <c r="S90" s="45"/>
    </row>
    <row r="91" spans="1:39" ht="20.45" customHeight="1">
      <c r="B91" s="1603"/>
      <c r="C91" s="46" t="s">
        <v>76</v>
      </c>
      <c r="D91" s="119">
        <v>717433.13152312266</v>
      </c>
      <c r="E91" s="119">
        <v>504831.96497175144</v>
      </c>
      <c r="F91" s="119">
        <v>560700.60619037529</v>
      </c>
      <c r="G91" s="119">
        <v>533937.95483460557</v>
      </c>
      <c r="H91" s="119">
        <v>543227.25569673872</v>
      </c>
      <c r="I91" s="119">
        <v>574319.60341772158</v>
      </c>
      <c r="J91" s="119">
        <v>540400.48783868935</v>
      </c>
      <c r="K91" s="119">
        <v>549683.61004962784</v>
      </c>
      <c r="L91" s="119">
        <v>479232.54601226992</v>
      </c>
      <c r="M91" s="119">
        <v>484802.59343598055</v>
      </c>
      <c r="N91" s="119">
        <v>435781.21058244462</v>
      </c>
      <c r="O91" s="119">
        <v>518484.48221765913</v>
      </c>
      <c r="P91" s="775">
        <f t="shared" si="34"/>
        <v>6442835.4467709865</v>
      </c>
      <c r="Q91" s="776">
        <f t="shared" si="35"/>
        <v>536902.95389758225</v>
      </c>
      <c r="R91" s="536" t="s">
        <v>281</v>
      </c>
      <c r="S91" s="45"/>
      <c r="T91" s="45"/>
    </row>
    <row r="92" spans="1:39" s="203" customFormat="1" ht="20.45" customHeight="1">
      <c r="A92" s="40"/>
      <c r="B92" s="86" t="s">
        <v>93</v>
      </c>
      <c r="C92" s="202" t="s">
        <v>76</v>
      </c>
      <c r="D92" s="53">
        <v>1817830.7678089528</v>
      </c>
      <c r="E92" s="53">
        <v>2754400.528951562</v>
      </c>
      <c r="F92" s="53">
        <v>3421718.613498277</v>
      </c>
      <c r="G92" s="53">
        <v>3319419.4670000011</v>
      </c>
      <c r="H92" s="53">
        <v>2805726.003</v>
      </c>
      <c r="I92" s="53">
        <v>3591467.5620000004</v>
      </c>
      <c r="J92" s="53">
        <v>4100164.1654294399</v>
      </c>
      <c r="K92" s="53">
        <v>6293063.7191666793</v>
      </c>
      <c r="L92" s="53">
        <v>4115701.7525875201</v>
      </c>
      <c r="M92" s="53">
        <v>4270134.4035079665</v>
      </c>
      <c r="N92" s="53">
        <v>3255400.7897243989</v>
      </c>
      <c r="O92" s="864">
        <v>3112908.9942191499</v>
      </c>
      <c r="P92" s="775">
        <f t="shared" si="34"/>
        <v>42857936.766893953</v>
      </c>
      <c r="Q92" s="776">
        <f t="shared" si="35"/>
        <v>3571494.7305744961</v>
      </c>
      <c r="R92" s="203" t="s">
        <v>281</v>
      </c>
      <c r="S92" s="204" t="s">
        <v>389</v>
      </c>
      <c r="V92" s="2"/>
      <c r="W92" s="2"/>
      <c r="X92" s="2"/>
      <c r="Y92" s="766"/>
      <c r="Z92" s="766"/>
      <c r="AA92" s="766"/>
      <c r="AB92" s="766"/>
      <c r="AC92" s="766"/>
      <c r="AD92" s="766"/>
      <c r="AE92" s="766"/>
      <c r="AF92" s="766"/>
      <c r="AG92" s="766"/>
      <c r="AH92" s="766"/>
      <c r="AI92" s="766"/>
      <c r="AJ92" s="766"/>
      <c r="AK92" s="766"/>
      <c r="AL92" s="766"/>
      <c r="AM92" s="766"/>
    </row>
    <row r="93" spans="1:39" s="41" customFormat="1" ht="19.5" customHeight="1" thickBot="1">
      <c r="A93" s="40"/>
      <c r="B93" s="733" t="s">
        <v>94</v>
      </c>
      <c r="C93" s="734"/>
      <c r="D93" s="751">
        <f>+D91/D92</f>
        <v>0.39466442323883155</v>
      </c>
      <c r="E93" s="751">
        <f t="shared" ref="E93:Q93" si="36">+E91/E92</f>
        <v>0.18328197357844367</v>
      </c>
      <c r="F93" s="751">
        <f t="shared" si="36"/>
        <v>0.16386520036407359</v>
      </c>
      <c r="G93" s="751">
        <f t="shared" si="36"/>
        <v>0.1608528118072296</v>
      </c>
      <c r="H93" s="751">
        <f t="shared" si="36"/>
        <v>0.19361379376172061</v>
      </c>
      <c r="I93" s="751">
        <f t="shared" si="36"/>
        <v>0.15991223462363588</v>
      </c>
      <c r="J93" s="751">
        <f t="shared" si="36"/>
        <v>0.13179971972709764</v>
      </c>
      <c r="K93" s="751">
        <f t="shared" si="36"/>
        <v>8.7347536045990701E-2</v>
      </c>
      <c r="L93" s="751">
        <f t="shared" si="36"/>
        <v>0.11644005684109129</v>
      </c>
      <c r="M93" s="751">
        <f t="shared" si="36"/>
        <v>0.11353333352638957</v>
      </c>
      <c r="N93" s="751">
        <f t="shared" si="36"/>
        <v>0.13386407349840868</v>
      </c>
      <c r="O93" s="751">
        <f t="shared" si="36"/>
        <v>0.16655947320673828</v>
      </c>
      <c r="P93" s="751">
        <f t="shared" si="36"/>
        <v>0.15033004229330563</v>
      </c>
      <c r="Q93" s="751">
        <f t="shared" si="36"/>
        <v>0.15033004229330565</v>
      </c>
      <c r="S93" s="45"/>
      <c r="V93" s="849"/>
      <c r="W93" s="849"/>
      <c r="X93" s="849"/>
      <c r="AB93" s="837"/>
      <c r="AC93" s="837"/>
      <c r="AJ93" s="40"/>
    </row>
    <row r="94" spans="1:39" ht="21" customHeight="1">
      <c r="B94" s="85" t="s">
        <v>95</v>
      </c>
      <c r="C94" s="43" t="s">
        <v>76</v>
      </c>
      <c r="D94" s="56">
        <v>1595547.1549999996</v>
      </c>
      <c r="E94" s="56">
        <v>2435137.1000000006</v>
      </c>
      <c r="F94" s="56">
        <v>2997796.9380234443</v>
      </c>
      <c r="G94" s="56">
        <v>2985052.2520000013</v>
      </c>
      <c r="H94" s="56">
        <v>2495845.608</v>
      </c>
      <c r="I94" s="56">
        <v>3270514.1275833328</v>
      </c>
      <c r="J94" s="56">
        <v>3830218.2430000007</v>
      </c>
      <c r="K94" s="56">
        <v>5927862.817000011</v>
      </c>
      <c r="L94" s="56">
        <v>3764651.8820000016</v>
      </c>
      <c r="M94" s="56">
        <v>3636585.5396666666</v>
      </c>
      <c r="N94" s="56">
        <v>2842440.8472380457</v>
      </c>
      <c r="O94" s="863">
        <v>2694017.2211666666</v>
      </c>
      <c r="P94" s="775">
        <f>+SUM(D94:O94)</f>
        <v>38475669.730678171</v>
      </c>
      <c r="Q94" s="776">
        <f>AVERAGE(D94:O94)</f>
        <v>3206305.8108898476</v>
      </c>
      <c r="R94" s="40" t="s">
        <v>281</v>
      </c>
      <c r="S94" s="204" t="s">
        <v>390</v>
      </c>
      <c r="V94" s="850"/>
      <c r="W94" s="2"/>
      <c r="X94" s="850"/>
      <c r="Y94" s="767"/>
      <c r="Z94" s="767"/>
      <c r="AA94" s="767"/>
      <c r="AB94" s="767"/>
      <c r="AC94" s="767"/>
      <c r="AD94" s="767"/>
      <c r="AE94" s="767"/>
    </row>
    <row r="95" spans="1:39" s="41" customFormat="1" ht="20.45" customHeight="1" thickBot="1">
      <c r="A95" s="40"/>
      <c r="B95" s="733" t="s">
        <v>94</v>
      </c>
      <c r="C95" s="734"/>
      <c r="D95" s="751">
        <f>+D91/D94</f>
        <v>0.44964708769332667</v>
      </c>
      <c r="E95" s="751">
        <f t="shared" ref="E95:J95" si="37">+E91/E94</f>
        <v>0.20731151645291401</v>
      </c>
      <c r="F95" s="751">
        <f t="shared" si="37"/>
        <v>0.18703755383780779</v>
      </c>
      <c r="G95" s="751">
        <f t="shared" si="37"/>
        <v>0.17887055560815199</v>
      </c>
      <c r="H95" s="751">
        <f t="shared" si="37"/>
        <v>0.2176525879467536</v>
      </c>
      <c r="I95" s="751">
        <f t="shared" si="37"/>
        <v>0.17560529660273969</v>
      </c>
      <c r="J95" s="751">
        <f t="shared" si="37"/>
        <v>0.14108869352975123</v>
      </c>
      <c r="K95" s="751">
        <f>+K91/K94</f>
        <v>9.2728800753154608E-2</v>
      </c>
      <c r="L95" s="751">
        <f>+L91/L94</f>
        <v>0.12729797097671453</v>
      </c>
      <c r="M95" s="751">
        <f>+M91/M94</f>
        <v>0.13331257800701096</v>
      </c>
      <c r="N95" s="751">
        <f>+N91/N94</f>
        <v>0.15331232345815965</v>
      </c>
      <c r="O95" s="751">
        <f>+O91/O94</f>
        <v>0.19245774605446847</v>
      </c>
      <c r="P95" s="751">
        <f t="shared" ref="P95:Q95" si="38">+P91/P94</f>
        <v>0.16745219750220122</v>
      </c>
      <c r="Q95" s="751">
        <f t="shared" si="38"/>
        <v>0.16745219750220125</v>
      </c>
      <c r="S95" s="45"/>
      <c r="V95" s="849"/>
      <c r="W95" s="849"/>
      <c r="X95" s="849"/>
      <c r="AA95" s="764"/>
      <c r="AJ95" s="40"/>
    </row>
    <row r="96" spans="1:39" ht="20.25" customHeight="1" thickBot="1">
      <c r="B96" s="738" t="s">
        <v>493</v>
      </c>
      <c r="C96" s="739"/>
      <c r="D96" s="800">
        <f t="shared" ref="D96:Q96" si="39">+(D90-D74)/D74</f>
        <v>2.8486513662738654E-2</v>
      </c>
      <c r="E96" s="800">
        <f t="shared" si="39"/>
        <v>-3.0650820321853978E-3</v>
      </c>
      <c r="F96" s="800">
        <f t="shared" si="39"/>
        <v>-0.30495042441720444</v>
      </c>
      <c r="G96" s="800">
        <f t="shared" si="39"/>
        <v>-0.37594622545693129</v>
      </c>
      <c r="H96" s="800">
        <f t="shared" si="39"/>
        <v>-0.41873732938475944</v>
      </c>
      <c r="I96" s="800">
        <f t="shared" si="39"/>
        <v>-0.40069318523185182</v>
      </c>
      <c r="J96" s="800">
        <f t="shared" si="39"/>
        <v>-0.29946912072758375</v>
      </c>
      <c r="K96" s="800">
        <f t="shared" si="39"/>
        <v>-0.21191660750288185</v>
      </c>
      <c r="L96" s="800">
        <f t="shared" si="39"/>
        <v>-0.19362003424913171</v>
      </c>
      <c r="M96" s="800">
        <f t="shared" si="39"/>
        <v>-8.220690991051921E-2</v>
      </c>
      <c r="N96" s="800">
        <f t="shared" si="39"/>
        <v>-1.3413068627018725E-2</v>
      </c>
      <c r="O96" s="800">
        <f t="shared" si="39"/>
        <v>-0.16920291428906425</v>
      </c>
      <c r="P96" s="800">
        <f t="shared" si="39"/>
        <v>0.7182413040452611</v>
      </c>
      <c r="Q96" s="800">
        <f t="shared" si="39"/>
        <v>-0.28406612331447451</v>
      </c>
      <c r="S96" s="45"/>
      <c r="AA96" s="765"/>
    </row>
    <row r="97" spans="1:39" ht="20.45" customHeight="1">
      <c r="B97" s="743" t="s">
        <v>632</v>
      </c>
      <c r="C97" s="8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397"/>
      <c r="P97" s="421"/>
      <c r="Q97" s="425"/>
      <c r="S97" s="45"/>
    </row>
    <row r="98" spans="1:39" ht="20.45" customHeight="1">
      <c r="B98" s="1603" t="s">
        <v>92</v>
      </c>
      <c r="C98" s="46" t="s">
        <v>75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23">
        <f t="shared" ref="P98:P100" si="40">+SUM(D98:O98)</f>
        <v>0</v>
      </c>
      <c r="Q98" s="424" t="e">
        <f t="shared" ref="Q98:Q100" si="41">AVERAGE(D98:O98)</f>
        <v>#DIV/0!</v>
      </c>
      <c r="R98" s="40" t="s">
        <v>281</v>
      </c>
      <c r="S98" s="45"/>
    </row>
    <row r="99" spans="1:39" ht="20.45" customHeight="1">
      <c r="B99" s="1603"/>
      <c r="C99" s="46" t="s">
        <v>76</v>
      </c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775">
        <f t="shared" si="40"/>
        <v>0</v>
      </c>
      <c r="Q99" s="776" t="e">
        <f t="shared" si="41"/>
        <v>#DIV/0!</v>
      </c>
      <c r="R99" s="536" t="s">
        <v>281</v>
      </c>
      <c r="S99" s="45"/>
      <c r="T99" s="45"/>
    </row>
    <row r="100" spans="1:39" s="203" customFormat="1" ht="20.45" customHeight="1">
      <c r="A100" s="40"/>
      <c r="B100" s="86" t="s">
        <v>93</v>
      </c>
      <c r="C100" s="202" t="s">
        <v>76</v>
      </c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191"/>
      <c r="P100" s="775">
        <f t="shared" si="40"/>
        <v>0</v>
      </c>
      <c r="Q100" s="776" t="e">
        <f t="shared" si="41"/>
        <v>#DIV/0!</v>
      </c>
      <c r="R100" s="203" t="s">
        <v>281</v>
      </c>
      <c r="S100" s="204" t="s">
        <v>389</v>
      </c>
      <c r="V100" s="2"/>
      <c r="W100" s="2"/>
      <c r="X100" s="2"/>
      <c r="Y100" s="766"/>
      <c r="Z100" s="766"/>
      <c r="AA100" s="766"/>
      <c r="AB100" s="766"/>
      <c r="AC100" s="766"/>
      <c r="AD100" s="766"/>
      <c r="AE100" s="766"/>
      <c r="AF100" s="766"/>
      <c r="AG100" s="766"/>
      <c r="AH100" s="766"/>
      <c r="AI100" s="766"/>
      <c r="AJ100" s="766"/>
      <c r="AK100" s="766"/>
      <c r="AL100" s="766"/>
      <c r="AM100" s="766"/>
    </row>
    <row r="101" spans="1:39" s="41" customFormat="1" ht="19.5" customHeight="1" thickBot="1">
      <c r="A101" s="40"/>
      <c r="B101" s="733" t="s">
        <v>94</v>
      </c>
      <c r="C101" s="734"/>
      <c r="D101" s="751" t="e">
        <f t="shared" ref="D101:J101" si="42">+D99/D100</f>
        <v>#DIV/0!</v>
      </c>
      <c r="E101" s="751" t="e">
        <f t="shared" si="42"/>
        <v>#DIV/0!</v>
      </c>
      <c r="F101" s="751" t="e">
        <f t="shared" si="42"/>
        <v>#DIV/0!</v>
      </c>
      <c r="G101" s="751" t="e">
        <f t="shared" si="42"/>
        <v>#DIV/0!</v>
      </c>
      <c r="H101" s="751" t="e">
        <f t="shared" si="42"/>
        <v>#DIV/0!</v>
      </c>
      <c r="I101" s="751" t="e">
        <f t="shared" si="42"/>
        <v>#DIV/0!</v>
      </c>
      <c r="J101" s="751" t="e">
        <f t="shared" si="42"/>
        <v>#DIV/0!</v>
      </c>
      <c r="K101" s="751" t="e">
        <f t="shared" ref="K101:P101" si="43">+K99/K100</f>
        <v>#DIV/0!</v>
      </c>
      <c r="L101" s="751" t="e">
        <f t="shared" si="43"/>
        <v>#DIV/0!</v>
      </c>
      <c r="M101" s="751" t="e">
        <f t="shared" si="43"/>
        <v>#DIV/0!</v>
      </c>
      <c r="N101" s="751" t="e">
        <f t="shared" si="43"/>
        <v>#DIV/0!</v>
      </c>
      <c r="O101" s="751" t="e">
        <f t="shared" si="43"/>
        <v>#DIV/0!</v>
      </c>
      <c r="P101" s="751" t="e">
        <f t="shared" si="43"/>
        <v>#DIV/0!</v>
      </c>
      <c r="Q101" s="751" t="e">
        <f t="shared" ref="Q101" si="44">+Q99/Q100</f>
        <v>#DIV/0!</v>
      </c>
      <c r="S101" s="45"/>
      <c r="V101" s="849"/>
      <c r="W101" s="849"/>
      <c r="X101" s="849"/>
      <c r="AB101" s="837"/>
      <c r="AC101" s="837"/>
      <c r="AJ101" s="40"/>
    </row>
    <row r="102" spans="1:39" ht="21" customHeight="1">
      <c r="B102" s="85" t="s">
        <v>95</v>
      </c>
      <c r="C102" s="43" t="s">
        <v>76</v>
      </c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895"/>
      <c r="P102" s="775">
        <f>+SUM(D102:O102)</f>
        <v>0</v>
      </c>
      <c r="Q102" s="776" t="e">
        <f>AVERAGE(D102:O102)</f>
        <v>#DIV/0!</v>
      </c>
      <c r="R102" s="40" t="s">
        <v>281</v>
      </c>
      <c r="S102" s="204" t="s">
        <v>390</v>
      </c>
      <c r="V102" s="850"/>
      <c r="W102" s="2"/>
      <c r="X102" s="850"/>
      <c r="Y102" s="767"/>
      <c r="Z102" s="767"/>
      <c r="AA102" s="767"/>
      <c r="AB102" s="767"/>
      <c r="AC102" s="767"/>
      <c r="AD102" s="767"/>
      <c r="AE102" s="767"/>
    </row>
    <row r="103" spans="1:39" s="41" customFormat="1" ht="20.45" customHeight="1" thickBot="1">
      <c r="A103" s="40"/>
      <c r="B103" s="733" t="s">
        <v>94</v>
      </c>
      <c r="C103" s="734"/>
      <c r="D103" s="751" t="e">
        <f t="shared" ref="D103:I103" si="45">+D99/D102</f>
        <v>#DIV/0!</v>
      </c>
      <c r="E103" s="751" t="e">
        <f t="shared" si="45"/>
        <v>#DIV/0!</v>
      </c>
      <c r="F103" s="751" t="e">
        <f t="shared" si="45"/>
        <v>#DIV/0!</v>
      </c>
      <c r="G103" s="751" t="e">
        <f t="shared" si="45"/>
        <v>#DIV/0!</v>
      </c>
      <c r="H103" s="751" t="e">
        <f t="shared" si="45"/>
        <v>#DIV/0!</v>
      </c>
      <c r="I103" s="751" t="e">
        <f t="shared" si="45"/>
        <v>#DIV/0!</v>
      </c>
      <c r="J103" s="751" t="e">
        <f t="shared" ref="J103" si="46">+J99/J102</f>
        <v>#DIV/0!</v>
      </c>
      <c r="K103" s="751" t="e">
        <f>+K99/K102</f>
        <v>#DIV/0!</v>
      </c>
      <c r="L103" s="751" t="e">
        <f>+L99/L102</f>
        <v>#DIV/0!</v>
      </c>
      <c r="M103" s="751" t="e">
        <f>+M99/M102</f>
        <v>#DIV/0!</v>
      </c>
      <c r="N103" s="751" t="e">
        <f>+N99/N102</f>
        <v>#DIV/0!</v>
      </c>
      <c r="O103" s="751" t="e">
        <f>+O99/O102</f>
        <v>#DIV/0!</v>
      </c>
      <c r="P103" s="751" t="e">
        <f t="shared" ref="P103:Q103" si="47">+P99/P102</f>
        <v>#DIV/0!</v>
      </c>
      <c r="Q103" s="751" t="e">
        <f t="shared" si="47"/>
        <v>#DIV/0!</v>
      </c>
      <c r="S103" s="45"/>
      <c r="V103" s="849"/>
      <c r="W103" s="849"/>
      <c r="X103" s="849"/>
      <c r="AA103" s="764"/>
      <c r="AJ103" s="40"/>
    </row>
    <row r="104" spans="1:39" ht="20.25" customHeight="1" thickBot="1">
      <c r="B104" s="738" t="s">
        <v>633</v>
      </c>
      <c r="C104" s="739"/>
      <c r="D104" s="800">
        <f t="shared" ref="D104:I104" si="48">+(D98-D82)/D82</f>
        <v>-1</v>
      </c>
      <c r="E104" s="800">
        <f t="shared" si="48"/>
        <v>-1</v>
      </c>
      <c r="F104" s="800">
        <f t="shared" si="48"/>
        <v>-1</v>
      </c>
      <c r="G104" s="800">
        <f t="shared" si="48"/>
        <v>-1</v>
      </c>
      <c r="H104" s="800">
        <f t="shared" si="48"/>
        <v>-1</v>
      </c>
      <c r="I104" s="800">
        <f t="shared" si="48"/>
        <v>-1</v>
      </c>
      <c r="J104" s="800">
        <f t="shared" ref="J104" si="49">+(J98-J82)/J82</f>
        <v>-1</v>
      </c>
      <c r="K104" s="800">
        <f t="shared" ref="K104:P104" si="50">+(K98-K82)/K82</f>
        <v>-1</v>
      </c>
      <c r="L104" s="800">
        <f t="shared" si="50"/>
        <v>-1</v>
      </c>
      <c r="M104" s="800">
        <f t="shared" si="50"/>
        <v>-1</v>
      </c>
      <c r="N104" s="800">
        <f t="shared" si="50"/>
        <v>-1</v>
      </c>
      <c r="O104" s="800">
        <f t="shared" si="50"/>
        <v>-1</v>
      </c>
      <c r="P104" s="800">
        <f t="shared" si="50"/>
        <v>-1</v>
      </c>
      <c r="Q104" s="800" t="e">
        <f t="shared" ref="Q104" si="51">+(Q98-Q82)/Q82</f>
        <v>#DIV/0!</v>
      </c>
      <c r="S104" s="45"/>
      <c r="AA104" s="765"/>
    </row>
    <row r="105" spans="1:39" ht="20.45" customHeight="1">
      <c r="B105" s="52" t="s">
        <v>98</v>
      </c>
      <c r="C105" s="8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397"/>
      <c r="P105" s="421"/>
      <c r="Q105" s="425"/>
      <c r="S105" s="45"/>
      <c r="AA105" s="764"/>
    </row>
    <row r="106" spans="1:39" ht="20.45" customHeight="1">
      <c r="B106" s="113" t="s">
        <v>99</v>
      </c>
      <c r="C106" s="46"/>
      <c r="D106" s="25">
        <v>2610892</v>
      </c>
      <c r="E106" s="25">
        <v>1458002</v>
      </c>
      <c r="F106" s="25">
        <v>2442095</v>
      </c>
      <c r="G106" s="25">
        <v>2197591</v>
      </c>
      <c r="H106" s="25">
        <v>2464777</v>
      </c>
      <c r="I106" s="25">
        <v>3356604</v>
      </c>
      <c r="J106" s="25">
        <v>3434495</v>
      </c>
      <c r="K106" s="25">
        <v>4679054</v>
      </c>
      <c r="L106" s="25">
        <v>4611556</v>
      </c>
      <c r="M106" s="25">
        <v>4833122</v>
      </c>
      <c r="N106" s="25">
        <v>5018492</v>
      </c>
      <c r="O106" s="406">
        <v>5693484</v>
      </c>
      <c r="P106" s="436"/>
      <c r="Q106" s="424">
        <f>AVERAGE(D106:O106)</f>
        <v>3566680.3333333335</v>
      </c>
      <c r="S106" s="45"/>
      <c r="AA106" s="768"/>
    </row>
    <row r="107" spans="1:39" ht="20.45" customHeight="1" thickBot="1">
      <c r="B107" s="62" t="s">
        <v>100</v>
      </c>
      <c r="C107" s="63"/>
      <c r="D107" s="261">
        <v>2953.49773755656</v>
      </c>
      <c r="E107" s="261">
        <v>1651.1913929784801</v>
      </c>
      <c r="F107" s="261">
        <v>2900.3503562945366</v>
      </c>
      <c r="G107" s="261">
        <v>2689.8298653610773</v>
      </c>
      <c r="H107" s="261">
        <v>3061.8347826086956</v>
      </c>
      <c r="I107" s="261">
        <v>4174.8805970149251</v>
      </c>
      <c r="J107" s="261">
        <v>4078.9726840855105</v>
      </c>
      <c r="K107" s="261">
        <v>4605.3681102362207</v>
      </c>
      <c r="L107" s="261">
        <v>4266.0092506938017</v>
      </c>
      <c r="M107" s="261">
        <v>4542.4078947368425</v>
      </c>
      <c r="N107" s="261">
        <v>4788.6374045801531</v>
      </c>
      <c r="O107" s="407">
        <v>5396.6672985781988</v>
      </c>
      <c r="P107" s="437"/>
      <c r="Q107" s="438">
        <f>Q106/Q24</f>
        <v>3841.6806390808729</v>
      </c>
      <c r="S107" s="45"/>
      <c r="T107" s="64"/>
      <c r="U107" s="64"/>
      <c r="AA107" s="764"/>
    </row>
    <row r="108" spans="1:39" ht="20.45" customHeight="1">
      <c r="B108" s="65" t="s">
        <v>101</v>
      </c>
      <c r="C108" s="8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397"/>
      <c r="P108" s="421"/>
      <c r="Q108" s="425"/>
      <c r="S108" s="45"/>
    </row>
    <row r="109" spans="1:39" ht="20.45" customHeight="1">
      <c r="B109" s="113" t="s">
        <v>99</v>
      </c>
      <c r="C109" s="46"/>
      <c r="D109" s="25">
        <v>3714334</v>
      </c>
      <c r="E109" s="25">
        <v>3359200</v>
      </c>
      <c r="F109" s="25">
        <v>4150333</v>
      </c>
      <c r="G109" s="25">
        <v>5303831</v>
      </c>
      <c r="H109" s="25">
        <v>4111101.5</v>
      </c>
      <c r="I109" s="25">
        <v>4355323</v>
      </c>
      <c r="J109" s="25">
        <v>5305086.2857142854</v>
      </c>
      <c r="K109" s="25">
        <v>4263640</v>
      </c>
      <c r="L109" s="25">
        <v>6079447</v>
      </c>
      <c r="M109" s="25">
        <v>5039194</v>
      </c>
      <c r="N109" s="25">
        <v>4809745</v>
      </c>
      <c r="O109" s="406">
        <v>5129939</v>
      </c>
      <c r="P109" s="436"/>
      <c r="Q109" s="424">
        <f>AVERAGE(D109:O109)</f>
        <v>4635097.8154761903</v>
      </c>
      <c r="S109" s="45"/>
    </row>
    <row r="110" spans="1:39" ht="20.45" customHeight="1" thickBot="1">
      <c r="B110" s="90" t="s">
        <v>100</v>
      </c>
      <c r="C110" s="70"/>
      <c r="D110" s="66">
        <f t="shared" ref="D110:O110" si="52">D109/D25</f>
        <v>3588.7285024154589</v>
      </c>
      <c r="E110" s="66">
        <f t="shared" si="52"/>
        <v>3181.060606060606</v>
      </c>
      <c r="F110" s="66">
        <f t="shared" si="52"/>
        <v>3964.0238777459408</v>
      </c>
      <c r="G110" s="66">
        <f t="shared" si="52"/>
        <v>5204.9371933267912</v>
      </c>
      <c r="H110" s="66">
        <f t="shared" si="52"/>
        <v>4078.4737103174602</v>
      </c>
      <c r="I110" s="66">
        <f t="shared" si="52"/>
        <v>4426.1412601626016</v>
      </c>
      <c r="J110" s="66">
        <f t="shared" si="52"/>
        <v>5457.9077013521455</v>
      </c>
      <c r="K110" s="66">
        <f t="shared" si="52"/>
        <v>4302.3612512613518</v>
      </c>
      <c r="L110" s="66">
        <f t="shared" si="52"/>
        <v>6209.8539325842694</v>
      </c>
      <c r="M110" s="66">
        <f t="shared" si="52"/>
        <v>5287.7166841552989</v>
      </c>
      <c r="N110" s="66">
        <f t="shared" si="52"/>
        <v>5105.8864118895963</v>
      </c>
      <c r="O110" s="408">
        <f t="shared" si="52"/>
        <v>5250.7052200614125</v>
      </c>
      <c r="P110" s="439"/>
      <c r="Q110" s="440">
        <f>Q109/Q25</f>
        <v>4649.4335689805475</v>
      </c>
      <c r="S110" s="45"/>
    </row>
    <row r="111" spans="1:39" ht="20.45" customHeight="1" thickBot="1">
      <c r="B111" s="67" t="s">
        <v>102</v>
      </c>
      <c r="C111" s="91"/>
      <c r="D111" s="68">
        <f>(D110-D107)/D107</f>
        <v>0.21507745097662673</v>
      </c>
      <c r="E111" s="68">
        <v>0.926524459603978</v>
      </c>
      <c r="F111" s="68">
        <f t="shared" ref="F111:L111" si="53">(F110-F107)/F107</f>
        <v>0.36673966617272563</v>
      </c>
      <c r="G111" s="68">
        <f t="shared" si="53"/>
        <v>0.93504327554489808</v>
      </c>
      <c r="H111" s="68">
        <f t="shared" si="53"/>
        <v>0.33203585428034893</v>
      </c>
      <c r="I111" s="68">
        <f t="shared" si="53"/>
        <v>6.0183915996862278E-2</v>
      </c>
      <c r="J111" s="68">
        <f t="shared" si="53"/>
        <v>0.33805938996519336</v>
      </c>
      <c r="K111" s="68">
        <f t="shared" si="53"/>
        <v>-6.5794275663086349E-2</v>
      </c>
      <c r="L111" s="68">
        <f t="shared" si="53"/>
        <v>0.45565880607838127</v>
      </c>
      <c r="M111" s="68">
        <v>0.16407790904952069</v>
      </c>
      <c r="N111" s="68">
        <f>(N110-N107)/N107</f>
        <v>6.6250371557889584E-2</v>
      </c>
      <c r="O111" s="409">
        <v>-2.7046706873192151E-2</v>
      </c>
      <c r="P111" s="441"/>
      <c r="Q111" s="442">
        <f>(Q110-Q107)/Q107</f>
        <v>0.21026030161969178</v>
      </c>
      <c r="S111" s="45"/>
    </row>
    <row r="112" spans="1:39" ht="20.45" customHeight="1">
      <c r="B112" s="69" t="s">
        <v>131</v>
      </c>
      <c r="C112" s="8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397"/>
      <c r="P112" s="421"/>
      <c r="Q112" s="425"/>
      <c r="S112" s="45"/>
    </row>
    <row r="113" spans="2:27" ht="20.45" customHeight="1">
      <c r="B113" s="113" t="s">
        <v>99</v>
      </c>
      <c r="C113" s="46"/>
      <c r="D113" s="25">
        <v>4839131</v>
      </c>
      <c r="E113" s="25">
        <v>2066343</v>
      </c>
      <c r="F113" s="25">
        <v>4744148</v>
      </c>
      <c r="G113" s="25">
        <v>4115148</v>
      </c>
      <c r="H113" s="25">
        <v>5106256</v>
      </c>
      <c r="I113" s="25">
        <v>5244519</v>
      </c>
      <c r="J113" s="25">
        <v>4557068</v>
      </c>
      <c r="K113" s="25">
        <v>5347103</v>
      </c>
      <c r="L113" s="25">
        <v>5328243</v>
      </c>
      <c r="M113" s="25">
        <v>6416225</v>
      </c>
      <c r="N113" s="25">
        <v>5293698</v>
      </c>
      <c r="O113" s="406">
        <v>5451334</v>
      </c>
      <c r="P113" s="436"/>
      <c r="Q113" s="424">
        <f>AVERAGE(D113:O113)</f>
        <v>4875768</v>
      </c>
      <c r="S113" s="45"/>
    </row>
    <row r="114" spans="2:27" ht="20.45" customHeight="1" thickBot="1">
      <c r="B114" s="90" t="s">
        <v>100</v>
      </c>
      <c r="C114" s="70"/>
      <c r="D114" s="66">
        <f t="shared" ref="D114:O114" si="54">D113/D26</f>
        <v>4958.126024590164</v>
      </c>
      <c r="E114" s="66">
        <f t="shared" si="54"/>
        <v>2205.2753468516544</v>
      </c>
      <c r="F114" s="66">
        <f t="shared" si="54"/>
        <v>4753.6553106212423</v>
      </c>
      <c r="G114" s="66">
        <f t="shared" si="54"/>
        <v>4094.6746268656716</v>
      </c>
      <c r="H114" s="66">
        <f t="shared" si="54"/>
        <v>5080.8517412935325</v>
      </c>
      <c r="I114" s="66">
        <f t="shared" si="54"/>
        <v>5244.5190000000002</v>
      </c>
      <c r="J114" s="66">
        <f t="shared" si="54"/>
        <v>4631.166666666667</v>
      </c>
      <c r="K114" s="66">
        <f t="shared" si="54"/>
        <v>5341.7612387612389</v>
      </c>
      <c r="L114" s="66">
        <f t="shared" si="54"/>
        <v>5218.651322233105</v>
      </c>
      <c r="M114" s="66">
        <f t="shared" si="54"/>
        <v>6075.970643939394</v>
      </c>
      <c r="N114" s="66">
        <f t="shared" si="54"/>
        <v>4938.1511194029854</v>
      </c>
      <c r="O114" s="408">
        <f t="shared" si="54"/>
        <v>4546.5671392827353</v>
      </c>
      <c r="P114" s="439"/>
      <c r="Q114" s="440">
        <f>Q113/Q26</f>
        <v>4774.7034437734619</v>
      </c>
      <c r="S114" s="45"/>
    </row>
    <row r="115" spans="2:27" ht="20.45" customHeight="1" thickBot="1">
      <c r="B115" s="67" t="s">
        <v>132</v>
      </c>
      <c r="C115" s="60"/>
      <c r="D115" s="68">
        <f t="shared" ref="D115:M115" si="55">(D114-D110)/D110</f>
        <v>0.38158292588949183</v>
      </c>
      <c r="E115" s="68">
        <f t="shared" si="55"/>
        <v>-0.30674840251388813</v>
      </c>
      <c r="F115" s="68">
        <f t="shared" si="55"/>
        <v>0.19919946428887528</v>
      </c>
      <c r="G115" s="68">
        <f>(G114-G110)/G110</f>
        <v>-0.21330950311649841</v>
      </c>
      <c r="H115" s="68">
        <f t="shared" si="55"/>
        <v>0.24577283125310356</v>
      </c>
      <c r="I115" s="68">
        <f t="shared" si="55"/>
        <v>0.18489643500608341</v>
      </c>
      <c r="J115" s="68">
        <f>(J114-J110)/J110</f>
        <v>-0.15147581819323569</v>
      </c>
      <c r="K115" s="68">
        <f t="shared" si="55"/>
        <v>0.24158826439670991</v>
      </c>
      <c r="L115" s="68">
        <f t="shared" si="55"/>
        <v>-0.15961770133595868</v>
      </c>
      <c r="M115" s="68">
        <f t="shared" si="55"/>
        <v>0.14907265401455919</v>
      </c>
      <c r="N115" s="68">
        <f>(N114-N110)/N110</f>
        <v>-3.2851356053675916E-2</v>
      </c>
      <c r="O115" s="409">
        <f>(O114-O110)/O110</f>
        <v>-0.13410352538709869</v>
      </c>
      <c r="P115" s="441"/>
      <c r="Q115" s="442">
        <f>(Q114-Q110)/Q110</f>
        <v>2.6943040035816993E-2</v>
      </c>
      <c r="S115" s="45"/>
    </row>
    <row r="116" spans="2:27" ht="20.45" customHeight="1">
      <c r="B116" s="69" t="s">
        <v>154</v>
      </c>
      <c r="C116" s="8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397"/>
      <c r="P116" s="421"/>
      <c r="Q116" s="425"/>
      <c r="S116" s="45"/>
    </row>
    <row r="117" spans="2:27" ht="20.45" customHeight="1">
      <c r="B117" s="113" t="s">
        <v>99</v>
      </c>
      <c r="C117" s="46"/>
      <c r="D117" s="25">
        <v>5495239</v>
      </c>
      <c r="E117" s="25">
        <v>3054976</v>
      </c>
      <c r="F117" s="25">
        <v>6654245</v>
      </c>
      <c r="G117" s="25">
        <v>6017947</v>
      </c>
      <c r="H117" s="25">
        <v>5183626</v>
      </c>
      <c r="I117" s="25">
        <v>5666109</v>
      </c>
      <c r="J117" s="25">
        <v>7939327</v>
      </c>
      <c r="K117" s="25">
        <v>9068096</v>
      </c>
      <c r="L117" s="25">
        <v>9890774</v>
      </c>
      <c r="M117" s="25">
        <v>9334352</v>
      </c>
      <c r="N117" s="25">
        <v>7958895</v>
      </c>
      <c r="O117" s="406">
        <v>5046304</v>
      </c>
      <c r="P117" s="423">
        <f>+SUM(D117:O117)</f>
        <v>81309890</v>
      </c>
      <c r="Q117" s="424">
        <f>AVERAGE(D117:O117)</f>
        <v>6775824.166666667</v>
      </c>
      <c r="S117" s="45"/>
    </row>
    <row r="118" spans="2:27" ht="20.45" customHeight="1">
      <c r="B118" s="113" t="s">
        <v>100</v>
      </c>
      <c r="C118" s="46"/>
      <c r="D118" s="25">
        <v>3653.7493351063831</v>
      </c>
      <c r="E118" s="25">
        <v>1787.5810415447629</v>
      </c>
      <c r="F118" s="25">
        <v>3206.8650602409639</v>
      </c>
      <c r="G118" s="25">
        <v>2800.3476035365288</v>
      </c>
      <c r="H118" s="25">
        <v>2338.126296797474</v>
      </c>
      <c r="I118" s="25">
        <v>2541.9959623149393</v>
      </c>
      <c r="J118" s="25">
        <v>3542.760821062026</v>
      </c>
      <c r="K118" s="25">
        <v>4114.3811252268606</v>
      </c>
      <c r="L118" s="25">
        <v>4491.7229791098998</v>
      </c>
      <c r="M118" s="25">
        <v>4137.567375886525</v>
      </c>
      <c r="N118" s="25">
        <v>3640.8485818847212</v>
      </c>
      <c r="O118" s="406">
        <v>2285.463768115942</v>
      </c>
      <c r="P118" s="423">
        <f>+SUM(D118:O118)</f>
        <v>38541.409950827023</v>
      </c>
      <c r="Q118" s="443">
        <f>+Q117/Q27</f>
        <v>3229.145750595711</v>
      </c>
      <c r="S118" s="45"/>
    </row>
    <row r="119" spans="2:27" ht="20.45" customHeight="1" thickBot="1">
      <c r="B119" s="151" t="s">
        <v>158</v>
      </c>
      <c r="C119" s="74"/>
      <c r="D119" s="75">
        <f>(D118-D114)/D114</f>
        <v>-0.26307856698571913</v>
      </c>
      <c r="E119" s="75">
        <f t="shared" ref="E119:N119" si="56">(E118-E114)/E114</f>
        <v>-0.1894068719823172</v>
      </c>
      <c r="F119" s="75">
        <f t="shared" si="56"/>
        <v>-0.32538965265828929</v>
      </c>
      <c r="G119" s="75">
        <f t="shared" si="56"/>
        <v>-0.31610009128366429</v>
      </c>
      <c r="H119" s="75">
        <f t="shared" si="56"/>
        <v>-0.53981607497127815</v>
      </c>
      <c r="I119" s="75">
        <f t="shared" si="56"/>
        <v>-0.5153042705508476</v>
      </c>
      <c r="J119" s="75">
        <f t="shared" si="56"/>
        <v>-0.23501763679518642</v>
      </c>
      <c r="K119" s="75">
        <f t="shared" si="56"/>
        <v>-0.22977068024459463</v>
      </c>
      <c r="L119" s="75">
        <f t="shared" si="56"/>
        <v>-0.13929429238283472</v>
      </c>
      <c r="M119" s="75">
        <f t="shared" si="56"/>
        <v>-0.31902775402418548</v>
      </c>
      <c r="N119" s="75">
        <f t="shared" si="56"/>
        <v>-0.26271017353456488</v>
      </c>
      <c r="O119" s="410">
        <f>(O118-O114)/O114</f>
        <v>-0.49732101207318896</v>
      </c>
      <c r="P119" s="444">
        <v>0</v>
      </c>
      <c r="Q119" s="445">
        <f>(Q118-Q114)/Q114</f>
        <v>-0.32369710734459611</v>
      </c>
      <c r="S119" s="45"/>
    </row>
    <row r="120" spans="2:27" ht="20.45" customHeight="1">
      <c r="B120" s="69" t="s">
        <v>191</v>
      </c>
      <c r="C120" s="8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397"/>
      <c r="P120" s="421"/>
      <c r="Q120" s="425"/>
      <c r="S120" s="45"/>
      <c r="AA120" s="768"/>
    </row>
    <row r="121" spans="2:27" ht="20.45" customHeight="1">
      <c r="B121" s="113" t="s">
        <v>99</v>
      </c>
      <c r="C121" s="46"/>
      <c r="D121" s="155">
        <v>3789005</v>
      </c>
      <c r="E121" s="155">
        <v>5076971</v>
      </c>
      <c r="F121" s="155">
        <v>4650475</v>
      </c>
      <c r="G121" s="155">
        <v>3890901</v>
      </c>
      <c r="H121" s="155">
        <v>2054879</v>
      </c>
      <c r="I121" s="155">
        <v>4474975</v>
      </c>
      <c r="J121" s="155">
        <v>10894469</v>
      </c>
      <c r="K121" s="155">
        <v>16060521</v>
      </c>
      <c r="L121" s="155">
        <v>11645023</v>
      </c>
      <c r="M121" s="155">
        <v>5342154</v>
      </c>
      <c r="N121" s="155">
        <v>4645055</v>
      </c>
      <c r="O121" s="411">
        <v>5801961</v>
      </c>
      <c r="P121" s="423">
        <f>+SUM(D121:O121)</f>
        <v>78326389</v>
      </c>
      <c r="Q121" s="446">
        <f>AVERAGE(D121:O121)</f>
        <v>6527199.083333333</v>
      </c>
      <c r="S121" s="45"/>
      <c r="AA121" s="764"/>
    </row>
    <row r="122" spans="2:27" ht="20.45" customHeight="1">
      <c r="B122" s="113" t="s">
        <v>100</v>
      </c>
      <c r="C122" s="46"/>
      <c r="D122" s="25">
        <f t="shared" ref="D122:O122" si="57">+D121/D28</f>
        <v>2182.6065668202764</v>
      </c>
      <c r="E122" s="25">
        <f t="shared" si="57"/>
        <v>2897.8144977168949</v>
      </c>
      <c r="F122" s="25">
        <f t="shared" si="57"/>
        <v>2657.4142857142856</v>
      </c>
      <c r="G122" s="25">
        <f t="shared" si="57"/>
        <v>2223.3719999999998</v>
      </c>
      <c r="H122" s="25">
        <f t="shared" si="57"/>
        <v>1249.9263990267641</v>
      </c>
      <c r="I122" s="25">
        <f t="shared" si="57"/>
        <v>2707.1839080459772</v>
      </c>
      <c r="J122" s="25">
        <f t="shared" si="57"/>
        <v>6454.0693127962086</v>
      </c>
      <c r="K122" s="25">
        <f t="shared" si="57"/>
        <v>9130.4837976122799</v>
      </c>
      <c r="L122" s="1">
        <f t="shared" si="57"/>
        <v>6494.7144450641381</v>
      </c>
      <c r="M122" s="25">
        <f t="shared" si="57"/>
        <v>2967.8633333333332</v>
      </c>
      <c r="N122" s="25">
        <f t="shared" si="57"/>
        <v>2597.9054809843401</v>
      </c>
      <c r="O122" s="406">
        <f t="shared" si="57"/>
        <v>3209.0492256637167</v>
      </c>
      <c r="P122" s="423">
        <f>+SUM(D122:O122)</f>
        <v>44772.403252778218</v>
      </c>
      <c r="Q122" s="443">
        <f>+Q121/Q28</f>
        <v>3743.9122890875192</v>
      </c>
      <c r="S122" s="45"/>
    </row>
    <row r="123" spans="2:27" ht="20.45" customHeight="1" thickBot="1">
      <c r="B123" s="151" t="s">
        <v>192</v>
      </c>
      <c r="C123" s="74"/>
      <c r="D123" s="75">
        <f>(D122-D118)/D118</f>
        <v>-0.40263921614734216</v>
      </c>
      <c r="E123" s="75">
        <f>(E122-E118)/E118</f>
        <v>0.62108146728425162</v>
      </c>
      <c r="F123" s="75">
        <f t="shared" ref="F123:N123" si="58">(F122-F118)/F118</f>
        <v>-0.17133579499144644</v>
      </c>
      <c r="G123" s="75">
        <f t="shared" si="58"/>
        <v>-0.20603713724963027</v>
      </c>
      <c r="H123" s="75">
        <f t="shared" si="58"/>
        <v>-0.46541536240416725</v>
      </c>
      <c r="I123" s="75">
        <f t="shared" si="58"/>
        <v>6.4983559446965003E-2</v>
      </c>
      <c r="J123" s="75">
        <f t="shared" si="58"/>
        <v>0.82176264184310621</v>
      </c>
      <c r="K123" s="75">
        <f t="shared" si="58"/>
        <v>1.2191633491680571</v>
      </c>
      <c r="L123" s="75">
        <f t="shared" si="58"/>
        <v>0.44592942959077148</v>
      </c>
      <c r="M123" s="75">
        <f t="shared" si="58"/>
        <v>-0.28270332209456001</v>
      </c>
      <c r="N123" s="75">
        <f t="shared" si="58"/>
        <v>-0.2864560493093869</v>
      </c>
      <c r="O123" s="410">
        <f>(O122-O118)/O118</f>
        <v>0.40411292903984514</v>
      </c>
      <c r="P123" s="447">
        <f>(P122-P118)/P118</f>
        <v>0.16167009224366713</v>
      </c>
      <c r="Q123" s="445">
        <f>(Q122-Q118)/Q118</f>
        <v>0.15941260576325622</v>
      </c>
      <c r="S123" s="45"/>
    </row>
    <row r="124" spans="2:27" ht="20.45" customHeight="1">
      <c r="B124" s="69" t="s">
        <v>275</v>
      </c>
      <c r="C124" s="8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397"/>
      <c r="P124" s="421"/>
      <c r="Q124" s="425"/>
      <c r="S124" s="45"/>
      <c r="AA124" s="764"/>
    </row>
    <row r="125" spans="2:27" ht="20.45" customHeight="1">
      <c r="B125" s="113" t="s">
        <v>99</v>
      </c>
      <c r="C125" s="46"/>
      <c r="D125" s="155">
        <v>5726185</v>
      </c>
      <c r="E125" s="155">
        <v>2628111</v>
      </c>
      <c r="F125" s="155">
        <v>5208790</v>
      </c>
      <c r="G125" s="155">
        <v>5201148</v>
      </c>
      <c r="H125" s="155">
        <v>6568165</v>
      </c>
      <c r="I125" s="155">
        <v>12048453</v>
      </c>
      <c r="J125" s="155">
        <v>12105277</v>
      </c>
      <c r="K125" s="155">
        <v>13857259</v>
      </c>
      <c r="L125" s="155">
        <v>5352777</v>
      </c>
      <c r="M125" s="155">
        <v>3931563</v>
      </c>
      <c r="N125" s="155">
        <v>3844639</v>
      </c>
      <c r="O125" s="411">
        <v>4406199</v>
      </c>
      <c r="P125" s="423">
        <f>+SUM(D125:O125)</f>
        <v>80878566</v>
      </c>
      <c r="Q125" s="424">
        <f t="shared" ref="Q125:Q126" si="59">AVERAGE(D125:O125)</f>
        <v>6739880.5</v>
      </c>
      <c r="R125" s="40" t="s">
        <v>281</v>
      </c>
      <c r="S125" s="45" t="s">
        <v>294</v>
      </c>
      <c r="T125" s="489">
        <f>+Q125/Q121</f>
        <v>1.0325838715736022</v>
      </c>
    </row>
    <row r="126" spans="2:27" ht="20.45" customHeight="1">
      <c r="B126" s="113" t="s">
        <v>100</v>
      </c>
      <c r="C126" s="46"/>
      <c r="D126" s="1">
        <v>3281.4813753581661</v>
      </c>
      <c r="E126" s="1">
        <v>1491.5499432463109</v>
      </c>
      <c r="F126" s="25">
        <v>2638.6980749746708</v>
      </c>
      <c r="G126" s="25">
        <v>2518.7157384987895</v>
      </c>
      <c r="H126" s="25">
        <v>3086.5437030075186</v>
      </c>
      <c r="I126" s="25">
        <v>5702.0601041173686</v>
      </c>
      <c r="J126" s="25">
        <v>5867.8027144934558</v>
      </c>
      <c r="K126" s="25">
        <v>11085.807199999999</v>
      </c>
      <c r="L126" s="25">
        <v>4559.4352640545148</v>
      </c>
      <c r="M126" s="25">
        <v>2218.7150112866816</v>
      </c>
      <c r="N126" s="25">
        <v>2195.6818960593946</v>
      </c>
      <c r="O126" s="25">
        <v>2602.598346131128</v>
      </c>
      <c r="P126" s="423">
        <f t="shared" ref="P126" si="60">+SUM(D126:O126)</f>
        <v>47249.089371227994</v>
      </c>
      <c r="Q126" s="424">
        <f t="shared" si="59"/>
        <v>3937.4241142689993</v>
      </c>
      <c r="S126" s="45"/>
      <c r="AA126" s="764"/>
    </row>
    <row r="127" spans="2:27" ht="19.5" customHeight="1" thickBot="1">
      <c r="B127" s="151" t="s">
        <v>381</v>
      </c>
      <c r="C127" s="74"/>
      <c r="D127" s="75">
        <f>(D126-D122)/D122</f>
        <v>0.50346902884049416</v>
      </c>
      <c r="E127" s="75">
        <f>(E126-E122)/E122</f>
        <v>-0.48528453273269895</v>
      </c>
      <c r="F127" s="75">
        <f t="shared" ref="F127:N127" si="61">(F126-F122)/F122</f>
        <v>-7.0430157767380468E-3</v>
      </c>
      <c r="G127" s="75">
        <f t="shared" si="61"/>
        <v>0.13283595300237194</v>
      </c>
      <c r="H127" s="75">
        <f t="shared" si="61"/>
        <v>1.4693803614443284</v>
      </c>
      <c r="I127" s="75">
        <f t="shared" si="61"/>
        <v>1.1062699461127736</v>
      </c>
      <c r="J127" s="75">
        <f t="shared" si="61"/>
        <v>-9.083673724116767E-2</v>
      </c>
      <c r="K127" s="75">
        <f t="shared" si="61"/>
        <v>0.21415331823917783</v>
      </c>
      <c r="L127" s="75">
        <f t="shared" si="61"/>
        <v>-0.29797756273648018</v>
      </c>
      <c r="M127" s="75">
        <f t="shared" si="61"/>
        <v>-0.2524200874186654</v>
      </c>
      <c r="N127" s="75">
        <f t="shared" si="61"/>
        <v>-0.15482610428634377</v>
      </c>
      <c r="O127" s="410">
        <f>(O126-O122)/O122</f>
        <v>-0.18898148232897816</v>
      </c>
      <c r="P127" s="447">
        <f>(P126-P122)/P122</f>
        <v>5.5317247646206984E-2</v>
      </c>
      <c r="Q127" s="445">
        <f>(Q126-Q122)/Q122</f>
        <v>5.1687061618808282E-2</v>
      </c>
      <c r="S127" s="45"/>
    </row>
    <row r="128" spans="2:27" ht="20.45" customHeight="1">
      <c r="B128" s="69" t="s">
        <v>379</v>
      </c>
      <c r="C128" s="8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397"/>
      <c r="P128" s="421"/>
      <c r="Q128" s="425"/>
      <c r="S128" s="45"/>
      <c r="AA128" s="764"/>
    </row>
    <row r="129" spans="2:29" ht="20.45" customHeight="1">
      <c r="B129" s="113" t="s">
        <v>99</v>
      </c>
      <c r="C129" s="46"/>
      <c r="D129" s="155">
        <v>2522093</v>
      </c>
      <c r="E129" s="155">
        <v>3455766</v>
      </c>
      <c r="F129" s="155">
        <v>4683506</v>
      </c>
      <c r="G129" s="155">
        <v>5392965</v>
      </c>
      <c r="H129" s="155">
        <v>6285131</v>
      </c>
      <c r="I129" s="155">
        <v>8028430</v>
      </c>
      <c r="J129" s="155">
        <v>10699081</v>
      </c>
      <c r="K129" s="155">
        <v>9122974</v>
      </c>
      <c r="L129" s="155">
        <v>3997993</v>
      </c>
      <c r="M129" s="155">
        <v>4449870</v>
      </c>
      <c r="N129" s="155">
        <v>3701642</v>
      </c>
      <c r="O129" s="411">
        <v>3689874</v>
      </c>
      <c r="P129" s="423">
        <f t="shared" ref="P129:P130" si="62">+SUM(D129:N129)</f>
        <v>62339451</v>
      </c>
      <c r="Q129" s="424">
        <f t="shared" ref="Q129:Q130" si="63">AVERAGE(D129:N129)</f>
        <v>5667222.8181818184</v>
      </c>
      <c r="R129" s="40" t="s">
        <v>281</v>
      </c>
      <c r="S129" s="45" t="s">
        <v>294</v>
      </c>
      <c r="T129" s="489">
        <f>+Q129/Q121</f>
        <v>0.86824727510650113</v>
      </c>
      <c r="AB129" s="536"/>
      <c r="AC129" s="536">
        <f>+AA129-X129</f>
        <v>0</v>
      </c>
    </row>
    <row r="130" spans="2:29" ht="20.45" customHeight="1">
      <c r="B130" s="113" t="s">
        <v>100</v>
      </c>
      <c r="C130" s="46"/>
      <c r="D130" s="25">
        <v>1628.2072304712717</v>
      </c>
      <c r="E130" s="25">
        <v>2116.206981016534</v>
      </c>
      <c r="F130" s="25">
        <v>2876.8464373464371</v>
      </c>
      <c r="G130" s="25">
        <v>3368.4978138663337</v>
      </c>
      <c r="H130" s="25">
        <v>3774.8534534534533</v>
      </c>
      <c r="I130" s="25">
        <v>4705.9964830011722</v>
      </c>
      <c r="J130" s="25">
        <v>6453.0042219541619</v>
      </c>
      <c r="K130" s="25">
        <v>5485.8532772098615</v>
      </c>
      <c r="L130" s="25">
        <v>2549.7404336734694</v>
      </c>
      <c r="M130" s="25">
        <v>2944.9834546657844</v>
      </c>
      <c r="N130" s="25">
        <v>2523.2733469665986</v>
      </c>
      <c r="O130" s="25">
        <v>2489.7935222672063</v>
      </c>
      <c r="P130" s="423">
        <f t="shared" si="62"/>
        <v>38427.463133625082</v>
      </c>
      <c r="Q130" s="424">
        <f t="shared" si="63"/>
        <v>3493.4057394204619</v>
      </c>
      <c r="S130" s="45"/>
      <c r="AA130" s="764"/>
      <c r="AB130" s="536"/>
      <c r="AC130" s="536">
        <f>+AA130-X130</f>
        <v>0</v>
      </c>
    </row>
    <row r="131" spans="2:29" ht="19.5" customHeight="1" thickBot="1">
      <c r="B131" s="151" t="s">
        <v>380</v>
      </c>
      <c r="C131" s="74"/>
      <c r="D131" s="572">
        <v>-0.50381945096563086</v>
      </c>
      <c r="E131" s="572">
        <v>0.41879726562201258</v>
      </c>
      <c r="F131" s="572">
        <v>9.0252221211042621E-2</v>
      </c>
      <c r="G131" s="572">
        <v>0.33738705101911703</v>
      </c>
      <c r="H131" s="572">
        <v>0.2230034033781047</v>
      </c>
      <c r="I131" s="572">
        <v>-0.17468486878925643</v>
      </c>
      <c r="J131" s="572">
        <v>9.9730944603038565E-2</v>
      </c>
      <c r="K131" s="572">
        <v>-0.50514624887127191</v>
      </c>
      <c r="L131" s="572">
        <v>-0.44077713883230091</v>
      </c>
      <c r="M131" s="572">
        <v>0.32733741813822398</v>
      </c>
      <c r="N131" s="572">
        <v>0.14919804708283776</v>
      </c>
      <c r="O131" s="572">
        <v>-4.3343155132489347E-2</v>
      </c>
      <c r="P131" s="573">
        <f>(P130-P122)/P122</f>
        <v>-0.14171542419401889</v>
      </c>
      <c r="Q131" s="573">
        <f>(Q130-Q122)/Q122</f>
        <v>-6.6910368172143173E-2</v>
      </c>
      <c r="S131" s="45"/>
    </row>
    <row r="132" spans="2:29" ht="20.45" customHeight="1">
      <c r="B132" s="727" t="s">
        <v>494</v>
      </c>
      <c r="C132" s="8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397"/>
      <c r="P132" s="421"/>
      <c r="Q132" s="425"/>
      <c r="S132" s="45"/>
      <c r="AA132" s="764"/>
    </row>
    <row r="133" spans="2:29" ht="20.45" customHeight="1">
      <c r="B133" s="113" t="s">
        <v>99</v>
      </c>
      <c r="C133" s="46"/>
      <c r="D133" s="155">
        <v>1721525</v>
      </c>
      <c r="E133" s="155">
        <v>3420586</v>
      </c>
      <c r="F133" s="155">
        <v>6457869</v>
      </c>
      <c r="G133" s="155">
        <v>4867056</v>
      </c>
      <c r="H133" s="155">
        <v>4356660</v>
      </c>
      <c r="I133" s="155">
        <v>4825682</v>
      </c>
      <c r="J133" s="155">
        <v>9459267</v>
      </c>
      <c r="K133" s="155">
        <v>7939539</v>
      </c>
      <c r="L133" s="155">
        <v>3973229</v>
      </c>
      <c r="M133" s="155">
        <v>4266685</v>
      </c>
      <c r="N133" s="155">
        <v>4115453</v>
      </c>
      <c r="O133" s="869">
        <v>3661422</v>
      </c>
      <c r="P133" s="423">
        <f t="shared" ref="P133:P134" si="64">+SUM(D133:O133)</f>
        <v>59064973</v>
      </c>
      <c r="Q133" s="424">
        <f t="shared" ref="Q133:Q134" si="65">AVERAGE(D133:O133)</f>
        <v>4922081.083333333</v>
      </c>
      <c r="R133" s="40" t="s">
        <v>281</v>
      </c>
      <c r="S133" s="45" t="s">
        <v>294</v>
      </c>
      <c r="T133" s="489">
        <f>+Q133/Q125</f>
        <v>0.73029204053889873</v>
      </c>
    </row>
    <row r="134" spans="2:29" ht="20.45" customHeight="1">
      <c r="B134" s="113" t="s">
        <v>100</v>
      </c>
      <c r="C134" s="46"/>
      <c r="D134" s="25">
        <f t="shared" ref="D134:J134" si="66">+D133/D31</f>
        <v>1234.068100358423</v>
      </c>
      <c r="E134" s="25">
        <f t="shared" si="66"/>
        <v>2475.098408104197</v>
      </c>
      <c r="F134" s="25">
        <f t="shared" si="66"/>
        <v>4787.152705707932</v>
      </c>
      <c r="G134" s="25">
        <f t="shared" si="66"/>
        <v>3684.3724451173352</v>
      </c>
      <c r="H134" s="25">
        <f t="shared" si="66"/>
        <v>3430.4409448818897</v>
      </c>
      <c r="I134" s="25">
        <f t="shared" si="66"/>
        <v>3939.3322448979593</v>
      </c>
      <c r="J134" s="25">
        <f t="shared" si="66"/>
        <v>7804.6757425742571</v>
      </c>
      <c r="K134" s="25">
        <f t="shared" ref="K134:M134" si="67">+K133/K31</f>
        <v>6449.6661251015439</v>
      </c>
      <c r="L134" s="25">
        <f t="shared" si="67"/>
        <v>3283.6603305785125</v>
      </c>
      <c r="M134" s="25">
        <f t="shared" si="67"/>
        <v>3537.8814262023216</v>
      </c>
      <c r="N134" s="25">
        <f t="shared" ref="N134:O134" si="68">+N133/N31</f>
        <v>3449.6672254819782</v>
      </c>
      <c r="O134" s="25">
        <f t="shared" si="68"/>
        <v>2952.7596774193548</v>
      </c>
      <c r="P134" s="423">
        <f t="shared" si="64"/>
        <v>47028.7753764257</v>
      </c>
      <c r="Q134" s="424">
        <f t="shared" si="65"/>
        <v>3919.0646147021416</v>
      </c>
      <c r="S134" s="45"/>
      <c r="AA134" s="764"/>
    </row>
    <row r="135" spans="2:29" ht="19.5" customHeight="1" thickBot="1">
      <c r="B135" s="54" t="s">
        <v>495</v>
      </c>
      <c r="C135" s="730"/>
      <c r="D135" s="801">
        <f>+(D134-D130)/D130</f>
        <v>-0.24206938940982856</v>
      </c>
      <c r="E135" s="801">
        <f>+(E134-E130)/E130</f>
        <v>0.16959183591543922</v>
      </c>
      <c r="F135" s="801">
        <f t="shared" ref="F135:H135" si="69">+(F134-F130)/F130</f>
        <v>0.66402788955379022</v>
      </c>
      <c r="G135" s="801">
        <f t="shared" si="69"/>
        <v>9.3773144204135114E-2</v>
      </c>
      <c r="H135" s="801">
        <f t="shared" si="69"/>
        <v>-9.1238643517796758E-2</v>
      </c>
      <c r="I135" s="801">
        <f t="shared" ref="I135:J135" si="70">+(I134-I130)/I130</f>
        <v>-0.16291219954637223</v>
      </c>
      <c r="J135" s="801">
        <f t="shared" si="70"/>
        <v>0.20946391388083871</v>
      </c>
      <c r="K135" s="801">
        <f t="shared" ref="K135:M135" si="71">+(K134-K130)/K130</f>
        <v>0.17569059892573055</v>
      </c>
      <c r="L135" s="801">
        <f t="shared" si="71"/>
        <v>0.28784102382047883</v>
      </c>
      <c r="M135" s="801">
        <f t="shared" si="71"/>
        <v>0.2013247207203149</v>
      </c>
      <c r="N135" s="801">
        <f t="shared" ref="N135:O135" si="72">+(N134-N130)/N130</f>
        <v>0.36713972333955086</v>
      </c>
      <c r="O135" s="801">
        <f t="shared" si="72"/>
        <v>0.18594560191905854</v>
      </c>
      <c r="P135" s="801">
        <f>+(P134-P130)/P130</f>
        <v>0.22383242455769176</v>
      </c>
      <c r="Q135" s="801">
        <f>+(Q134-Q130)/Q130</f>
        <v>0.12184638917788414</v>
      </c>
      <c r="R135" s="731"/>
      <c r="S135" s="732"/>
      <c r="T135" s="731"/>
      <c r="U135" s="731"/>
    </row>
    <row r="136" spans="2:29" ht="20.45" customHeight="1">
      <c r="B136" s="727" t="s">
        <v>634</v>
      </c>
      <c r="C136" s="8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397"/>
      <c r="P136" s="421"/>
      <c r="Q136" s="425"/>
      <c r="S136" s="45"/>
      <c r="AA136" s="764"/>
    </row>
    <row r="137" spans="2:29" ht="20.45" customHeight="1">
      <c r="B137" s="113" t="s">
        <v>99</v>
      </c>
      <c r="C137" s="46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869"/>
      <c r="P137" s="423">
        <f t="shared" ref="P137:P138" si="73">+SUM(D137:O137)</f>
        <v>0</v>
      </c>
      <c r="Q137" s="424" t="e">
        <f t="shared" ref="Q137:Q138" si="74">AVERAGE(D137:O137)</f>
        <v>#DIV/0!</v>
      </c>
      <c r="R137" s="40" t="s">
        <v>281</v>
      </c>
      <c r="S137" s="45" t="s">
        <v>294</v>
      </c>
      <c r="T137" s="489" t="e">
        <f>+Q137/Q129</f>
        <v>#DIV/0!</v>
      </c>
    </row>
    <row r="138" spans="2:29" ht="20.45" customHeight="1">
      <c r="B138" s="113" t="s">
        <v>100</v>
      </c>
      <c r="C138" s="46"/>
      <c r="D138" s="25">
        <f t="shared" ref="D138:O138" si="75">+D137/D35</f>
        <v>0</v>
      </c>
      <c r="E138" s="25">
        <f t="shared" si="75"/>
        <v>0</v>
      </c>
      <c r="F138" s="25">
        <f t="shared" si="75"/>
        <v>0</v>
      </c>
      <c r="G138" s="25">
        <f t="shared" si="75"/>
        <v>0</v>
      </c>
      <c r="H138" s="25">
        <f t="shared" si="75"/>
        <v>0</v>
      </c>
      <c r="I138" s="25">
        <f t="shared" si="75"/>
        <v>0</v>
      </c>
      <c r="J138" s="25">
        <f t="shared" si="75"/>
        <v>0</v>
      </c>
      <c r="K138" s="25">
        <f t="shared" si="75"/>
        <v>0</v>
      </c>
      <c r="L138" s="25">
        <f t="shared" si="75"/>
        <v>0</v>
      </c>
      <c r="M138" s="25">
        <f t="shared" si="75"/>
        <v>0</v>
      </c>
      <c r="N138" s="25">
        <f t="shared" si="75"/>
        <v>0</v>
      </c>
      <c r="O138" s="25">
        <f t="shared" si="75"/>
        <v>0</v>
      </c>
      <c r="P138" s="423">
        <f t="shared" si="73"/>
        <v>0</v>
      </c>
      <c r="Q138" s="424">
        <f t="shared" si="74"/>
        <v>0</v>
      </c>
      <c r="S138" s="45"/>
      <c r="AA138" s="764"/>
    </row>
    <row r="139" spans="2:29" ht="19.5" customHeight="1" thickBot="1">
      <c r="B139" s="54" t="s">
        <v>635</v>
      </c>
      <c r="C139" s="730"/>
      <c r="D139" s="801">
        <f>+(D138-D134)/D134</f>
        <v>-1</v>
      </c>
      <c r="E139" s="801">
        <f>+(E138-E134)/E134</f>
        <v>-1</v>
      </c>
      <c r="F139" s="801">
        <f t="shared" ref="F139:O139" si="76">+(F138-F134)/F134</f>
        <v>-1</v>
      </c>
      <c r="G139" s="801">
        <f t="shared" si="76"/>
        <v>-1</v>
      </c>
      <c r="H139" s="801">
        <f t="shared" si="76"/>
        <v>-1</v>
      </c>
      <c r="I139" s="801">
        <f t="shared" si="76"/>
        <v>-1</v>
      </c>
      <c r="J139" s="801">
        <f t="shared" si="76"/>
        <v>-1</v>
      </c>
      <c r="K139" s="801">
        <f t="shared" si="76"/>
        <v>-1</v>
      </c>
      <c r="L139" s="801">
        <f t="shared" si="76"/>
        <v>-1</v>
      </c>
      <c r="M139" s="801">
        <f t="shared" si="76"/>
        <v>-1</v>
      </c>
      <c r="N139" s="801">
        <f t="shared" si="76"/>
        <v>-1</v>
      </c>
      <c r="O139" s="801">
        <f t="shared" si="76"/>
        <v>-1</v>
      </c>
      <c r="P139" s="801">
        <f>+(P138-P134)/P134</f>
        <v>-1</v>
      </c>
      <c r="Q139" s="801">
        <f>+(Q138-Q134)/Q134</f>
        <v>-1</v>
      </c>
      <c r="R139" s="731"/>
      <c r="S139" s="732"/>
      <c r="T139" s="731"/>
      <c r="U139" s="731"/>
    </row>
    <row r="140" spans="2:29" ht="20.45" customHeight="1">
      <c r="B140" s="141" t="s">
        <v>103</v>
      </c>
      <c r="C140" s="43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12"/>
      <c r="P140" s="448"/>
      <c r="Q140" s="422"/>
      <c r="S140" s="45"/>
    </row>
    <row r="141" spans="2:29" ht="20.45" customHeight="1">
      <c r="B141" s="142" t="s">
        <v>104</v>
      </c>
      <c r="C141" s="143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413"/>
      <c r="P141" s="449"/>
      <c r="Q141" s="450"/>
      <c r="S141" s="45"/>
    </row>
    <row r="142" spans="2:29" ht="20.45" customHeight="1">
      <c r="B142" s="113" t="s">
        <v>105</v>
      </c>
      <c r="C142" s="46"/>
      <c r="D142" s="53">
        <v>1987789.8331779868</v>
      </c>
      <c r="E142" s="53">
        <v>1292727.5793204678</v>
      </c>
      <c r="F142" s="53">
        <v>1862406.9808212551</v>
      </c>
      <c r="G142" s="53">
        <v>1653033.3452279463</v>
      </c>
      <c r="H142" s="53">
        <v>1900449.4351378097</v>
      </c>
      <c r="I142" s="53">
        <v>2278667.8231462017</v>
      </c>
      <c r="J142" s="53">
        <v>2674311.4094685018</v>
      </c>
      <c r="K142" s="53">
        <v>3190534.6691377838</v>
      </c>
      <c r="L142" s="53">
        <v>2861689.2439629696</v>
      </c>
      <c r="M142" s="53">
        <v>3252273.7184133222</v>
      </c>
      <c r="N142" s="53">
        <v>3136434.790389522</v>
      </c>
      <c r="O142" s="400">
        <v>3394531.9242343525</v>
      </c>
      <c r="P142" s="427"/>
      <c r="Q142" s="428">
        <f>AVERAGE(D142:O142)</f>
        <v>2457070.8960365099</v>
      </c>
      <c r="S142" s="45"/>
    </row>
    <row r="143" spans="2:29" ht="20.45" customHeight="1">
      <c r="B143" s="140" t="s">
        <v>106</v>
      </c>
      <c r="C143" s="144"/>
      <c r="D143" s="263">
        <v>2248.6310330067722</v>
      </c>
      <c r="E143" s="263">
        <v>1464.0176436245399</v>
      </c>
      <c r="F143" s="263">
        <v>2211.8847753221557</v>
      </c>
      <c r="G143" s="263">
        <v>2023.2966281859808</v>
      </c>
      <c r="H143" s="263">
        <v>2360.8067517239874</v>
      </c>
      <c r="I143" s="263">
        <v>2834.1639591370667</v>
      </c>
      <c r="J143" s="263">
        <v>3176.1418164709048</v>
      </c>
      <c r="K143" s="263">
        <v>3140.2900286789209</v>
      </c>
      <c r="L143" s="263">
        <v>2647.2610952478904</v>
      </c>
      <c r="M143" s="263">
        <v>3056.6482315914682</v>
      </c>
      <c r="N143" s="263">
        <v>2992.7812885396202</v>
      </c>
      <c r="O143" s="414">
        <v>3217.5658049614717</v>
      </c>
      <c r="P143" s="451"/>
      <c r="Q143" s="428">
        <f>AVERAGE(D143:O143)</f>
        <v>2614.4574213742317</v>
      </c>
      <c r="S143" s="45"/>
      <c r="T143" s="64"/>
      <c r="U143" s="64"/>
    </row>
    <row r="144" spans="2:29" ht="20.45" customHeight="1">
      <c r="B144" s="145" t="s">
        <v>107</v>
      </c>
      <c r="C144" s="143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413"/>
      <c r="P144" s="449"/>
      <c r="Q144" s="450"/>
      <c r="S144" s="45"/>
    </row>
    <row r="145" spans="2:27" ht="20.45" customHeight="1">
      <c r="B145" s="113" t="s">
        <v>105</v>
      </c>
      <c r="C145" s="46" t="s">
        <v>143</v>
      </c>
      <c r="D145" s="53">
        <v>2280333.7708455455</v>
      </c>
      <c r="E145" s="53">
        <v>2080924.9595480757</v>
      </c>
      <c r="F145" s="53">
        <v>3002426</v>
      </c>
      <c r="G145" s="53">
        <v>2561256.66</v>
      </c>
      <c r="H145" s="53">
        <v>2646131.14</v>
      </c>
      <c r="I145" s="53">
        <v>2631913.8717261972</v>
      </c>
      <c r="J145" s="53">
        <v>2197338.0709246383</v>
      </c>
      <c r="K145" s="53">
        <v>2392346.2574855019</v>
      </c>
      <c r="L145" s="53">
        <v>3046832.9210287556</v>
      </c>
      <c r="M145" s="53">
        <v>3023494.3178036427</v>
      </c>
      <c r="N145" s="53">
        <v>2818904.7254726402</v>
      </c>
      <c r="O145" s="400">
        <v>2812924.1556527931</v>
      </c>
      <c r="P145" s="427"/>
      <c r="Q145" s="428">
        <f>AVERAGE(D145:O145)</f>
        <v>2624568.9042073158</v>
      </c>
      <c r="S145" s="45"/>
    </row>
    <row r="146" spans="2:27" ht="20.45" customHeight="1">
      <c r="B146" s="140" t="s">
        <v>106</v>
      </c>
      <c r="C146" s="46" t="s">
        <v>143</v>
      </c>
      <c r="D146" s="53">
        <f t="shared" ref="D146:O146" si="77">D145/D25</f>
        <v>2203.2210346333773</v>
      </c>
      <c r="E146" s="53">
        <f t="shared" si="77"/>
        <v>1970.5728783599202</v>
      </c>
      <c r="F146" s="53">
        <f t="shared" si="77"/>
        <v>2867.6466093600766</v>
      </c>
      <c r="G146" s="53">
        <f t="shared" si="77"/>
        <v>2513.5001570166833</v>
      </c>
      <c r="H146" s="53">
        <f t="shared" si="77"/>
        <v>2625.1300992063493</v>
      </c>
      <c r="I146" s="53">
        <f t="shared" si="77"/>
        <v>2674.7092192339401</v>
      </c>
      <c r="J146" s="53">
        <f t="shared" si="77"/>
        <v>2260.6358754368707</v>
      </c>
      <c r="K146" s="53">
        <f t="shared" si="77"/>
        <v>2414.072913708882</v>
      </c>
      <c r="L146" s="53">
        <f t="shared" si="77"/>
        <v>3112.1888876698217</v>
      </c>
      <c r="M146" s="53">
        <f t="shared" si="77"/>
        <v>3172.6068392483135</v>
      </c>
      <c r="N146" s="53">
        <f t="shared" si="77"/>
        <v>2992.4678614359236</v>
      </c>
      <c r="O146" s="400">
        <f t="shared" si="77"/>
        <v>2879.1444786620195</v>
      </c>
      <c r="P146" s="427"/>
      <c r="Q146" s="428">
        <f>AVERAGE(D146:O146)</f>
        <v>2640.4914044976817</v>
      </c>
      <c r="S146" s="45"/>
    </row>
    <row r="147" spans="2:27" ht="32.25" customHeight="1">
      <c r="B147" s="146" t="s">
        <v>108</v>
      </c>
      <c r="C147" s="147"/>
      <c r="D147" s="148">
        <f>(D146-D143)/D143</f>
        <v>-2.0194508439508044E-2</v>
      </c>
      <c r="E147" s="148">
        <v>0.34600350408433383</v>
      </c>
      <c r="F147" s="148">
        <f t="shared" ref="F147:N147" si="78">(F146-F143)/F143</f>
        <v>0.29647196877260962</v>
      </c>
      <c r="G147" s="148">
        <f t="shared" si="78"/>
        <v>0.24227961535734002</v>
      </c>
      <c r="H147" s="148">
        <f t="shared" si="78"/>
        <v>0.11196314450106466</v>
      </c>
      <c r="I147" s="148">
        <f t="shared" si="78"/>
        <v>-5.6261649714745759E-2</v>
      </c>
      <c r="J147" s="148">
        <f t="shared" si="78"/>
        <v>-0.28824466725206777</v>
      </c>
      <c r="K147" s="148">
        <f t="shared" si="78"/>
        <v>-0.23125797564486392</v>
      </c>
      <c r="L147" s="148">
        <f>(L146-L143)/L143</f>
        <v>0.17562596800766092</v>
      </c>
      <c r="M147" s="148">
        <v>3.7936523561453626E-2</v>
      </c>
      <c r="N147" s="149">
        <f t="shared" si="78"/>
        <v>-1.0472770091712327E-4</v>
      </c>
      <c r="O147" s="415">
        <v>-0.10517930224693713</v>
      </c>
      <c r="P147" s="452"/>
      <c r="Q147" s="453">
        <f>(Q146-Q143)/Q143</f>
        <v>9.9577001754214394E-3</v>
      </c>
      <c r="S147" s="45"/>
    </row>
    <row r="148" spans="2:27" ht="20.45" customHeight="1">
      <c r="B148" s="150" t="s">
        <v>144</v>
      </c>
      <c r="C148" s="143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413"/>
      <c r="P148" s="449"/>
      <c r="Q148" s="450"/>
      <c r="S148" s="45"/>
    </row>
    <row r="149" spans="2:27" ht="20.45" customHeight="1">
      <c r="B149" s="113" t="s">
        <v>105</v>
      </c>
      <c r="C149" s="46" t="s">
        <v>143</v>
      </c>
      <c r="D149" s="53">
        <v>2811095.8751445799</v>
      </c>
      <c r="E149" s="53">
        <v>1052901.0911211018</v>
      </c>
      <c r="F149" s="53">
        <v>2834394.1426525973</v>
      </c>
      <c r="G149" s="53">
        <v>2425814.3395170402</v>
      </c>
      <c r="H149" s="53">
        <v>2828373.7334459992</v>
      </c>
      <c r="I149" s="53">
        <v>2890242.8540696404</v>
      </c>
      <c r="J149" s="53">
        <v>2689506.0776775088</v>
      </c>
      <c r="K149" s="53">
        <v>3108062.1171180485</v>
      </c>
      <c r="L149" s="53">
        <v>2781551.816914245</v>
      </c>
      <c r="M149" s="53">
        <v>3782924.6501289979</v>
      </c>
      <c r="N149" s="53">
        <v>3396320.0324684428</v>
      </c>
      <c r="O149" s="400">
        <v>3337320.2732569571</v>
      </c>
      <c r="P149" s="427"/>
      <c r="Q149" s="428">
        <f>AVERAGE(D149:O149)</f>
        <v>2828208.9169595968</v>
      </c>
      <c r="S149" s="45"/>
    </row>
    <row r="150" spans="2:27" ht="20.45" customHeight="1">
      <c r="B150" s="140" t="s">
        <v>106</v>
      </c>
      <c r="C150" s="46" t="s">
        <v>143</v>
      </c>
      <c r="D150" s="53">
        <f t="shared" ref="D150:O150" si="79">D149/D26</f>
        <v>2880.2211835497747</v>
      </c>
      <c r="E150" s="53">
        <f t="shared" si="79"/>
        <v>1123.6938005561385</v>
      </c>
      <c r="F150" s="53">
        <f t="shared" si="79"/>
        <v>2840.0742912350674</v>
      </c>
      <c r="G150" s="53">
        <f t="shared" si="79"/>
        <v>2413.7456114597417</v>
      </c>
      <c r="H150" s="53">
        <f t="shared" si="79"/>
        <v>2814.3022223343278</v>
      </c>
      <c r="I150" s="53">
        <f t="shared" si="79"/>
        <v>2890.2428540696405</v>
      </c>
      <c r="J150" s="53">
        <f t="shared" si="79"/>
        <v>2733.2378838186064</v>
      </c>
      <c r="K150" s="53">
        <f t="shared" si="79"/>
        <v>3104.9571599580904</v>
      </c>
      <c r="L150" s="53">
        <f t="shared" si="79"/>
        <v>2724.3406629914252</v>
      </c>
      <c r="M150" s="53">
        <f t="shared" si="79"/>
        <v>3582.3150095918541</v>
      </c>
      <c r="N150" s="53">
        <f t="shared" si="79"/>
        <v>3168.2089855116069</v>
      </c>
      <c r="O150" s="400">
        <f t="shared" si="79"/>
        <v>2783.4197441676038</v>
      </c>
      <c r="P150" s="427"/>
      <c r="Q150" s="428">
        <f>Q149/Q26</f>
        <v>2769.5860130173955</v>
      </c>
      <c r="S150" s="45"/>
    </row>
    <row r="151" spans="2:27" ht="30">
      <c r="B151" s="146" t="s">
        <v>141</v>
      </c>
      <c r="C151" s="147"/>
      <c r="D151" s="148">
        <f t="shared" ref="D151:M151" si="80">(D150-D146)/D146</f>
        <v>0.30727745345307683</v>
      </c>
      <c r="E151" s="148">
        <f t="shared" si="80"/>
        <v>-0.42976288119251244</v>
      </c>
      <c r="F151" s="148">
        <f t="shared" si="80"/>
        <v>-9.614963724962601E-3</v>
      </c>
      <c r="G151" s="148">
        <f>(G150-G146)/G146</f>
        <v>-3.9687503212787537E-2</v>
      </c>
      <c r="H151" s="148">
        <f t="shared" si="80"/>
        <v>7.206199920726615E-2</v>
      </c>
      <c r="I151" s="148">
        <f t="shared" si="80"/>
        <v>8.0582080955114502E-2</v>
      </c>
      <c r="J151" s="148">
        <f t="shared" si="80"/>
        <v>0.20905711243320191</v>
      </c>
      <c r="K151" s="148">
        <f t="shared" si="80"/>
        <v>0.28619029786791417</v>
      </c>
      <c r="L151" s="148">
        <f t="shared" si="80"/>
        <v>-0.12462232810322407</v>
      </c>
      <c r="M151" s="148">
        <f t="shared" si="80"/>
        <v>0.12913928233244712</v>
      </c>
      <c r="N151" s="148">
        <f>(N150-N146)/N146</f>
        <v>5.8727823393015355E-2</v>
      </c>
      <c r="O151" s="415">
        <f>(O150-O146)/O146</f>
        <v>-3.3247631441858189E-2</v>
      </c>
      <c r="P151" s="452"/>
      <c r="Q151" s="453">
        <f>(Q150-Q146)/Q146</f>
        <v>4.8890372564675072E-2</v>
      </c>
      <c r="S151" s="45"/>
    </row>
    <row r="152" spans="2:27" ht="20.25" customHeight="1">
      <c r="B152" s="150" t="s">
        <v>155</v>
      </c>
      <c r="C152" s="143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413"/>
      <c r="P152" s="449"/>
      <c r="Q152" s="450"/>
      <c r="S152" s="45"/>
    </row>
    <row r="153" spans="2:27" ht="20.45" customHeight="1">
      <c r="B153" s="113" t="s">
        <v>105</v>
      </c>
      <c r="C153" s="46" t="s">
        <v>143</v>
      </c>
      <c r="D153" s="53">
        <v>3595533.4883486386</v>
      </c>
      <c r="E153" s="53">
        <v>1963314.1759415069</v>
      </c>
      <c r="F153" s="53">
        <v>3821700</v>
      </c>
      <c r="G153" s="53">
        <v>3754059.1131757302</v>
      </c>
      <c r="H153" s="53">
        <v>3819946.8952155178</v>
      </c>
      <c r="I153" s="53">
        <v>3727967.057112027</v>
      </c>
      <c r="J153" s="53">
        <v>4313996.5364445867</v>
      </c>
      <c r="K153" s="53">
        <v>5083516.8269584244</v>
      </c>
      <c r="L153" s="53">
        <v>5095409.6934411256</v>
      </c>
      <c r="M153" s="53">
        <v>6159737.9014398195</v>
      </c>
      <c r="N153" s="53">
        <v>4698205.4546482004</v>
      </c>
      <c r="O153" s="400">
        <v>3447154.6392589826</v>
      </c>
      <c r="P153" s="423">
        <f>+SUM(D153:O153)</f>
        <v>49480541.781984553</v>
      </c>
      <c r="Q153" s="428">
        <f>AVERAGE(D153:O153)</f>
        <v>4123378.4818320461</v>
      </c>
      <c r="S153" s="45"/>
    </row>
    <row r="154" spans="2:27" ht="20.45" customHeight="1" thickBot="1">
      <c r="B154" s="62" t="s">
        <v>106</v>
      </c>
      <c r="C154" s="70" t="s">
        <v>143</v>
      </c>
      <c r="D154" s="71">
        <f t="shared" ref="D154:O154" si="81">+D153/D27</f>
        <v>2390.6472661892544</v>
      </c>
      <c r="E154" s="71">
        <f t="shared" si="81"/>
        <v>1148.8087629850829</v>
      </c>
      <c r="F154" s="71">
        <f t="shared" si="81"/>
        <v>1841.7831325301204</v>
      </c>
      <c r="G154" s="71">
        <f t="shared" si="81"/>
        <v>1746.8865114824246</v>
      </c>
      <c r="H154" s="71">
        <f t="shared" si="81"/>
        <v>1723.0252120954071</v>
      </c>
      <c r="I154" s="71">
        <f t="shared" si="81"/>
        <v>1672.4840991978588</v>
      </c>
      <c r="J154" s="71">
        <f t="shared" si="81"/>
        <v>1925.0319216620198</v>
      </c>
      <c r="K154" s="71">
        <f t="shared" si="81"/>
        <v>2306.4958380029148</v>
      </c>
      <c r="L154" s="71">
        <f t="shared" si="81"/>
        <v>2313.9916863946983</v>
      </c>
      <c r="M154" s="71">
        <f t="shared" si="81"/>
        <v>2730.3802754609128</v>
      </c>
      <c r="N154" s="71">
        <f t="shared" si="81"/>
        <v>2149.2248191437329</v>
      </c>
      <c r="O154" s="416">
        <f t="shared" si="81"/>
        <v>1561.2113402441043</v>
      </c>
      <c r="P154" s="423">
        <f>+SUM(D154:O154)</f>
        <v>23509.970865388528</v>
      </c>
      <c r="Q154" s="454">
        <f>Q153/Q27</f>
        <v>1965.0731446379884</v>
      </c>
      <c r="S154" s="45"/>
    </row>
    <row r="155" spans="2:27" ht="20.25" customHeight="1">
      <c r="B155" s="69" t="s">
        <v>190</v>
      </c>
      <c r="C155" s="8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397"/>
      <c r="P155" s="421"/>
      <c r="Q155" s="425"/>
      <c r="S155" s="45"/>
    </row>
    <row r="156" spans="2:27" ht="20.45" customHeight="1">
      <c r="B156" s="113" t="s">
        <v>105</v>
      </c>
      <c r="C156" s="46" t="s">
        <v>143</v>
      </c>
      <c r="D156" s="191">
        <v>2553245.4208610128</v>
      </c>
      <c r="E156" s="191">
        <v>3310063.9523935206</v>
      </c>
      <c r="F156" s="155">
        <v>3162603.6498893164</v>
      </c>
      <c r="G156" s="191">
        <v>2266161.0902508991</v>
      </c>
      <c r="H156" s="191">
        <v>1407999.3002463887</v>
      </c>
      <c r="I156" s="191">
        <v>2102365.4574804334</v>
      </c>
      <c r="J156" s="191">
        <v>3662564.0818065759</v>
      </c>
      <c r="K156" s="191">
        <v>4160070.6236172402</v>
      </c>
      <c r="L156" s="191">
        <v>4855833.8808547454</v>
      </c>
      <c r="M156" s="191">
        <v>3586469.4900163757</v>
      </c>
      <c r="N156" s="191">
        <v>3484550.8478583815</v>
      </c>
      <c r="O156" s="417">
        <v>4103327.18978624</v>
      </c>
      <c r="P156" s="423">
        <f>+SUM(D156:O156)</f>
        <v>38655254.985061131</v>
      </c>
      <c r="Q156" s="455">
        <f>AVERAGE(D156:O156)</f>
        <v>3221271.2487550941</v>
      </c>
      <c r="S156" s="45"/>
      <c r="AA156" s="764"/>
    </row>
    <row r="157" spans="2:27" ht="20.45" customHeight="1">
      <c r="B157" s="140" t="s">
        <v>106</v>
      </c>
      <c r="C157" s="46" t="s">
        <v>143</v>
      </c>
      <c r="D157" s="53">
        <f t="shared" ref="D157:O157" si="82">+D156/D28</f>
        <v>1470.7634912793853</v>
      </c>
      <c r="E157" s="53">
        <f t="shared" si="82"/>
        <v>1889.3059089004114</v>
      </c>
      <c r="F157" s="53">
        <f t="shared" si="82"/>
        <v>1807.202085651038</v>
      </c>
      <c r="G157" s="53">
        <f t="shared" si="82"/>
        <v>1294.9491944290851</v>
      </c>
      <c r="H157" s="53">
        <f t="shared" si="82"/>
        <v>856.44726292359405</v>
      </c>
      <c r="I157" s="53">
        <f t="shared" si="82"/>
        <v>1271.8484316276065</v>
      </c>
      <c r="J157" s="53">
        <f t="shared" si="82"/>
        <v>2169.7654513072134</v>
      </c>
      <c r="K157" s="53">
        <f t="shared" si="82"/>
        <v>2365.0202521985448</v>
      </c>
      <c r="L157" s="53">
        <f t="shared" si="82"/>
        <v>2708.2174460985752</v>
      </c>
      <c r="M157" s="53">
        <f t="shared" si="82"/>
        <v>1992.4830500090975</v>
      </c>
      <c r="N157" s="53">
        <f t="shared" si="82"/>
        <v>1948.853941755247</v>
      </c>
      <c r="O157" s="400">
        <f t="shared" si="82"/>
        <v>2269.5393748817701</v>
      </c>
      <c r="P157" s="423">
        <f>+SUM(D157:O157)</f>
        <v>22044.395891061566</v>
      </c>
      <c r="Q157" s="428">
        <f>+Q156/Q28</f>
        <v>1847.677213568239</v>
      </c>
      <c r="S157" s="45"/>
      <c r="AA157" s="765"/>
    </row>
    <row r="158" spans="2:27" ht="30.75" thickBot="1">
      <c r="B158" s="73" t="s">
        <v>194</v>
      </c>
      <c r="C158" s="118"/>
      <c r="D158" s="75">
        <f>(D157-D154)/D154</f>
        <v>-0.38478440040892548</v>
      </c>
      <c r="E158" s="75">
        <f>(E157-E154)/E154</f>
        <v>0.64457825338240715</v>
      </c>
      <c r="F158" s="75">
        <f t="shared" ref="F158:Q158" si="83">(F157-F154)/F154</f>
        <v>-1.8775851656094376E-2</v>
      </c>
      <c r="G158" s="75">
        <f t="shared" si="83"/>
        <v>-0.25871017612347419</v>
      </c>
      <c r="H158" s="75">
        <f t="shared" si="83"/>
        <v>-0.502939796288848</v>
      </c>
      <c r="I158" s="75">
        <f t="shared" si="83"/>
        <v>-0.23954527744831861</v>
      </c>
      <c r="J158" s="75">
        <f t="shared" si="83"/>
        <v>0.12713219292171393</v>
      </c>
      <c r="K158" s="75">
        <f t="shared" si="83"/>
        <v>2.5373735010206448E-2</v>
      </c>
      <c r="L158" s="75">
        <f t="shared" si="83"/>
        <v>0.17036610892846302</v>
      </c>
      <c r="M158" s="75">
        <f t="shared" si="83"/>
        <v>-0.27025437888033804</v>
      </c>
      <c r="N158" s="75">
        <f t="shared" si="83"/>
        <v>-9.3229370703207859E-2</v>
      </c>
      <c r="O158" s="410">
        <f t="shared" si="83"/>
        <v>0.45370413113122443</v>
      </c>
      <c r="P158" s="447">
        <f>(P157-P154)/P154</f>
        <v>-6.233844281298484E-2</v>
      </c>
      <c r="Q158" s="445">
        <f t="shared" si="83"/>
        <v>-5.9741252578858289E-2</v>
      </c>
      <c r="S158" s="45"/>
      <c r="AA158" s="764"/>
    </row>
    <row r="159" spans="2:27" ht="20.25" customHeight="1">
      <c r="B159" s="69" t="s">
        <v>276</v>
      </c>
      <c r="C159" s="8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397"/>
      <c r="P159" s="421"/>
      <c r="Q159" s="425"/>
      <c r="S159" s="45"/>
      <c r="AA159" s="768"/>
    </row>
    <row r="160" spans="2:27" ht="20.45" customHeight="1">
      <c r="B160" s="113" t="s">
        <v>105</v>
      </c>
      <c r="C160" s="46" t="s">
        <v>143</v>
      </c>
      <c r="D160" s="191">
        <v>3762366.8979904042</v>
      </c>
      <c r="E160" s="191">
        <v>1845781.0732105989</v>
      </c>
      <c r="F160" s="278">
        <v>3758495.9343637316</v>
      </c>
      <c r="G160" s="191">
        <v>3654799.2546649696</v>
      </c>
      <c r="H160" s="191">
        <v>4167333.1009521214</v>
      </c>
      <c r="I160" s="191">
        <v>5099646.7492576521</v>
      </c>
      <c r="J160" s="191">
        <v>4382317.7469792012</v>
      </c>
      <c r="K160" s="191">
        <v>3669060.1919087307</v>
      </c>
      <c r="L160" s="191">
        <v>3003252.2198854107</v>
      </c>
      <c r="M160" s="191">
        <v>2849265.419765864</v>
      </c>
      <c r="N160" s="191">
        <v>2655200.5414245822</v>
      </c>
      <c r="O160" s="417">
        <v>3431661.2466219934</v>
      </c>
      <c r="P160" s="777">
        <f t="shared" ref="P160:P161" si="84">+SUM(D160:O160)</f>
        <v>42279180.377025262</v>
      </c>
      <c r="Q160" s="778">
        <f t="shared" ref="Q160:Q161" si="85">AVERAGE(D160:O160)</f>
        <v>3523265.0314187719</v>
      </c>
      <c r="R160" s="40" t="s">
        <v>347</v>
      </c>
      <c r="S160" s="45" t="s">
        <v>294</v>
      </c>
      <c r="T160" s="489">
        <f>(P160-P156)/P156</f>
        <v>9.3749876785566344E-2</v>
      </c>
      <c r="AA160" s="764"/>
    </row>
    <row r="161" spans="2:29" ht="20.45" customHeight="1">
      <c r="B161" s="140" t="s">
        <v>106</v>
      </c>
      <c r="C161" s="46" t="s">
        <v>143</v>
      </c>
      <c r="D161" s="53">
        <v>2156.0841822294578</v>
      </c>
      <c r="E161" s="53">
        <v>1047.5488497222468</v>
      </c>
      <c r="F161" s="53">
        <v>1903.9999667496108</v>
      </c>
      <c r="G161" s="53">
        <v>1769.8785736876366</v>
      </c>
      <c r="H161" s="53">
        <v>1958.3332241316359</v>
      </c>
      <c r="I161" s="53">
        <v>2413.4627303632997</v>
      </c>
      <c r="J161" s="53">
        <v>2124.2451512259822</v>
      </c>
      <c r="K161" s="53">
        <v>2935.2481535269844</v>
      </c>
      <c r="L161" s="53">
        <v>2558.1364734969429</v>
      </c>
      <c r="M161" s="53">
        <v>1607.9375958046637</v>
      </c>
      <c r="N161" s="53">
        <v>1516.3909431322572</v>
      </c>
      <c r="O161" s="53">
        <v>2026.9706122988739</v>
      </c>
      <c r="P161" s="777">
        <f t="shared" si="84"/>
        <v>24018.236456369592</v>
      </c>
      <c r="Q161" s="778">
        <f t="shared" si="85"/>
        <v>2001.5197046974661</v>
      </c>
      <c r="R161" s="537"/>
      <c r="S161" s="45"/>
    </row>
    <row r="162" spans="2:29" ht="33" customHeight="1" thickBot="1">
      <c r="B162" s="73" t="s">
        <v>307</v>
      </c>
      <c r="C162" s="118"/>
      <c r="D162" s="75">
        <f>(D161-D157)/D157</f>
        <v>0.46596253919379443</v>
      </c>
      <c r="E162" s="75">
        <f>(E161-E157)/E157</f>
        <v>-0.44553772642783551</v>
      </c>
      <c r="F162" s="75">
        <f t="shared" ref="F162:O162" si="86">(F161-F157)/F157</f>
        <v>5.3562289390398601E-2</v>
      </c>
      <c r="G162" s="75">
        <f t="shared" si="86"/>
        <v>0.36675522198223193</v>
      </c>
      <c r="H162" s="75">
        <f t="shared" si="86"/>
        <v>1.2865777134328282</v>
      </c>
      <c r="I162" s="75">
        <f t="shared" si="86"/>
        <v>0.8976024739636228</v>
      </c>
      <c r="J162" s="75">
        <f t="shared" si="86"/>
        <v>-2.0979364407248118E-2</v>
      </c>
      <c r="K162" s="75">
        <f t="shared" si="86"/>
        <v>0.24110909866346833</v>
      </c>
      <c r="L162" s="75">
        <f t="shared" si="86"/>
        <v>-5.5416884201022011E-2</v>
      </c>
      <c r="M162" s="75">
        <f t="shared" si="86"/>
        <v>-0.19299810565649628</v>
      </c>
      <c r="N162" s="373">
        <f>(N161-N157)/N157</f>
        <v>-0.22190631599281851</v>
      </c>
      <c r="O162" s="410">
        <f t="shared" si="86"/>
        <v>-0.1068801736896645</v>
      </c>
      <c r="P162" s="456">
        <f>(P161-P157)/P157</f>
        <v>8.9539335759632577E-2</v>
      </c>
      <c r="Q162" s="457">
        <f>(Q161-Q157)/Q157</f>
        <v>8.3262644578554937E-2</v>
      </c>
      <c r="R162" s="538"/>
      <c r="S162" s="45"/>
      <c r="AC162" s="764"/>
    </row>
    <row r="163" spans="2:29" ht="20.25" customHeight="1">
      <c r="B163" s="69" t="s">
        <v>382</v>
      </c>
      <c r="C163" s="8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397"/>
      <c r="P163" s="421"/>
      <c r="Q163" s="425"/>
      <c r="S163" s="45"/>
      <c r="AA163" s="768"/>
    </row>
    <row r="164" spans="2:29" ht="20.45" customHeight="1">
      <c r="B164" s="113" t="s">
        <v>105</v>
      </c>
      <c r="C164" s="46" t="s">
        <v>143</v>
      </c>
      <c r="D164" s="191">
        <v>2851130.2329326407</v>
      </c>
      <c r="E164" s="191">
        <v>2777561.5228135386</v>
      </c>
      <c r="F164" s="278">
        <v>3761868.8329361714</v>
      </c>
      <c r="G164" s="191">
        <v>3708916.48584913</v>
      </c>
      <c r="H164" s="191">
        <v>4103706.0140304016</v>
      </c>
      <c r="I164" s="191">
        <v>4188571.2804019158</v>
      </c>
      <c r="J164" s="191">
        <v>5217748.1727622142</v>
      </c>
      <c r="K164" s="191">
        <v>5036640.3148392616</v>
      </c>
      <c r="L164" s="191">
        <v>2960896.0483610914</v>
      </c>
      <c r="M164" s="191">
        <v>3309058.3785704174</v>
      </c>
      <c r="N164" s="191">
        <v>2571976.0326209906</v>
      </c>
      <c r="O164" s="417">
        <v>2951761.0038972753</v>
      </c>
      <c r="P164" s="777">
        <f t="shared" ref="P164:P165" si="87">+SUM(D164:O164)</f>
        <v>43439834.320015043</v>
      </c>
      <c r="Q164" s="778">
        <f t="shared" ref="Q164:Q165" si="88">AVERAGE(D164:O164)</f>
        <v>3619986.1933345869</v>
      </c>
      <c r="R164" s="40" t="s">
        <v>347</v>
      </c>
      <c r="S164" s="45" t="s">
        <v>294</v>
      </c>
      <c r="T164" s="489">
        <f>(P164-P156)/P156</f>
        <v>0.123775650601787</v>
      </c>
      <c r="AA164" s="764"/>
    </row>
    <row r="165" spans="2:29" ht="20.45" customHeight="1">
      <c r="B165" s="140" t="s">
        <v>106</v>
      </c>
      <c r="C165" s="46" t="s">
        <v>143</v>
      </c>
      <c r="D165" s="555">
        <v>1840.6263608345</v>
      </c>
      <c r="E165" s="555">
        <v>1700.8949925373781</v>
      </c>
      <c r="F165" s="555">
        <v>2310.7302413612847</v>
      </c>
      <c r="G165" s="555">
        <v>2316.6249130850283</v>
      </c>
      <c r="H165" s="555">
        <v>2464.6882967149559</v>
      </c>
      <c r="I165" s="555">
        <v>2455.200047128907</v>
      </c>
      <c r="J165" s="555">
        <v>3147.0133731979581</v>
      </c>
      <c r="K165" s="555">
        <v>3028.6472127716547</v>
      </c>
      <c r="L165" s="555">
        <v>1888.3265614547777</v>
      </c>
      <c r="M165" s="555">
        <v>2189.979072515167</v>
      </c>
      <c r="N165" s="555">
        <v>1753.2215627954947</v>
      </c>
      <c r="O165" s="555">
        <v>1991.7415680818322</v>
      </c>
      <c r="P165" s="777">
        <f t="shared" si="87"/>
        <v>27087.694202478939</v>
      </c>
      <c r="Q165" s="778">
        <f t="shared" si="88"/>
        <v>2257.3078502065782</v>
      </c>
      <c r="R165" s="537"/>
      <c r="S165" s="45"/>
    </row>
    <row r="166" spans="2:29" ht="33" customHeight="1" thickBot="1">
      <c r="B166" s="73" t="s">
        <v>383</v>
      </c>
      <c r="C166" s="118"/>
      <c r="D166" s="572">
        <v>-0.14631053091292784</v>
      </c>
      <c r="E166" s="572">
        <v>0.6236903825424116</v>
      </c>
      <c r="F166" s="572">
        <v>0.21361884543833171</v>
      </c>
      <c r="G166" s="572">
        <v>0.30891742943597339</v>
      </c>
      <c r="H166" s="572">
        <v>0.25856430680118186</v>
      </c>
      <c r="I166" s="572">
        <v>1.7293541035673932E-2</v>
      </c>
      <c r="J166" s="572">
        <v>0.48147372321019427</v>
      </c>
      <c r="K166" s="572">
        <v>3.1819817051053176E-2</v>
      </c>
      <c r="L166" s="572">
        <v>-0.26183509714262543</v>
      </c>
      <c r="M166" s="572">
        <v>0.36198014041660054</v>
      </c>
      <c r="N166" s="572">
        <v>0.15618044986079918</v>
      </c>
      <c r="O166" s="572">
        <v>-1.7380145525191893E-2</v>
      </c>
      <c r="P166" s="573">
        <f>(P165-P157)/P157</f>
        <v>0.22877915713091962</v>
      </c>
      <c r="Q166" s="574">
        <f>(Q165-Q157)/Q157</f>
        <v>0.22170032386082167</v>
      </c>
      <c r="R166" s="538"/>
      <c r="S166" s="45"/>
      <c r="AC166" s="764"/>
    </row>
    <row r="167" spans="2:29" ht="20.25" customHeight="1">
      <c r="B167" s="727" t="s">
        <v>496</v>
      </c>
      <c r="C167" s="8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397"/>
      <c r="P167" s="421"/>
      <c r="Q167" s="425"/>
      <c r="S167" s="45"/>
      <c r="AA167" s="768"/>
    </row>
    <row r="168" spans="2:29" ht="20.45" customHeight="1">
      <c r="B168" s="113" t="s">
        <v>105</v>
      </c>
      <c r="C168" s="46" t="s">
        <v>143</v>
      </c>
      <c r="D168" s="191">
        <v>1082195.3803715366</v>
      </c>
      <c r="E168" s="191">
        <v>2430915.0280329222</v>
      </c>
      <c r="F168" s="278">
        <v>3731025.3922047447</v>
      </c>
      <c r="G168" s="191">
        <v>3053959.4604948745</v>
      </c>
      <c r="H168" s="191">
        <v>3062774.2232137639</v>
      </c>
      <c r="I168" s="191">
        <v>2853350.8021899518</v>
      </c>
      <c r="J168" s="191">
        <v>3493677.0866873884</v>
      </c>
      <c r="K168" s="191">
        <v>3505637.1122258869</v>
      </c>
      <c r="L168" s="191">
        <v>2516137.9571198728</v>
      </c>
      <c r="M168" s="191">
        <v>3396755.0814104276</v>
      </c>
      <c r="N168" s="155">
        <v>2709697.4562138538</v>
      </c>
      <c r="O168" s="868">
        <v>2816962.9667977733</v>
      </c>
      <c r="P168" s="775">
        <f t="shared" ref="P168:P169" si="89">+SUM(D168:O168)</f>
        <v>34653087.946962997</v>
      </c>
      <c r="Q168" s="776">
        <f t="shared" ref="Q168:Q169" si="90">AVERAGE(D168:O168)</f>
        <v>2887757.328913583</v>
      </c>
      <c r="R168" s="40" t="s">
        <v>347</v>
      </c>
      <c r="S168" s="45" t="s">
        <v>294</v>
      </c>
      <c r="T168" s="489">
        <f>(P168-P160)/P160</f>
        <v>-0.18037465159107779</v>
      </c>
      <c r="AA168" s="764"/>
    </row>
    <row r="169" spans="2:29" ht="20.45" customHeight="1">
      <c r="B169" s="140" t="s">
        <v>106</v>
      </c>
      <c r="C169" s="46" t="s">
        <v>143</v>
      </c>
      <c r="D169" s="555">
        <f t="shared" ref="D169:J169" si="91">+D168/D31</f>
        <v>775.76729775737385</v>
      </c>
      <c r="E169" s="555">
        <f t="shared" si="91"/>
        <v>1758.983377737281</v>
      </c>
      <c r="F169" s="555">
        <f t="shared" si="91"/>
        <v>2765.7712321754966</v>
      </c>
      <c r="G169" s="555">
        <f t="shared" si="91"/>
        <v>2311.8542471573614</v>
      </c>
      <c r="H169" s="555">
        <f t="shared" si="91"/>
        <v>2411.633246625011</v>
      </c>
      <c r="I169" s="555">
        <f t="shared" si="91"/>
        <v>2329.2659609713892</v>
      </c>
      <c r="J169" s="555">
        <f t="shared" si="91"/>
        <v>2882.5718537024654</v>
      </c>
      <c r="K169" s="555">
        <f t="shared" ref="K169:L169" si="92">+K168/K31</f>
        <v>2847.7961918975525</v>
      </c>
      <c r="L169" s="555">
        <f t="shared" si="92"/>
        <v>2079.452857123862</v>
      </c>
      <c r="M169" s="555">
        <f t="shared" ref="M169:N169" si="93">+M168/M31</f>
        <v>2816.5465019986964</v>
      </c>
      <c r="N169" s="555">
        <f t="shared" si="93"/>
        <v>2271.3306422580499</v>
      </c>
      <c r="O169" s="555">
        <f t="shared" ref="O169" si="94">+O168/O31</f>
        <v>2271.7443280627203</v>
      </c>
      <c r="P169" s="775">
        <f t="shared" si="89"/>
        <v>27522.717737467257</v>
      </c>
      <c r="Q169" s="776">
        <f t="shared" si="90"/>
        <v>2293.5598114556046</v>
      </c>
      <c r="R169" s="537"/>
      <c r="S169" s="45"/>
    </row>
    <row r="170" spans="2:29" ht="33" customHeight="1" thickBot="1">
      <c r="B170" s="728" t="s">
        <v>497</v>
      </c>
      <c r="C170" s="729"/>
      <c r="D170" s="763">
        <f t="shared" ref="D170:J170" si="95">+(D169-D165)/D165</f>
        <v>-0.57853081197551803</v>
      </c>
      <c r="E170" s="763">
        <f t="shared" si="95"/>
        <v>3.4151658658978817E-2</v>
      </c>
      <c r="F170" s="763">
        <f t="shared" si="95"/>
        <v>0.19692518956524352</v>
      </c>
      <c r="G170" s="763">
        <f t="shared" si="95"/>
        <v>-2.0593173718890111E-3</v>
      </c>
      <c r="H170" s="763">
        <f t="shared" si="95"/>
        <v>-2.1526068899121627E-2</v>
      </c>
      <c r="I170" s="763">
        <f t="shared" si="95"/>
        <v>-5.1292800480671329E-2</v>
      </c>
      <c r="J170" s="763">
        <f t="shared" si="95"/>
        <v>-8.4029359947323745E-2</v>
      </c>
      <c r="K170" s="763">
        <f t="shared" ref="K170:L170" si="96">+(K169-K165)/K165</f>
        <v>-5.9713465507459061E-2</v>
      </c>
      <c r="L170" s="763">
        <f t="shared" si="96"/>
        <v>0.10121464134987307</v>
      </c>
      <c r="M170" s="763">
        <f t="shared" ref="M170:N170" si="97">+(M169-M165)/M165</f>
        <v>0.28610658309347387</v>
      </c>
      <c r="N170" s="763">
        <f t="shared" si="97"/>
        <v>0.2955183135190485</v>
      </c>
      <c r="O170" s="763">
        <f t="shared" ref="O170" si="98">+(O169-O165)/O165</f>
        <v>0.14058187290359553</v>
      </c>
      <c r="P170" s="763">
        <f>+(P169-P165)/P165</f>
        <v>1.6059821546143539E-2</v>
      </c>
      <c r="Q170" s="763">
        <f t="shared" ref="Q170" si="99">+(Q169-Q165)/Q165</f>
        <v>1.6059821546143473E-2</v>
      </c>
      <c r="R170" s="538"/>
      <c r="S170" s="45"/>
      <c r="AC170" s="764"/>
    </row>
    <row r="171" spans="2:29" ht="20.45" customHeight="1">
      <c r="B171" s="141" t="s">
        <v>109</v>
      </c>
      <c r="C171" s="137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12"/>
      <c r="P171" s="448"/>
      <c r="Q171" s="422"/>
      <c r="R171" s="538" t="s">
        <v>325</v>
      </c>
      <c r="S171" s="45"/>
    </row>
    <row r="172" spans="2:29" ht="20.45" customHeight="1">
      <c r="B172" s="535" t="s">
        <v>110</v>
      </c>
      <c r="C172" s="81"/>
      <c r="D172" s="72">
        <f>D39/D24</f>
        <v>1504.8250113122172</v>
      </c>
      <c r="E172" s="72">
        <v>879.11055492638729</v>
      </c>
      <c r="F172" s="72">
        <f t="shared" ref="F172:L172" si="100">F39/F24</f>
        <v>1479.4150593824227</v>
      </c>
      <c r="G172" s="72">
        <f t="shared" si="100"/>
        <v>1440.482447980417</v>
      </c>
      <c r="H172" s="72">
        <f t="shared" si="100"/>
        <v>1531.9844968944099</v>
      </c>
      <c r="I172" s="72">
        <f t="shared" si="100"/>
        <v>1790.7688681592051</v>
      </c>
      <c r="J172" s="72">
        <f t="shared" si="100"/>
        <v>2237.7225059382422</v>
      </c>
      <c r="K172" s="72">
        <f t="shared" si="100"/>
        <v>1913.6315846456689</v>
      </c>
      <c r="L172" s="72">
        <f t="shared" si="100"/>
        <v>2294.4481961147085</v>
      </c>
      <c r="M172" s="72">
        <v>3174.9424436090221</v>
      </c>
      <c r="N172" s="72">
        <f>N39/N24</f>
        <v>2334.7694751908389</v>
      </c>
      <c r="O172" s="418">
        <v>2327.7826445497631</v>
      </c>
      <c r="P172" s="458"/>
      <c r="Q172" s="428">
        <f t="shared" ref="Q172:Q179" si="101">AVERAGE(D172:O172)</f>
        <v>1909.1569407252753</v>
      </c>
      <c r="S172" s="45"/>
    </row>
    <row r="173" spans="2:29" ht="20.45" customHeight="1">
      <c r="B173" s="535" t="s">
        <v>111</v>
      </c>
      <c r="C173" s="81" t="s">
        <v>143</v>
      </c>
      <c r="D173" s="72">
        <f t="shared" ref="D173:O173" si="102">D46/D25</f>
        <v>1904.811729468599</v>
      </c>
      <c r="E173" s="72">
        <f t="shared" si="102"/>
        <v>1378.3737878787879</v>
      </c>
      <c r="F173" s="72">
        <f t="shared" si="102"/>
        <v>1706.7540496657116</v>
      </c>
      <c r="G173" s="72">
        <f t="shared" si="102"/>
        <v>2024.1474877330718</v>
      </c>
      <c r="H173" s="72">
        <f t="shared" si="102"/>
        <v>1773.4080059523808</v>
      </c>
      <c r="I173" s="72">
        <f t="shared" si="102"/>
        <v>1498.0920934959352</v>
      </c>
      <c r="J173" s="72">
        <f t="shared" si="102"/>
        <v>1809.8589711934155</v>
      </c>
      <c r="K173" s="72">
        <f t="shared" si="102"/>
        <v>2346.2772956609479</v>
      </c>
      <c r="L173" s="72">
        <f t="shared" si="102"/>
        <v>2923.9938222676196</v>
      </c>
      <c r="M173" s="72">
        <f t="shared" si="102"/>
        <v>2714.5318216159517</v>
      </c>
      <c r="N173" s="72">
        <f t="shared" si="102"/>
        <v>2196.5406242038225</v>
      </c>
      <c r="O173" s="418">
        <f t="shared" si="102"/>
        <v>2686.3686775844417</v>
      </c>
      <c r="P173" s="458"/>
      <c r="Q173" s="428">
        <f t="shared" si="101"/>
        <v>2080.2631972267241</v>
      </c>
      <c r="S173" s="45"/>
    </row>
    <row r="174" spans="2:29" ht="20.45" customHeight="1">
      <c r="B174" s="535" t="s">
        <v>133</v>
      </c>
      <c r="C174" s="81" t="s">
        <v>143</v>
      </c>
      <c r="D174" s="72">
        <f t="shared" ref="D174:O174" si="103">+D54/D26</f>
        <v>2066.0887704918032</v>
      </c>
      <c r="E174" s="72">
        <f t="shared" si="103"/>
        <v>1432.150448239061</v>
      </c>
      <c r="F174" s="72">
        <f t="shared" si="103"/>
        <v>2208.0876853707423</v>
      </c>
      <c r="G174" s="72">
        <f t="shared" si="103"/>
        <v>1996.8183830845771</v>
      </c>
      <c r="H174" s="72">
        <f t="shared" si="103"/>
        <v>2376.4049990049739</v>
      </c>
      <c r="I174" s="72">
        <f t="shared" si="103"/>
        <v>2151.8905</v>
      </c>
      <c r="J174" s="72">
        <f t="shared" si="103"/>
        <v>2003.089166666666</v>
      </c>
      <c r="K174" s="72">
        <f t="shared" si="103"/>
        <v>2648.8942257742269</v>
      </c>
      <c r="L174" s="72">
        <f t="shared" si="103"/>
        <v>2340.8043682664047</v>
      </c>
      <c r="M174" s="72">
        <f t="shared" si="103"/>
        <v>3330.7499526515157</v>
      </c>
      <c r="N174" s="72">
        <f t="shared" si="103"/>
        <v>2925.3102518656724</v>
      </c>
      <c r="O174" s="418">
        <f t="shared" si="103"/>
        <v>2339.7961017514594</v>
      </c>
      <c r="P174" s="458"/>
      <c r="Q174" s="428">
        <f t="shared" si="101"/>
        <v>2318.3404044305921</v>
      </c>
      <c r="S174" s="45"/>
    </row>
    <row r="175" spans="2:29" ht="20.25" customHeight="1">
      <c r="B175" s="535" t="s">
        <v>156</v>
      </c>
      <c r="C175" s="81" t="s">
        <v>143</v>
      </c>
      <c r="D175" s="72">
        <f t="shared" ref="D175:O175" si="104">+D62/D27</f>
        <v>2562.7557513297875</v>
      </c>
      <c r="E175" s="72">
        <f t="shared" si="104"/>
        <v>714.82921591574041</v>
      </c>
      <c r="F175" s="72">
        <f t="shared" si="104"/>
        <v>1467.7821734939753</v>
      </c>
      <c r="G175" s="72">
        <f t="shared" si="104"/>
        <v>1363.0399283387621</v>
      </c>
      <c r="H175" s="72">
        <f t="shared" si="104"/>
        <v>1560.0944047812363</v>
      </c>
      <c r="I175" s="72">
        <f t="shared" si="104"/>
        <v>1314.119697622252</v>
      </c>
      <c r="J175" s="72">
        <f t="shared" si="104"/>
        <v>1656.4604243641234</v>
      </c>
      <c r="K175" s="72">
        <f t="shared" si="104"/>
        <v>2019.4385738153267</v>
      </c>
      <c r="L175" s="72">
        <f t="shared" si="104"/>
        <v>2244.0481907356948</v>
      </c>
      <c r="M175" s="72">
        <f t="shared" si="104"/>
        <v>2559.802384751772</v>
      </c>
      <c r="N175" s="72">
        <f t="shared" si="104"/>
        <v>1589.1511148215923</v>
      </c>
      <c r="O175" s="418">
        <f t="shared" si="104"/>
        <v>1749.489072463768</v>
      </c>
      <c r="P175" s="423">
        <f>+SUM(D175:O175)</f>
        <v>20801.01093243403</v>
      </c>
      <c r="Q175" s="428">
        <f t="shared" si="101"/>
        <v>1733.4175777028358</v>
      </c>
      <c r="S175" s="45"/>
    </row>
    <row r="176" spans="2:29" ht="20.25" customHeight="1">
      <c r="B176" s="535" t="s">
        <v>278</v>
      </c>
      <c r="C176" s="81" t="s">
        <v>143</v>
      </c>
      <c r="D176" s="72">
        <f t="shared" ref="D176:O176" si="105">+D70/D28</f>
        <v>1655.5807603686633</v>
      </c>
      <c r="E176" s="72">
        <f t="shared" si="105"/>
        <v>1605.1147248858438</v>
      </c>
      <c r="F176" s="72">
        <f t="shared" si="105"/>
        <v>1363.6352982857147</v>
      </c>
      <c r="G176" s="72">
        <f t="shared" si="105"/>
        <v>847.45209142857129</v>
      </c>
      <c r="H176" s="72">
        <f t="shared" si="105"/>
        <v>954.64245985401453</v>
      </c>
      <c r="I176" s="72">
        <f t="shared" si="105"/>
        <v>1123.3236439201448</v>
      </c>
      <c r="J176" s="72">
        <f t="shared" si="105"/>
        <v>2865.3439754739329</v>
      </c>
      <c r="K176" s="72">
        <f t="shared" si="105"/>
        <v>2600.5086748152362</v>
      </c>
      <c r="L176" s="72">
        <f t="shared" si="105"/>
        <v>2530.5144166201894</v>
      </c>
      <c r="M176" s="72">
        <f t="shared" si="105"/>
        <v>2273.7338572222216</v>
      </c>
      <c r="N176" s="72">
        <f t="shared" si="105"/>
        <v>1887.5464636465326</v>
      </c>
      <c r="O176" s="418">
        <f t="shared" si="105"/>
        <v>1686.2563203028542</v>
      </c>
      <c r="P176" s="423">
        <f>+SUM(D176:O176)</f>
        <v>21393.65268682392</v>
      </c>
      <c r="Q176" s="428">
        <f t="shared" si="101"/>
        <v>1782.80439056866</v>
      </c>
      <c r="R176" s="537" t="s">
        <v>324</v>
      </c>
      <c r="S176" s="45"/>
    </row>
    <row r="177" spans="2:19" ht="20.25" customHeight="1">
      <c r="B177" s="535" t="s">
        <v>279</v>
      </c>
      <c r="C177" s="81" t="s">
        <v>143</v>
      </c>
      <c r="D177" s="72">
        <v>2169.6240708309456</v>
      </c>
      <c r="E177" s="72">
        <v>908.58325175936443</v>
      </c>
      <c r="F177" s="72">
        <v>1977.7872917933141</v>
      </c>
      <c r="G177" s="72">
        <v>1699.559798951361</v>
      </c>
      <c r="H177" s="72">
        <v>1691.9184052631585</v>
      </c>
      <c r="I177" s="72">
        <v>1861.8612757217243</v>
      </c>
      <c r="J177" s="72">
        <v>2441.4714331462919</v>
      </c>
      <c r="K177" s="72">
        <v>4479.5103921600021</v>
      </c>
      <c r="L177" s="72">
        <v>2957.6054272572383</v>
      </c>
      <c r="M177" s="72">
        <v>1720.4073936230259</v>
      </c>
      <c r="N177" s="72">
        <v>1693.6377275842385</v>
      </c>
      <c r="O177" s="72">
        <v>1539.5275891317212</v>
      </c>
      <c r="P177" s="775">
        <f>+SUM(D177:O177)</f>
        <v>25141.494057222386</v>
      </c>
      <c r="Q177" s="776">
        <f t="shared" si="101"/>
        <v>2095.124504768532</v>
      </c>
      <c r="S177" s="45"/>
    </row>
    <row r="178" spans="2:19" ht="20.25" customHeight="1">
      <c r="B178" s="535" t="s">
        <v>384</v>
      </c>
      <c r="C178" s="81" t="s">
        <v>143</v>
      </c>
      <c r="D178" s="554">
        <v>2452.5101342801804</v>
      </c>
      <c r="E178" s="554">
        <v>1383.7942094304967</v>
      </c>
      <c r="F178" s="554">
        <v>2088.9553808353803</v>
      </c>
      <c r="G178" s="554">
        <v>2496.1093154278574</v>
      </c>
      <c r="H178" s="554">
        <v>2311.3832672672675</v>
      </c>
      <c r="I178" s="554">
        <v>2789.6938911684279</v>
      </c>
      <c r="J178" s="554">
        <v>3436.1569427020531</v>
      </c>
      <c r="K178" s="554">
        <v>3562.6673398977732</v>
      </c>
      <c r="L178" s="554">
        <v>2498.1399220875855</v>
      </c>
      <c r="M178" s="554">
        <v>2548.2243955106992</v>
      </c>
      <c r="N178" s="554">
        <v>1621.7978922972068</v>
      </c>
      <c r="O178" s="554">
        <v>1915.2410957489299</v>
      </c>
      <c r="P178" s="775">
        <f t="shared" ref="P178:P179" si="106">+SUM(D178:O178)</f>
        <v>29104.673786653861</v>
      </c>
      <c r="Q178" s="776">
        <f t="shared" si="101"/>
        <v>2425.389482221155</v>
      </c>
      <c r="S178" s="45"/>
    </row>
    <row r="179" spans="2:19" ht="20.25" customHeight="1">
      <c r="B179" s="92" t="s">
        <v>498</v>
      </c>
      <c r="C179" s="81" t="s">
        <v>143</v>
      </c>
      <c r="D179" s="554">
        <f t="shared" ref="D179:O180" si="107">+D102/D31</f>
        <v>0</v>
      </c>
      <c r="E179" s="554">
        <f t="shared" si="107"/>
        <v>0</v>
      </c>
      <c r="F179" s="554">
        <f t="shared" si="107"/>
        <v>0</v>
      </c>
      <c r="G179" s="554">
        <f t="shared" si="107"/>
        <v>0</v>
      </c>
      <c r="H179" s="554">
        <f t="shared" si="107"/>
        <v>0</v>
      </c>
      <c r="I179" s="554">
        <f t="shared" si="107"/>
        <v>0</v>
      </c>
      <c r="J179" s="554">
        <f t="shared" si="107"/>
        <v>0</v>
      </c>
      <c r="K179" s="554">
        <f t="shared" si="107"/>
        <v>0</v>
      </c>
      <c r="L179" s="554">
        <f t="shared" si="107"/>
        <v>0</v>
      </c>
      <c r="M179" s="554">
        <f t="shared" si="107"/>
        <v>0</v>
      </c>
      <c r="N179" s="554">
        <f t="shared" si="107"/>
        <v>0</v>
      </c>
      <c r="O179" s="554">
        <f t="shared" si="107"/>
        <v>0</v>
      </c>
      <c r="P179" s="775">
        <f t="shared" si="106"/>
        <v>0</v>
      </c>
      <c r="Q179" s="776">
        <f t="shared" si="101"/>
        <v>0</v>
      </c>
      <c r="S179" s="45"/>
    </row>
    <row r="180" spans="2:19" ht="20.25" customHeight="1">
      <c r="B180" s="92" t="s">
        <v>637</v>
      </c>
      <c r="C180" s="81" t="s">
        <v>143</v>
      </c>
      <c r="D180" s="554" t="e">
        <f t="shared" si="107"/>
        <v>#DIV/0!</v>
      </c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890"/>
      <c r="Q180" s="891"/>
      <c r="S180" s="45"/>
    </row>
    <row r="181" spans="2:19" ht="20.45" customHeight="1" thickBot="1">
      <c r="B181" s="728" t="s">
        <v>500</v>
      </c>
      <c r="C181" s="729"/>
      <c r="D181" s="801">
        <f>+(D179-D178)/D178</f>
        <v>-1</v>
      </c>
      <c r="E181" s="801">
        <f>+(E179-E178)/E178</f>
        <v>-1</v>
      </c>
      <c r="F181" s="801">
        <f>+(F179-F178)/F178</f>
        <v>-1</v>
      </c>
      <c r="G181" s="801">
        <f t="shared" ref="G181" si="108">+(G179-G178)/G178</f>
        <v>-1</v>
      </c>
      <c r="H181" s="801">
        <f t="shared" ref="H181" si="109">+(H179-H178)/H178</f>
        <v>-1</v>
      </c>
      <c r="I181" s="801">
        <f t="shared" ref="I181" si="110">+(I179-I178)/I178</f>
        <v>-1</v>
      </c>
      <c r="J181" s="801">
        <f t="shared" ref="J181" si="111">+(J179-J178)/J178</f>
        <v>-1</v>
      </c>
      <c r="K181" s="801">
        <f t="shared" ref="K181" si="112">+(K179-K178)/K178</f>
        <v>-1</v>
      </c>
      <c r="L181" s="801">
        <f t="shared" ref="L181" si="113">+(L179-L178)/L178</f>
        <v>-1</v>
      </c>
      <c r="M181" s="801">
        <f t="shared" ref="M181" si="114">+(M179-M178)/M178</f>
        <v>-1</v>
      </c>
      <c r="N181" s="801">
        <f t="shared" ref="N181" si="115">+(N179-N178)/N178</f>
        <v>-1</v>
      </c>
      <c r="O181" s="801">
        <f t="shared" ref="O181:Q181" si="116">+(O179-O178)/O178</f>
        <v>-1</v>
      </c>
      <c r="P181" s="802">
        <f>+(P179-P178)/P178</f>
        <v>-1</v>
      </c>
      <c r="Q181" s="803">
        <f t="shared" si="116"/>
        <v>-1</v>
      </c>
      <c r="S181" s="45"/>
    </row>
    <row r="182" spans="2:19" ht="20.45" customHeight="1">
      <c r="B182" s="141" t="s">
        <v>112</v>
      </c>
      <c r="C182" s="137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12"/>
      <c r="P182" s="448"/>
      <c r="Q182" s="422"/>
      <c r="S182" s="45"/>
    </row>
    <row r="183" spans="2:19" ht="22.5" customHeight="1">
      <c r="B183" s="535" t="s">
        <v>113</v>
      </c>
      <c r="C183" s="46"/>
      <c r="D183" s="72">
        <f>D37/D24</f>
        <v>2248.0671577488688</v>
      </c>
      <c r="E183" s="72">
        <v>1357.9654534541337</v>
      </c>
      <c r="F183" s="72">
        <f t="shared" ref="F183:L183" si="117">F37/F24</f>
        <v>2225.3767828950909</v>
      </c>
      <c r="G183" s="72">
        <f t="shared" si="117"/>
        <v>2171.2133275397805</v>
      </c>
      <c r="H183" s="72">
        <f t="shared" si="117"/>
        <v>2297.509639180952</v>
      </c>
      <c r="I183" s="72">
        <f t="shared" si="117"/>
        <v>2527.3058706467668</v>
      </c>
      <c r="J183" s="72">
        <f t="shared" si="117"/>
        <v>3194.3405624703082</v>
      </c>
      <c r="K183" s="72">
        <f t="shared" si="117"/>
        <v>2571.5268229986868</v>
      </c>
      <c r="L183" s="72">
        <f t="shared" si="117"/>
        <v>2769.1665730166073</v>
      </c>
      <c r="M183" s="72">
        <v>3740.6242272086474</v>
      </c>
      <c r="N183" s="72">
        <f>N37/N24</f>
        <v>2753.1083575058847</v>
      </c>
      <c r="O183" s="418">
        <v>2762.4410157910183</v>
      </c>
      <c r="P183" s="458"/>
      <c r="Q183" s="428">
        <f t="shared" ref="Q183:Q190" si="118">AVERAGE(D183:O183)</f>
        <v>2551.5538158713948</v>
      </c>
      <c r="S183" s="45"/>
    </row>
    <row r="184" spans="2:19" ht="22.5" customHeight="1">
      <c r="B184" s="535" t="s">
        <v>114</v>
      </c>
      <c r="C184" s="46" t="s">
        <v>143</v>
      </c>
      <c r="D184" s="72">
        <f t="shared" ref="D184:O184" si="119">D44/D25</f>
        <v>2410.8211400966184</v>
      </c>
      <c r="E184" s="72">
        <f t="shared" si="119"/>
        <v>1801.3341193181818</v>
      </c>
      <c r="F184" s="72">
        <f t="shared" si="119"/>
        <v>2377.0819675262655</v>
      </c>
      <c r="G184" s="72">
        <f t="shared" si="119"/>
        <v>2607.9373784102063</v>
      </c>
      <c r="H184" s="72">
        <f t="shared" si="119"/>
        <v>2286.7714007464106</v>
      </c>
      <c r="I184" s="72">
        <f t="shared" si="119"/>
        <v>1950.2140609901728</v>
      </c>
      <c r="J184" s="72">
        <f t="shared" si="119"/>
        <v>2312.7392358073685</v>
      </c>
      <c r="K184" s="72">
        <f t="shared" si="119"/>
        <v>2992.4272828384028</v>
      </c>
      <c r="L184" s="72">
        <f t="shared" si="119"/>
        <v>3708.7990077119512</v>
      </c>
      <c r="M184" s="72">
        <f t="shared" si="119"/>
        <v>3406.5945372857609</v>
      </c>
      <c r="N184" s="72">
        <f t="shared" si="119"/>
        <v>2576.4509887827285</v>
      </c>
      <c r="O184" s="418">
        <f t="shared" si="119"/>
        <v>3132.0813761685363</v>
      </c>
      <c r="P184" s="458"/>
      <c r="Q184" s="428">
        <f t="shared" si="118"/>
        <v>2630.2710413068835</v>
      </c>
      <c r="S184" s="45"/>
    </row>
    <row r="185" spans="2:19" ht="22.5" customHeight="1">
      <c r="B185" s="535" t="s">
        <v>134</v>
      </c>
      <c r="C185" s="46" t="s">
        <v>143</v>
      </c>
      <c r="D185" s="72">
        <f t="shared" ref="D185:O185" si="120">+D52/D26</f>
        <v>2808.8993715553279</v>
      </c>
      <c r="E185" s="72">
        <f t="shared" si="120"/>
        <v>1779.6786115973</v>
      </c>
      <c r="F185" s="72">
        <f t="shared" si="120"/>
        <v>2720.440357989788</v>
      </c>
      <c r="G185" s="72">
        <f t="shared" si="120"/>
        <v>2493.0033235764972</v>
      </c>
      <c r="H185" s="72">
        <f t="shared" si="120"/>
        <v>2878.3376598768064</v>
      </c>
      <c r="I185" s="72">
        <f t="shared" si="120"/>
        <v>2588.6256919027101</v>
      </c>
      <c r="J185" s="72">
        <f t="shared" si="120"/>
        <v>2421.4981322154476</v>
      </c>
      <c r="K185" s="72">
        <f t="shared" si="120"/>
        <v>3077.0300755437893</v>
      </c>
      <c r="L185" s="72">
        <f t="shared" si="120"/>
        <v>2715.1200872510576</v>
      </c>
      <c r="M185" s="72">
        <f t="shared" si="120"/>
        <v>3862.6878276041666</v>
      </c>
      <c r="N185" s="72">
        <f t="shared" si="120"/>
        <v>3262.8351247564647</v>
      </c>
      <c r="O185" s="418">
        <f t="shared" si="120"/>
        <v>2612.0463340385072</v>
      </c>
      <c r="P185" s="458"/>
      <c r="Q185" s="428">
        <f t="shared" si="118"/>
        <v>2768.3502164923225</v>
      </c>
      <c r="S185" s="45"/>
    </row>
    <row r="186" spans="2:19" ht="22.5" customHeight="1">
      <c r="B186" s="535" t="s">
        <v>157</v>
      </c>
      <c r="C186" s="46" t="s">
        <v>143</v>
      </c>
      <c r="D186" s="72">
        <f t="shared" ref="D186:O186" si="121">+D60/D27</f>
        <v>2853.5075107158696</v>
      </c>
      <c r="E186" s="72">
        <f t="shared" si="121"/>
        <v>858.16012127950057</v>
      </c>
      <c r="F186" s="72">
        <f t="shared" si="121"/>
        <v>1739.6429759068274</v>
      </c>
      <c r="G186" s="72">
        <f t="shared" si="121"/>
        <v>1617.3475012178083</v>
      </c>
      <c r="H186" s="72">
        <f t="shared" si="121"/>
        <v>1820.8497398887384</v>
      </c>
      <c r="I186" s="72">
        <f t="shared" si="121"/>
        <v>1558.1918884859078</v>
      </c>
      <c r="J186" s="72">
        <f t="shared" si="121"/>
        <v>1943.5596457969352</v>
      </c>
      <c r="K186" s="72">
        <f t="shared" si="121"/>
        <v>2327.0305563193378</v>
      </c>
      <c r="L186" s="72">
        <f t="shared" si="121"/>
        <v>2546.8809690281555</v>
      </c>
      <c r="M186" s="72">
        <f t="shared" si="121"/>
        <v>3033.5223198334706</v>
      </c>
      <c r="N186" s="72">
        <f t="shared" si="121"/>
        <v>1858.2681699555073</v>
      </c>
      <c r="O186" s="418">
        <f t="shared" si="121"/>
        <v>2069.1097770304937</v>
      </c>
      <c r="P186" s="423">
        <f>+SUM(D186:O186)</f>
        <v>24226.071175458554</v>
      </c>
      <c r="Q186" s="428">
        <f t="shared" si="118"/>
        <v>2018.8392646215461</v>
      </c>
      <c r="S186" s="45"/>
    </row>
    <row r="187" spans="2:19" ht="22.5" customHeight="1">
      <c r="B187" s="535" t="s">
        <v>193</v>
      </c>
      <c r="C187" s="46" t="s">
        <v>143</v>
      </c>
      <c r="D187" s="72">
        <f t="shared" ref="D187:O187" si="122">+D68/D28</f>
        <v>1969.742690748081</v>
      </c>
      <c r="E187" s="72">
        <f t="shared" si="122"/>
        <v>1880.5940282034819</v>
      </c>
      <c r="F187" s="72">
        <f t="shared" si="122"/>
        <v>1609.4813718709611</v>
      </c>
      <c r="G187" s="72">
        <f t="shared" si="122"/>
        <v>1031.0940858190472</v>
      </c>
      <c r="H187" s="72">
        <f t="shared" si="122"/>
        <v>1116.1976827968372</v>
      </c>
      <c r="I187" s="72">
        <f t="shared" si="122"/>
        <v>1305.7982802837912</v>
      </c>
      <c r="J187" s="72">
        <f t="shared" si="122"/>
        <v>3170.179706549251</v>
      </c>
      <c r="K187" s="72">
        <f t="shared" si="122"/>
        <v>2885.7407584475836</v>
      </c>
      <c r="L187" s="72">
        <f t="shared" si="122"/>
        <v>2777.066702620562</v>
      </c>
      <c r="M187" s="72">
        <f t="shared" si="122"/>
        <v>2685.5906560032549</v>
      </c>
      <c r="N187" s="72">
        <f t="shared" si="122"/>
        <v>2235.5034643337508</v>
      </c>
      <c r="O187" s="418">
        <f t="shared" si="122"/>
        <v>1998.8299969096026</v>
      </c>
      <c r="P187" s="423">
        <f>+SUM(D187:O187)</f>
        <v>24665.819424586207</v>
      </c>
      <c r="Q187" s="428">
        <f t="shared" si="118"/>
        <v>2055.4849520488506</v>
      </c>
      <c r="S187" s="45"/>
    </row>
    <row r="188" spans="2:19" ht="22.5" customHeight="1">
      <c r="B188" s="535" t="s">
        <v>277</v>
      </c>
      <c r="C188" s="46" t="s">
        <v>143</v>
      </c>
      <c r="D188" s="72">
        <v>2749.1519351289403</v>
      </c>
      <c r="E188" s="72">
        <v>1045.6232313746477</v>
      </c>
      <c r="F188" s="72">
        <v>2311.8053296254493</v>
      </c>
      <c r="G188" s="72">
        <v>1973.7202089169273</v>
      </c>
      <c r="H188" s="72">
        <v>1907.1336873460054</v>
      </c>
      <c r="I188" s="72">
        <v>2082.7449060905733</v>
      </c>
      <c r="J188" s="72">
        <v>2674.6500709083707</v>
      </c>
      <c r="K188" s="72">
        <v>4765.9918498000006</v>
      </c>
      <c r="L188" s="72">
        <v>3171.1647265936617</v>
      </c>
      <c r="M188" s="72">
        <v>1913.6415081330526</v>
      </c>
      <c r="N188" s="72">
        <v>1871.8976963007046</v>
      </c>
      <c r="O188" s="72">
        <v>1719.8956485741191</v>
      </c>
      <c r="P188" s="775">
        <f t="shared" ref="P188:P190" si="123">+SUM(D188:O188)</f>
        <v>28187.420798792453</v>
      </c>
      <c r="Q188" s="776">
        <f t="shared" si="118"/>
        <v>2348.9517332327046</v>
      </c>
      <c r="S188" s="45"/>
    </row>
    <row r="189" spans="2:19" ht="22.5" customHeight="1">
      <c r="B189" s="535" t="s">
        <v>385</v>
      </c>
      <c r="C189" s="46" t="s">
        <v>143</v>
      </c>
      <c r="D189" s="554">
        <v>2682.7857080047083</v>
      </c>
      <c r="E189" s="554">
        <v>1503.6379327150739</v>
      </c>
      <c r="F189" s="554">
        <v>2254.7946417359017</v>
      </c>
      <c r="G189" s="554">
        <v>2703.0364962502604</v>
      </c>
      <c r="H189" s="554">
        <v>2500.12731678103</v>
      </c>
      <c r="I189" s="554">
        <v>2976.6897996149387</v>
      </c>
      <c r="J189" s="554">
        <v>3629.1189393391282</v>
      </c>
      <c r="K189" s="554">
        <v>3743.8151415061111</v>
      </c>
      <c r="L189" s="554">
        <v>2726.8743836794201</v>
      </c>
      <c r="M189" s="554">
        <v>2793.3456586697544</v>
      </c>
      <c r="N189" s="554">
        <v>1821.5926659625093</v>
      </c>
      <c r="O189" s="554">
        <v>2228.915015069726</v>
      </c>
      <c r="P189" s="775">
        <f t="shared" si="123"/>
        <v>31564.733699328557</v>
      </c>
      <c r="Q189" s="776">
        <f t="shared" si="118"/>
        <v>2630.3944749440466</v>
      </c>
      <c r="S189" s="45"/>
    </row>
    <row r="190" spans="2:19" ht="22.5" customHeight="1">
      <c r="B190" s="535" t="s">
        <v>499</v>
      </c>
      <c r="C190" s="46" t="s">
        <v>143</v>
      </c>
      <c r="D190" s="554">
        <f t="shared" ref="D190:O190" si="124">+D100/D31</f>
        <v>0</v>
      </c>
      <c r="E190" s="554">
        <f t="shared" si="124"/>
        <v>0</v>
      </c>
      <c r="F190" s="554">
        <f t="shared" si="124"/>
        <v>0</v>
      </c>
      <c r="G190" s="554">
        <f t="shared" si="124"/>
        <v>0</v>
      </c>
      <c r="H190" s="554">
        <f t="shared" si="124"/>
        <v>0</v>
      </c>
      <c r="I190" s="554">
        <f t="shared" si="124"/>
        <v>0</v>
      </c>
      <c r="J190" s="554">
        <f t="shared" si="124"/>
        <v>0</v>
      </c>
      <c r="K190" s="554">
        <f t="shared" si="124"/>
        <v>0</v>
      </c>
      <c r="L190" s="554">
        <f t="shared" si="124"/>
        <v>0</v>
      </c>
      <c r="M190" s="554">
        <f t="shared" si="124"/>
        <v>0</v>
      </c>
      <c r="N190" s="554">
        <f t="shared" si="124"/>
        <v>0</v>
      </c>
      <c r="O190" s="554">
        <f t="shared" si="124"/>
        <v>0</v>
      </c>
      <c r="P190" s="775">
        <f t="shared" si="123"/>
        <v>0</v>
      </c>
      <c r="Q190" s="776">
        <f t="shared" si="118"/>
        <v>0</v>
      </c>
      <c r="S190" s="45"/>
    </row>
    <row r="191" spans="2:19" ht="22.5" customHeight="1">
      <c r="B191" s="535" t="s">
        <v>636</v>
      </c>
      <c r="C191" s="46" t="s">
        <v>143</v>
      </c>
      <c r="D191" s="554" t="e">
        <f t="shared" ref="D191:O191" si="125">+D101/D33</f>
        <v>#DIV/0!</v>
      </c>
      <c r="E191" s="554" t="e">
        <f t="shared" si="125"/>
        <v>#DIV/0!</v>
      </c>
      <c r="F191" s="554" t="e">
        <f t="shared" si="125"/>
        <v>#DIV/0!</v>
      </c>
      <c r="G191" s="554" t="e">
        <f t="shared" si="125"/>
        <v>#DIV/0!</v>
      </c>
      <c r="H191" s="554" t="e">
        <f t="shared" si="125"/>
        <v>#DIV/0!</v>
      </c>
      <c r="I191" s="554" t="e">
        <f t="shared" si="125"/>
        <v>#DIV/0!</v>
      </c>
      <c r="J191" s="554" t="e">
        <f t="shared" si="125"/>
        <v>#DIV/0!</v>
      </c>
      <c r="K191" s="554" t="e">
        <f t="shared" si="125"/>
        <v>#DIV/0!</v>
      </c>
      <c r="L191" s="554" t="e">
        <f t="shared" si="125"/>
        <v>#DIV/0!</v>
      </c>
      <c r="M191" s="554" t="e">
        <f t="shared" si="125"/>
        <v>#DIV/0!</v>
      </c>
      <c r="N191" s="554" t="e">
        <f t="shared" si="125"/>
        <v>#DIV/0!</v>
      </c>
      <c r="O191" s="554" t="e">
        <f t="shared" si="125"/>
        <v>#DIV/0!</v>
      </c>
      <c r="P191" s="890"/>
      <c r="Q191" s="891"/>
      <c r="S191" s="45"/>
    </row>
    <row r="192" spans="2:19" ht="26.45" customHeight="1" thickBot="1">
      <c r="B192" s="728" t="s">
        <v>500</v>
      </c>
      <c r="C192" s="730"/>
      <c r="D192" s="801">
        <f>+(D190-D189)/D189</f>
        <v>-1</v>
      </c>
      <c r="E192" s="801">
        <f>+(E190-E189)/E189</f>
        <v>-1</v>
      </c>
      <c r="F192" s="801">
        <f>+(F190-F189)/F189</f>
        <v>-1</v>
      </c>
      <c r="G192" s="801">
        <f t="shared" ref="G192:O192" si="126">+(G190-G189)/G189</f>
        <v>-1</v>
      </c>
      <c r="H192" s="801">
        <f t="shared" si="126"/>
        <v>-1</v>
      </c>
      <c r="I192" s="801">
        <f t="shared" si="126"/>
        <v>-1</v>
      </c>
      <c r="J192" s="801">
        <f t="shared" si="126"/>
        <v>-1</v>
      </c>
      <c r="K192" s="801">
        <f t="shared" si="126"/>
        <v>-1</v>
      </c>
      <c r="L192" s="801">
        <f t="shared" si="126"/>
        <v>-1</v>
      </c>
      <c r="M192" s="801">
        <f t="shared" si="126"/>
        <v>-1</v>
      </c>
      <c r="N192" s="801">
        <f t="shared" si="126"/>
        <v>-1</v>
      </c>
      <c r="O192" s="801">
        <f t="shared" si="126"/>
        <v>-1</v>
      </c>
      <c r="P192" s="802">
        <f>+(P190-P189)/P189</f>
        <v>-1</v>
      </c>
      <c r="Q192" s="803">
        <f>+(Q190-Q189)/Q189</f>
        <v>-1</v>
      </c>
      <c r="S192" s="45"/>
    </row>
    <row r="194" spans="2:15">
      <c r="B194" s="40" t="s">
        <v>405</v>
      </c>
    </row>
    <row r="196" spans="2:15">
      <c r="M196" s="2"/>
      <c r="N196" s="2"/>
      <c r="O196" s="2"/>
    </row>
    <row r="197" spans="2:15">
      <c r="M197" s="2"/>
      <c r="N197" s="2"/>
    </row>
    <row r="198" spans="2:15">
      <c r="M198" s="2"/>
      <c r="N198" s="2"/>
      <c r="O198" s="2"/>
    </row>
    <row r="199" spans="2:15">
      <c r="L199" s="552"/>
      <c r="M199" s="2"/>
      <c r="N199" s="2"/>
    </row>
    <row r="200" spans="2:15">
      <c r="L200" s="2"/>
      <c r="M200" s="2"/>
      <c r="N200" s="2"/>
    </row>
    <row r="201" spans="2:15">
      <c r="L201" s="2"/>
      <c r="M201" s="2"/>
      <c r="N201" s="2"/>
    </row>
  </sheetData>
  <mergeCells count="9">
    <mergeCell ref="B98:B99"/>
    <mergeCell ref="B74:B75"/>
    <mergeCell ref="B66:B67"/>
    <mergeCell ref="B35:B36"/>
    <mergeCell ref="B42:B43"/>
    <mergeCell ref="B50:B51"/>
    <mergeCell ref="B58:B59"/>
    <mergeCell ref="B82:B83"/>
    <mergeCell ref="B90:B91"/>
  </mergeCells>
  <phoneticPr fontId="61" type="noConversion"/>
  <pageMargins left="0.7" right="0.7" top="0.75" bottom="0.75" header="0.3" footer="0.3"/>
  <pageSetup paperSize="512" orientation="portrait" verticalDpi="18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087B-FBB6-4E14-91F2-27E7FFF276B1}">
  <sheetPr codeName="Sheet11"/>
  <dimension ref="A1:V199"/>
  <sheetViews>
    <sheetView zoomScale="85" zoomScaleNormal="85" workbookViewId="0">
      <pane xSplit="3" ySplit="12" topLeftCell="F13" activePane="bottomRight" state="frozen"/>
      <selection pane="topRight" activeCell="D1" sqref="D1"/>
      <selection pane="bottomLeft" activeCell="A12" sqref="A12"/>
      <selection pane="bottomRight" activeCell="I94" sqref="I94"/>
    </sheetView>
  </sheetViews>
  <sheetFormatPr defaultRowHeight="12.75"/>
  <cols>
    <col min="1" max="1" width="2.140625" customWidth="1"/>
    <col min="2" max="2" width="35.7109375" style="640" customWidth="1"/>
    <col min="3" max="3" width="12.140625" customWidth="1"/>
    <col min="4" max="15" width="17.7109375" customWidth="1"/>
    <col min="16" max="16" width="20" customWidth="1"/>
    <col min="17" max="17" width="17.7109375" customWidth="1"/>
    <col min="19" max="19" width="19.85546875" customWidth="1"/>
    <col min="22" max="22" width="11.7109375" bestFit="1" customWidth="1"/>
    <col min="24" max="24" width="12" customWidth="1"/>
    <col min="25" max="25" width="13.85546875" customWidth="1"/>
    <col min="26" max="26" width="15.5703125" customWidth="1"/>
    <col min="27" max="27" width="12.85546875" customWidth="1"/>
  </cols>
  <sheetData>
    <row r="1" spans="2:17" s="40" customFormat="1" ht="23.25" customHeight="1">
      <c r="B1" s="907" t="s">
        <v>87</v>
      </c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4" t="s">
        <v>306</v>
      </c>
      <c r="Q1" s="253"/>
    </row>
    <row r="2" spans="2:17" s="40" customFormat="1" ht="23.25" hidden="1" customHeight="1">
      <c r="B2" s="90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4" t="s">
        <v>306</v>
      </c>
      <c r="Q2" s="253"/>
    </row>
    <row r="3" spans="2:17" s="40" customFormat="1" ht="32.25" hidden="1" customHeight="1">
      <c r="B3" s="909" t="s">
        <v>146</v>
      </c>
      <c r="C3" s="38"/>
      <c r="D3" s="39">
        <v>22700</v>
      </c>
      <c r="E3" s="39">
        <v>22700</v>
      </c>
      <c r="F3" s="39">
        <v>22700</v>
      </c>
      <c r="G3" s="39">
        <v>22700</v>
      </c>
      <c r="H3" s="39">
        <v>22700</v>
      </c>
      <c r="I3" s="39">
        <v>22700</v>
      </c>
      <c r="J3" s="39">
        <v>22700</v>
      </c>
      <c r="K3" s="39">
        <v>22700</v>
      </c>
      <c r="L3" s="39">
        <v>22700</v>
      </c>
      <c r="M3" s="39">
        <v>22700</v>
      </c>
      <c r="N3" s="39">
        <v>22700</v>
      </c>
      <c r="O3" s="39">
        <v>22700</v>
      </c>
      <c r="P3" s="253"/>
      <c r="Q3" s="253"/>
    </row>
    <row r="4" spans="2:17" s="40" customFormat="1" ht="32.25" hidden="1" customHeight="1">
      <c r="B4" s="909" t="s">
        <v>147</v>
      </c>
      <c r="C4" s="38"/>
      <c r="D4" s="39">
        <v>22745</v>
      </c>
      <c r="E4" s="39">
        <v>22790</v>
      </c>
      <c r="F4" s="39">
        <v>22810</v>
      </c>
      <c r="G4" s="39">
        <v>22800</v>
      </c>
      <c r="H4" s="39">
        <v>22835</v>
      </c>
      <c r="I4" s="39">
        <v>22990</v>
      </c>
      <c r="J4" s="39">
        <v>23310</v>
      </c>
      <c r="K4" s="39">
        <f>+[6]Average!AF3</f>
        <v>23340</v>
      </c>
      <c r="L4" s="39">
        <v>23365</v>
      </c>
      <c r="M4" s="39">
        <v>23390</v>
      </c>
      <c r="N4" s="82">
        <v>23365</v>
      </c>
      <c r="O4" s="39">
        <v>23235</v>
      </c>
      <c r="P4" s="253"/>
      <c r="Q4" s="253"/>
    </row>
    <row r="5" spans="2:17" s="40" customFormat="1" ht="32.25" hidden="1" customHeight="1">
      <c r="B5" s="909" t="s">
        <v>151</v>
      </c>
      <c r="C5" s="38"/>
      <c r="D5" s="39">
        <v>23250</v>
      </c>
      <c r="E5" s="39">
        <v>23245</v>
      </c>
      <c r="F5" s="39">
        <v>23245</v>
      </c>
      <c r="G5" s="39">
        <v>23320</v>
      </c>
      <c r="H5" s="82">
        <v>23470</v>
      </c>
      <c r="I5" s="39">
        <v>23320</v>
      </c>
      <c r="J5" s="39">
        <v>23270</v>
      </c>
      <c r="K5" s="39">
        <v>23240</v>
      </c>
      <c r="L5" s="39">
        <v>23250</v>
      </c>
      <c r="M5" s="39">
        <v>23250</v>
      </c>
      <c r="N5" s="82">
        <v>23225</v>
      </c>
      <c r="O5" s="39">
        <v>23220</v>
      </c>
      <c r="P5" s="253"/>
      <c r="Q5" s="253"/>
    </row>
    <row r="6" spans="2:17" s="40" customFormat="1" ht="32.25" hidden="1" customHeight="1">
      <c r="B6" s="909" t="s">
        <v>189</v>
      </c>
      <c r="C6" s="38"/>
      <c r="D6" s="39">
        <v>23230</v>
      </c>
      <c r="E6" s="39">
        <v>23310</v>
      </c>
      <c r="F6" s="39">
        <v>23660</v>
      </c>
      <c r="G6" s="39">
        <v>23535</v>
      </c>
      <c r="H6" s="82">
        <v>23380</v>
      </c>
      <c r="I6" s="39">
        <v>23300</v>
      </c>
      <c r="J6" s="39">
        <v>23270</v>
      </c>
      <c r="K6" s="39">
        <v>23270</v>
      </c>
      <c r="L6" s="39">
        <v>23270</v>
      </c>
      <c r="M6" s="39">
        <v>23270</v>
      </c>
      <c r="N6" s="82">
        <v>23230</v>
      </c>
      <c r="O6" s="39">
        <v>23190</v>
      </c>
      <c r="P6" s="253"/>
      <c r="Q6" s="253"/>
    </row>
    <row r="7" spans="2:17" s="40" customFormat="1" ht="32.25" hidden="1" customHeight="1">
      <c r="B7" s="909" t="s">
        <v>304</v>
      </c>
      <c r="C7" s="38"/>
      <c r="D7" s="39">
        <v>23230</v>
      </c>
      <c r="E7" s="39">
        <v>23310</v>
      </c>
      <c r="F7" s="39">
        <v>23660</v>
      </c>
      <c r="G7" s="39">
        <v>23535</v>
      </c>
      <c r="H7" s="82">
        <v>23380</v>
      </c>
      <c r="I7" s="39">
        <v>23300</v>
      </c>
      <c r="J7" s="39">
        <v>23270</v>
      </c>
      <c r="K7" s="39">
        <v>22870</v>
      </c>
      <c r="L7" s="39">
        <v>22860</v>
      </c>
      <c r="M7" s="39">
        <v>22850</v>
      </c>
      <c r="N7" s="82">
        <v>22795</v>
      </c>
      <c r="O7" s="39">
        <v>22915</v>
      </c>
      <c r="P7" s="253"/>
      <c r="Q7" s="253"/>
    </row>
    <row r="8" spans="2:17" s="40" customFormat="1" ht="32.25" hidden="1" customHeight="1">
      <c r="B8" s="909" t="s">
        <v>376</v>
      </c>
      <c r="C8" s="38"/>
      <c r="D8" s="39">
        <v>22730</v>
      </c>
      <c r="E8" s="39">
        <v>22930</v>
      </c>
      <c r="F8" s="39">
        <v>22960</v>
      </c>
      <c r="G8" s="39">
        <v>23080</v>
      </c>
      <c r="H8" s="82">
        <v>23300</v>
      </c>
      <c r="I8" s="39">
        <v>23380</v>
      </c>
      <c r="J8" s="39">
        <v>23450</v>
      </c>
      <c r="K8" s="39">
        <v>23550</v>
      </c>
      <c r="L8" s="39">
        <v>23970</v>
      </c>
      <c r="M8" s="39">
        <v>24880</v>
      </c>
      <c r="N8" s="82">
        <v>24735</v>
      </c>
      <c r="O8" s="39">
        <v>23640</v>
      </c>
      <c r="P8" s="253"/>
      <c r="Q8" s="253"/>
    </row>
    <row r="9" spans="2:17" s="40" customFormat="1" ht="17.25" customHeight="1">
      <c r="B9" s="909" t="s">
        <v>501</v>
      </c>
      <c r="C9" s="38"/>
      <c r="D9" s="39">
        <v>23570</v>
      </c>
      <c r="E9" s="39">
        <v>23895</v>
      </c>
      <c r="F9" s="39">
        <v>23585</v>
      </c>
      <c r="G9" s="39">
        <v>23580</v>
      </c>
      <c r="H9" s="82">
        <v>23610</v>
      </c>
      <c r="I9" s="39">
        <v>23700</v>
      </c>
      <c r="J9" s="39">
        <v>23805</v>
      </c>
      <c r="K9" s="39">
        <v>24180</v>
      </c>
      <c r="L9" s="39">
        <v>24450</v>
      </c>
      <c r="M9" s="39">
        <v>24680</v>
      </c>
      <c r="N9" s="82">
        <v>24380</v>
      </c>
      <c r="O9" s="39">
        <v>24350</v>
      </c>
      <c r="P9" s="253"/>
      <c r="Q9" s="253"/>
    </row>
    <row r="10" spans="2:17" s="40" customFormat="1" ht="17.25" customHeight="1">
      <c r="B10" s="909" t="s">
        <v>630</v>
      </c>
      <c r="C10" s="38"/>
      <c r="D10" s="39">
        <v>24525</v>
      </c>
      <c r="E10" s="39">
        <v>24770</v>
      </c>
      <c r="F10" s="39">
        <v>24915</v>
      </c>
      <c r="G10" s="39">
        <v>25435</v>
      </c>
      <c r="H10" s="82">
        <v>25474</v>
      </c>
      <c r="I10" s="39">
        <v>25473</v>
      </c>
      <c r="J10" s="39">
        <v>25400</v>
      </c>
      <c r="K10" s="39">
        <v>25000</v>
      </c>
      <c r="L10" s="1067">
        <v>24695</v>
      </c>
      <c r="M10" s="1067">
        <v>25410</v>
      </c>
      <c r="N10" s="1067">
        <v>25460</v>
      </c>
      <c r="O10" s="1067">
        <v>25550</v>
      </c>
      <c r="P10" s="253"/>
      <c r="Q10" s="253"/>
    </row>
    <row r="11" spans="2:17" s="40" customFormat="1" ht="17.25" customHeight="1" thickBot="1">
      <c r="B11" s="909" t="s">
        <v>743</v>
      </c>
      <c r="C11" s="38"/>
      <c r="D11" s="39">
        <v>25550</v>
      </c>
      <c r="E11" s="39">
        <v>25670</v>
      </c>
      <c r="F11" s="39">
        <v>25695</v>
      </c>
      <c r="G11" s="39">
        <f>+'Foreign Salary'!L6</f>
        <v>26115</v>
      </c>
      <c r="H11" s="82"/>
      <c r="I11" s="39"/>
      <c r="J11" s="39"/>
      <c r="K11" s="39"/>
      <c r="L11" s="1067"/>
      <c r="M11" s="1067"/>
      <c r="N11" s="1067"/>
      <c r="O11" s="1067"/>
      <c r="P11" s="253"/>
      <c r="Q11" s="253"/>
    </row>
    <row r="12" spans="2:17" s="42" customFormat="1" ht="28.5" customHeight="1" thickBot="1">
      <c r="B12" s="910" t="s">
        <v>176</v>
      </c>
      <c r="C12" s="139" t="s">
        <v>88</v>
      </c>
      <c r="D12" s="258" t="s">
        <v>63</v>
      </c>
      <c r="E12" s="258" t="s">
        <v>64</v>
      </c>
      <c r="F12" s="258" t="s">
        <v>65</v>
      </c>
      <c r="G12" s="258" t="s">
        <v>66</v>
      </c>
      <c r="H12" s="258" t="s">
        <v>67</v>
      </c>
      <c r="I12" s="258" t="s">
        <v>68</v>
      </c>
      <c r="J12" s="258" t="s">
        <v>69</v>
      </c>
      <c r="K12" s="258" t="s">
        <v>70</v>
      </c>
      <c r="L12" s="258" t="s">
        <v>71</v>
      </c>
      <c r="M12" s="258" t="s">
        <v>72</v>
      </c>
      <c r="N12" s="258" t="s">
        <v>73</v>
      </c>
      <c r="O12" s="396" t="s">
        <v>74</v>
      </c>
      <c r="P12" s="419" t="s">
        <v>236</v>
      </c>
      <c r="Q12" s="420" t="s">
        <v>89</v>
      </c>
    </row>
    <row r="13" spans="2:17" s="40" customFormat="1" ht="20.45" customHeight="1">
      <c r="B13" s="911" t="s">
        <v>142</v>
      </c>
      <c r="C13" s="8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69"/>
      <c r="O13" s="397"/>
      <c r="P13" s="421"/>
      <c r="Q13" s="422"/>
    </row>
    <row r="14" spans="2:17" s="40" customFormat="1" ht="20.45" hidden="1" customHeight="1">
      <c r="B14" s="912">
        <v>2016</v>
      </c>
      <c r="C14" s="46" t="s">
        <v>75</v>
      </c>
      <c r="D14" s="47">
        <v>5639851.288461538</v>
      </c>
      <c r="E14" s="47">
        <v>7094675.8731596833</v>
      </c>
      <c r="F14" s="47">
        <v>6975597.0510688834</v>
      </c>
      <c r="G14" s="47">
        <v>7396945.5618115058</v>
      </c>
      <c r="H14" s="47">
        <v>8158010.2931677019</v>
      </c>
      <c r="I14" s="47">
        <v>8707228.3868159205</v>
      </c>
      <c r="J14" s="47">
        <v>8073722.7220902601</v>
      </c>
      <c r="K14" s="47">
        <v>8103327.1387795303</v>
      </c>
      <c r="L14" s="47">
        <v>7788570.53654024</v>
      </c>
      <c r="M14" s="47">
        <v>8110049.5798872178</v>
      </c>
      <c r="N14" s="47">
        <v>8021292.2538167937</v>
      </c>
      <c r="O14" s="398">
        <v>8526000.3175355494</v>
      </c>
      <c r="P14" s="423">
        <f t="shared" ref="P14:P18" si="0">+SUM(D14:O14)</f>
        <v>92595271.003134817</v>
      </c>
      <c r="Q14" s="424">
        <f>AVERAGE(D14:O14)</f>
        <v>7716272.5835945681</v>
      </c>
    </row>
    <row r="15" spans="2:17" s="40" customFormat="1" ht="21" hidden="1" customHeight="1">
      <c r="B15" s="912">
        <v>2017</v>
      </c>
      <c r="C15" s="46" t="s">
        <v>75</v>
      </c>
      <c r="D15" s="47">
        <v>7419611.7513165046</v>
      </c>
      <c r="E15" s="47">
        <v>7036665.1474352051</v>
      </c>
      <c r="F15" s="47">
        <v>8214537.2028796552</v>
      </c>
      <c r="G15" s="47">
        <v>8422067.9984326437</v>
      </c>
      <c r="H15" s="47">
        <v>7974682.6770222839</v>
      </c>
      <c r="I15" s="47">
        <v>7479780.7884482117</v>
      </c>
      <c r="J15" s="47">
        <v>7838982.4092458114</v>
      </c>
      <c r="K15" s="47">
        <v>9052133.7195504066</v>
      </c>
      <c r="L15" s="47">
        <v>10075133.460866906</v>
      </c>
      <c r="M15" s="47">
        <v>10189479.01018057</v>
      </c>
      <c r="N15" s="47">
        <v>9616396.1565064099</v>
      </c>
      <c r="O15" s="398">
        <v>9512442.29237899</v>
      </c>
      <c r="P15" s="423">
        <f t="shared" si="0"/>
        <v>102831912.61426361</v>
      </c>
      <c r="Q15" s="424">
        <f>+[7]Average!O11</f>
        <v>9428987.9492199458</v>
      </c>
    </row>
    <row r="16" spans="2:17" s="40" customFormat="1" ht="21" hidden="1" customHeight="1">
      <c r="B16" s="912">
        <v>2018</v>
      </c>
      <c r="C16" s="46" t="s">
        <v>75</v>
      </c>
      <c r="D16" s="47">
        <v>9057033.9684299696</v>
      </c>
      <c r="E16" s="47">
        <v>6829832.7541819941</v>
      </c>
      <c r="F16" s="47">
        <v>9238934.3540560175</v>
      </c>
      <c r="G16" s="47">
        <v>8710293.3265276719</v>
      </c>
      <c r="H16" s="47">
        <v>9387345.8105560001</v>
      </c>
      <c r="I16" s="47">
        <v>9373152.769438507</v>
      </c>
      <c r="J16" s="47">
        <v>9127505.3196173478</v>
      </c>
      <c r="K16" s="47">
        <v>9877891.3971915748</v>
      </c>
      <c r="L16" s="47">
        <v>9777987.3393794689</v>
      </c>
      <c r="M16" s="47">
        <v>10075782.885910342</v>
      </c>
      <c r="N16" s="47">
        <v>9686533.5669960752</v>
      </c>
      <c r="O16" s="398">
        <v>9451918.389617892</v>
      </c>
      <c r="P16" s="423">
        <f t="shared" si="0"/>
        <v>110594211.88190287</v>
      </c>
      <c r="Q16" s="424">
        <f>+[6]Average!AP11</f>
        <v>9220117.0308254436</v>
      </c>
    </row>
    <row r="17" spans="1:17" s="40" customFormat="1" ht="21" hidden="1" customHeight="1">
      <c r="B17" s="912">
        <v>2019</v>
      </c>
      <c r="C17" s="46" t="s">
        <v>75</v>
      </c>
      <c r="D17" s="47">
        <v>7272544.2471527597</v>
      </c>
      <c r="E17" s="47">
        <v>5585409.2480983036</v>
      </c>
      <c r="F17" s="47">
        <v>6947495.8380722888</v>
      </c>
      <c r="G17" s="47">
        <v>6526761.6630991157</v>
      </c>
      <c r="H17" s="47">
        <v>7064922.8122032629</v>
      </c>
      <c r="I17" s="47">
        <v>7096702.7947435323</v>
      </c>
      <c r="J17" s="47">
        <v>7697503.6439089691</v>
      </c>
      <c r="K17" s="47">
        <v>7974855.175577472</v>
      </c>
      <c r="L17" s="47">
        <v>7666429.7705799434</v>
      </c>
      <c r="M17" s="47">
        <v>7823190.6968085105</v>
      </c>
      <c r="N17" s="47">
        <v>6673934.7387923151</v>
      </c>
      <c r="O17" s="398">
        <v>6719094.0817744564</v>
      </c>
      <c r="P17" s="423">
        <f t="shared" si="0"/>
        <v>85048844.71081093</v>
      </c>
      <c r="Q17" s="424">
        <f t="shared" ref="Q17:Q19" si="1">AVERAGE(D17:O17)</f>
        <v>7087403.7259009108</v>
      </c>
    </row>
    <row r="18" spans="1:17" s="40" customFormat="1" ht="21" hidden="1" customHeight="1">
      <c r="B18" s="912">
        <v>2020</v>
      </c>
      <c r="C18" s="46" t="s">
        <v>75</v>
      </c>
      <c r="D18" s="47">
        <v>7549344.0601382498</v>
      </c>
      <c r="E18" s="47">
        <v>8110653.659817352</v>
      </c>
      <c r="F18" s="47">
        <v>7035930.9649631996</v>
      </c>
      <c r="G18" s="47">
        <v>6377334.2542857146</v>
      </c>
      <c r="H18" s="47">
        <v>6516058.1557177613</v>
      </c>
      <c r="I18" s="47">
        <v>7710116.0574712642</v>
      </c>
      <c r="J18" s="47">
        <v>10610021.664691944</v>
      </c>
      <c r="K18" s="47">
        <v>10837583.089430895</v>
      </c>
      <c r="L18" s="47">
        <v>8847384.2289664652</v>
      </c>
      <c r="M18" s="47">
        <v>8755691.2911111116</v>
      </c>
      <c r="N18" s="47">
        <v>8880206.305928411</v>
      </c>
      <c r="O18" s="398">
        <v>10737012.118915929</v>
      </c>
      <c r="P18" s="423">
        <f t="shared" si="0"/>
        <v>101967335.85143828</v>
      </c>
      <c r="Q18" s="424">
        <f t="shared" si="1"/>
        <v>8497277.9876198564</v>
      </c>
    </row>
    <row r="19" spans="1:17" s="40" customFormat="1" ht="21" hidden="1" customHeight="1">
      <c r="B19" s="912">
        <v>2021</v>
      </c>
      <c r="C19" s="46" t="s">
        <v>75</v>
      </c>
      <c r="D19" s="48">
        <v>9422084.15243553</v>
      </c>
      <c r="E19" s="48">
        <v>6867223.2922814982</v>
      </c>
      <c r="F19" s="48">
        <v>9638378.4625126645</v>
      </c>
      <c r="G19" s="48">
        <v>9769954.1162227597</v>
      </c>
      <c r="H19" s="48">
        <v>10368919.014567669</v>
      </c>
      <c r="I19" s="48">
        <v>10748633.955986749</v>
      </c>
      <c r="J19" s="48">
        <v>8901381.3344643731</v>
      </c>
      <c r="K19" s="48">
        <v>13492328.164799999</v>
      </c>
      <c r="L19" s="48">
        <v>12377055.59625213</v>
      </c>
      <c r="M19" s="48">
        <v>7357014.1032731375</v>
      </c>
      <c r="N19" s="48">
        <v>6150079.047401485</v>
      </c>
      <c r="O19" s="399">
        <v>9041384.9494348597</v>
      </c>
      <c r="P19" s="423">
        <f>+SUM(D19:O19)</f>
        <v>114134436.18963286</v>
      </c>
      <c r="Q19" s="424">
        <f t="shared" si="1"/>
        <v>9511203.0158027392</v>
      </c>
    </row>
    <row r="20" spans="1:17" s="40" customFormat="1" ht="21" hidden="1" customHeight="1">
      <c r="B20" s="912">
        <v>2022</v>
      </c>
      <c r="C20" s="46" t="s">
        <v>75</v>
      </c>
      <c r="D20" s="48">
        <v>12831225.222724339</v>
      </c>
      <c r="E20" s="48">
        <v>8332957.9228413962</v>
      </c>
      <c r="F20" s="48">
        <v>9670187.7211302202</v>
      </c>
      <c r="G20" s="48">
        <v>9821279.3947532792</v>
      </c>
      <c r="H20" s="48">
        <v>9651342.9387387391</v>
      </c>
      <c r="I20" s="48">
        <v>9425095.2473622505</v>
      </c>
      <c r="J20" s="48">
        <v>9508049.8480096497</v>
      </c>
      <c r="K20" s="48">
        <v>9938897.677089598</v>
      </c>
      <c r="L20" s="48">
        <v>8442788.4107142854</v>
      </c>
      <c r="M20" s="48">
        <v>8117583.1674387818</v>
      </c>
      <c r="N20" s="48">
        <v>7648571.1315610092</v>
      </c>
      <c r="O20" s="399">
        <v>7889869.2361673415</v>
      </c>
      <c r="P20" s="423">
        <f>+SUM(D20:O20)</f>
        <v>111277847.91853088</v>
      </c>
      <c r="Q20" s="424">
        <f>AVERAGE(D20:O20)</f>
        <v>9273153.9932109062</v>
      </c>
    </row>
    <row r="21" spans="1:17" s="40" customFormat="1" ht="21" customHeight="1">
      <c r="B21" s="913">
        <v>2023</v>
      </c>
      <c r="C21" s="46" t="s">
        <v>75</v>
      </c>
      <c r="D21" s="48">
        <v>12121791.333333334</v>
      </c>
      <c r="E21" s="48">
        <v>8728625.038350217</v>
      </c>
      <c r="F21" s="48">
        <v>9802908.670867309</v>
      </c>
      <c r="G21" s="48">
        <v>9530853.122634368</v>
      </c>
      <c r="H21" s="48">
        <v>10098894.1</v>
      </c>
      <c r="I21" s="48">
        <v>11111326.204897959</v>
      </c>
      <c r="J21" s="48">
        <v>10614054.136138614</v>
      </c>
      <c r="K21" s="48">
        <v>10797197.149471974</v>
      </c>
      <c r="L21" s="48">
        <v>9683665.9090909082</v>
      </c>
      <c r="M21" s="48">
        <v>9921167.5008291882</v>
      </c>
      <c r="N21" s="48">
        <v>8905570.7577535603</v>
      </c>
      <c r="O21" s="399">
        <v>10181529.953225806</v>
      </c>
      <c r="P21" s="423">
        <f>SUM(D21:G21)</f>
        <v>40184178.165185228</v>
      </c>
      <c r="Q21" s="424">
        <f>AVERAGE(D21:G21)</f>
        <v>10046044.541296307</v>
      </c>
    </row>
    <row r="22" spans="1:17" s="40" customFormat="1" ht="21" customHeight="1">
      <c r="B22" s="913">
        <v>2024</v>
      </c>
      <c r="C22" s="46" t="s">
        <v>75</v>
      </c>
      <c r="D22" s="48">
        <v>16207710.079623288</v>
      </c>
      <c r="E22" s="48">
        <v>7850017.7042016806</v>
      </c>
      <c r="F22" s="48">
        <v>9190513.4133226331</v>
      </c>
      <c r="G22" s="48">
        <v>9443919.4688000008</v>
      </c>
      <c r="H22" s="48">
        <v>10479094.903094463</v>
      </c>
      <c r="I22" s="48">
        <v>9371718.4296357613</v>
      </c>
      <c r="J22" s="48">
        <v>11317075.728995057</v>
      </c>
      <c r="K22" s="48">
        <v>11740345.412438625</v>
      </c>
      <c r="L22" s="48">
        <v>11287452.655090766</v>
      </c>
      <c r="M22" s="48">
        <v>11689363.554608831</v>
      </c>
      <c r="N22" s="48">
        <v>10232242.300232738</v>
      </c>
      <c r="O22" s="399">
        <v>11876195.56264412</v>
      </c>
      <c r="P22" s="423">
        <f t="shared" ref="P22" si="2">SUM(D22:G22)</f>
        <v>42692160.665947601</v>
      </c>
      <c r="Q22" s="424">
        <f t="shared" ref="Q22" si="3">AVERAGE(D22:G22)</f>
        <v>10673040.1664869</v>
      </c>
    </row>
    <row r="23" spans="1:17" s="40" customFormat="1" ht="21" customHeight="1">
      <c r="B23" s="913">
        <v>2025</v>
      </c>
      <c r="C23" s="46" t="s">
        <v>75</v>
      </c>
      <c r="D23" s="48">
        <f>+'Average .'!E23</f>
        <v>16836850.90410959</v>
      </c>
      <c r="E23" s="48">
        <f>+'Average .'!G23</f>
        <v>9804664.8688138258</v>
      </c>
      <c r="F23" s="48">
        <f>+'Average .'!I23</f>
        <v>10330304.898528272</v>
      </c>
      <c r="G23" s="48">
        <f>+'Average .'!K23</f>
        <v>10608708.463452566</v>
      </c>
      <c r="H23" s="48"/>
      <c r="I23" s="48"/>
      <c r="J23" s="48"/>
      <c r="K23" s="48"/>
      <c r="L23" s="48"/>
      <c r="M23" s="48"/>
      <c r="N23" s="48"/>
      <c r="O23" s="399"/>
      <c r="P23" s="426">
        <f>SUM(D23:G23)</f>
        <v>47580529.134904251</v>
      </c>
      <c r="Q23" s="892">
        <f>AVERAGE(D23:G23)</f>
        <v>11895132.283726063</v>
      </c>
    </row>
    <row r="24" spans="1:17" s="41" customFormat="1" ht="18.75" customHeight="1" thickBot="1">
      <c r="A24" s="40"/>
      <c r="B24" s="914" t="s">
        <v>744</v>
      </c>
      <c r="C24" s="88"/>
      <c r="D24" s="571">
        <f>+(D23-D22)/D22</f>
        <v>3.8817378975532932E-2</v>
      </c>
      <c r="E24" s="571">
        <f>+(E23-E22)/E22</f>
        <v>0.24899907723340936</v>
      </c>
      <c r="F24" s="571">
        <f>+(F23-F22)/F22</f>
        <v>0.12401826034586809</v>
      </c>
      <c r="G24" s="571">
        <f>+(G23-G22)/G22</f>
        <v>0.12333745522721727</v>
      </c>
      <c r="H24" s="571"/>
      <c r="I24" s="571"/>
      <c r="J24" s="571"/>
      <c r="K24" s="571"/>
      <c r="L24" s="571"/>
      <c r="M24" s="571"/>
      <c r="N24" s="571"/>
      <c r="O24" s="571"/>
      <c r="P24" s="571">
        <f>+(P23-P22)/P22</f>
        <v>0.11450271882949559</v>
      </c>
      <c r="Q24" s="571">
        <f t="shared" ref="Q24" si="4">+(Q23-Q22)/Q22</f>
        <v>0.11450271882949559</v>
      </c>
    </row>
    <row r="25" spans="1:17" s="40" customFormat="1" ht="20.45" customHeight="1">
      <c r="B25" s="911" t="s">
        <v>90</v>
      </c>
      <c r="C25" s="898"/>
      <c r="D25" s="899"/>
      <c r="E25" s="899"/>
      <c r="F25" s="899"/>
      <c r="G25" s="899"/>
      <c r="H25" s="899"/>
      <c r="I25" s="899"/>
      <c r="J25" s="899"/>
      <c r="K25" s="899"/>
      <c r="L25" s="899"/>
      <c r="M25" s="899"/>
      <c r="N25" s="899"/>
      <c r="O25" s="900"/>
      <c r="P25" s="901"/>
      <c r="Q25" s="902"/>
    </row>
    <row r="26" spans="1:17" s="41" customFormat="1" ht="20.45" hidden="1" customHeight="1">
      <c r="A26" s="40"/>
      <c r="B26" s="915">
        <v>2016</v>
      </c>
      <c r="C26" s="50"/>
      <c r="D26" s="47">
        <v>884</v>
      </c>
      <c r="E26" s="47">
        <v>883</v>
      </c>
      <c r="F26" s="47">
        <v>842</v>
      </c>
      <c r="G26" s="47">
        <v>817</v>
      </c>
      <c r="H26" s="47">
        <v>805</v>
      </c>
      <c r="I26" s="47">
        <v>804</v>
      </c>
      <c r="J26" s="47">
        <v>842</v>
      </c>
      <c r="K26" s="47">
        <v>1016</v>
      </c>
      <c r="L26" s="47">
        <v>1081</v>
      </c>
      <c r="M26" s="47">
        <v>1064</v>
      </c>
      <c r="N26" s="47">
        <v>1048</v>
      </c>
      <c r="O26" s="398">
        <v>1055</v>
      </c>
      <c r="P26" s="423">
        <f>+SUM(D26:O26)</f>
        <v>11141</v>
      </c>
      <c r="Q26" s="424">
        <f t="shared" ref="Q26:Q32" si="5">AVERAGE(D26:O26)</f>
        <v>928.41666666666663</v>
      </c>
    </row>
    <row r="27" spans="1:17" s="41" customFormat="1" ht="20.45" hidden="1" customHeight="1">
      <c r="A27" s="40"/>
      <c r="B27" s="912">
        <v>2017</v>
      </c>
      <c r="C27" s="50"/>
      <c r="D27" s="47">
        <v>1035</v>
      </c>
      <c r="E27" s="47">
        <v>1056</v>
      </c>
      <c r="F27" s="47">
        <v>1047</v>
      </c>
      <c r="G27" s="47">
        <v>1019</v>
      </c>
      <c r="H27" s="47">
        <v>1008</v>
      </c>
      <c r="I27" s="47">
        <v>984</v>
      </c>
      <c r="J27" s="47">
        <v>972</v>
      </c>
      <c r="K27" s="47">
        <v>991</v>
      </c>
      <c r="L27" s="47">
        <v>979</v>
      </c>
      <c r="M27" s="47">
        <v>953</v>
      </c>
      <c r="N27" s="47">
        <v>942</v>
      </c>
      <c r="O27" s="398">
        <v>977</v>
      </c>
      <c r="P27" s="423">
        <f>+SUM(D27:O27)</f>
        <v>11963</v>
      </c>
      <c r="Q27" s="424">
        <f t="shared" si="5"/>
        <v>996.91666666666663</v>
      </c>
    </row>
    <row r="28" spans="1:17" s="41" customFormat="1" ht="20.45" hidden="1" customHeight="1">
      <c r="A28" s="40"/>
      <c r="B28" s="912">
        <v>2018</v>
      </c>
      <c r="C28" s="51"/>
      <c r="D28" s="48">
        <v>976</v>
      </c>
      <c r="E28" s="48">
        <v>937</v>
      </c>
      <c r="F28" s="48">
        <v>998</v>
      </c>
      <c r="G28" s="48">
        <v>1005</v>
      </c>
      <c r="H28" s="48">
        <v>1005</v>
      </c>
      <c r="I28" s="48">
        <v>1000</v>
      </c>
      <c r="J28" s="48">
        <v>984</v>
      </c>
      <c r="K28" s="48">
        <v>1001</v>
      </c>
      <c r="L28" s="48">
        <v>1021</v>
      </c>
      <c r="M28" s="48">
        <v>1056</v>
      </c>
      <c r="N28" s="48">
        <v>1072</v>
      </c>
      <c r="O28" s="399">
        <v>1199</v>
      </c>
      <c r="P28" s="423">
        <f t="shared" ref="P28:P29" si="6">+SUM(D28:O28)</f>
        <v>12254</v>
      </c>
      <c r="Q28" s="424">
        <f t="shared" ref="Q28:Q29" si="7">AVERAGE(D28:O28)</f>
        <v>1021.1666666666666</v>
      </c>
    </row>
    <row r="29" spans="1:17" s="41" customFormat="1" ht="21" hidden="1" customHeight="1">
      <c r="A29" s="40"/>
      <c r="B29" s="912">
        <v>2019</v>
      </c>
      <c r="C29" s="51"/>
      <c r="D29" s="48">
        <v>1504</v>
      </c>
      <c r="E29" s="48">
        <v>1709</v>
      </c>
      <c r="F29" s="48">
        <v>2075</v>
      </c>
      <c r="G29" s="48">
        <v>2149</v>
      </c>
      <c r="H29" s="48">
        <v>2217</v>
      </c>
      <c r="I29" s="48">
        <v>2229</v>
      </c>
      <c r="J29" s="48">
        <v>2241</v>
      </c>
      <c r="K29" s="48">
        <v>2204</v>
      </c>
      <c r="L29" s="48">
        <v>2202</v>
      </c>
      <c r="M29" s="48">
        <v>2256</v>
      </c>
      <c r="N29" s="48">
        <v>2186</v>
      </c>
      <c r="O29" s="399">
        <v>2208</v>
      </c>
      <c r="P29" s="423">
        <f t="shared" si="6"/>
        <v>25180</v>
      </c>
      <c r="Q29" s="424">
        <f t="shared" si="7"/>
        <v>2098.3333333333335</v>
      </c>
    </row>
    <row r="30" spans="1:17" s="41" customFormat="1" ht="21" hidden="1" customHeight="1">
      <c r="A30" s="40"/>
      <c r="B30" s="912">
        <v>2020</v>
      </c>
      <c r="C30" s="51"/>
      <c r="D30" s="48">
        <v>1736</v>
      </c>
      <c r="E30" s="48">
        <v>1752</v>
      </c>
      <c r="F30" s="48">
        <v>1750</v>
      </c>
      <c r="G30" s="48">
        <v>1750</v>
      </c>
      <c r="H30" s="48">
        <v>1644</v>
      </c>
      <c r="I30" s="48">
        <v>1653</v>
      </c>
      <c r="J30" s="48">
        <v>1688</v>
      </c>
      <c r="K30" s="48">
        <v>1759</v>
      </c>
      <c r="L30" s="48">
        <v>1793</v>
      </c>
      <c r="M30" s="48">
        <v>1800</v>
      </c>
      <c r="N30" s="48">
        <v>1788</v>
      </c>
      <c r="O30" s="399">
        <v>1808</v>
      </c>
      <c r="P30" s="423">
        <f>+SUM(D30:O30)</f>
        <v>20921</v>
      </c>
      <c r="Q30" s="424">
        <f t="shared" si="5"/>
        <v>1743.4166666666667</v>
      </c>
    </row>
    <row r="31" spans="1:17" s="41" customFormat="1" ht="21" hidden="1" customHeight="1">
      <c r="A31" s="40"/>
      <c r="B31" s="912">
        <v>2021</v>
      </c>
      <c r="C31" s="51"/>
      <c r="D31" s="48">
        <v>1745</v>
      </c>
      <c r="E31" s="48">
        <v>1762</v>
      </c>
      <c r="F31" s="48">
        <v>1974</v>
      </c>
      <c r="G31" s="48">
        <v>2065</v>
      </c>
      <c r="H31" s="48">
        <v>2128</v>
      </c>
      <c r="I31" s="48">
        <v>2113</v>
      </c>
      <c r="J31" s="48">
        <v>2063</v>
      </c>
      <c r="K31" s="48">
        <v>1250</v>
      </c>
      <c r="L31" s="48">
        <v>1174</v>
      </c>
      <c r="M31" s="48">
        <v>1772</v>
      </c>
      <c r="N31" s="48">
        <v>1751</v>
      </c>
      <c r="O31" s="48">
        <v>1693</v>
      </c>
      <c r="P31" s="423">
        <f t="shared" ref="P31:P32" si="8">+SUM(D31:O31)</f>
        <v>21490</v>
      </c>
      <c r="Q31" s="424">
        <f t="shared" si="5"/>
        <v>1790.8333333333333</v>
      </c>
    </row>
    <row r="32" spans="1:17" s="41" customFormat="1" ht="21" hidden="1" customHeight="1">
      <c r="A32" s="40"/>
      <c r="B32" s="912">
        <v>2022</v>
      </c>
      <c r="C32" s="51"/>
      <c r="D32" s="48">
        <v>1549</v>
      </c>
      <c r="E32" s="48">
        <v>1633</v>
      </c>
      <c r="F32" s="48">
        <v>1628</v>
      </c>
      <c r="G32" s="48">
        <v>1601</v>
      </c>
      <c r="H32" s="48">
        <v>1665</v>
      </c>
      <c r="I32" s="48">
        <v>1706</v>
      </c>
      <c r="J32" s="48">
        <v>1658</v>
      </c>
      <c r="K32" s="48">
        <v>1663</v>
      </c>
      <c r="L32" s="48">
        <v>1568</v>
      </c>
      <c r="M32" s="48">
        <v>1511</v>
      </c>
      <c r="N32" s="48">
        <v>1467</v>
      </c>
      <c r="O32" s="399">
        <v>1482</v>
      </c>
      <c r="P32" s="423">
        <f t="shared" si="8"/>
        <v>19131</v>
      </c>
      <c r="Q32" s="424">
        <f t="shared" si="5"/>
        <v>1594.25</v>
      </c>
    </row>
    <row r="33" spans="1:17" s="40" customFormat="1" ht="21" customHeight="1">
      <c r="B33" s="913">
        <v>2023</v>
      </c>
      <c r="C33" s="46"/>
      <c r="D33" s="48">
        <v>1395</v>
      </c>
      <c r="E33" s="48">
        <v>1382</v>
      </c>
      <c r="F33" s="48">
        <v>1349</v>
      </c>
      <c r="G33" s="48">
        <v>1321</v>
      </c>
      <c r="H33" s="48">
        <v>1270</v>
      </c>
      <c r="I33" s="48">
        <v>1225</v>
      </c>
      <c r="J33" s="48">
        <v>1212</v>
      </c>
      <c r="K33" s="48">
        <v>1231</v>
      </c>
      <c r="L33" s="48">
        <v>1210</v>
      </c>
      <c r="M33" s="48">
        <v>1206</v>
      </c>
      <c r="N33" s="48">
        <v>1193</v>
      </c>
      <c r="O33" s="399">
        <v>1240</v>
      </c>
      <c r="P33" s="423">
        <f t="shared" ref="P33:P35" si="9">SUM(D33:G33)</f>
        <v>5447</v>
      </c>
      <c r="Q33" s="424">
        <f t="shared" ref="Q33:Q35" si="10">AVERAGE(D33:G33)</f>
        <v>1361.75</v>
      </c>
    </row>
    <row r="34" spans="1:17" s="40" customFormat="1" ht="21" customHeight="1">
      <c r="B34" s="913">
        <v>2024</v>
      </c>
      <c r="C34" s="889"/>
      <c r="D34" s="48">
        <v>1168</v>
      </c>
      <c r="E34" s="48">
        <v>1190</v>
      </c>
      <c r="F34" s="48">
        <v>1246</v>
      </c>
      <c r="G34" s="48">
        <v>1250</v>
      </c>
      <c r="H34" s="48">
        <v>1228</v>
      </c>
      <c r="I34" s="48">
        <v>1208</v>
      </c>
      <c r="J34" s="48">
        <v>1214</v>
      </c>
      <c r="K34" s="48">
        <v>1222</v>
      </c>
      <c r="L34" s="48">
        <v>1267</v>
      </c>
      <c r="M34" s="48">
        <v>1291</v>
      </c>
      <c r="N34" s="48">
        <v>1289</v>
      </c>
      <c r="O34" s="399">
        <v>1301</v>
      </c>
      <c r="P34" s="423">
        <f t="shared" si="9"/>
        <v>4854</v>
      </c>
      <c r="Q34" s="424">
        <f t="shared" si="10"/>
        <v>1213.5</v>
      </c>
    </row>
    <row r="35" spans="1:17" s="40" customFormat="1" ht="21" customHeight="1">
      <c r="B35" s="913">
        <v>2025</v>
      </c>
      <c r="C35" s="889"/>
      <c r="D35" s="48">
        <f>+'Average .'!D21</f>
        <v>1241</v>
      </c>
      <c r="E35" s="48">
        <f>+'Average .'!F21</f>
        <v>1273</v>
      </c>
      <c r="F35" s="48">
        <f>+'Average .'!H21</f>
        <v>1291</v>
      </c>
      <c r="G35" s="48">
        <f>+'Average .'!J21</f>
        <v>1286</v>
      </c>
      <c r="H35" s="48"/>
      <c r="I35" s="48"/>
      <c r="J35" s="48"/>
      <c r="K35" s="48"/>
      <c r="L35" s="48"/>
      <c r="M35" s="48"/>
      <c r="N35" s="48"/>
      <c r="O35" s="399"/>
      <c r="P35" s="423">
        <f t="shared" si="9"/>
        <v>5091</v>
      </c>
      <c r="Q35" s="424">
        <f t="shared" si="10"/>
        <v>1272.75</v>
      </c>
    </row>
    <row r="36" spans="1:17" s="41" customFormat="1" ht="18.75" customHeight="1" thickBot="1">
      <c r="A36" s="40"/>
      <c r="B36" s="916" t="s">
        <v>744</v>
      </c>
      <c r="C36" s="734"/>
      <c r="D36" s="751">
        <f>+(D35-D34)/D34</f>
        <v>6.25E-2</v>
      </c>
      <c r="E36" s="751">
        <f t="shared" ref="E36" si="11">+(E35-E34)/E34</f>
        <v>6.9747899159663868E-2</v>
      </c>
      <c r="F36" s="751">
        <f>+(F35-F34)/F34</f>
        <v>3.6115569823434994E-2</v>
      </c>
      <c r="G36" s="751">
        <f>+(G35-G34)/G34</f>
        <v>2.8799999999999999E-2</v>
      </c>
      <c r="H36" s="751"/>
      <c r="I36" s="751"/>
      <c r="J36" s="751"/>
      <c r="K36" s="751"/>
      <c r="L36" s="751"/>
      <c r="M36" s="751"/>
      <c r="N36" s="751"/>
      <c r="O36" s="751"/>
      <c r="P36" s="751">
        <f>+(P35-P34)/P34</f>
        <v>4.8825710754017308E-2</v>
      </c>
      <c r="Q36" s="751">
        <f>+(Q35-Q34)/Q34</f>
        <v>4.8825710754017308E-2</v>
      </c>
    </row>
    <row r="37" spans="1:17" s="40" customFormat="1" ht="20.45" hidden="1" customHeight="1">
      <c r="B37" s="1234" t="s">
        <v>91</v>
      </c>
      <c r="C37" s="8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397"/>
      <c r="P37" s="421"/>
      <c r="Q37" s="425"/>
    </row>
    <row r="38" spans="1:17" s="40" customFormat="1" ht="20.45" hidden="1" customHeight="1">
      <c r="B38" s="1604" t="s">
        <v>92</v>
      </c>
      <c r="C38" s="46" t="s">
        <v>75</v>
      </c>
      <c r="D38" s="47">
        <v>4985628539</v>
      </c>
      <c r="E38" s="47">
        <v>6264598796</v>
      </c>
      <c r="F38" s="47">
        <v>5873452717</v>
      </c>
      <c r="G38" s="47">
        <v>6043304524</v>
      </c>
      <c r="H38" s="47">
        <v>6567198286</v>
      </c>
      <c r="I38" s="47">
        <v>7000611623</v>
      </c>
      <c r="J38" s="47">
        <v>6798074532</v>
      </c>
      <c r="K38" s="47">
        <v>8232980373</v>
      </c>
      <c r="L38" s="47">
        <v>8419444750</v>
      </c>
      <c r="M38" s="47">
        <v>8629092753</v>
      </c>
      <c r="N38" s="47">
        <v>8406314282</v>
      </c>
      <c r="O38" s="398">
        <v>9481813094</v>
      </c>
      <c r="P38" s="423">
        <f>SUM(D38:O38)</f>
        <v>86702514269</v>
      </c>
      <c r="Q38" s="424">
        <f>AVERAGE(D38:O38)</f>
        <v>7225209522.416667</v>
      </c>
    </row>
    <row r="39" spans="1:17" s="40" customFormat="1" ht="20.45" hidden="1" customHeight="1">
      <c r="B39" s="1604"/>
      <c r="C39" s="46" t="s">
        <v>76</v>
      </c>
      <c r="D39" s="53">
        <v>223570.78650224215</v>
      </c>
      <c r="E39" s="53">
        <v>280923.7128251121</v>
      </c>
      <c r="F39" s="53">
        <v>263383.5299103139</v>
      </c>
      <c r="G39" s="53">
        <v>271000.20286995516</v>
      </c>
      <c r="H39" s="53">
        <v>294493.19668161432</v>
      </c>
      <c r="I39" s="53">
        <v>313928.77233183855</v>
      </c>
      <c r="J39" s="53">
        <v>304846.39156950673</v>
      </c>
      <c r="K39" s="53">
        <v>369191.94497757847</v>
      </c>
      <c r="L39" s="53">
        <v>377553.57623318385</v>
      </c>
      <c r="M39" s="53">
        <v>386954.83197309414</v>
      </c>
      <c r="N39" s="53">
        <v>373613.96808888891</v>
      </c>
      <c r="O39" s="400">
        <v>421413.91528888891</v>
      </c>
      <c r="P39" s="427">
        <f t="shared" ref="P39:P59" si="12">SUM(D39:O39)</f>
        <v>3880874.829252217</v>
      </c>
      <c r="Q39" s="428">
        <f>AVERAGE(D39:O39)</f>
        <v>323406.23577101808</v>
      </c>
    </row>
    <row r="40" spans="1:17" s="40" customFormat="1" ht="20.45" hidden="1" customHeight="1">
      <c r="B40" s="912" t="s">
        <v>93</v>
      </c>
      <c r="C40" s="46" t="s">
        <v>76</v>
      </c>
      <c r="D40" s="53">
        <v>1987291.36745</v>
      </c>
      <c r="E40" s="53">
        <v>1199083.4954000001</v>
      </c>
      <c r="F40" s="53">
        <v>1873767.2511976666</v>
      </c>
      <c r="G40" s="53">
        <v>1773881.2886000006</v>
      </c>
      <c r="H40" s="53">
        <v>1849495.2595406664</v>
      </c>
      <c r="I40" s="53">
        <v>2031953.9200000004</v>
      </c>
      <c r="J40" s="53">
        <v>2689634.7535999995</v>
      </c>
      <c r="K40" s="53">
        <v>2612671.2521666656</v>
      </c>
      <c r="L40" s="53">
        <v>2993469.0654309527</v>
      </c>
      <c r="M40" s="53">
        <v>3980024.1777500007</v>
      </c>
      <c r="N40" s="53">
        <v>2885257.5586661673</v>
      </c>
      <c r="O40" s="400">
        <v>2914375.2716595242</v>
      </c>
      <c r="P40" s="427">
        <f t="shared" si="12"/>
        <v>28790904.66146164</v>
      </c>
      <c r="Q40" s="428">
        <f>AVERAGE(D40:O40)</f>
        <v>2399242.0551218032</v>
      </c>
    </row>
    <row r="41" spans="1:17" s="41" customFormat="1" ht="20.45" hidden="1" customHeight="1" thickBot="1">
      <c r="A41" s="40"/>
      <c r="B41" s="1239" t="s">
        <v>94</v>
      </c>
      <c r="C41" s="1240"/>
      <c r="D41" s="1241">
        <f>D39/D40</f>
        <v>0.11250025545530236</v>
      </c>
      <c r="E41" s="1241">
        <v>0.23428202781775365</v>
      </c>
      <c r="F41" s="1241">
        <f t="shared" ref="F41:N41" si="13">F39/F40</f>
        <v>0.1405636317648126</v>
      </c>
      <c r="G41" s="1241">
        <f t="shared" si="13"/>
        <v>0.15277245699109693</v>
      </c>
      <c r="H41" s="1241">
        <f t="shared" si="13"/>
        <v>0.15922895458231862</v>
      </c>
      <c r="I41" s="1241">
        <f t="shared" si="13"/>
        <v>0.15449600960037446</v>
      </c>
      <c r="J41" s="1241">
        <f t="shared" si="13"/>
        <v>0.11334118551282048</v>
      </c>
      <c r="K41" s="1241">
        <f t="shared" si="13"/>
        <v>0.14130822799516427</v>
      </c>
      <c r="L41" s="1241">
        <f t="shared" si="13"/>
        <v>0.12612576511754586</v>
      </c>
      <c r="M41" s="1241">
        <v>9.7224241535097566E-2</v>
      </c>
      <c r="N41" s="1241">
        <f t="shared" si="13"/>
        <v>0.12949068167820962</v>
      </c>
      <c r="O41" s="1242">
        <v>9.2937551225032847E-2</v>
      </c>
      <c r="P41" s="1242">
        <v>9.2937551225032847E-2</v>
      </c>
      <c r="Q41" s="1242">
        <v>9.2937551225032805E-2</v>
      </c>
    </row>
    <row r="42" spans="1:17" s="40" customFormat="1" ht="20.45" hidden="1" customHeight="1">
      <c r="B42" s="915" t="s">
        <v>95</v>
      </c>
      <c r="C42" s="43" t="s">
        <v>76</v>
      </c>
      <c r="D42" s="56">
        <v>1330265.31</v>
      </c>
      <c r="E42" s="56">
        <v>776254.62</v>
      </c>
      <c r="F42" s="56">
        <v>1245667.48</v>
      </c>
      <c r="G42" s="56">
        <v>1176874.1600000006</v>
      </c>
      <c r="H42" s="56">
        <v>1233247.52</v>
      </c>
      <c r="I42" s="56">
        <v>1439778.1700000009</v>
      </c>
      <c r="J42" s="56">
        <v>1884162.35</v>
      </c>
      <c r="K42" s="56">
        <v>1944249.6899999997</v>
      </c>
      <c r="L42" s="56">
        <v>2480298.5</v>
      </c>
      <c r="M42" s="56">
        <v>3378138.76</v>
      </c>
      <c r="N42" s="56">
        <v>2446838.4099999992</v>
      </c>
      <c r="O42" s="402">
        <v>2455810.69</v>
      </c>
      <c r="P42" s="431">
        <f t="shared" si="12"/>
        <v>21791585.660000004</v>
      </c>
      <c r="Q42" s="432">
        <f>AVERAGE(D42:O42)</f>
        <v>1815965.4716666669</v>
      </c>
    </row>
    <row r="43" spans="1:17" s="41" customFormat="1" ht="20.45" hidden="1" customHeight="1" thickBot="1">
      <c r="A43" s="40"/>
      <c r="B43" s="1239" t="s">
        <v>94</v>
      </c>
      <c r="C43" s="1240"/>
      <c r="D43" s="1241">
        <f>D39/D42</f>
        <v>0.16806480994550038</v>
      </c>
      <c r="E43" s="1241">
        <v>0.36189634893910466</v>
      </c>
      <c r="F43" s="1241">
        <f t="shared" ref="F43:N43" si="14">F39/F42</f>
        <v>0.21143967723257406</v>
      </c>
      <c r="G43" s="1241">
        <f t="shared" si="14"/>
        <v>0.2302711811345701</v>
      </c>
      <c r="H43" s="1241">
        <f t="shared" si="14"/>
        <v>0.23879488254037951</v>
      </c>
      <c r="I43" s="1241">
        <f t="shared" si="14"/>
        <v>0.2180396806070746</v>
      </c>
      <c r="J43" s="1241">
        <f t="shared" si="14"/>
        <v>0.16179412117512418</v>
      </c>
      <c r="K43" s="1241">
        <f t="shared" si="14"/>
        <v>0.18988916232131611</v>
      </c>
      <c r="L43" s="1241">
        <f t="shared" si="14"/>
        <v>0.1522210234909967</v>
      </c>
      <c r="M43" s="1241">
        <v>0.11454675472629021</v>
      </c>
      <c r="N43" s="1241">
        <f t="shared" si="14"/>
        <v>0.15269253848638456</v>
      </c>
      <c r="O43" s="1242">
        <v>0.17159869732828995</v>
      </c>
      <c r="P43" s="1242">
        <v>0.17159869732828995</v>
      </c>
      <c r="Q43" s="1242">
        <v>0.17159869732828995</v>
      </c>
    </row>
    <row r="44" spans="1:17" s="40" customFormat="1" ht="20.45" hidden="1" customHeight="1">
      <c r="B44" s="1235" t="s">
        <v>96</v>
      </c>
      <c r="C44" s="8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397"/>
      <c r="P44" s="421">
        <f t="shared" si="12"/>
        <v>0</v>
      </c>
      <c r="Q44" s="425"/>
    </row>
    <row r="45" spans="1:17" s="40" customFormat="1" ht="20.45" hidden="1" customHeight="1">
      <c r="B45" s="1604" t="s">
        <v>92</v>
      </c>
      <c r="C45" s="46" t="s">
        <v>75</v>
      </c>
      <c r="D45" s="47">
        <f>+[6]Average!C5</f>
        <v>7642200103.8559999</v>
      </c>
      <c r="E45" s="47">
        <f>+[6]Average!D5</f>
        <v>7395535069.9544001</v>
      </c>
      <c r="F45" s="47">
        <f>+[6]Average!E5</f>
        <v>8559547765.4006004</v>
      </c>
      <c r="G45" s="47">
        <f>+[6]Average!F5</f>
        <v>8539976950.4106998</v>
      </c>
      <c r="H45" s="47">
        <f>+[6]Average!G5</f>
        <v>7998606725.0533504</v>
      </c>
      <c r="I45" s="47">
        <f>+[6]Average!H5</f>
        <v>7322705391.8907995</v>
      </c>
      <c r="J45" s="47">
        <f>+[6]Average!I5</f>
        <v>7580295989.7406998</v>
      </c>
      <c r="K45" s="47">
        <f>+[6]Average!J5</f>
        <v>8916351713.7571507</v>
      </c>
      <c r="L45" s="47">
        <f>+[6]Average!K5</f>
        <v>9803104857.4235001</v>
      </c>
      <c r="M45" s="47">
        <f>+[6]Average!L5</f>
        <v>9649436622.6410007</v>
      </c>
      <c r="N45" s="47">
        <f>+[6]Average!M5</f>
        <v>9000946802.4899998</v>
      </c>
      <c r="O45" s="398">
        <f>+[6]Average!N5</f>
        <v>9236581465.8999996</v>
      </c>
      <c r="P45" s="423">
        <f t="shared" si="12"/>
        <v>101645289458.5182</v>
      </c>
      <c r="Q45" s="424">
        <f>AVERAGE(D45:O45)</f>
        <v>8470440788.2098503</v>
      </c>
    </row>
    <row r="46" spans="1:17" s="40" customFormat="1" ht="20.45" hidden="1" customHeight="1">
      <c r="B46" s="1604"/>
      <c r="C46" s="46" t="s">
        <v>76</v>
      </c>
      <c r="D46" s="53">
        <f>+D45/D3</f>
        <v>336660.79752669606</v>
      </c>
      <c r="E46" s="53">
        <f>+E45/E3</f>
        <v>325794.49647376209</v>
      </c>
      <c r="F46" s="53">
        <f>+F45/F3</f>
        <v>377072.58878416743</v>
      </c>
      <c r="G46" s="53">
        <f>+G45/G3</f>
        <v>376210.43834408367</v>
      </c>
      <c r="H46" s="53">
        <f>+H45/H3</f>
        <v>352361.52973803307</v>
      </c>
      <c r="I46" s="53">
        <f>+I45/I4</f>
        <v>318516.98094348848</v>
      </c>
      <c r="J46" s="53">
        <f t="shared" ref="J46:O46" si="15">+J45/J3</f>
        <v>333933.74404144054</v>
      </c>
      <c r="K46" s="53">
        <f t="shared" si="15"/>
        <v>392790.82439458813</v>
      </c>
      <c r="L46" s="53">
        <f t="shared" si="15"/>
        <v>431854.83953407488</v>
      </c>
      <c r="M46" s="53">
        <f t="shared" si="15"/>
        <v>425085.31377273129</v>
      </c>
      <c r="N46" s="53">
        <f t="shared" si="15"/>
        <v>396517.48028590309</v>
      </c>
      <c r="O46" s="400">
        <f t="shared" si="15"/>
        <v>406897.86193392071</v>
      </c>
      <c r="P46" s="427">
        <f t="shared" si="12"/>
        <v>4473696.8957728902</v>
      </c>
      <c r="Q46" s="428">
        <f>AVERAGE(D46:O46)</f>
        <v>372808.07464774087</v>
      </c>
    </row>
    <row r="47" spans="1:17" s="40" customFormat="1" ht="20.45" hidden="1" customHeight="1">
      <c r="B47" s="912" t="s">
        <v>93</v>
      </c>
      <c r="C47" s="46" t="s">
        <v>76</v>
      </c>
      <c r="D47" s="53">
        <v>2495199.88</v>
      </c>
      <c r="E47" s="53">
        <v>1902208.83</v>
      </c>
      <c r="F47" s="53">
        <v>2488804.8199999998</v>
      </c>
      <c r="G47" s="53">
        <v>2657488.1886</v>
      </c>
      <c r="H47" s="53">
        <v>2305065.5719523816</v>
      </c>
      <c r="I47" s="53">
        <v>1919010.63601433</v>
      </c>
      <c r="J47" s="53">
        <v>2247982.537204762</v>
      </c>
      <c r="K47" s="53">
        <v>2965495.4372928571</v>
      </c>
      <c r="L47" s="53">
        <v>3630914.2285500001</v>
      </c>
      <c r="M47" s="53">
        <v>3246484.5940333302</v>
      </c>
      <c r="N47" s="53">
        <v>2427016.8314333302</v>
      </c>
      <c r="O47" s="400">
        <v>3060043.5045166598</v>
      </c>
      <c r="P47" s="427">
        <f t="shared" si="12"/>
        <v>31345715.059597652</v>
      </c>
      <c r="Q47" s="428">
        <f>AVERAGE(D47:O47)</f>
        <v>2612142.9216331379</v>
      </c>
    </row>
    <row r="48" spans="1:17" s="41" customFormat="1" ht="20.45" hidden="1" customHeight="1" thickBot="1">
      <c r="A48" s="40"/>
      <c r="B48" s="1243" t="s">
        <v>94</v>
      </c>
      <c r="C48" s="1244"/>
      <c r="D48" s="1245">
        <f t="shared" ref="D48:N48" si="16">D46/D47</f>
        <v>0.13492337837347768</v>
      </c>
      <c r="E48" s="1245">
        <f t="shared" si="16"/>
        <v>0.17127167708172297</v>
      </c>
      <c r="F48" s="1245">
        <f t="shared" si="16"/>
        <v>0.15150749699374474</v>
      </c>
      <c r="G48" s="1245">
        <f t="shared" si="16"/>
        <v>0.14156617514160103</v>
      </c>
      <c r="H48" s="1245">
        <f t="shared" si="16"/>
        <v>0.15286399399023787</v>
      </c>
      <c r="I48" s="1245">
        <f>I46/I47</f>
        <v>0.16597978925485746</v>
      </c>
      <c r="J48" s="1245">
        <f t="shared" si="16"/>
        <v>0.14854819310859421</v>
      </c>
      <c r="K48" s="1245">
        <f t="shared" si="16"/>
        <v>0.13245369372517368</v>
      </c>
      <c r="L48" s="1245">
        <f t="shared" si="16"/>
        <v>0.11893832031018134</v>
      </c>
      <c r="M48" s="1245">
        <f t="shared" si="16"/>
        <v>0.13093711103819491</v>
      </c>
      <c r="N48" s="1245">
        <f t="shared" si="16"/>
        <v>0.16337648554819895</v>
      </c>
      <c r="O48" s="1246">
        <f>O46/O47</f>
        <v>0.13297126702065992</v>
      </c>
      <c r="P48" s="1246">
        <f t="shared" ref="P48:Q48" si="17">P46/P47</f>
        <v>0.1427211625980471</v>
      </c>
      <c r="Q48" s="1246">
        <f t="shared" si="17"/>
        <v>0.1427211625980471</v>
      </c>
    </row>
    <row r="49" spans="1:17" s="40" customFormat="1" ht="20.25" hidden="1" customHeight="1">
      <c r="B49" s="915" t="s">
        <v>95</v>
      </c>
      <c r="C49" s="43" t="s">
        <v>76</v>
      </c>
      <c r="D49" s="56">
        <v>1971480.14</v>
      </c>
      <c r="E49" s="56">
        <v>1455562.72</v>
      </c>
      <c r="F49" s="56">
        <v>1786971.49</v>
      </c>
      <c r="G49" s="56">
        <v>2062606.29</v>
      </c>
      <c r="H49" s="56">
        <v>1787595.2699999998</v>
      </c>
      <c r="I49" s="56">
        <v>1474122.62</v>
      </c>
      <c r="J49" s="58">
        <v>1759182.92</v>
      </c>
      <c r="K49" s="58">
        <v>2325160.7999999993</v>
      </c>
      <c r="L49" s="58">
        <v>2862589.9519999996</v>
      </c>
      <c r="M49" s="58">
        <v>2586948.8260000017</v>
      </c>
      <c r="N49" s="58">
        <v>2069141.2680000009</v>
      </c>
      <c r="O49" s="403">
        <v>2624582.1979999994</v>
      </c>
      <c r="P49" s="433">
        <f t="shared" si="12"/>
        <v>24765944.493999999</v>
      </c>
      <c r="Q49" s="432">
        <f>AVERAGE(D49:O49)</f>
        <v>2063828.7078333332</v>
      </c>
    </row>
    <row r="50" spans="1:17" s="41" customFormat="1" ht="20.45" hidden="1" customHeight="1" thickBot="1">
      <c r="A50" s="40"/>
      <c r="B50" s="1243" t="s">
        <v>94</v>
      </c>
      <c r="C50" s="1244"/>
      <c r="D50" s="1245">
        <f>D46/D49</f>
        <v>0.17076550288084366</v>
      </c>
      <c r="E50" s="1245">
        <f>E46/E49</f>
        <v>0.22382717831201537</v>
      </c>
      <c r="F50" s="1245">
        <f t="shared" ref="F50:N50" si="18">F46/F49</f>
        <v>0.21101208994899379</v>
      </c>
      <c r="G50" s="1245">
        <f>G46/G49</f>
        <v>0.18239566133781338</v>
      </c>
      <c r="H50" s="1245">
        <f>H46/H49</f>
        <v>0.19711482551530421</v>
      </c>
      <c r="I50" s="1245">
        <f>I46/I49</f>
        <v>0.21607224298850286</v>
      </c>
      <c r="J50" s="1245">
        <f t="shared" si="18"/>
        <v>0.18982320726570068</v>
      </c>
      <c r="K50" s="1245">
        <f t="shared" si="18"/>
        <v>0.16893060660346082</v>
      </c>
      <c r="L50" s="1245">
        <f t="shared" si="18"/>
        <v>0.15086157877147294</v>
      </c>
      <c r="M50" s="1245">
        <f t="shared" si="18"/>
        <v>0.16431918153943839</v>
      </c>
      <c r="N50" s="1245">
        <f t="shared" si="18"/>
        <v>0.19163383690528321</v>
      </c>
      <c r="O50" s="1246">
        <f>O46/O49</f>
        <v>0.15503338483511303</v>
      </c>
      <c r="P50" s="1246">
        <f t="shared" ref="P50:Q50" si="19">P46/P49</f>
        <v>0.18063905848035494</v>
      </c>
      <c r="Q50" s="1246">
        <f t="shared" si="19"/>
        <v>0.18063905848035494</v>
      </c>
    </row>
    <row r="51" spans="1:17" s="40" customFormat="1" ht="20.45" hidden="1" customHeight="1">
      <c r="B51" s="1236" t="s">
        <v>129</v>
      </c>
      <c r="C51" s="8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397"/>
      <c r="P51" s="421">
        <f t="shared" si="12"/>
        <v>0</v>
      </c>
      <c r="Q51" s="425"/>
    </row>
    <row r="52" spans="1:17" s="40" customFormat="1" ht="20.45" hidden="1" customHeight="1">
      <c r="B52" s="1604" t="s">
        <v>92</v>
      </c>
      <c r="C52" s="46" t="s">
        <v>75</v>
      </c>
      <c r="D52" s="47">
        <f>+[7]Average!Q4</f>
        <v>9654545204.3455009</v>
      </c>
      <c r="E52" s="47">
        <f>+[7]Average!R4</f>
        <v>7082514164.6518002</v>
      </c>
      <c r="F52" s="47">
        <f>+[7]Average!S4</f>
        <v>9183500747.9316807</v>
      </c>
      <c r="G52" s="47">
        <v>8719003619.8542004</v>
      </c>
      <c r="H52" s="47">
        <f>+[6]Average!Z5</f>
        <v>7285700591</v>
      </c>
      <c r="I52" s="47">
        <v>9335660158.3607521</v>
      </c>
      <c r="J52" s="47">
        <v>8944955213.2250004</v>
      </c>
      <c r="K52" s="47">
        <f>+[6]Average!AF5</f>
        <v>7659084972</v>
      </c>
      <c r="L52" s="47">
        <f>+[6]Average!AH5</f>
        <v>7632254225</v>
      </c>
      <c r="M52" s="47">
        <f>+[6]Average!AJ5</f>
        <v>8072850333</v>
      </c>
      <c r="N52" s="47">
        <f>+[6]Average!AL5</f>
        <v>7998313641</v>
      </c>
      <c r="O52" s="398">
        <f>+[6]Average!AN5</f>
        <v>8704287799</v>
      </c>
      <c r="P52" s="423">
        <f t="shared" si="12"/>
        <v>100272670669.36893</v>
      </c>
      <c r="Q52" s="424">
        <f>AVERAGE(D52:O52)</f>
        <v>8356055889.1140776</v>
      </c>
    </row>
    <row r="53" spans="1:17" s="40" customFormat="1" ht="20.45" hidden="1" customHeight="1">
      <c r="B53" s="1604"/>
      <c r="C53" s="46" t="s">
        <v>76</v>
      </c>
      <c r="D53" s="53">
        <f t="shared" ref="D53:O53" si="20">+D52/D4</f>
        <v>424468.90324666962</v>
      </c>
      <c r="E53" s="53">
        <f t="shared" si="20"/>
        <v>310772.89006809128</v>
      </c>
      <c r="F53" s="53">
        <f t="shared" si="20"/>
        <v>402608.53783128806</v>
      </c>
      <c r="G53" s="53">
        <f t="shared" si="20"/>
        <v>382412.43946728949</v>
      </c>
      <c r="H53" s="53">
        <f t="shared" si="20"/>
        <v>319058.48876724328</v>
      </c>
      <c r="I53" s="53">
        <f t="shared" si="20"/>
        <v>406074.82202526106</v>
      </c>
      <c r="J53" s="53">
        <f t="shared" si="20"/>
        <v>383738.96238631487</v>
      </c>
      <c r="K53" s="53">
        <f t="shared" si="20"/>
        <v>328152.74087403598</v>
      </c>
      <c r="L53" s="53">
        <f t="shared" si="20"/>
        <v>326653.29445752193</v>
      </c>
      <c r="M53" s="53">
        <f t="shared" si="20"/>
        <v>345141.10017101327</v>
      </c>
      <c r="N53" s="53">
        <f t="shared" si="20"/>
        <v>342320.29278835864</v>
      </c>
      <c r="O53" s="400">
        <f t="shared" si="20"/>
        <v>374619.65995265765</v>
      </c>
      <c r="P53" s="427">
        <f t="shared" si="12"/>
        <v>4346022.1320357444</v>
      </c>
      <c r="Q53" s="428">
        <f>AVERAGE(D53:O53)</f>
        <v>362168.51100297872</v>
      </c>
    </row>
    <row r="54" spans="1:17" s="40" customFormat="1" ht="20.45" hidden="1" customHeight="1">
      <c r="B54" s="912" t="s">
        <v>93</v>
      </c>
      <c r="C54" s="46" t="s">
        <v>76</v>
      </c>
      <c r="D54" s="53">
        <v>2741485.786638</v>
      </c>
      <c r="E54" s="53">
        <v>1667558.8590666701</v>
      </c>
      <c r="F54" s="53">
        <v>2714999.4772738083</v>
      </c>
      <c r="G54" s="53">
        <v>2505468.3401943799</v>
      </c>
      <c r="H54" s="53">
        <v>2892729.3481761902</v>
      </c>
      <c r="I54" s="53">
        <v>2588625.6919027101</v>
      </c>
      <c r="J54" s="53">
        <v>2382754.1621000003</v>
      </c>
      <c r="K54" s="53">
        <v>3080107.1056193332</v>
      </c>
      <c r="L54" s="53">
        <v>2772137.6090833298</v>
      </c>
      <c r="M54" s="53">
        <v>4078998.34595</v>
      </c>
      <c r="N54" s="53">
        <v>3497759.25373893</v>
      </c>
      <c r="O54" s="400">
        <v>3131843.5545121701</v>
      </c>
      <c r="P54" s="427">
        <f t="shared" si="12"/>
        <v>34054467.53425552</v>
      </c>
      <c r="Q54" s="428">
        <f>AVERAGE(D54:O54)</f>
        <v>2837872.2945212931</v>
      </c>
    </row>
    <row r="55" spans="1:17" s="41" customFormat="1" ht="20.45" hidden="1" customHeight="1" thickBot="1">
      <c r="A55" s="40"/>
      <c r="B55" s="1247" t="s">
        <v>94</v>
      </c>
      <c r="C55" s="1248"/>
      <c r="D55" s="1249">
        <f t="shared" ref="D55:M55" si="21">D53/D54</f>
        <v>0.15483169940750041</v>
      </c>
      <c r="E55" s="1249">
        <f t="shared" si="21"/>
        <v>0.18636397052997</v>
      </c>
      <c r="F55" s="1249">
        <f t="shared" si="21"/>
        <v>0.14829046605767907</v>
      </c>
      <c r="G55" s="1249">
        <f>G53/G54</f>
        <v>0.15263112023104672</v>
      </c>
      <c r="H55" s="1249">
        <f t="shared" si="21"/>
        <v>0.11029669573767883</v>
      </c>
      <c r="I55" s="1249">
        <f t="shared" si="21"/>
        <v>0.156868883475689</v>
      </c>
      <c r="J55" s="1249">
        <f t="shared" si="21"/>
        <v>0.1610484910655294</v>
      </c>
      <c r="K55" s="1249">
        <f t="shared" si="21"/>
        <v>0.10653939282674801</v>
      </c>
      <c r="L55" s="1249">
        <f t="shared" si="21"/>
        <v>0.11783444421633069</v>
      </c>
      <c r="M55" s="1249">
        <f t="shared" si="21"/>
        <v>8.4614179977224244E-2</v>
      </c>
      <c r="N55" s="1249">
        <f>N53/N54</f>
        <v>9.7868454617748582E-2</v>
      </c>
      <c r="O55" s="1250">
        <f>O53/O54</f>
        <v>0.1196163388854237</v>
      </c>
      <c r="P55" s="1250">
        <f t="shared" ref="P55:Q55" si="22">P53/P54</f>
        <v>0.1276197352862459</v>
      </c>
      <c r="Q55" s="1250">
        <f t="shared" si="22"/>
        <v>0.1276197352862459</v>
      </c>
    </row>
    <row r="56" spans="1:17" s="40" customFormat="1" ht="20.45" hidden="1" customHeight="1">
      <c r="B56" s="915" t="s">
        <v>95</v>
      </c>
      <c r="C56" s="43" t="s">
        <v>76</v>
      </c>
      <c r="D56" s="56">
        <v>2016502.6400000001</v>
      </c>
      <c r="E56" s="56">
        <v>1341924.9700000002</v>
      </c>
      <c r="F56" s="56">
        <v>2203671.5100000007</v>
      </c>
      <c r="G56" s="56">
        <v>2006802.4750000001</v>
      </c>
      <c r="H56" s="56">
        <v>2388287.0239999988</v>
      </c>
      <c r="I56" s="56">
        <v>2151890.5</v>
      </c>
      <c r="J56" s="56">
        <v>1971039.7399999993</v>
      </c>
      <c r="K56" s="56">
        <v>2651543.120000001</v>
      </c>
      <c r="L56" s="56">
        <v>2389961.2599999993</v>
      </c>
      <c r="M56" s="56">
        <v>3517271.9500000007</v>
      </c>
      <c r="N56" s="56">
        <v>3135932.5900000008</v>
      </c>
      <c r="O56" s="402">
        <v>2805415.5260000001</v>
      </c>
      <c r="P56" s="431">
        <f t="shared" si="12"/>
        <v>28580243.304999996</v>
      </c>
      <c r="Q56" s="432">
        <f>AVERAGE(D56:O56)</f>
        <v>2381686.9420833332</v>
      </c>
    </row>
    <row r="57" spans="1:17" s="41" customFormat="1" ht="20.45" hidden="1" customHeight="1" thickBot="1">
      <c r="A57" s="40"/>
      <c r="B57" s="1247" t="s">
        <v>94</v>
      </c>
      <c r="C57" s="1248"/>
      <c r="D57" s="1249">
        <f t="shared" ref="D57:L57" si="23">D53/D56</f>
        <v>0.21049756882374804</v>
      </c>
      <c r="E57" s="1249">
        <f t="shared" si="23"/>
        <v>0.23158738157178135</v>
      </c>
      <c r="F57" s="1249">
        <f t="shared" si="23"/>
        <v>0.18269898031730145</v>
      </c>
      <c r="G57" s="1249">
        <f t="shared" si="23"/>
        <v>0.1905580864241706</v>
      </c>
      <c r="H57" s="1249">
        <f t="shared" si="23"/>
        <v>0.13359302527753608</v>
      </c>
      <c r="I57" s="1249">
        <f t="shared" si="23"/>
        <v>0.18870608054882954</v>
      </c>
      <c r="J57" s="1249">
        <f t="shared" si="23"/>
        <v>0.19468859739292471</v>
      </c>
      <c r="K57" s="1249">
        <f t="shared" si="23"/>
        <v>0.1237591568467632</v>
      </c>
      <c r="L57" s="1249">
        <f t="shared" si="23"/>
        <v>0.13667723403078175</v>
      </c>
      <c r="M57" s="1249">
        <f>M53/M56</f>
        <v>9.812749911789255E-2</v>
      </c>
      <c r="N57" s="1249">
        <f>N53/N56</f>
        <v>0.10916060309458328</v>
      </c>
      <c r="O57" s="1250">
        <f>O53/O56</f>
        <v>0.13353446449581588</v>
      </c>
      <c r="P57" s="1250">
        <f t="shared" ref="P57:Q57" si="24">P53/P56</f>
        <v>0.15206386053667451</v>
      </c>
      <c r="Q57" s="1250">
        <f t="shared" si="24"/>
        <v>0.15206386053667451</v>
      </c>
    </row>
    <row r="58" spans="1:17" s="40" customFormat="1" ht="20.45" hidden="1" customHeight="1">
      <c r="B58" s="1237" t="s">
        <v>152</v>
      </c>
      <c r="C58" s="8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397"/>
      <c r="P58" s="421">
        <f t="shared" si="12"/>
        <v>0</v>
      </c>
      <c r="Q58" s="425"/>
    </row>
    <row r="59" spans="1:17" s="40" customFormat="1" ht="20.45" hidden="1" customHeight="1">
      <c r="B59" s="1604" t="s">
        <v>92</v>
      </c>
      <c r="C59" s="46" t="s">
        <v>75</v>
      </c>
      <c r="D59" s="47">
        <v>10937906547.717751</v>
      </c>
      <c r="E59" s="47">
        <v>9545464405</v>
      </c>
      <c r="F59" s="47">
        <v>14416053864</v>
      </c>
      <c r="G59" s="47">
        <v>14026010814</v>
      </c>
      <c r="H59" s="47">
        <v>15662933874.654634</v>
      </c>
      <c r="I59" s="47">
        <v>15818550529.483334</v>
      </c>
      <c r="J59" s="47">
        <v>17250105666</v>
      </c>
      <c r="K59" s="47">
        <v>17576580806.972748</v>
      </c>
      <c r="L59" s="47">
        <v>16896811214.358196</v>
      </c>
      <c r="M59" s="47">
        <v>17649118212</v>
      </c>
      <c r="N59" s="47">
        <v>14589221339</v>
      </c>
      <c r="O59" s="398">
        <v>14835759732.558001</v>
      </c>
      <c r="P59" s="423">
        <f t="shared" si="12"/>
        <v>179204517005.74466</v>
      </c>
      <c r="Q59" s="424">
        <f>AVERAGE(D59:O59)</f>
        <v>14933709750.478722</v>
      </c>
    </row>
    <row r="60" spans="1:17" s="40" customFormat="1" ht="20.45" hidden="1" customHeight="1">
      <c r="B60" s="1604"/>
      <c r="C60" s="46" t="s">
        <v>76</v>
      </c>
      <c r="D60" s="119">
        <f t="shared" ref="D60:O60" si="25">+D59/D5</f>
        <v>470447.59345022583</v>
      </c>
      <c r="E60" s="119">
        <f t="shared" si="25"/>
        <v>410645.91976769199</v>
      </c>
      <c r="F60" s="119">
        <f t="shared" si="25"/>
        <v>620178.69924714987</v>
      </c>
      <c r="G60" s="119">
        <f t="shared" si="25"/>
        <v>601458.43970840483</v>
      </c>
      <c r="H60" s="119">
        <f t="shared" si="25"/>
        <v>667359.77309989918</v>
      </c>
      <c r="I60" s="119">
        <f t="shared" si="25"/>
        <v>678325.49440323038</v>
      </c>
      <c r="J60" s="119">
        <f t="shared" si="25"/>
        <v>741302.34920498496</v>
      </c>
      <c r="K60" s="119">
        <f t="shared" si="25"/>
        <v>756307.26363910269</v>
      </c>
      <c r="L60" s="119">
        <f t="shared" si="25"/>
        <v>726744.56835949235</v>
      </c>
      <c r="M60" s="119">
        <f t="shared" si="25"/>
        <v>759101.85858064517</v>
      </c>
      <c r="N60" s="119">
        <f t="shared" si="25"/>
        <v>628168.84129171155</v>
      </c>
      <c r="O60" s="405">
        <f t="shared" si="25"/>
        <v>638921.60777596897</v>
      </c>
      <c r="P60" s="423">
        <f>+SUM(D60:O60)</f>
        <v>7698962.4085285086</v>
      </c>
      <c r="Q60" s="428">
        <f>AVERAGE(D60:O60)</f>
        <v>641580.20071070909</v>
      </c>
    </row>
    <row r="61" spans="1:17" s="40" customFormat="1" ht="20.45" hidden="1" customHeight="1">
      <c r="B61" s="912" t="s">
        <v>93</v>
      </c>
      <c r="C61" s="46" t="s">
        <v>76</v>
      </c>
      <c r="D61" s="53">
        <v>4291675.2961166678</v>
      </c>
      <c r="E61" s="53">
        <v>1466595.6472666664</v>
      </c>
      <c r="F61" s="53">
        <v>3609759.1750066667</v>
      </c>
      <c r="G61" s="53">
        <v>3475679.7801170698</v>
      </c>
      <c r="H61" s="53">
        <v>4036823.8733333331</v>
      </c>
      <c r="I61" s="53">
        <v>3473209.7194350888</v>
      </c>
      <c r="J61" s="53">
        <v>4355517.1662309319</v>
      </c>
      <c r="K61" s="53">
        <v>5128775.3461278202</v>
      </c>
      <c r="L61" s="53">
        <v>5608231.8937999988</v>
      </c>
      <c r="M61" s="53">
        <v>6843626.3535443097</v>
      </c>
      <c r="N61" s="53">
        <v>4062174.2195227393</v>
      </c>
      <c r="O61" s="400">
        <v>4568594.3876833301</v>
      </c>
      <c r="P61" s="423">
        <f>+SUM(D61:O61)</f>
        <v>50920662.858184621</v>
      </c>
      <c r="Q61" s="428">
        <f>AVERAGE(D61:O61)</f>
        <v>4243388.5715153851</v>
      </c>
    </row>
    <row r="62" spans="1:17" s="41" customFormat="1" ht="20.45" hidden="1" customHeight="1" thickBot="1">
      <c r="A62" s="40"/>
      <c r="B62" s="1247" t="s">
        <v>94</v>
      </c>
      <c r="C62" s="1248"/>
      <c r="D62" s="1249">
        <f t="shared" ref="D62:N62" si="26">D60/D61</f>
        <v>0.10961863631107213</v>
      </c>
      <c r="E62" s="1249">
        <f t="shared" si="26"/>
        <v>0.27999941260771077</v>
      </c>
      <c r="F62" s="1249">
        <f t="shared" si="26"/>
        <v>0.17180611480709221</v>
      </c>
      <c r="G62" s="1249">
        <f t="shared" si="26"/>
        <v>0.17304771375921926</v>
      </c>
      <c r="H62" s="1249">
        <f t="shared" si="26"/>
        <v>0.16531803071924442</v>
      </c>
      <c r="I62" s="1249">
        <f t="shared" si="26"/>
        <v>0.19530219859961662</v>
      </c>
      <c r="J62" s="1249">
        <f t="shared" si="26"/>
        <v>0.17019846803783226</v>
      </c>
      <c r="K62" s="1249">
        <f t="shared" si="26"/>
        <v>0.1474635195729733</v>
      </c>
      <c r="L62" s="1249">
        <f t="shared" si="26"/>
        <v>0.12958532780410195</v>
      </c>
      <c r="M62" s="1249">
        <f t="shared" si="26"/>
        <v>0.11092099705114772</v>
      </c>
      <c r="N62" s="1249">
        <f t="shared" si="26"/>
        <v>0.15463857711290246</v>
      </c>
      <c r="O62" s="1250">
        <f>O60/O61</f>
        <v>0.1398508060812895</v>
      </c>
      <c r="P62" s="1250">
        <f t="shared" ref="P62:Q62" si="27">P60/P61</f>
        <v>0.15119525112959195</v>
      </c>
      <c r="Q62" s="1250">
        <f t="shared" si="27"/>
        <v>0.15119525112959195</v>
      </c>
    </row>
    <row r="63" spans="1:17" s="40" customFormat="1" ht="20.45" hidden="1" customHeight="1">
      <c r="B63" s="915" t="s">
        <v>95</v>
      </c>
      <c r="C63" s="43" t="s">
        <v>76</v>
      </c>
      <c r="D63" s="56">
        <v>3854384.6500000004</v>
      </c>
      <c r="E63" s="56">
        <v>1221643.1300000004</v>
      </c>
      <c r="F63" s="56">
        <v>3045648.0099999988</v>
      </c>
      <c r="G63" s="56">
        <v>2929172.8059999999</v>
      </c>
      <c r="H63" s="56">
        <v>3458729.2954000011</v>
      </c>
      <c r="I63" s="56">
        <v>2929172.8059999999</v>
      </c>
      <c r="J63" s="56">
        <v>3712127.8110000002</v>
      </c>
      <c r="K63" s="56">
        <v>4450842.6166889798</v>
      </c>
      <c r="L63" s="56">
        <v>4941394.1160000004</v>
      </c>
      <c r="M63" s="56">
        <v>5774914.1799999978</v>
      </c>
      <c r="N63" s="56">
        <v>3473884.3370000008</v>
      </c>
      <c r="O63" s="402">
        <v>3862871.872</v>
      </c>
      <c r="P63" s="423">
        <f>+SUM(D63:O63)</f>
        <v>43654785.630088978</v>
      </c>
      <c r="Q63" s="432">
        <f>AVERAGE(D63:O63)</f>
        <v>3637898.8025074149</v>
      </c>
    </row>
    <row r="64" spans="1:17" s="41" customFormat="1" ht="20.45" hidden="1" customHeight="1" thickBot="1">
      <c r="A64" s="40"/>
      <c r="B64" s="1247" t="s">
        <v>94</v>
      </c>
      <c r="C64" s="1248"/>
      <c r="D64" s="1249">
        <f>D60/D63</f>
        <v>0.1220551751237972</v>
      </c>
      <c r="E64" s="1249">
        <f t="shared" ref="E64:L64" si="28">E60/E63</f>
        <v>0.33614229039841764</v>
      </c>
      <c r="F64" s="1249">
        <f t="shared" si="28"/>
        <v>0.20362783132222495</v>
      </c>
      <c r="G64" s="1249">
        <f>G60/G63</f>
        <v>0.20533388760007656</v>
      </c>
      <c r="H64" s="1249">
        <f>H60/H63</f>
        <v>0.19294940890212664</v>
      </c>
      <c r="I64" s="1249">
        <f>I60/I63</f>
        <v>0.2315757858374814</v>
      </c>
      <c r="J64" s="1249">
        <f t="shared" si="28"/>
        <v>0.19969742071065369</v>
      </c>
      <c r="K64" s="1249">
        <f>K60/K63</f>
        <v>0.16992451290082375</v>
      </c>
      <c r="L64" s="1249">
        <f t="shared" si="28"/>
        <v>0.14707277972552885</v>
      </c>
      <c r="M64" s="1249">
        <f>M60/M63</f>
        <v>0.13144816267739678</v>
      </c>
      <c r="N64" s="1249">
        <f>N60/N63</f>
        <v>0.18082606683278052</v>
      </c>
      <c r="O64" s="1250">
        <f>O60/O63</f>
        <v>0.16540067311245496</v>
      </c>
      <c r="P64" s="1250">
        <f t="shared" ref="P64:Q64" si="29">P60/P63</f>
        <v>0.17636010112994377</v>
      </c>
      <c r="Q64" s="1250">
        <f t="shared" si="29"/>
        <v>0.1763601011299438</v>
      </c>
    </row>
    <row r="65" spans="1:17" s="40" customFormat="1" ht="20.45" hidden="1" customHeight="1">
      <c r="B65" s="1237" t="s">
        <v>187</v>
      </c>
      <c r="C65" s="8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397"/>
      <c r="P65" s="421"/>
      <c r="Q65" s="425"/>
    </row>
    <row r="66" spans="1:17" s="40" customFormat="1" ht="20.45" hidden="1" customHeight="1">
      <c r="B66" s="1604" t="s">
        <v>92</v>
      </c>
      <c r="C66" s="46" t="s">
        <v>75</v>
      </c>
      <c r="D66" s="47">
        <v>15511171087.400002</v>
      </c>
      <c r="E66" s="47">
        <v>17662048991</v>
      </c>
      <c r="F66" s="47">
        <v>17177784001.98621</v>
      </c>
      <c r="G66" s="47">
        <v>11682502533</v>
      </c>
      <c r="H66" s="47">
        <v>10911324590</v>
      </c>
      <c r="I66" s="47">
        <v>14405105841.992615</v>
      </c>
      <c r="J66" s="47">
        <v>23464528569</v>
      </c>
      <c r="K66" s="47">
        <v>25889308850</v>
      </c>
      <c r="L66" s="47">
        <v>20683922318</v>
      </c>
      <c r="M66" s="47">
        <v>17596543903</v>
      </c>
      <c r="N66" s="47">
        <v>17788549233</v>
      </c>
      <c r="O66" s="398">
        <v>23159189818.000004</v>
      </c>
      <c r="P66" s="423">
        <f>+SUM(D66:O66)</f>
        <v>215931979736.37885</v>
      </c>
      <c r="Q66" s="424">
        <f>AVERAGE(D66:O66)</f>
        <v>17994331644.698238</v>
      </c>
    </row>
    <row r="67" spans="1:17" s="40" customFormat="1" ht="20.45" hidden="1" customHeight="1">
      <c r="B67" s="1604"/>
      <c r="C67" s="46" t="s">
        <v>76</v>
      </c>
      <c r="D67" s="119">
        <v>606536.21770985797</v>
      </c>
      <c r="E67" s="119">
        <v>673793.51681681687</v>
      </c>
      <c r="F67" s="119">
        <v>691399.02054041461</v>
      </c>
      <c r="G67" s="119">
        <v>496388.46539196942</v>
      </c>
      <c r="H67" s="119">
        <f t="shared" ref="H67:O67" si="30">+H66/H6</f>
        <v>466694.80710008554</v>
      </c>
      <c r="I67" s="119">
        <f t="shared" si="30"/>
        <v>618244.88592242985</v>
      </c>
      <c r="J67" s="119">
        <f t="shared" si="30"/>
        <v>1008359.6290932532</v>
      </c>
      <c r="K67" s="119">
        <f t="shared" si="30"/>
        <v>1112561.6179630426</v>
      </c>
      <c r="L67" s="119">
        <f t="shared" si="30"/>
        <v>888866.45113880537</v>
      </c>
      <c r="M67" s="119">
        <f t="shared" si="30"/>
        <v>756190.11186076491</v>
      </c>
      <c r="N67" s="119">
        <f t="shared" si="30"/>
        <v>765757.6079638399</v>
      </c>
      <c r="O67" s="405">
        <f t="shared" si="30"/>
        <v>998671.40224234597</v>
      </c>
      <c r="P67" s="423">
        <f>+SUM(D67:O67)</f>
        <v>9083463.7337436266</v>
      </c>
      <c r="Q67" s="428">
        <f>AVERAGE(D67:O67)</f>
        <v>756955.31114530226</v>
      </c>
    </row>
    <row r="68" spans="1:17" s="203" customFormat="1" ht="20.45" hidden="1" customHeight="1">
      <c r="A68" s="40"/>
      <c r="B68" s="912" t="s">
        <v>93</v>
      </c>
      <c r="C68" s="202" t="s">
        <v>76</v>
      </c>
      <c r="D68" s="53">
        <v>3419473.3111386686</v>
      </c>
      <c r="E68" s="53">
        <v>3294800.7374125002</v>
      </c>
      <c r="F68" s="53">
        <v>2816592.4007741818</v>
      </c>
      <c r="G68" s="53">
        <v>1804414.6501833326</v>
      </c>
      <c r="H68" s="53">
        <v>1835028.9905180002</v>
      </c>
      <c r="I68" s="53">
        <v>2158484.5573091069</v>
      </c>
      <c r="J68" s="53">
        <v>5351263.3446551356</v>
      </c>
      <c r="K68" s="53">
        <v>5076017.9941093</v>
      </c>
      <c r="L68" s="53">
        <v>4979280.5977986678</v>
      </c>
      <c r="M68" s="53">
        <v>4834063.1808058592</v>
      </c>
      <c r="N68" s="53">
        <v>3997080.1942287465</v>
      </c>
      <c r="O68" s="400">
        <v>3613884.6344125615</v>
      </c>
      <c r="P68" s="423">
        <f>+SUM(D68:O68)</f>
        <v>43180384.593346059</v>
      </c>
      <c r="Q68" s="428">
        <f>AVERAGE(D68:O68)</f>
        <v>3598365.3827788383</v>
      </c>
    </row>
    <row r="69" spans="1:17" s="41" customFormat="1" ht="20.45" hidden="1" customHeight="1" thickBot="1">
      <c r="A69" s="40"/>
      <c r="B69" s="1247" t="s">
        <v>94</v>
      </c>
      <c r="C69" s="1248"/>
      <c r="D69" s="1249">
        <f>D67/D68</f>
        <v>0.17737708779130207</v>
      </c>
      <c r="E69" s="1249">
        <f>E67/E68</f>
        <v>0.20450205354329437</v>
      </c>
      <c r="F69" s="1249">
        <f t="shared" ref="F69:P69" si="31">F67/F68</f>
        <v>0.24547358018518173</v>
      </c>
      <c r="G69" s="1249">
        <f t="shared" si="31"/>
        <v>0.27509667212108657</v>
      </c>
      <c r="H69" s="1249">
        <f t="shared" si="31"/>
        <v>0.25432557714978926</v>
      </c>
      <c r="I69" s="1249">
        <f>I67/I68</f>
        <v>0.28642543854618541</v>
      </c>
      <c r="J69" s="1249">
        <f t="shared" si="31"/>
        <v>0.18843393870727873</v>
      </c>
      <c r="K69" s="1249">
        <f>K67/K68</f>
        <v>0.21917999882076192</v>
      </c>
      <c r="L69" s="1249">
        <f t="shared" si="31"/>
        <v>0.1785130268681327</v>
      </c>
      <c r="M69" s="1249">
        <f t="shared" si="31"/>
        <v>0.1564295052789742</v>
      </c>
      <c r="N69" s="1249">
        <f>N67/N68</f>
        <v>0.19157924553765329</v>
      </c>
      <c r="O69" s="1250">
        <f t="shared" si="31"/>
        <v>0.27634291165043801</v>
      </c>
      <c r="P69" s="1251">
        <f t="shared" si="31"/>
        <v>0.21036088073989401</v>
      </c>
      <c r="Q69" s="1252">
        <f>Q67/Q68</f>
        <v>0.21036088073989401</v>
      </c>
    </row>
    <row r="70" spans="1:17" s="40" customFormat="1" ht="20.45" hidden="1" customHeight="1">
      <c r="B70" s="915" t="s">
        <v>95</v>
      </c>
      <c r="C70" s="43" t="s">
        <v>76</v>
      </c>
      <c r="D70" s="56">
        <v>2874088.1999999993</v>
      </c>
      <c r="E70" s="53">
        <v>2812160.9979999983</v>
      </c>
      <c r="F70" s="56">
        <v>2386361.7720000008</v>
      </c>
      <c r="G70" s="56">
        <v>1483041.1599999997</v>
      </c>
      <c r="H70" s="56">
        <v>1569432.2039999999</v>
      </c>
      <c r="I70" s="56">
        <v>1856853.9833999993</v>
      </c>
      <c r="J70" s="56">
        <v>4836700.6305999989</v>
      </c>
      <c r="K70" s="56">
        <v>4574294.7590000005</v>
      </c>
      <c r="L70" s="56">
        <v>4537212.3489999995</v>
      </c>
      <c r="M70" s="56">
        <v>4092720.9429999986</v>
      </c>
      <c r="N70" s="56">
        <v>3374933.0770000005</v>
      </c>
      <c r="O70" s="402">
        <v>3048751.4271075604</v>
      </c>
      <c r="P70" s="423">
        <f>+SUM(D70:O70)</f>
        <v>37446551.503107555</v>
      </c>
      <c r="Q70" s="432">
        <f>AVERAGE(D70:O70)</f>
        <v>3120545.9585922961</v>
      </c>
    </row>
    <row r="71" spans="1:17" s="41" customFormat="1" ht="20.45" hidden="1" customHeight="1" thickBot="1">
      <c r="A71" s="40"/>
      <c r="B71" s="1247" t="s">
        <v>94</v>
      </c>
      <c r="C71" s="1248"/>
      <c r="D71" s="1249">
        <f t="shared" ref="D71:Q71" si="32">D67/D70</f>
        <v>0.21103604882754054</v>
      </c>
      <c r="E71" s="1249">
        <f>E67/E70</f>
        <v>0.23959990814751259</v>
      </c>
      <c r="F71" s="1249">
        <f t="shared" si="32"/>
        <v>0.28972933972243264</v>
      </c>
      <c r="G71" s="1249">
        <f t="shared" si="32"/>
        <v>0.33470983731292364</v>
      </c>
      <c r="H71" s="1249">
        <f t="shared" si="32"/>
        <v>0.29736538214943214</v>
      </c>
      <c r="I71" s="1249">
        <f t="shared" si="32"/>
        <v>0.33295288237494597</v>
      </c>
      <c r="J71" s="1249">
        <f t="shared" si="32"/>
        <v>0.20848088523687786</v>
      </c>
      <c r="K71" s="1249">
        <f t="shared" si="32"/>
        <v>0.24322035998534183</v>
      </c>
      <c r="L71" s="1249">
        <f t="shared" si="32"/>
        <v>0.19590585204474975</v>
      </c>
      <c r="M71" s="1249">
        <f t="shared" si="32"/>
        <v>0.18476464005055551</v>
      </c>
      <c r="N71" s="1249">
        <f>N67/N70</f>
        <v>0.22689564222249015</v>
      </c>
      <c r="O71" s="1250">
        <f t="shared" si="32"/>
        <v>0.32756734227749579</v>
      </c>
      <c r="P71" s="1251">
        <f t="shared" si="32"/>
        <v>0.24257143499555153</v>
      </c>
      <c r="Q71" s="1252">
        <f t="shared" si="32"/>
        <v>0.24257143499555156</v>
      </c>
    </row>
    <row r="72" spans="1:17" s="40" customFormat="1" ht="20.45" hidden="1" customHeight="1">
      <c r="B72" s="1238" t="s">
        <v>273</v>
      </c>
      <c r="C72" s="8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397"/>
      <c r="P72" s="421"/>
      <c r="Q72" s="425"/>
    </row>
    <row r="73" spans="1:17" s="40" customFormat="1" ht="20.45" hidden="1" customHeight="1">
      <c r="B73" s="1604" t="s">
        <v>92</v>
      </c>
      <c r="C73" s="46" t="s">
        <v>75</v>
      </c>
      <c r="D73" s="47">
        <v>16441536846</v>
      </c>
      <c r="E73" s="47">
        <v>12100047441</v>
      </c>
      <c r="F73" s="47">
        <v>19026159085</v>
      </c>
      <c r="G73" s="47">
        <v>20174955250</v>
      </c>
      <c r="H73" s="47">
        <v>22065059663</v>
      </c>
      <c r="I73" s="47">
        <v>22711863549</v>
      </c>
      <c r="J73" s="47">
        <v>18363549693</v>
      </c>
      <c r="K73" s="47">
        <v>16865410206</v>
      </c>
      <c r="L73" s="47">
        <v>14530663270</v>
      </c>
      <c r="M73" s="47">
        <v>13036628991</v>
      </c>
      <c r="N73" s="47">
        <v>10768788412</v>
      </c>
      <c r="O73" s="398">
        <v>15196366669</v>
      </c>
      <c r="P73" s="423">
        <f t="shared" ref="P73:P75" si="33">+SUM(D73:H73)</f>
        <v>89807758285</v>
      </c>
      <c r="Q73" s="424">
        <f t="shared" ref="Q73:Q75" si="34">AVERAGE(D73:H73)</f>
        <v>17961551657</v>
      </c>
    </row>
    <row r="74" spans="1:17" s="40" customFormat="1" ht="20.45" hidden="1" customHeight="1">
      <c r="B74" s="1604"/>
      <c r="C74" s="46" t="s">
        <v>76</v>
      </c>
      <c r="D74" s="119">
        <v>710678.05688350985</v>
      </c>
      <c r="E74" s="119">
        <v>523811.57753246755</v>
      </c>
      <c r="F74" s="119">
        <v>821154.90224428137</v>
      </c>
      <c r="G74" s="119">
        <v>871300.16195206216</v>
      </c>
      <c r="H74" s="119">
        <v>953340.23171311303</v>
      </c>
      <c r="I74" s="119">
        <v>982772.11376027693</v>
      </c>
      <c r="J74" s="119">
        <v>796510.50500975922</v>
      </c>
      <c r="K74" s="119">
        <v>737446.88264101441</v>
      </c>
      <c r="L74" s="119">
        <v>635637.06342957134</v>
      </c>
      <c r="M74" s="119">
        <v>570530.80923413567</v>
      </c>
      <c r="N74" s="119">
        <v>472418.88186005701</v>
      </c>
      <c r="O74" s="405">
        <v>663162.41191359377</v>
      </c>
      <c r="P74" s="777">
        <f t="shared" si="33"/>
        <v>3880284.9303254336</v>
      </c>
      <c r="Q74" s="778">
        <f t="shared" si="34"/>
        <v>776056.98606508668</v>
      </c>
    </row>
    <row r="75" spans="1:17" s="203" customFormat="1" ht="20.45" hidden="1" customHeight="1">
      <c r="A75" s="40"/>
      <c r="B75" s="912" t="s">
        <v>93</v>
      </c>
      <c r="C75" s="202" t="s">
        <v>76</v>
      </c>
      <c r="D75" s="191">
        <v>4797270.1268000007</v>
      </c>
      <c r="E75" s="53">
        <v>1842388.1336821292</v>
      </c>
      <c r="F75" s="53">
        <v>4563503.7206806373</v>
      </c>
      <c r="G75" s="53">
        <v>4075732.2314134547</v>
      </c>
      <c r="H75" s="53">
        <v>4058380.4866722994</v>
      </c>
      <c r="I75" s="53">
        <v>4400839.9865693813</v>
      </c>
      <c r="J75" s="53">
        <v>5517803.0962839685</v>
      </c>
      <c r="K75" s="53">
        <v>5957489.8122500004</v>
      </c>
      <c r="L75" s="53">
        <v>3722947.3890209589</v>
      </c>
      <c r="M75" s="53">
        <v>3390972.7524117692</v>
      </c>
      <c r="N75" s="53">
        <v>3277692.8662225339</v>
      </c>
      <c r="O75" s="400">
        <v>2911783.3330359836</v>
      </c>
      <c r="P75" s="777">
        <f t="shared" si="33"/>
        <v>19337274.699248523</v>
      </c>
      <c r="Q75" s="778">
        <f t="shared" si="34"/>
        <v>3867454.9398497045</v>
      </c>
    </row>
    <row r="76" spans="1:17" s="41" customFormat="1" ht="20.45" hidden="1" customHeight="1" thickBot="1">
      <c r="A76" s="40"/>
      <c r="B76" s="1253" t="s">
        <v>94</v>
      </c>
      <c r="C76" s="1254"/>
      <c r="D76" s="1261">
        <v>0.14814218046911706</v>
      </c>
      <c r="E76" s="1261">
        <v>0.28431119803491001</v>
      </c>
      <c r="F76" s="1261">
        <v>0.1799395711069581</v>
      </c>
      <c r="G76" s="1261">
        <v>0.21377757725018584</v>
      </c>
      <c r="H76" s="1261">
        <v>0.23490656798786547</v>
      </c>
      <c r="I76" s="1261">
        <v>0.22331466646356857</v>
      </c>
      <c r="J76" s="1261">
        <v>0.14435283229772713</v>
      </c>
      <c r="K76" s="1261">
        <v>0.1237848331900879</v>
      </c>
      <c r="L76" s="1261">
        <v>0.17073490356164497</v>
      </c>
      <c r="M76" s="1261">
        <v>0.16824989490946388</v>
      </c>
      <c r="N76" s="1261">
        <v>0.14413152822476286</v>
      </c>
      <c r="O76" s="1262">
        <v>0.22775129055435062</v>
      </c>
      <c r="P76" s="1263">
        <f>P74/P75</f>
        <v>0.20066348493649044</v>
      </c>
      <c r="Q76" s="1264">
        <f>Q74/Q75</f>
        <v>0.20066348493649042</v>
      </c>
    </row>
    <row r="77" spans="1:17" s="40" customFormat="1" ht="20.45" hidden="1" customHeight="1">
      <c r="B77" s="915" t="s">
        <v>95</v>
      </c>
      <c r="C77" s="43" t="s">
        <v>76</v>
      </c>
      <c r="D77" s="56">
        <v>3785994.0036000004</v>
      </c>
      <c r="E77" s="53">
        <v>1600923.6896000002</v>
      </c>
      <c r="F77" s="56">
        <v>3904152.1140000019</v>
      </c>
      <c r="G77" s="56">
        <v>3509590.9848345607</v>
      </c>
      <c r="H77" s="56">
        <v>3600402.3664000016</v>
      </c>
      <c r="I77" s="56">
        <v>3934112.8756000032</v>
      </c>
      <c r="J77" s="56">
        <v>5036755.5665808003</v>
      </c>
      <c r="K77" s="56">
        <v>5599387.9902000027</v>
      </c>
      <c r="L77" s="56">
        <v>3472228.7715999978</v>
      </c>
      <c r="M77" s="56">
        <v>3048561.901500002</v>
      </c>
      <c r="N77" s="56">
        <v>2965559.6610000017</v>
      </c>
      <c r="O77" s="402">
        <v>2606420.2084000041</v>
      </c>
      <c r="P77" s="777">
        <f>+SUM(D77:H77)</f>
        <v>16401063.158434566</v>
      </c>
      <c r="Q77" s="778">
        <f t="shared" ref="Q77" si="35">AVERAGE(D77:H77)</f>
        <v>3280212.6316869133</v>
      </c>
    </row>
    <row r="78" spans="1:17" s="41" customFormat="1" ht="20.45" hidden="1" customHeight="1" thickBot="1">
      <c r="A78" s="40"/>
      <c r="B78" s="1253" t="s">
        <v>94</v>
      </c>
      <c r="C78" s="1254"/>
      <c r="D78" s="1261">
        <v>0.1877124095304285</v>
      </c>
      <c r="E78" s="1261">
        <v>0.32719334527640404</v>
      </c>
      <c r="F78" s="1261">
        <v>0.21032861381084009</v>
      </c>
      <c r="G78" s="1261">
        <v>0.24826259405072371</v>
      </c>
      <c r="H78" s="1261">
        <v>0.26478713618509986</v>
      </c>
      <c r="I78" s="1261">
        <v>0.24980780797002208</v>
      </c>
      <c r="J78" s="1261">
        <v>0.15813959889073395</v>
      </c>
      <c r="K78" s="1261">
        <v>0.13170133663387626</v>
      </c>
      <c r="L78" s="1261">
        <v>0.18306312897023508</v>
      </c>
      <c r="M78" s="1261">
        <v>0.18714752321526226</v>
      </c>
      <c r="N78" s="1261">
        <v>0.1593017628587364</v>
      </c>
      <c r="O78" s="1262">
        <v>0.25443418899851433</v>
      </c>
      <c r="P78" s="1263">
        <f>P74/P77</f>
        <v>0.23658740246542626</v>
      </c>
      <c r="Q78" s="1264">
        <f t="shared" ref="Q78" si="36">Q74/Q77</f>
        <v>0.23658740246542623</v>
      </c>
    </row>
    <row r="79" spans="1:17" s="40" customFormat="1" ht="20.45" hidden="1" customHeight="1">
      <c r="B79" s="1238" t="s">
        <v>377</v>
      </c>
      <c r="C79" s="8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397"/>
      <c r="P79" s="421"/>
      <c r="Q79" s="425"/>
    </row>
    <row r="80" spans="1:17" s="40" customFormat="1" ht="20.45" hidden="1" customHeight="1">
      <c r="B80" s="1604" t="s">
        <v>92</v>
      </c>
      <c r="C80" s="46" t="s">
        <v>75</v>
      </c>
      <c r="D80" s="47">
        <v>12076676872</v>
      </c>
      <c r="E80" s="47">
        <v>13607720288</v>
      </c>
      <c r="F80" s="47">
        <v>15586464931</v>
      </c>
      <c r="G80" s="47">
        <v>15723868311</v>
      </c>
      <c r="H80" s="47">
        <v>16069485993</v>
      </c>
      <c r="I80" s="47">
        <v>16079212492</v>
      </c>
      <c r="J80" s="47">
        <v>15764346648</v>
      </c>
      <c r="K80" s="47">
        <v>16528386837</v>
      </c>
      <c r="L80" s="47">
        <v>13238292228</v>
      </c>
      <c r="M80" s="47">
        <v>12265668166</v>
      </c>
      <c r="N80" s="47">
        <v>11220453850</v>
      </c>
      <c r="O80" s="398">
        <v>11692786208</v>
      </c>
      <c r="P80" s="423">
        <f t="shared" ref="P80:P82" si="37">+SUM(D80:O80)</f>
        <v>169853362824</v>
      </c>
      <c r="Q80" s="424">
        <f t="shared" ref="Q80:Q82" si="38">AVERAGE(D80:O80)</f>
        <v>14154446902</v>
      </c>
    </row>
    <row r="81" spans="1:22" s="40" customFormat="1" ht="20.45" hidden="1" customHeight="1">
      <c r="B81" s="1604"/>
      <c r="C81" s="46" t="s">
        <v>76</v>
      </c>
      <c r="D81" s="119">
        <v>874420.05587329518</v>
      </c>
      <c r="E81" s="119">
        <v>593446.15298735281</v>
      </c>
      <c r="F81" s="119">
        <v>678853.0022212544</v>
      </c>
      <c r="G81" s="119">
        <v>681276.7899046794</v>
      </c>
      <c r="H81" s="119">
        <v>689677.51042918453</v>
      </c>
      <c r="I81" s="119">
        <v>687733.63952095807</v>
      </c>
      <c r="J81" s="119">
        <v>672253.58840085287</v>
      </c>
      <c r="K81" s="119">
        <v>701842.32853503188</v>
      </c>
      <c r="L81" s="119">
        <v>552285.86683354189</v>
      </c>
      <c r="M81" s="119">
        <v>492993.09348874597</v>
      </c>
      <c r="N81" s="119">
        <v>453626.5959167172</v>
      </c>
      <c r="O81" s="405">
        <v>494618.70592216583</v>
      </c>
      <c r="P81" s="976">
        <f t="shared" si="37"/>
        <v>7573027.3300337801</v>
      </c>
      <c r="Q81" s="977">
        <f t="shared" si="38"/>
        <v>631085.61083614838</v>
      </c>
    </row>
    <row r="82" spans="1:22" s="203" customFormat="1" ht="20.45" hidden="1" customHeight="1">
      <c r="A82" s="40"/>
      <c r="B82" s="912" t="s">
        <v>93</v>
      </c>
      <c r="C82" s="202" t="s">
        <v>76</v>
      </c>
      <c r="D82" s="53">
        <v>4155635.0616992936</v>
      </c>
      <c r="E82" s="53">
        <v>2455440.7441237159</v>
      </c>
      <c r="F82" s="53">
        <v>3670805.6767460476</v>
      </c>
      <c r="G82" s="53">
        <v>4327561.4304966666</v>
      </c>
      <c r="H82" s="53">
        <v>4162711.9824404148</v>
      </c>
      <c r="I82" s="53">
        <v>5078232.7981430851</v>
      </c>
      <c r="J82" s="53">
        <v>6017079.2014242746</v>
      </c>
      <c r="K82" s="53">
        <v>6225964.5803246628</v>
      </c>
      <c r="L82" s="53">
        <v>4275739.0336093307</v>
      </c>
      <c r="M82" s="53">
        <v>4220745.2902499987</v>
      </c>
      <c r="N82" s="53">
        <v>2672276.440967001</v>
      </c>
      <c r="O82" s="400">
        <v>3303252.052333334</v>
      </c>
      <c r="P82" s="976">
        <f t="shared" si="37"/>
        <v>50565444.292557821</v>
      </c>
      <c r="Q82" s="977">
        <f t="shared" si="38"/>
        <v>4213787.0243798187</v>
      </c>
    </row>
    <row r="83" spans="1:22" s="41" customFormat="1" ht="19.5" hidden="1" customHeight="1" thickBot="1">
      <c r="A83" s="40"/>
      <c r="B83" s="1253" t="s">
        <v>94</v>
      </c>
      <c r="C83" s="1254"/>
      <c r="D83" s="1255">
        <f>+D81/D82</f>
        <v>0.21041791275958033</v>
      </c>
      <c r="E83" s="1258">
        <f>+E81/E82</f>
        <v>0.24168620416011652</v>
      </c>
      <c r="F83" s="1258">
        <f t="shared" ref="F83:O83" si="39">+F81/F82</f>
        <v>0.1849329716693196</v>
      </c>
      <c r="G83" s="1258">
        <f t="shared" si="39"/>
        <v>0.15742741052817139</v>
      </c>
      <c r="H83" s="1258">
        <f t="shared" si="39"/>
        <v>0.16567985326355847</v>
      </c>
      <c r="I83" s="1258">
        <f t="shared" si="39"/>
        <v>0.13542774954555764</v>
      </c>
      <c r="J83" s="1258">
        <f t="shared" si="39"/>
        <v>0.11172423793951837</v>
      </c>
      <c r="K83" s="1258">
        <f t="shared" si="39"/>
        <v>0.11272828803957526</v>
      </c>
      <c r="L83" s="1258">
        <f t="shared" si="39"/>
        <v>0.12916734685917775</v>
      </c>
      <c r="M83" s="1258">
        <f t="shared" si="39"/>
        <v>0.11680237957679401</v>
      </c>
      <c r="N83" s="1258">
        <f t="shared" si="39"/>
        <v>0.16975287023544838</v>
      </c>
      <c r="O83" s="1258">
        <f t="shared" si="39"/>
        <v>0.14973689506157414</v>
      </c>
      <c r="P83" s="1259">
        <f>+P81/P82</f>
        <v>0.14976685038538012</v>
      </c>
      <c r="Q83" s="1260">
        <f>+Q81/Q82</f>
        <v>0.14976685038538012</v>
      </c>
    </row>
    <row r="84" spans="1:22" s="40" customFormat="1" ht="21" hidden="1" customHeight="1">
      <c r="B84" s="915" t="s">
        <v>95</v>
      </c>
      <c r="C84" s="43" t="s">
        <v>76</v>
      </c>
      <c r="D84" s="56">
        <v>3798938.1979999994</v>
      </c>
      <c r="E84" s="53">
        <v>2259735.9440000011</v>
      </c>
      <c r="F84" s="56">
        <v>3400819.3599999994</v>
      </c>
      <c r="G84" s="56">
        <v>3996271.0139999995</v>
      </c>
      <c r="H84" s="56">
        <v>3848453.1400000006</v>
      </c>
      <c r="I84" s="56">
        <v>4759217.778333338</v>
      </c>
      <c r="J84" s="56">
        <v>5697148.2110000039</v>
      </c>
      <c r="K84" s="56">
        <v>5924715.7862499971</v>
      </c>
      <c r="L84" s="56">
        <v>3917083.3978333343</v>
      </c>
      <c r="M84" s="56">
        <v>3850367.0616166661</v>
      </c>
      <c r="N84" s="56">
        <v>2379177.5080000022</v>
      </c>
      <c r="O84" s="402">
        <v>2838387.303899914</v>
      </c>
      <c r="P84" s="976">
        <f>+SUM(D84:O84)</f>
        <v>46670314.702933252</v>
      </c>
      <c r="Q84" s="977">
        <f>AVERAGE(D84:O84)</f>
        <v>3889192.8919111043</v>
      </c>
    </row>
    <row r="85" spans="1:22" s="41" customFormat="1" ht="20.45" hidden="1" customHeight="1" thickBot="1">
      <c r="A85" s="40"/>
      <c r="B85" s="1253" t="s">
        <v>94</v>
      </c>
      <c r="C85" s="1254"/>
      <c r="D85" s="1255">
        <f>+D81/D84</f>
        <v>0.2301748568412208</v>
      </c>
      <c r="E85" s="1255">
        <f>+E81/E84</f>
        <v>0.26261747730439805</v>
      </c>
      <c r="F85" s="1255">
        <f t="shared" ref="F85:O85" si="40">+F81/F84</f>
        <v>0.19961454295568776</v>
      </c>
      <c r="G85" s="1255">
        <f t="shared" si="40"/>
        <v>0.17047812511163174</v>
      </c>
      <c r="H85" s="1255">
        <f t="shared" si="40"/>
        <v>0.17920901862122829</v>
      </c>
      <c r="I85" s="1255">
        <f t="shared" si="40"/>
        <v>0.1445056039780134</v>
      </c>
      <c r="J85" s="1255">
        <f t="shared" si="40"/>
        <v>0.11799826220123105</v>
      </c>
      <c r="K85" s="1255">
        <f t="shared" si="40"/>
        <v>0.11846008380078896</v>
      </c>
      <c r="L85" s="1255">
        <f t="shared" si="40"/>
        <v>0.14099415578923571</v>
      </c>
      <c r="M85" s="1255">
        <f t="shared" si="40"/>
        <v>0.12803794692803946</v>
      </c>
      <c r="N85" s="1255">
        <f t="shared" si="40"/>
        <v>0.19066530109308547</v>
      </c>
      <c r="O85" s="1255">
        <f t="shared" si="40"/>
        <v>0.17426047010658657</v>
      </c>
      <c r="P85" s="1256">
        <f>+P81/P84</f>
        <v>0.16226647234409611</v>
      </c>
      <c r="Q85" s="1257">
        <f>+Q81/Q84</f>
        <v>0.16226647234409611</v>
      </c>
    </row>
    <row r="86" spans="1:22" s="40" customFormat="1" ht="20.45" customHeight="1" thickBot="1">
      <c r="B86" s="1253" t="s">
        <v>492</v>
      </c>
      <c r="C86" s="8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397"/>
      <c r="P86" s="421"/>
      <c r="Q86" s="425"/>
    </row>
    <row r="87" spans="1:22" s="40" customFormat="1" ht="20.45" customHeight="1">
      <c r="B87" s="1604" t="s">
        <v>92</v>
      </c>
      <c r="C87" s="46" t="s">
        <v>75</v>
      </c>
      <c r="D87" s="47">
        <v>16909898910</v>
      </c>
      <c r="E87" s="47">
        <v>12062959803</v>
      </c>
      <c r="F87" s="47">
        <v>13224123797</v>
      </c>
      <c r="G87" s="47">
        <v>12590256975</v>
      </c>
      <c r="H87" s="47">
        <v>12825595507</v>
      </c>
      <c r="I87" s="47">
        <v>13611374601</v>
      </c>
      <c r="J87" s="47">
        <v>12864233613</v>
      </c>
      <c r="K87" s="47">
        <v>13291349691</v>
      </c>
      <c r="L87" s="47">
        <v>11717235750</v>
      </c>
      <c r="M87" s="47">
        <v>11964928006</v>
      </c>
      <c r="N87" s="47">
        <v>10624345914</v>
      </c>
      <c r="O87" s="47">
        <v>12625097142</v>
      </c>
      <c r="P87" s="423">
        <f t="shared" ref="P87:P89" si="41">SUM(D87:G87)</f>
        <v>54787239485</v>
      </c>
      <c r="Q87" s="424">
        <f t="shared" ref="Q87:Q89" si="42">AVERAGE(D87:G87)</f>
        <v>13696809871.25</v>
      </c>
    </row>
    <row r="88" spans="1:22" s="40" customFormat="1" ht="20.45" customHeight="1">
      <c r="B88" s="1604"/>
      <c r="C88" s="46" t="s">
        <v>76</v>
      </c>
      <c r="D88" s="119">
        <v>717433.13152312266</v>
      </c>
      <c r="E88" s="119">
        <v>504831.96497175144</v>
      </c>
      <c r="F88" s="119">
        <v>560700.60619037529</v>
      </c>
      <c r="G88" s="119">
        <v>533937.95483460557</v>
      </c>
      <c r="H88" s="119">
        <v>543227.25569673872</v>
      </c>
      <c r="I88" s="119">
        <v>574319.60341772158</v>
      </c>
      <c r="J88" s="119">
        <v>540400.48783868935</v>
      </c>
      <c r="K88" s="119">
        <v>549683.61004962784</v>
      </c>
      <c r="L88" s="119">
        <v>479232.54601226992</v>
      </c>
      <c r="M88" s="119">
        <v>484802.59343598055</v>
      </c>
      <c r="N88" s="119">
        <v>435781.21058244462</v>
      </c>
      <c r="O88" s="119">
        <v>518484.48221765913</v>
      </c>
      <c r="P88" s="976">
        <f t="shared" si="41"/>
        <v>2316903.6575198546</v>
      </c>
      <c r="Q88" s="977">
        <f t="shared" si="42"/>
        <v>579225.91437996365</v>
      </c>
    </row>
    <row r="89" spans="1:22" s="203" customFormat="1" ht="20.45" customHeight="1">
      <c r="A89" s="40"/>
      <c r="B89" s="912" t="s">
        <v>93</v>
      </c>
      <c r="C89" s="202" t="s">
        <v>76</v>
      </c>
      <c r="D89" s="53">
        <v>1817830.76780895</v>
      </c>
      <c r="E89" s="53">
        <v>2754400.528951562</v>
      </c>
      <c r="F89" s="53">
        <v>3421718.613498277</v>
      </c>
      <c r="G89" s="53">
        <v>3319419.4670000011</v>
      </c>
      <c r="H89" s="53">
        <v>2805726.003</v>
      </c>
      <c r="I89" s="53">
        <v>3591467.5620000004</v>
      </c>
      <c r="J89" s="53">
        <v>4100164.1654294399</v>
      </c>
      <c r="K89" s="53">
        <v>6293063.7191666793</v>
      </c>
      <c r="L89" s="53">
        <v>4115701.7525875201</v>
      </c>
      <c r="M89" s="53">
        <v>4270134.4035079665</v>
      </c>
      <c r="N89" s="53">
        <v>3255400.7897243989</v>
      </c>
      <c r="O89" s="191">
        <v>3112908.9942191499</v>
      </c>
      <c r="P89" s="976">
        <f t="shared" si="41"/>
        <v>11313369.377258791</v>
      </c>
      <c r="Q89" s="977">
        <f t="shared" si="42"/>
        <v>2828342.3443146977</v>
      </c>
    </row>
    <row r="90" spans="1:22" s="41" customFormat="1" ht="19.5" customHeight="1" thickBot="1">
      <c r="A90" s="40"/>
      <c r="B90" s="1253" t="s">
        <v>94</v>
      </c>
      <c r="C90" s="1254"/>
      <c r="D90" s="1255">
        <f>+D88/D89</f>
        <v>0.39466442323883216</v>
      </c>
      <c r="E90" s="1255">
        <f>+E88/E89</f>
        <v>0.18328197357844367</v>
      </c>
      <c r="F90" s="1255">
        <f t="shared" ref="F90:O90" si="43">+F88/F89</f>
        <v>0.16386520036407359</v>
      </c>
      <c r="G90" s="1255">
        <f t="shared" si="43"/>
        <v>0.1608528118072296</v>
      </c>
      <c r="H90" s="1255">
        <f t="shared" si="43"/>
        <v>0.19361379376172061</v>
      </c>
      <c r="I90" s="1255">
        <f t="shared" si="43"/>
        <v>0.15991223462363588</v>
      </c>
      <c r="J90" s="1255">
        <f t="shared" si="43"/>
        <v>0.13179971972709764</v>
      </c>
      <c r="K90" s="1255">
        <f t="shared" si="43"/>
        <v>8.7347536045990701E-2</v>
      </c>
      <c r="L90" s="1255">
        <f t="shared" si="43"/>
        <v>0.11644005684109129</v>
      </c>
      <c r="M90" s="1255">
        <f t="shared" si="43"/>
        <v>0.11353333352638957</v>
      </c>
      <c r="N90" s="1255">
        <f t="shared" si="43"/>
        <v>0.13386407349840868</v>
      </c>
      <c r="O90" s="1255">
        <f t="shared" si="43"/>
        <v>0.16655947320673828</v>
      </c>
      <c r="P90" s="1255">
        <f>+P88/P89</f>
        <v>0.20479342451039428</v>
      </c>
      <c r="Q90" s="1255">
        <f>+Q88/Q89</f>
        <v>0.20479342451039428</v>
      </c>
    </row>
    <row r="91" spans="1:22" s="40" customFormat="1" ht="21" customHeight="1">
      <c r="B91" s="915" t="s">
        <v>95</v>
      </c>
      <c r="C91" s="43" t="s">
        <v>76</v>
      </c>
      <c r="D91" s="56">
        <v>1595547.1549999996</v>
      </c>
      <c r="E91" s="56">
        <v>2435137.1000000006</v>
      </c>
      <c r="F91" s="56">
        <v>2997796.9380234443</v>
      </c>
      <c r="G91" s="56">
        <v>2985052.2520000013</v>
      </c>
      <c r="H91" s="56">
        <v>2495845.608</v>
      </c>
      <c r="I91" s="56">
        <v>3270514.1275833328</v>
      </c>
      <c r="J91" s="56">
        <v>3830218.2430000007</v>
      </c>
      <c r="K91" s="56">
        <v>5927862.817000011</v>
      </c>
      <c r="L91" s="56">
        <v>3764651.8820000016</v>
      </c>
      <c r="M91" s="56">
        <v>3636585.5396666666</v>
      </c>
      <c r="N91" s="56">
        <v>2842440.8472380457</v>
      </c>
      <c r="O91" s="895">
        <v>2694017.2211666666</v>
      </c>
      <c r="P91" s="976">
        <f>SUM(D91:G91)</f>
        <v>10013533.445023445</v>
      </c>
      <c r="Q91" s="977">
        <f>AVERAGE(D91:G91)</f>
        <v>2503383.3612558614</v>
      </c>
    </row>
    <row r="92" spans="1:22" s="41" customFormat="1" ht="20.45" customHeight="1" thickBot="1">
      <c r="A92" s="40"/>
      <c r="B92" s="1253" t="s">
        <v>94</v>
      </c>
      <c r="C92" s="1254"/>
      <c r="D92" s="1255">
        <f>+D88/D91</f>
        <v>0.44964708769332667</v>
      </c>
      <c r="E92" s="1255">
        <f>+E88/E91</f>
        <v>0.20731151645291401</v>
      </c>
      <c r="F92" s="1255">
        <f t="shared" ref="F92:O92" si="44">+F88/F91</f>
        <v>0.18703755383780779</v>
      </c>
      <c r="G92" s="1255">
        <f t="shared" si="44"/>
        <v>0.17887055560815199</v>
      </c>
      <c r="H92" s="1255">
        <f t="shared" si="44"/>
        <v>0.2176525879467536</v>
      </c>
      <c r="I92" s="1255">
        <f t="shared" si="44"/>
        <v>0.17560529660273969</v>
      </c>
      <c r="J92" s="1255">
        <f t="shared" si="44"/>
        <v>0.14108869352975123</v>
      </c>
      <c r="K92" s="1255">
        <f t="shared" si="44"/>
        <v>9.2728800753154608E-2</v>
      </c>
      <c r="L92" s="1255">
        <f t="shared" si="44"/>
        <v>0.12729797097671453</v>
      </c>
      <c r="M92" s="1255">
        <f t="shared" si="44"/>
        <v>0.13331257800701096</v>
      </c>
      <c r="N92" s="1255">
        <f t="shared" si="44"/>
        <v>0.15331232345815965</v>
      </c>
      <c r="O92" s="1255">
        <f t="shared" si="44"/>
        <v>0.19245774605446847</v>
      </c>
      <c r="P92" s="1255">
        <f>+P88/P91</f>
        <v>0.23137723264621601</v>
      </c>
      <c r="Q92" s="1255">
        <f>+Q88/Q91</f>
        <v>0.23137723264621601</v>
      </c>
      <c r="T92" s="40"/>
      <c r="U92" s="40"/>
      <c r="V92" s="40"/>
    </row>
    <row r="93" spans="1:22" s="40" customFormat="1" ht="20.45" customHeight="1">
      <c r="B93" s="1238" t="s">
        <v>632</v>
      </c>
      <c r="C93" s="8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397"/>
      <c r="P93" s="421"/>
      <c r="Q93" s="425"/>
    </row>
    <row r="94" spans="1:22" s="40" customFormat="1" ht="20.45" customHeight="1">
      <c r="B94" s="1604" t="s">
        <v>92</v>
      </c>
      <c r="C94" s="46" t="s">
        <v>75</v>
      </c>
      <c r="D94" s="47">
        <v>18930605373</v>
      </c>
      <c r="E94" s="47">
        <v>9341521068</v>
      </c>
      <c r="F94" s="47">
        <v>11451379713</v>
      </c>
      <c r="G94" s="47">
        <v>11804899336</v>
      </c>
      <c r="H94" s="47">
        <v>12868328541</v>
      </c>
      <c r="I94" s="47">
        <v>11321035863</v>
      </c>
      <c r="J94" s="47">
        <v>13738929935</v>
      </c>
      <c r="K94" s="47">
        <v>14346702094</v>
      </c>
      <c r="L94" s="47">
        <v>14301202514</v>
      </c>
      <c r="M94" s="47">
        <v>15090968349</v>
      </c>
      <c r="N94" s="47">
        <v>13189360325</v>
      </c>
      <c r="O94" s="47">
        <v>15450930427</v>
      </c>
      <c r="P94" s="423">
        <f t="shared" ref="P94:P96" si="45">SUM(D94:G94)</f>
        <v>51528405490</v>
      </c>
      <c r="Q94" s="424">
        <f t="shared" ref="Q94:Q96" si="46">AVERAGE(D94:G94)</f>
        <v>12882101372.5</v>
      </c>
    </row>
    <row r="95" spans="1:22" s="40" customFormat="1" ht="20.45" customHeight="1">
      <c r="B95" s="1604"/>
      <c r="C95" s="46" t="s">
        <v>76</v>
      </c>
      <c r="D95" s="119">
        <v>771890.12733944959</v>
      </c>
      <c r="E95" s="119">
        <v>377130.44279370207</v>
      </c>
      <c r="F95" s="119">
        <v>459617.88934376882</v>
      </c>
      <c r="G95" s="119">
        <v>464120.28055828583</v>
      </c>
      <c r="H95" s="119">
        <v>505155.39534427261</v>
      </c>
      <c r="I95" s="119">
        <v>444432.766576375</v>
      </c>
      <c r="J95" s="119">
        <v>540902.75334645668</v>
      </c>
      <c r="K95" s="119">
        <v>573868.08375999995</v>
      </c>
      <c r="L95" s="119">
        <v>579113.28260781534</v>
      </c>
      <c r="M95" s="119">
        <v>593898.79374262097</v>
      </c>
      <c r="N95" s="119">
        <v>518042.43224666145</v>
      </c>
      <c r="O95" s="119">
        <v>604733.08911937382</v>
      </c>
      <c r="P95" s="976">
        <f t="shared" si="45"/>
        <v>2072758.7400352063</v>
      </c>
      <c r="Q95" s="977">
        <f t="shared" si="46"/>
        <v>518189.68500880158</v>
      </c>
    </row>
    <row r="96" spans="1:22" s="203" customFormat="1" ht="20.45" customHeight="1">
      <c r="A96" s="40"/>
      <c r="B96" s="912" t="s">
        <v>93</v>
      </c>
      <c r="C96" s="202" t="s">
        <v>76</v>
      </c>
      <c r="D96" s="53">
        <v>4193578.1846506405</v>
      </c>
      <c r="E96" s="53">
        <v>1629275.0412232</v>
      </c>
      <c r="F96" s="53">
        <v>3079012.1161440583</v>
      </c>
      <c r="G96" s="53">
        <v>2932966.529100867</v>
      </c>
      <c r="H96" s="53">
        <v>2979652.1279209931</v>
      </c>
      <c r="I96" s="53">
        <v>3057283.254721777</v>
      </c>
      <c r="J96" s="53">
        <v>3787821.0657616789</v>
      </c>
      <c r="K96" s="53">
        <v>6683549.4270569896</v>
      </c>
      <c r="L96" s="53">
        <v>4362337.0050860392</v>
      </c>
      <c r="M96" s="53">
        <v>6514326.0191666679</v>
      </c>
      <c r="N96" s="53">
        <v>4203049.6774166683</v>
      </c>
      <c r="O96" s="191">
        <v>3814971.1160000009</v>
      </c>
      <c r="P96" s="976">
        <f t="shared" si="45"/>
        <v>11834831.871118767</v>
      </c>
      <c r="Q96" s="977">
        <f t="shared" si="46"/>
        <v>2958707.9677796918</v>
      </c>
      <c r="T96" s="766"/>
    </row>
    <row r="97" spans="1:20" s="41" customFormat="1" ht="19.5" customHeight="1" thickBot="1">
      <c r="A97" s="40"/>
      <c r="B97" s="1253" t="s">
        <v>94</v>
      </c>
      <c r="C97" s="1254"/>
      <c r="D97" s="1255">
        <f t="shared" ref="D97:O97" si="47">+D95/D96</f>
        <v>0.18406479940322237</v>
      </c>
      <c r="E97" s="1255">
        <f t="shared" si="47"/>
        <v>0.23147131899262774</v>
      </c>
      <c r="F97" s="1255">
        <f t="shared" si="47"/>
        <v>0.14927446596714353</v>
      </c>
      <c r="G97" s="1255">
        <f t="shared" si="47"/>
        <v>0.15824261066510262</v>
      </c>
      <c r="H97" s="1255">
        <f t="shared" si="47"/>
        <v>0.169535024109253</v>
      </c>
      <c r="I97" s="1255">
        <f t="shared" si="47"/>
        <v>0.14536852805181766</v>
      </c>
      <c r="J97" s="1255">
        <f t="shared" si="47"/>
        <v>0.14280050296876645</v>
      </c>
      <c r="K97" s="1255">
        <f t="shared" si="47"/>
        <v>8.5862772471886242E-2</v>
      </c>
      <c r="L97" s="1255">
        <f t="shared" si="47"/>
        <v>0.13275299041147634</v>
      </c>
      <c r="M97" s="1255">
        <f t="shared" si="47"/>
        <v>9.1168110407006356E-2</v>
      </c>
      <c r="N97" s="1255">
        <f t="shared" si="47"/>
        <v>0.12325393987849967</v>
      </c>
      <c r="O97" s="1255">
        <f t="shared" si="47"/>
        <v>0.15851577134702838</v>
      </c>
      <c r="P97" s="1255">
        <f>+P95/P96</f>
        <v>0.17514053115477549</v>
      </c>
      <c r="Q97" s="1255">
        <f>+Q95/Q96</f>
        <v>0.17514053115477549</v>
      </c>
    </row>
    <row r="98" spans="1:20" s="40" customFormat="1" ht="21" customHeight="1">
      <c r="B98" s="915" t="s">
        <v>95</v>
      </c>
      <c r="C98" s="43" t="s">
        <v>76</v>
      </c>
      <c r="D98" s="56">
        <v>3617767.9870000002</v>
      </c>
      <c r="E98" s="56">
        <v>1373620.0880000002</v>
      </c>
      <c r="F98" s="56">
        <v>2596223.8922769479</v>
      </c>
      <c r="G98" s="56">
        <v>2454847.79</v>
      </c>
      <c r="H98" s="56">
        <v>2502553.5699999994</v>
      </c>
      <c r="I98" s="56">
        <v>2596824.0999999964</v>
      </c>
      <c r="J98" s="56">
        <v>3346645.6066050418</v>
      </c>
      <c r="K98" s="56">
        <v>6091431.8699999973</v>
      </c>
      <c r="L98" s="56">
        <v>3722088.373333334</v>
      </c>
      <c r="M98" s="56">
        <v>5432167.0469999993</v>
      </c>
      <c r="N98" s="56">
        <v>3515127.26</v>
      </c>
      <c r="O98" s="895">
        <v>3277994.5076169907</v>
      </c>
      <c r="P98" s="976">
        <f>SUM(D98:G98)</f>
        <v>10042459.757276949</v>
      </c>
      <c r="Q98" s="977">
        <f>AVERAGE(D98:G98)</f>
        <v>2510614.9393192371</v>
      </c>
    </row>
    <row r="99" spans="1:20" s="41" customFormat="1" ht="20.45" customHeight="1" thickBot="1">
      <c r="A99" s="40"/>
      <c r="B99" s="1253" t="s">
        <v>94</v>
      </c>
      <c r="C99" s="1254"/>
      <c r="D99" s="1255">
        <f t="shared" ref="D99:O99" si="48">+D95/D98</f>
        <v>0.21336087060119413</v>
      </c>
      <c r="E99" s="1255">
        <f t="shared" si="48"/>
        <v>0.27455221868719643</v>
      </c>
      <c r="F99" s="1255">
        <f t="shared" si="48"/>
        <v>0.17703322533584476</v>
      </c>
      <c r="G99" s="1255">
        <f t="shared" si="48"/>
        <v>0.18906275266797123</v>
      </c>
      <c r="H99" s="1255">
        <f t="shared" si="48"/>
        <v>0.20185597679104736</v>
      </c>
      <c r="I99" s="1255">
        <f t="shared" si="48"/>
        <v>0.17114473274349834</v>
      </c>
      <c r="J99" s="1255">
        <f t="shared" si="48"/>
        <v>0.16162534577276857</v>
      </c>
      <c r="K99" s="1255">
        <f t="shared" si="48"/>
        <v>9.4209062172437991E-2</v>
      </c>
      <c r="L99" s="1255">
        <f t="shared" si="48"/>
        <v>0.15558826780063464</v>
      </c>
      <c r="M99" s="1255">
        <f t="shared" si="48"/>
        <v>0.10932999456830235</v>
      </c>
      <c r="N99" s="1255">
        <f t="shared" si="48"/>
        <v>0.14737515712209562</v>
      </c>
      <c r="O99" s="1255">
        <f t="shared" si="48"/>
        <v>0.18448264257739641</v>
      </c>
      <c r="P99" s="1255">
        <f>+P95/P98</f>
        <v>0.206399506707831</v>
      </c>
      <c r="Q99" s="1255">
        <f>+Q95/Q98</f>
        <v>0.206399506707831</v>
      </c>
    </row>
    <row r="100" spans="1:20" s="40" customFormat="1" ht="20.45" customHeight="1">
      <c r="B100" s="917" t="s">
        <v>745</v>
      </c>
      <c r="C100" s="8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397"/>
      <c r="P100" s="421"/>
      <c r="Q100" s="425"/>
    </row>
    <row r="101" spans="1:20" s="40" customFormat="1" ht="20.45" customHeight="1">
      <c r="B101" s="1604" t="s">
        <v>92</v>
      </c>
      <c r="C101" s="46" t="s">
        <v>75</v>
      </c>
      <c r="D101" s="47">
        <f>+'Average .'!E21</f>
        <v>20894531972</v>
      </c>
      <c r="E101" s="47">
        <f>+'Average .'!G21</f>
        <v>12481338378</v>
      </c>
      <c r="F101" s="47">
        <f>+'Average .'!I21</f>
        <v>13336423624</v>
      </c>
      <c r="G101" s="47">
        <f>+'Average .'!K21</f>
        <v>13642799084</v>
      </c>
      <c r="H101" s="47"/>
      <c r="I101" s="47"/>
      <c r="J101" s="47"/>
      <c r="K101" s="47"/>
      <c r="L101" s="47"/>
      <c r="M101" s="47"/>
      <c r="N101" s="47"/>
      <c r="O101" s="47"/>
      <c r="P101" s="423">
        <f t="shared" ref="P101:P103" si="49">SUM(D101:G101)</f>
        <v>60355093058</v>
      </c>
      <c r="Q101" s="424">
        <f t="shared" ref="Q101:Q103" si="50">AVERAGE(D101:G101)</f>
        <v>15088773264.5</v>
      </c>
    </row>
    <row r="102" spans="1:20" s="40" customFormat="1" ht="20.45" customHeight="1">
      <c r="B102" s="1604"/>
      <c r="C102" s="46" t="s">
        <v>76</v>
      </c>
      <c r="D102" s="119">
        <f>+'Average .'!E22</f>
        <v>817789.90105675149</v>
      </c>
      <c r="E102" s="119">
        <f>+'Average .'!G22</f>
        <v>486222.76501753018</v>
      </c>
      <c r="F102" s="119">
        <f>+'Average .'!I22</f>
        <v>519027.96746448724</v>
      </c>
      <c r="G102" s="119">
        <f>+'Average .'!K22</f>
        <v>522412.37158721039</v>
      </c>
      <c r="H102" s="119"/>
      <c r="I102" s="119"/>
      <c r="J102" s="119"/>
      <c r="K102" s="119"/>
      <c r="L102" s="119"/>
      <c r="M102" s="119"/>
      <c r="N102" s="119"/>
      <c r="O102" s="119"/>
      <c r="P102" s="976">
        <f t="shared" si="49"/>
        <v>2345453.0051259794</v>
      </c>
      <c r="Q102" s="977">
        <f t="shared" si="50"/>
        <v>586363.25128149486</v>
      </c>
    </row>
    <row r="103" spans="1:20" s="203" customFormat="1" ht="20.45" customHeight="1">
      <c r="A103" s="40"/>
      <c r="B103" s="912" t="s">
        <v>93</v>
      </c>
      <c r="C103" s="202" t="s">
        <v>76</v>
      </c>
      <c r="D103" s="53">
        <v>3837464.5572499982</v>
      </c>
      <c r="E103" s="53">
        <v>3040437.1300000004</v>
      </c>
      <c r="F103" s="53">
        <v>3228868.6940000001</v>
      </c>
      <c r="G103" s="53">
        <v>3499313.037583332</v>
      </c>
      <c r="H103" s="53"/>
      <c r="I103" s="53"/>
      <c r="J103" s="53"/>
      <c r="K103" s="53"/>
      <c r="L103" s="53"/>
      <c r="M103" s="53"/>
      <c r="N103" s="53"/>
      <c r="O103" s="191"/>
      <c r="P103" s="976">
        <f t="shared" si="49"/>
        <v>13606083.41883333</v>
      </c>
      <c r="Q103" s="977">
        <f t="shared" si="50"/>
        <v>3401520.8547083326</v>
      </c>
      <c r="T103" s="766"/>
    </row>
    <row r="104" spans="1:20" s="41" customFormat="1" ht="19.5" customHeight="1" thickBot="1">
      <c r="A104" s="40"/>
      <c r="B104" s="918" t="s">
        <v>94</v>
      </c>
      <c r="C104" s="896"/>
      <c r="D104" s="897">
        <f>+D102/D103</f>
        <v>0.21310682844268292</v>
      </c>
      <c r="E104" s="897">
        <f>+E102/E103</f>
        <v>0.15991870386661478</v>
      </c>
      <c r="F104" s="897">
        <f>+F102/F103</f>
        <v>0.16074607444674466</v>
      </c>
      <c r="G104" s="897">
        <f>+G102/G103</f>
        <v>0.1492899794835145</v>
      </c>
      <c r="H104" s="897"/>
      <c r="I104" s="897"/>
      <c r="J104" s="897"/>
      <c r="K104" s="897"/>
      <c r="L104" s="897"/>
      <c r="M104" s="897"/>
      <c r="N104" s="897"/>
      <c r="O104" s="897"/>
      <c r="P104" s="897">
        <f>+P102/P103</f>
        <v>0.17238267126008058</v>
      </c>
      <c r="Q104" s="897">
        <f>+Q102/Q103</f>
        <v>0.17238267126008058</v>
      </c>
    </row>
    <row r="105" spans="1:20" s="40" customFormat="1" ht="21" customHeight="1">
      <c r="B105" s="915" t="s">
        <v>95</v>
      </c>
      <c r="C105" s="43" t="s">
        <v>76</v>
      </c>
      <c r="D105" s="56">
        <v>3210466.7909999983</v>
      </c>
      <c r="E105" s="56">
        <v>2580794.3709999998</v>
      </c>
      <c r="F105" s="56">
        <v>2740871</v>
      </c>
      <c r="G105" s="56">
        <v>2956836.2074166667</v>
      </c>
      <c r="H105" s="56"/>
      <c r="I105" s="56"/>
      <c r="J105" s="56"/>
      <c r="K105" s="56"/>
      <c r="L105" s="56"/>
      <c r="M105" s="56"/>
      <c r="N105" s="56"/>
      <c r="O105" s="895"/>
      <c r="P105" s="976">
        <f>SUM(D105:G105)</f>
        <v>11488968.369416665</v>
      </c>
      <c r="Q105" s="977">
        <f>AVERAGE(D105:G105)</f>
        <v>2872242.0923541663</v>
      </c>
    </row>
    <row r="106" spans="1:20" s="41" customFormat="1" ht="20.45" customHeight="1" thickBot="1">
      <c r="A106" s="40"/>
      <c r="B106" s="918" t="s">
        <v>94</v>
      </c>
      <c r="C106" s="896"/>
      <c r="D106" s="897">
        <f>+D102/D105</f>
        <v>0.25472616734404085</v>
      </c>
      <c r="E106" s="897">
        <f>+E102/E105</f>
        <v>0.18840042836467044</v>
      </c>
      <c r="F106" s="897">
        <f>+F102/F105</f>
        <v>0.18936606920372656</v>
      </c>
      <c r="G106" s="897">
        <f>+G102/G105</f>
        <v>0.17667950976683705</v>
      </c>
      <c r="H106" s="897"/>
      <c r="I106" s="897"/>
      <c r="J106" s="897"/>
      <c r="K106" s="897"/>
      <c r="L106" s="897"/>
      <c r="M106" s="897"/>
      <c r="N106" s="897"/>
      <c r="O106" s="897"/>
      <c r="P106" s="897">
        <f>+P102/P105</f>
        <v>0.20414826899249844</v>
      </c>
      <c r="Q106" s="897">
        <f>+Q102/Q105</f>
        <v>0.20414826899249844</v>
      </c>
    </row>
    <row r="107" spans="1:20" s="40" customFormat="1" ht="20.25" customHeight="1" thickBot="1">
      <c r="B107" s="919" t="s">
        <v>753</v>
      </c>
      <c r="C107" s="903"/>
      <c r="D107" s="904">
        <f>+(D101-D94)/D94</f>
        <v>0.10374346516150369</v>
      </c>
      <c r="E107" s="904">
        <f>+(E101-E94)/E94</f>
        <v>0.3361141389227984</v>
      </c>
      <c r="F107" s="904">
        <f>+(F101-F94)/F94</f>
        <v>0.16461282031020535</v>
      </c>
      <c r="G107" s="904">
        <f>+(G101-G94)/G94</f>
        <v>0.1556895739377612</v>
      </c>
      <c r="H107" s="904"/>
      <c r="I107" s="904"/>
      <c r="J107" s="904"/>
      <c r="K107" s="904"/>
      <c r="L107" s="904"/>
      <c r="M107" s="904"/>
      <c r="N107" s="904"/>
      <c r="O107" s="904"/>
      <c r="P107" s="904">
        <f>+(P101-P94)/P94</f>
        <v>0.1712975102579678</v>
      </c>
      <c r="Q107" s="904">
        <f t="shared" ref="Q107" si="51">+(Q101-Q94)/Q94</f>
        <v>0.1712975102579678</v>
      </c>
    </row>
    <row r="108" spans="1:20" s="40" customFormat="1" ht="20.45" hidden="1" customHeight="1">
      <c r="B108" s="920" t="s">
        <v>98</v>
      </c>
      <c r="C108" s="8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397"/>
      <c r="P108" s="421"/>
      <c r="Q108" s="425"/>
    </row>
    <row r="109" spans="1:20" s="40" customFormat="1" ht="20.45" hidden="1" customHeight="1">
      <c r="B109" s="912" t="s">
        <v>99</v>
      </c>
      <c r="C109" s="46"/>
      <c r="D109" s="25">
        <v>2610892</v>
      </c>
      <c r="E109" s="25">
        <v>1458002</v>
      </c>
      <c r="F109" s="25">
        <v>2442095</v>
      </c>
      <c r="G109" s="25">
        <v>2197591</v>
      </c>
      <c r="H109" s="25">
        <v>2464777</v>
      </c>
      <c r="I109" s="25">
        <v>3356604</v>
      </c>
      <c r="J109" s="25">
        <v>3434495</v>
      </c>
      <c r="K109" s="25">
        <v>4679054</v>
      </c>
      <c r="L109" s="25">
        <v>4611556</v>
      </c>
      <c r="M109" s="25">
        <v>4833122</v>
      </c>
      <c r="N109" s="25">
        <v>5018492</v>
      </c>
      <c r="O109" s="406">
        <v>5693484</v>
      </c>
      <c r="P109" s="436"/>
      <c r="Q109" s="424">
        <f>AVERAGE(D109:O109)</f>
        <v>3566680.3333333335</v>
      </c>
    </row>
    <row r="110" spans="1:20" s="40" customFormat="1" ht="20.45" hidden="1" customHeight="1" thickBot="1">
      <c r="B110" s="921" t="s">
        <v>100</v>
      </c>
      <c r="C110" s="63"/>
      <c r="D110" s="261">
        <v>2953.49773755656</v>
      </c>
      <c r="E110" s="261">
        <v>1651.1913929784801</v>
      </c>
      <c r="F110" s="261">
        <v>2900.3503562945366</v>
      </c>
      <c r="G110" s="261">
        <v>2689.8298653610773</v>
      </c>
      <c r="H110" s="261">
        <v>3061.8347826086956</v>
      </c>
      <c r="I110" s="261">
        <v>4174.8805970149251</v>
      </c>
      <c r="J110" s="261">
        <v>4078.9726840855105</v>
      </c>
      <c r="K110" s="261">
        <v>4605.3681102362207</v>
      </c>
      <c r="L110" s="261">
        <v>4266.0092506938017</v>
      </c>
      <c r="M110" s="261">
        <v>4542.4078947368425</v>
      </c>
      <c r="N110" s="261">
        <v>4788.6374045801531</v>
      </c>
      <c r="O110" s="407">
        <v>5396.6672985781988</v>
      </c>
      <c r="P110" s="437"/>
      <c r="Q110" s="438">
        <f>Q109/Q26</f>
        <v>3841.6806390808729</v>
      </c>
    </row>
    <row r="111" spans="1:20" s="40" customFormat="1" ht="20.45" hidden="1" customHeight="1">
      <c r="B111" s="920" t="s">
        <v>101</v>
      </c>
      <c r="C111" s="8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397"/>
      <c r="P111" s="421"/>
      <c r="Q111" s="425"/>
    </row>
    <row r="112" spans="1:20" s="40" customFormat="1" ht="20.45" hidden="1" customHeight="1">
      <c r="B112" s="912" t="s">
        <v>99</v>
      </c>
      <c r="C112" s="46"/>
      <c r="D112" s="25">
        <v>3714334</v>
      </c>
      <c r="E112" s="25">
        <v>3359200</v>
      </c>
      <c r="F112" s="25">
        <v>4150333</v>
      </c>
      <c r="G112" s="25">
        <v>5303831</v>
      </c>
      <c r="H112" s="25">
        <v>4111101.5</v>
      </c>
      <c r="I112" s="25">
        <v>4355323</v>
      </c>
      <c r="J112" s="25">
        <v>5305086.2857142854</v>
      </c>
      <c r="K112" s="25">
        <v>4263640</v>
      </c>
      <c r="L112" s="25">
        <v>6079447</v>
      </c>
      <c r="M112" s="25">
        <v>5039194</v>
      </c>
      <c r="N112" s="25">
        <v>4809745</v>
      </c>
      <c r="O112" s="406">
        <v>5129939</v>
      </c>
      <c r="P112" s="436"/>
      <c r="Q112" s="424">
        <f>AVERAGE(D112:O112)</f>
        <v>4635097.8154761903</v>
      </c>
    </row>
    <row r="113" spans="2:17" s="40" customFormat="1" ht="20.45" hidden="1" customHeight="1" thickBot="1">
      <c r="B113" s="922" t="s">
        <v>100</v>
      </c>
      <c r="C113" s="70"/>
      <c r="D113" s="66">
        <f t="shared" ref="D113:O113" si="52">D112/D27</f>
        <v>3588.7285024154589</v>
      </c>
      <c r="E113" s="66">
        <f t="shared" si="52"/>
        <v>3181.060606060606</v>
      </c>
      <c r="F113" s="66">
        <f t="shared" si="52"/>
        <v>3964.0238777459408</v>
      </c>
      <c r="G113" s="66">
        <f t="shared" si="52"/>
        <v>5204.9371933267912</v>
      </c>
      <c r="H113" s="66">
        <f t="shared" si="52"/>
        <v>4078.4737103174602</v>
      </c>
      <c r="I113" s="66">
        <f t="shared" si="52"/>
        <v>4426.1412601626016</v>
      </c>
      <c r="J113" s="66">
        <f t="shared" si="52"/>
        <v>5457.9077013521455</v>
      </c>
      <c r="K113" s="66">
        <f t="shared" si="52"/>
        <v>4302.3612512613518</v>
      </c>
      <c r="L113" s="66">
        <f t="shared" si="52"/>
        <v>6209.8539325842694</v>
      </c>
      <c r="M113" s="66">
        <f t="shared" si="52"/>
        <v>5287.7166841552989</v>
      </c>
      <c r="N113" s="66">
        <f t="shared" si="52"/>
        <v>5105.8864118895963</v>
      </c>
      <c r="O113" s="408">
        <f t="shared" si="52"/>
        <v>5250.7052200614125</v>
      </c>
      <c r="P113" s="439"/>
      <c r="Q113" s="440">
        <f>Q112/Q27</f>
        <v>4649.4335689805475</v>
      </c>
    </row>
    <row r="114" spans="2:17" s="40" customFormat="1" ht="20.45" hidden="1" customHeight="1">
      <c r="B114" s="920" t="s">
        <v>131</v>
      </c>
      <c r="C114" s="8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397"/>
      <c r="P114" s="421"/>
      <c r="Q114" s="425"/>
    </row>
    <row r="115" spans="2:17" s="40" customFormat="1" ht="20.45" hidden="1" customHeight="1">
      <c r="B115" s="912" t="s">
        <v>99</v>
      </c>
      <c r="C115" s="46"/>
      <c r="D115" s="25">
        <v>4839131</v>
      </c>
      <c r="E115" s="25">
        <v>2066343</v>
      </c>
      <c r="F115" s="25">
        <v>4744148</v>
      </c>
      <c r="G115" s="25">
        <v>4115148</v>
      </c>
      <c r="H115" s="25">
        <v>5106256</v>
      </c>
      <c r="I115" s="25">
        <v>5244519</v>
      </c>
      <c r="J115" s="25">
        <v>4557068</v>
      </c>
      <c r="K115" s="25">
        <v>5347103</v>
      </c>
      <c r="L115" s="25">
        <v>5328243</v>
      </c>
      <c r="M115" s="25">
        <v>6416225</v>
      </c>
      <c r="N115" s="25">
        <v>5293698</v>
      </c>
      <c r="O115" s="406">
        <v>5451334</v>
      </c>
      <c r="P115" s="436"/>
      <c r="Q115" s="424">
        <f>AVERAGE(D115:O115)</f>
        <v>4875768</v>
      </c>
    </row>
    <row r="116" spans="2:17" s="40" customFormat="1" ht="20.45" hidden="1" customHeight="1" thickBot="1">
      <c r="B116" s="922" t="s">
        <v>100</v>
      </c>
      <c r="C116" s="70"/>
      <c r="D116" s="66">
        <f t="shared" ref="D116:O116" si="53">D115/D28</f>
        <v>4958.126024590164</v>
      </c>
      <c r="E116" s="66">
        <f t="shared" si="53"/>
        <v>2205.2753468516544</v>
      </c>
      <c r="F116" s="66">
        <f t="shared" si="53"/>
        <v>4753.6553106212423</v>
      </c>
      <c r="G116" s="66">
        <f t="shared" si="53"/>
        <v>4094.6746268656716</v>
      </c>
      <c r="H116" s="66">
        <f t="shared" si="53"/>
        <v>5080.8517412935325</v>
      </c>
      <c r="I116" s="66">
        <f t="shared" si="53"/>
        <v>5244.5190000000002</v>
      </c>
      <c r="J116" s="66">
        <f t="shared" si="53"/>
        <v>4631.166666666667</v>
      </c>
      <c r="K116" s="66">
        <f t="shared" si="53"/>
        <v>5341.7612387612389</v>
      </c>
      <c r="L116" s="66">
        <f t="shared" si="53"/>
        <v>5218.651322233105</v>
      </c>
      <c r="M116" s="66">
        <f t="shared" si="53"/>
        <v>6075.970643939394</v>
      </c>
      <c r="N116" s="66">
        <f t="shared" si="53"/>
        <v>4938.1511194029854</v>
      </c>
      <c r="O116" s="408">
        <f t="shared" si="53"/>
        <v>4546.5671392827353</v>
      </c>
      <c r="P116" s="439"/>
      <c r="Q116" s="440">
        <f>Q115/Q28</f>
        <v>4774.7034437734619</v>
      </c>
    </row>
    <row r="117" spans="2:17" s="40" customFormat="1" ht="20.45" hidden="1" customHeight="1">
      <c r="B117" s="920" t="s">
        <v>154</v>
      </c>
      <c r="C117" s="8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397"/>
      <c r="P117" s="421"/>
      <c r="Q117" s="425"/>
    </row>
    <row r="118" spans="2:17" s="40" customFormat="1" ht="20.45" hidden="1" customHeight="1">
      <c r="B118" s="912" t="s">
        <v>99</v>
      </c>
      <c r="C118" s="46"/>
      <c r="D118" s="25">
        <v>5495239</v>
      </c>
      <c r="E118" s="25">
        <v>3054976</v>
      </c>
      <c r="F118" s="25">
        <v>6654245</v>
      </c>
      <c r="G118" s="25">
        <v>6017947</v>
      </c>
      <c r="H118" s="25">
        <v>5183626</v>
      </c>
      <c r="I118" s="25">
        <v>5666109</v>
      </c>
      <c r="J118" s="25">
        <v>7939327</v>
      </c>
      <c r="K118" s="25">
        <v>9068096</v>
      </c>
      <c r="L118" s="25">
        <v>9890774</v>
      </c>
      <c r="M118" s="25">
        <v>9334352</v>
      </c>
      <c r="N118" s="25">
        <v>7958895</v>
      </c>
      <c r="O118" s="406">
        <v>5046304</v>
      </c>
      <c r="P118" s="423">
        <f>+SUM(D118:O118)</f>
        <v>81309890</v>
      </c>
      <c r="Q118" s="424">
        <f>AVERAGE(D118:O118)</f>
        <v>6775824.166666667</v>
      </c>
    </row>
    <row r="119" spans="2:17" s="40" customFormat="1" ht="20.45" hidden="1" customHeight="1" thickBot="1">
      <c r="B119" s="912" t="s">
        <v>100</v>
      </c>
      <c r="C119" s="46"/>
      <c r="D119" s="25">
        <v>3653.7493351063831</v>
      </c>
      <c r="E119" s="25">
        <v>1787.5810415447629</v>
      </c>
      <c r="F119" s="25">
        <v>3206.8650602409639</v>
      </c>
      <c r="G119" s="25">
        <v>2800.3476035365288</v>
      </c>
      <c r="H119" s="25">
        <v>2338.126296797474</v>
      </c>
      <c r="I119" s="25">
        <v>2541.9959623149393</v>
      </c>
      <c r="J119" s="25">
        <v>3542.760821062026</v>
      </c>
      <c r="K119" s="25">
        <v>4114.3811252268606</v>
      </c>
      <c r="L119" s="25">
        <v>4491.7229791098998</v>
      </c>
      <c r="M119" s="25">
        <v>4137.567375886525</v>
      </c>
      <c r="N119" s="25">
        <v>3640.8485818847212</v>
      </c>
      <c r="O119" s="406">
        <v>2285.463768115942</v>
      </c>
      <c r="P119" s="423">
        <f>+SUM(D119:O119)</f>
        <v>38541.409950827023</v>
      </c>
      <c r="Q119" s="443">
        <f>+Q118/Q29</f>
        <v>3229.145750595711</v>
      </c>
    </row>
    <row r="120" spans="2:17" s="40" customFormat="1" ht="20.45" hidden="1" customHeight="1">
      <c r="B120" s="920" t="s">
        <v>191</v>
      </c>
      <c r="C120" s="8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397"/>
      <c r="P120" s="421"/>
      <c r="Q120" s="425"/>
    </row>
    <row r="121" spans="2:17" s="40" customFormat="1" ht="20.45" hidden="1" customHeight="1">
      <c r="B121" s="912" t="s">
        <v>99</v>
      </c>
      <c r="C121" s="46"/>
      <c r="D121" s="155">
        <v>3789005</v>
      </c>
      <c r="E121" s="155">
        <v>5076971</v>
      </c>
      <c r="F121" s="155">
        <v>4650475</v>
      </c>
      <c r="G121" s="155">
        <v>3890901</v>
      </c>
      <c r="H121" s="155">
        <v>2054879</v>
      </c>
      <c r="I121" s="155">
        <v>4474975</v>
      </c>
      <c r="J121" s="155">
        <v>10894469</v>
      </c>
      <c r="K121" s="155">
        <v>16060521</v>
      </c>
      <c r="L121" s="155">
        <v>11645023</v>
      </c>
      <c r="M121" s="155">
        <v>5342154</v>
      </c>
      <c r="N121" s="155">
        <v>4645055</v>
      </c>
      <c r="O121" s="411">
        <v>5801961</v>
      </c>
      <c r="P121" s="423">
        <f>+SUM(D121:O121)</f>
        <v>78326389</v>
      </c>
      <c r="Q121" s="446">
        <f>AVERAGE(D121:O121)</f>
        <v>6527199.083333333</v>
      </c>
    </row>
    <row r="122" spans="2:17" s="40" customFormat="1" ht="20.45" hidden="1" customHeight="1" thickBot="1">
      <c r="B122" s="912" t="s">
        <v>100</v>
      </c>
      <c r="C122" s="46"/>
      <c r="D122" s="25">
        <f t="shared" ref="D122:O122" si="54">+D121/D30</f>
        <v>2182.6065668202764</v>
      </c>
      <c r="E122" s="25">
        <f t="shared" si="54"/>
        <v>2897.8144977168949</v>
      </c>
      <c r="F122" s="25">
        <f t="shared" si="54"/>
        <v>2657.4142857142856</v>
      </c>
      <c r="G122" s="25">
        <f t="shared" si="54"/>
        <v>2223.3719999999998</v>
      </c>
      <c r="H122" s="25">
        <f t="shared" si="54"/>
        <v>1249.9263990267641</v>
      </c>
      <c r="I122" s="25">
        <f t="shared" si="54"/>
        <v>2707.1839080459772</v>
      </c>
      <c r="J122" s="25">
        <f t="shared" si="54"/>
        <v>6454.0693127962086</v>
      </c>
      <c r="K122" s="25">
        <f t="shared" si="54"/>
        <v>9130.4837976122799</v>
      </c>
      <c r="L122" s="1">
        <f t="shared" si="54"/>
        <v>6494.7144450641381</v>
      </c>
      <c r="M122" s="25">
        <f t="shared" si="54"/>
        <v>2967.8633333333332</v>
      </c>
      <c r="N122" s="25">
        <f t="shared" si="54"/>
        <v>2597.9054809843401</v>
      </c>
      <c r="O122" s="406">
        <f t="shared" si="54"/>
        <v>3209.0492256637167</v>
      </c>
      <c r="P122" s="423">
        <f>+SUM(D122:O122)</f>
        <v>44772.403252778218</v>
      </c>
      <c r="Q122" s="443">
        <f>+Q121/Q30</f>
        <v>3743.9122890875192</v>
      </c>
    </row>
    <row r="123" spans="2:17" s="40" customFormat="1" ht="20.45" hidden="1" customHeight="1">
      <c r="B123" s="920" t="s">
        <v>275</v>
      </c>
      <c r="C123" s="8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397"/>
      <c r="P123" s="421"/>
      <c r="Q123" s="425"/>
    </row>
    <row r="124" spans="2:17" s="40" customFormat="1" ht="20.45" hidden="1" customHeight="1">
      <c r="B124" s="912" t="s">
        <v>99</v>
      </c>
      <c r="C124" s="46"/>
      <c r="D124" s="155">
        <v>5726185</v>
      </c>
      <c r="E124" s="155">
        <v>2628111</v>
      </c>
      <c r="F124" s="155">
        <v>5208790</v>
      </c>
      <c r="G124" s="155">
        <v>5201148</v>
      </c>
      <c r="H124" s="155">
        <v>6568165</v>
      </c>
      <c r="I124" s="155">
        <v>12048453</v>
      </c>
      <c r="J124" s="155">
        <v>12105277</v>
      </c>
      <c r="K124" s="155">
        <v>13857259</v>
      </c>
      <c r="L124" s="155">
        <v>5352777</v>
      </c>
      <c r="M124" s="155">
        <v>3931563</v>
      </c>
      <c r="N124" s="155">
        <v>3844639</v>
      </c>
      <c r="O124" s="411">
        <v>4406199</v>
      </c>
      <c r="P124" s="423">
        <f>+SUM(D124:O124)</f>
        <v>80878566</v>
      </c>
      <c r="Q124" s="424">
        <f t="shared" ref="Q124:Q125" si="55">AVERAGE(D124:O124)</f>
        <v>6739880.5</v>
      </c>
    </row>
    <row r="125" spans="2:17" s="40" customFormat="1" ht="20.45" hidden="1" customHeight="1" thickBot="1">
      <c r="B125" s="912" t="s">
        <v>100</v>
      </c>
      <c r="C125" s="46"/>
      <c r="D125" s="1">
        <v>3281.4813753581661</v>
      </c>
      <c r="E125" s="1">
        <v>1491.5499432463109</v>
      </c>
      <c r="F125" s="25">
        <v>2638.6980749746708</v>
      </c>
      <c r="G125" s="25">
        <v>2518.7157384987895</v>
      </c>
      <c r="H125" s="25">
        <v>3086.5437030075186</v>
      </c>
      <c r="I125" s="25">
        <v>5702.0601041173686</v>
      </c>
      <c r="J125" s="25">
        <v>5867.8027144934558</v>
      </c>
      <c r="K125" s="25">
        <v>11085.807199999999</v>
      </c>
      <c r="L125" s="25">
        <v>4559.4352640545148</v>
      </c>
      <c r="M125" s="25">
        <v>2218.7150112866816</v>
      </c>
      <c r="N125" s="25">
        <v>2195.6818960593946</v>
      </c>
      <c r="O125" s="25">
        <v>2602.598346131128</v>
      </c>
      <c r="P125" s="423">
        <f t="shared" ref="P125" si="56">+SUM(D125:O125)</f>
        <v>47249.089371227994</v>
      </c>
      <c r="Q125" s="424">
        <f t="shared" si="55"/>
        <v>3937.4241142689993</v>
      </c>
    </row>
    <row r="126" spans="2:17" s="40" customFormat="1" ht="20.45" hidden="1" customHeight="1">
      <c r="B126" s="920" t="s">
        <v>379</v>
      </c>
      <c r="C126" s="8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397"/>
      <c r="P126" s="421"/>
      <c r="Q126" s="425"/>
    </row>
    <row r="127" spans="2:17" s="40" customFormat="1" ht="20.45" hidden="1" customHeight="1">
      <c r="B127" s="912" t="s">
        <v>99</v>
      </c>
      <c r="C127" s="46"/>
      <c r="D127" s="155">
        <v>2522093</v>
      </c>
      <c r="E127" s="155">
        <v>3455766</v>
      </c>
      <c r="F127" s="155">
        <v>4683506</v>
      </c>
      <c r="G127" s="155">
        <v>5392965</v>
      </c>
      <c r="H127" s="155">
        <v>6285131</v>
      </c>
      <c r="I127" s="155">
        <v>8028430</v>
      </c>
      <c r="J127" s="155">
        <v>10699081</v>
      </c>
      <c r="K127" s="155">
        <v>9122974</v>
      </c>
      <c r="L127" s="155">
        <v>3997993</v>
      </c>
      <c r="M127" s="155">
        <v>4449870</v>
      </c>
      <c r="N127" s="155">
        <v>3701642</v>
      </c>
      <c r="O127" s="411">
        <v>3689874</v>
      </c>
      <c r="P127" s="423">
        <f t="shared" ref="P127:P128" si="57">+SUM(D127:O127)</f>
        <v>66029325</v>
      </c>
      <c r="Q127" s="424">
        <f t="shared" ref="Q127:Q128" si="58">AVERAGE(D127:O127)</f>
        <v>5502443.75</v>
      </c>
    </row>
    <row r="128" spans="2:17" s="40" customFormat="1" ht="20.45" hidden="1" customHeight="1" thickBot="1">
      <c r="B128" s="912" t="s">
        <v>100</v>
      </c>
      <c r="C128" s="46"/>
      <c r="D128" s="25">
        <v>1628.2072304712717</v>
      </c>
      <c r="E128" s="25">
        <v>2116.206981016534</v>
      </c>
      <c r="F128" s="25">
        <v>2876.8464373464371</v>
      </c>
      <c r="G128" s="25">
        <v>3368.4978138663337</v>
      </c>
      <c r="H128" s="25">
        <v>3774.8534534534533</v>
      </c>
      <c r="I128" s="25">
        <v>4705.9964830011722</v>
      </c>
      <c r="J128" s="25">
        <v>6453.0042219541619</v>
      </c>
      <c r="K128" s="25">
        <v>5485.8532772098615</v>
      </c>
      <c r="L128" s="25">
        <v>2549.7404336734694</v>
      </c>
      <c r="M128" s="25">
        <v>2944.9834546657844</v>
      </c>
      <c r="N128" s="25">
        <v>2523.2733469665986</v>
      </c>
      <c r="O128" s="25">
        <v>2489.7935222672063</v>
      </c>
      <c r="P128" s="423">
        <f t="shared" si="57"/>
        <v>40917.256655892292</v>
      </c>
      <c r="Q128" s="424">
        <f t="shared" si="58"/>
        <v>3409.7713879910243</v>
      </c>
    </row>
    <row r="129" spans="2:17" s="40" customFormat="1" ht="20.45" customHeight="1">
      <c r="B129" s="920" t="s">
        <v>494</v>
      </c>
      <c r="C129" s="8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397"/>
      <c r="P129" s="421"/>
      <c r="Q129" s="425"/>
    </row>
    <row r="130" spans="2:17" s="40" customFormat="1" ht="20.45" customHeight="1">
      <c r="B130" s="912" t="s">
        <v>99</v>
      </c>
      <c r="C130" s="46"/>
      <c r="D130" s="155">
        <v>1721525</v>
      </c>
      <c r="E130" s="155">
        <v>3420586</v>
      </c>
      <c r="F130" s="155">
        <v>6457869</v>
      </c>
      <c r="G130" s="155">
        <v>4867056</v>
      </c>
      <c r="H130" s="155">
        <v>4356660</v>
      </c>
      <c r="I130" s="155">
        <v>4825682</v>
      </c>
      <c r="J130" s="155">
        <v>9459267</v>
      </c>
      <c r="K130" s="155">
        <v>7939539</v>
      </c>
      <c r="L130" s="155">
        <v>3973229</v>
      </c>
      <c r="M130" s="155">
        <v>4266685</v>
      </c>
      <c r="N130" s="155">
        <v>4115453</v>
      </c>
      <c r="O130" s="411">
        <v>3661422</v>
      </c>
      <c r="P130" s="423">
        <f t="shared" ref="P130:P131" si="59">SUM(D130:G130)</f>
        <v>16467036</v>
      </c>
      <c r="Q130" s="424">
        <f t="shared" ref="Q130:Q131" si="60">AVERAGE(D130:G130)</f>
        <v>4116759</v>
      </c>
    </row>
    <row r="131" spans="2:17" s="40" customFormat="1" ht="20.45" customHeight="1" thickBot="1">
      <c r="B131" s="912" t="s">
        <v>100</v>
      </c>
      <c r="C131" s="46"/>
      <c r="D131" s="25">
        <v>1234.068100358423</v>
      </c>
      <c r="E131" s="25">
        <v>2475.098408104197</v>
      </c>
      <c r="F131" s="25">
        <v>4787.152705707932</v>
      </c>
      <c r="G131" s="25">
        <v>3684.3724451173352</v>
      </c>
      <c r="H131" s="25">
        <v>3430.4409448818897</v>
      </c>
      <c r="I131" s="25">
        <v>3939.3322448979593</v>
      </c>
      <c r="J131" s="25">
        <v>7804.6757425742571</v>
      </c>
      <c r="K131" s="25">
        <v>6449.6661251015439</v>
      </c>
      <c r="L131" s="25">
        <v>3283.6603305785125</v>
      </c>
      <c r="M131" s="25">
        <v>3537.8814262023216</v>
      </c>
      <c r="N131" s="25">
        <v>3449.6672254819782</v>
      </c>
      <c r="O131" s="25">
        <v>2952.7596774193548</v>
      </c>
      <c r="P131" s="423">
        <f t="shared" si="59"/>
        <v>12180.691659287886</v>
      </c>
      <c r="Q131" s="424">
        <f t="shared" si="60"/>
        <v>3045.1729148219715</v>
      </c>
    </row>
    <row r="132" spans="2:17" s="40" customFormat="1" ht="20.45" customHeight="1">
      <c r="B132" s="920" t="s">
        <v>634</v>
      </c>
      <c r="C132" s="8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397"/>
      <c r="P132" s="421"/>
      <c r="Q132" s="425"/>
    </row>
    <row r="133" spans="2:17" s="40" customFormat="1" ht="20.45" customHeight="1">
      <c r="B133" s="912" t="s">
        <v>99</v>
      </c>
      <c r="C133" s="46"/>
      <c r="D133" s="155">
        <v>4018808</v>
      </c>
      <c r="E133" s="155">
        <v>2713073</v>
      </c>
      <c r="F133" s="155">
        <v>4462706</v>
      </c>
      <c r="G133" s="155">
        <v>4080670</v>
      </c>
      <c r="H133" s="1049">
        <v>6398260</v>
      </c>
      <c r="I133" s="1049">
        <v>8171675</v>
      </c>
      <c r="J133" s="1049">
        <v>9878795</v>
      </c>
      <c r="K133" s="155">
        <v>9125676</v>
      </c>
      <c r="L133" s="1049">
        <v>4617043</v>
      </c>
      <c r="M133" s="155">
        <v>5030791</v>
      </c>
      <c r="N133" s="1049">
        <v>4277411</v>
      </c>
      <c r="O133" s="1265">
        <v>5411951</v>
      </c>
      <c r="P133" s="423">
        <f t="shared" ref="P133:P134" si="61">SUM(D133:G133)</f>
        <v>15275257</v>
      </c>
      <c r="Q133" s="424">
        <f t="shared" ref="Q133:Q134" si="62">AVERAGE(D133:G133)</f>
        <v>3818814.25</v>
      </c>
    </row>
    <row r="134" spans="2:17" s="40" customFormat="1" ht="20.45" customHeight="1" thickBot="1">
      <c r="B134" s="912" t="s">
        <v>100</v>
      </c>
      <c r="C134" s="46"/>
      <c r="D134" s="25">
        <v>3440.7602739726026</v>
      </c>
      <c r="E134" s="25">
        <v>2279.8932773109245</v>
      </c>
      <c r="F134" s="25">
        <v>3581.6260032102728</v>
      </c>
      <c r="G134" s="25">
        <v>3264.5360000000001</v>
      </c>
      <c r="H134" s="25">
        <v>5210.3094462540721</v>
      </c>
      <c r="I134" s="25">
        <v>6764.6316225165565</v>
      </c>
      <c r="J134" s="25">
        <v>8137.392915980231</v>
      </c>
      <c r="K134" s="25">
        <v>7467.8199672667761</v>
      </c>
      <c r="L134" s="25">
        <v>3644.0749802683504</v>
      </c>
      <c r="M134" s="155">
        <v>3896.8171959721149</v>
      </c>
      <c r="N134" s="25">
        <v>3318.3948797517455</v>
      </c>
      <c r="O134" s="25">
        <v>4159.8393543428128</v>
      </c>
      <c r="P134" s="423">
        <f t="shared" si="61"/>
        <v>12566.8155544938</v>
      </c>
      <c r="Q134" s="424">
        <f t="shared" si="62"/>
        <v>3141.70388862345</v>
      </c>
    </row>
    <row r="135" spans="2:17" s="40" customFormat="1" ht="20.45" customHeight="1">
      <c r="B135" s="920" t="s">
        <v>746</v>
      </c>
      <c r="C135" s="8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397"/>
      <c r="P135" s="421"/>
      <c r="Q135" s="425"/>
    </row>
    <row r="136" spans="2:17" s="40" customFormat="1" ht="20.45" customHeight="1">
      <c r="B136" s="912" t="s">
        <v>99</v>
      </c>
      <c r="C136" s="46"/>
      <c r="D136" s="155">
        <v>4309169</v>
      </c>
      <c r="E136" s="155">
        <v>4078405</v>
      </c>
      <c r="F136" s="155">
        <v>5773058</v>
      </c>
      <c r="G136" s="155">
        <v>5082107</v>
      </c>
      <c r="H136" s="1049"/>
      <c r="I136" s="1049"/>
      <c r="J136" s="1049"/>
      <c r="K136" s="155"/>
      <c r="L136" s="1049"/>
      <c r="M136" s="155"/>
      <c r="N136" s="1049"/>
      <c r="O136" s="1224"/>
      <c r="P136" s="423">
        <f t="shared" ref="P136" si="63">SUM(D136:G136)</f>
        <v>19242739</v>
      </c>
      <c r="Q136" s="424">
        <f t="shared" ref="Q136:Q137" si="64">AVERAGE(D136:G136)</f>
        <v>4810684.75</v>
      </c>
    </row>
    <row r="137" spans="2:17" s="40" customFormat="1" ht="20.45" customHeight="1">
      <c r="B137" s="912" t="s">
        <v>100</v>
      </c>
      <c r="C137" s="46"/>
      <c r="D137" s="25">
        <f>+D136/D35</f>
        <v>3472.3360193392427</v>
      </c>
      <c r="E137" s="25">
        <f>+E136/E35</f>
        <v>3203.7745483110762</v>
      </c>
      <c r="F137" s="25">
        <f>+F136/F35</f>
        <v>4471.7722695584816</v>
      </c>
      <c r="G137" s="25">
        <f t="shared" ref="G137:O137" si="65">+G136/G34</f>
        <v>4065.6855999999998</v>
      </c>
      <c r="H137" s="25">
        <f t="shared" si="65"/>
        <v>0</v>
      </c>
      <c r="I137" s="25">
        <f t="shared" si="65"/>
        <v>0</v>
      </c>
      <c r="J137" s="25">
        <f t="shared" si="65"/>
        <v>0</v>
      </c>
      <c r="K137" s="25">
        <f t="shared" si="65"/>
        <v>0</v>
      </c>
      <c r="L137" s="25">
        <f t="shared" si="65"/>
        <v>0</v>
      </c>
      <c r="M137" s="155">
        <f t="shared" si="65"/>
        <v>0</v>
      </c>
      <c r="N137" s="25">
        <f t="shared" si="65"/>
        <v>0</v>
      </c>
      <c r="O137" s="25">
        <f t="shared" si="65"/>
        <v>0</v>
      </c>
      <c r="P137" s="423">
        <f>SUM(D137:G137)</f>
        <v>15213.5684372088</v>
      </c>
      <c r="Q137" s="424">
        <f t="shared" si="64"/>
        <v>3803.3921093022</v>
      </c>
    </row>
    <row r="138" spans="2:17" s="40" customFormat="1" ht="19.5" customHeight="1" thickBot="1">
      <c r="B138" s="923" t="s">
        <v>752</v>
      </c>
      <c r="C138" s="905"/>
      <c r="D138" s="1302">
        <f>+(D137-D134)/D134</f>
        <v>9.1769675456592342E-3</v>
      </c>
      <c r="E138" s="1302">
        <f>+(E137-E134)/E134</f>
        <v>0.4052300518600791</v>
      </c>
      <c r="F138" s="1302">
        <f>+(F137-F134)/F134</f>
        <v>0.24853132782438914</v>
      </c>
      <c r="G138" s="1302">
        <f>+(G137-G134)/G134</f>
        <v>0.24540994493551296</v>
      </c>
      <c r="H138" s="906"/>
      <c r="I138" s="906"/>
      <c r="J138" s="906"/>
      <c r="K138" s="906"/>
      <c r="L138" s="906"/>
      <c r="M138" s="906"/>
      <c r="N138" s="906"/>
      <c r="O138" s="906"/>
      <c r="P138" s="1302">
        <f>+(P137-P134)/P134</f>
        <v>0.21061444494333656</v>
      </c>
      <c r="Q138" s="1302">
        <f>+(Q137-Q134)/Q134</f>
        <v>0.21061444494333656</v>
      </c>
    </row>
    <row r="139" spans="2:17" s="40" customFormat="1" ht="20.45" hidden="1" customHeight="1">
      <c r="B139" s="925" t="s">
        <v>104</v>
      </c>
      <c r="C139" s="143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413"/>
      <c r="P139" s="449"/>
      <c r="Q139" s="450"/>
    </row>
    <row r="140" spans="2:17" s="40" customFormat="1" ht="20.45" hidden="1" customHeight="1">
      <c r="B140" s="912" t="s">
        <v>105</v>
      </c>
      <c r="C140" s="46"/>
      <c r="D140" s="53">
        <v>1987789.8331779868</v>
      </c>
      <c r="E140" s="53">
        <v>1292727.5793204678</v>
      </c>
      <c r="F140" s="53">
        <v>1862406.9808212551</v>
      </c>
      <c r="G140" s="53">
        <v>1653033.3452279463</v>
      </c>
      <c r="H140" s="53">
        <v>1900449.4351378097</v>
      </c>
      <c r="I140" s="53">
        <v>2278667.8231462017</v>
      </c>
      <c r="J140" s="53">
        <v>2674311.4094685018</v>
      </c>
      <c r="K140" s="53">
        <v>3190534.6691377838</v>
      </c>
      <c r="L140" s="53">
        <v>2861689.2439629696</v>
      </c>
      <c r="M140" s="53">
        <v>3252273.7184133222</v>
      </c>
      <c r="N140" s="53">
        <v>3136434.790389522</v>
      </c>
      <c r="O140" s="400">
        <v>3394531.9242343525</v>
      </c>
      <c r="P140" s="427"/>
      <c r="Q140" s="428">
        <f>AVERAGE(D140:O140)</f>
        <v>2457070.8960365099</v>
      </c>
    </row>
    <row r="141" spans="2:17" s="40" customFormat="1" ht="20.45" hidden="1" customHeight="1">
      <c r="B141" s="924" t="s">
        <v>106</v>
      </c>
      <c r="C141" s="144"/>
      <c r="D141" s="263">
        <v>2248.6310330067722</v>
      </c>
      <c r="E141" s="263">
        <v>1464.0176436245399</v>
      </c>
      <c r="F141" s="263">
        <v>2211.8847753221557</v>
      </c>
      <c r="G141" s="263">
        <v>2023.2966281859808</v>
      </c>
      <c r="H141" s="263">
        <v>2360.8067517239874</v>
      </c>
      <c r="I141" s="263">
        <v>2834.1639591370667</v>
      </c>
      <c r="J141" s="263">
        <v>3176.1418164709048</v>
      </c>
      <c r="K141" s="263">
        <v>3140.2900286789209</v>
      </c>
      <c r="L141" s="263">
        <v>2647.2610952478904</v>
      </c>
      <c r="M141" s="263">
        <v>3056.6482315914682</v>
      </c>
      <c r="N141" s="263">
        <v>2992.7812885396202</v>
      </c>
      <c r="O141" s="414">
        <v>3217.5658049614717</v>
      </c>
      <c r="P141" s="451"/>
      <c r="Q141" s="428">
        <f>AVERAGE(D141:O141)</f>
        <v>2614.4574213742317</v>
      </c>
    </row>
    <row r="142" spans="2:17" s="40" customFormat="1" ht="20.45" hidden="1" customHeight="1">
      <c r="B142" s="926" t="s">
        <v>107</v>
      </c>
      <c r="C142" s="143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413"/>
      <c r="P142" s="449"/>
      <c r="Q142" s="450"/>
    </row>
    <row r="143" spans="2:17" s="40" customFormat="1" ht="20.45" hidden="1" customHeight="1">
      <c r="B143" s="912" t="s">
        <v>105</v>
      </c>
      <c r="C143" s="46" t="s">
        <v>143</v>
      </c>
      <c r="D143" s="53">
        <v>2280333.7708455455</v>
      </c>
      <c r="E143" s="53">
        <v>2080924.9595480757</v>
      </c>
      <c r="F143" s="53">
        <v>3002426</v>
      </c>
      <c r="G143" s="53">
        <v>2561256.66</v>
      </c>
      <c r="H143" s="53">
        <v>2646131.14</v>
      </c>
      <c r="I143" s="53">
        <v>2631913.8717261972</v>
      </c>
      <c r="J143" s="53">
        <v>2197338.0709246383</v>
      </c>
      <c r="K143" s="53">
        <v>2392346.2574855019</v>
      </c>
      <c r="L143" s="53">
        <v>3046832.9210287556</v>
      </c>
      <c r="M143" s="53">
        <v>3023494.3178036427</v>
      </c>
      <c r="N143" s="53">
        <v>2818904.7254726402</v>
      </c>
      <c r="O143" s="400">
        <v>2812924.1556527931</v>
      </c>
      <c r="P143" s="427"/>
      <c r="Q143" s="428">
        <f>AVERAGE(D143:O143)</f>
        <v>2624568.9042073158</v>
      </c>
    </row>
    <row r="144" spans="2:17" s="40" customFormat="1" ht="20.45" hidden="1" customHeight="1">
      <c r="B144" s="924" t="s">
        <v>106</v>
      </c>
      <c r="C144" s="46" t="s">
        <v>143</v>
      </c>
      <c r="D144" s="53">
        <f t="shared" ref="D144:O144" si="66">D143/D27</f>
        <v>2203.2210346333773</v>
      </c>
      <c r="E144" s="53">
        <f t="shared" si="66"/>
        <v>1970.5728783599202</v>
      </c>
      <c r="F144" s="53">
        <f t="shared" si="66"/>
        <v>2867.6466093600766</v>
      </c>
      <c r="G144" s="53">
        <f t="shared" si="66"/>
        <v>2513.5001570166833</v>
      </c>
      <c r="H144" s="53">
        <f t="shared" si="66"/>
        <v>2625.1300992063493</v>
      </c>
      <c r="I144" s="53">
        <f t="shared" si="66"/>
        <v>2674.7092192339401</v>
      </c>
      <c r="J144" s="53">
        <f t="shared" si="66"/>
        <v>2260.6358754368707</v>
      </c>
      <c r="K144" s="53">
        <f t="shared" si="66"/>
        <v>2414.072913708882</v>
      </c>
      <c r="L144" s="53">
        <f t="shared" si="66"/>
        <v>3112.1888876698217</v>
      </c>
      <c r="M144" s="53">
        <f t="shared" si="66"/>
        <v>3172.6068392483135</v>
      </c>
      <c r="N144" s="53">
        <f t="shared" si="66"/>
        <v>2992.4678614359236</v>
      </c>
      <c r="O144" s="400">
        <f t="shared" si="66"/>
        <v>2879.1444786620195</v>
      </c>
      <c r="P144" s="427"/>
      <c r="Q144" s="428">
        <f>AVERAGE(D144:O144)</f>
        <v>2640.4914044976817</v>
      </c>
    </row>
    <row r="145" spans="2:22" s="40" customFormat="1" ht="20.45" hidden="1" customHeight="1">
      <c r="B145" s="925" t="s">
        <v>144</v>
      </c>
      <c r="C145" s="143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413"/>
      <c r="P145" s="449"/>
      <c r="Q145" s="450"/>
    </row>
    <row r="146" spans="2:22" s="40" customFormat="1" ht="20.45" hidden="1" customHeight="1">
      <c r="B146" s="912" t="s">
        <v>105</v>
      </c>
      <c r="C146" s="46" t="s">
        <v>143</v>
      </c>
      <c r="D146" s="53">
        <v>2811095.8751445799</v>
      </c>
      <c r="E146" s="53">
        <v>1052901.0911211018</v>
      </c>
      <c r="F146" s="53">
        <v>2834394.1426525973</v>
      </c>
      <c r="G146" s="53">
        <v>2425814.3395170402</v>
      </c>
      <c r="H146" s="53">
        <v>2828373.7334459992</v>
      </c>
      <c r="I146" s="53">
        <v>2890242.8540696404</v>
      </c>
      <c r="J146" s="53">
        <v>2689506.0776775088</v>
      </c>
      <c r="K146" s="53">
        <v>3108062.1171180485</v>
      </c>
      <c r="L146" s="53">
        <v>2781551.816914245</v>
      </c>
      <c r="M146" s="53">
        <v>3782924.6501289979</v>
      </c>
      <c r="N146" s="53">
        <v>3396320.0324684428</v>
      </c>
      <c r="O146" s="400">
        <v>3337320.2732569571</v>
      </c>
      <c r="P146" s="427"/>
      <c r="Q146" s="428">
        <f>AVERAGE(D146:O146)</f>
        <v>2828208.9169595968</v>
      </c>
    </row>
    <row r="147" spans="2:22" s="40" customFormat="1" ht="20.45" hidden="1" customHeight="1">
      <c r="B147" s="924" t="s">
        <v>106</v>
      </c>
      <c r="C147" s="46" t="s">
        <v>143</v>
      </c>
      <c r="D147" s="53">
        <f t="shared" ref="D147:O147" si="67">D146/D28</f>
        <v>2880.2211835497747</v>
      </c>
      <c r="E147" s="53">
        <f t="shared" si="67"/>
        <v>1123.6938005561385</v>
      </c>
      <c r="F147" s="53">
        <f t="shared" si="67"/>
        <v>2840.0742912350674</v>
      </c>
      <c r="G147" s="53">
        <f t="shared" si="67"/>
        <v>2413.7456114597417</v>
      </c>
      <c r="H147" s="53">
        <f t="shared" si="67"/>
        <v>2814.3022223343278</v>
      </c>
      <c r="I147" s="53">
        <f t="shared" si="67"/>
        <v>2890.2428540696405</v>
      </c>
      <c r="J147" s="53">
        <f t="shared" si="67"/>
        <v>2733.2378838186064</v>
      </c>
      <c r="K147" s="53">
        <f t="shared" si="67"/>
        <v>3104.9571599580904</v>
      </c>
      <c r="L147" s="53">
        <f t="shared" si="67"/>
        <v>2724.3406629914252</v>
      </c>
      <c r="M147" s="53">
        <f t="shared" si="67"/>
        <v>3582.3150095918541</v>
      </c>
      <c r="N147" s="53">
        <f t="shared" si="67"/>
        <v>3168.2089855116069</v>
      </c>
      <c r="O147" s="400">
        <f t="shared" si="67"/>
        <v>2783.4197441676038</v>
      </c>
      <c r="P147" s="427"/>
      <c r="Q147" s="428">
        <f>Q146/Q28</f>
        <v>2769.5860130173955</v>
      </c>
    </row>
    <row r="148" spans="2:22" s="40" customFormat="1" ht="20.25" hidden="1" customHeight="1">
      <c r="B148" s="925" t="s">
        <v>155</v>
      </c>
      <c r="C148" s="143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413"/>
      <c r="P148" s="449"/>
      <c r="Q148" s="450"/>
    </row>
    <row r="149" spans="2:22" s="40" customFormat="1" ht="20.45" hidden="1" customHeight="1">
      <c r="B149" s="912" t="s">
        <v>105</v>
      </c>
      <c r="C149" s="46" t="s">
        <v>143</v>
      </c>
      <c r="D149" s="53">
        <v>3595533.4883486386</v>
      </c>
      <c r="E149" s="53">
        <v>1963314.1759415069</v>
      </c>
      <c r="F149" s="53">
        <v>3821700</v>
      </c>
      <c r="G149" s="53">
        <v>3754059.1131757302</v>
      </c>
      <c r="H149" s="53">
        <v>3819946.8952155178</v>
      </c>
      <c r="I149" s="53">
        <v>3727967.057112027</v>
      </c>
      <c r="J149" s="53">
        <v>4313996.5364445867</v>
      </c>
      <c r="K149" s="53">
        <v>5083516.8269584244</v>
      </c>
      <c r="L149" s="53">
        <v>5095409.6934411256</v>
      </c>
      <c r="M149" s="53">
        <v>6159737.9014398195</v>
      </c>
      <c r="N149" s="53">
        <v>4698205.4546482004</v>
      </c>
      <c r="O149" s="400">
        <v>3447154.6392589826</v>
      </c>
      <c r="P149" s="423">
        <f>+SUM(D149:O149)</f>
        <v>49480541.781984553</v>
      </c>
      <c r="Q149" s="428">
        <f>AVERAGE(D149:O149)</f>
        <v>4123378.4818320461</v>
      </c>
    </row>
    <row r="150" spans="2:22" s="40" customFormat="1" ht="20.45" hidden="1" customHeight="1" thickBot="1">
      <c r="B150" s="921" t="s">
        <v>106</v>
      </c>
      <c r="C150" s="70" t="s">
        <v>143</v>
      </c>
      <c r="D150" s="71">
        <f t="shared" ref="D150:O150" si="68">+D149/D29</f>
        <v>2390.6472661892544</v>
      </c>
      <c r="E150" s="71">
        <f t="shared" si="68"/>
        <v>1148.8087629850829</v>
      </c>
      <c r="F150" s="71">
        <f t="shared" si="68"/>
        <v>1841.7831325301204</v>
      </c>
      <c r="G150" s="71">
        <f t="shared" si="68"/>
        <v>1746.8865114824246</v>
      </c>
      <c r="H150" s="71">
        <f t="shared" si="68"/>
        <v>1723.0252120954071</v>
      </c>
      <c r="I150" s="71">
        <f t="shared" si="68"/>
        <v>1672.4840991978588</v>
      </c>
      <c r="J150" s="71">
        <f t="shared" si="68"/>
        <v>1925.0319216620198</v>
      </c>
      <c r="K150" s="71">
        <f t="shared" si="68"/>
        <v>2306.4958380029148</v>
      </c>
      <c r="L150" s="71">
        <f t="shared" si="68"/>
        <v>2313.9916863946983</v>
      </c>
      <c r="M150" s="71">
        <f t="shared" si="68"/>
        <v>2730.3802754609128</v>
      </c>
      <c r="N150" s="71">
        <f t="shared" si="68"/>
        <v>2149.2248191437329</v>
      </c>
      <c r="O150" s="416">
        <f t="shared" si="68"/>
        <v>1561.2113402441043</v>
      </c>
      <c r="P150" s="423">
        <f>+SUM(D150:O150)</f>
        <v>23509.970865388528</v>
      </c>
      <c r="Q150" s="454">
        <f>Q149/Q29</f>
        <v>1965.0731446379884</v>
      </c>
    </row>
    <row r="151" spans="2:22" s="40" customFormat="1" ht="20.25" hidden="1" customHeight="1">
      <c r="B151" s="927" t="s">
        <v>190</v>
      </c>
      <c r="C151" s="8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397"/>
      <c r="P151" s="421"/>
      <c r="Q151" s="425"/>
    </row>
    <row r="152" spans="2:22" s="40" customFormat="1" ht="20.45" hidden="1" customHeight="1">
      <c r="B152" s="912" t="s">
        <v>105</v>
      </c>
      <c r="C152" s="46" t="s">
        <v>143</v>
      </c>
      <c r="D152" s="191">
        <v>2553245.4208610128</v>
      </c>
      <c r="E152" s="191">
        <v>3310063.9523935206</v>
      </c>
      <c r="F152" s="155">
        <v>3162603.6498893164</v>
      </c>
      <c r="G152" s="191">
        <v>2266161.0902508991</v>
      </c>
      <c r="H152" s="191">
        <v>1407999.3002463887</v>
      </c>
      <c r="I152" s="191">
        <v>2102365.4574804334</v>
      </c>
      <c r="J152" s="191">
        <v>3662564.0818065759</v>
      </c>
      <c r="K152" s="191">
        <v>4160070.6236172402</v>
      </c>
      <c r="L152" s="191">
        <v>4855833.8808547454</v>
      </c>
      <c r="M152" s="191">
        <v>3586469.4900163757</v>
      </c>
      <c r="N152" s="191">
        <v>3484550.8478583815</v>
      </c>
      <c r="O152" s="417">
        <v>4103327.18978624</v>
      </c>
      <c r="P152" s="423">
        <f>+SUM(D152:O152)</f>
        <v>38655254.985061131</v>
      </c>
      <c r="Q152" s="455">
        <f>AVERAGE(D152:O152)</f>
        <v>3221271.2487550941</v>
      </c>
    </row>
    <row r="153" spans="2:22" s="40" customFormat="1" ht="20.45" hidden="1" customHeight="1" thickBot="1">
      <c r="B153" s="924" t="s">
        <v>106</v>
      </c>
      <c r="C153" s="46" t="s">
        <v>143</v>
      </c>
      <c r="D153" s="53">
        <f t="shared" ref="D153:O153" si="69">+D152/D30</f>
        <v>1470.7634912793853</v>
      </c>
      <c r="E153" s="53">
        <f t="shared" si="69"/>
        <v>1889.3059089004114</v>
      </c>
      <c r="F153" s="53">
        <f t="shared" si="69"/>
        <v>1807.202085651038</v>
      </c>
      <c r="G153" s="53">
        <f t="shared" si="69"/>
        <v>1294.9491944290851</v>
      </c>
      <c r="H153" s="53">
        <f t="shared" si="69"/>
        <v>856.44726292359405</v>
      </c>
      <c r="I153" s="53">
        <f t="shared" si="69"/>
        <v>1271.8484316276065</v>
      </c>
      <c r="J153" s="53">
        <f t="shared" si="69"/>
        <v>2169.7654513072134</v>
      </c>
      <c r="K153" s="53">
        <f t="shared" si="69"/>
        <v>2365.0202521985448</v>
      </c>
      <c r="L153" s="53">
        <f t="shared" si="69"/>
        <v>2708.2174460985752</v>
      </c>
      <c r="M153" s="53">
        <f t="shared" si="69"/>
        <v>1992.4830500090975</v>
      </c>
      <c r="N153" s="53">
        <f t="shared" si="69"/>
        <v>1948.853941755247</v>
      </c>
      <c r="O153" s="400">
        <f t="shared" si="69"/>
        <v>2269.5393748817701</v>
      </c>
      <c r="P153" s="423">
        <f>+SUM(D153:O153)</f>
        <v>22044.395891061566</v>
      </c>
      <c r="Q153" s="428">
        <f>+Q152/Q30</f>
        <v>1847.677213568239</v>
      </c>
    </row>
    <row r="154" spans="2:22" s="40" customFormat="1" ht="20.25" hidden="1" customHeight="1">
      <c r="B154" s="927" t="s">
        <v>276</v>
      </c>
      <c r="C154" s="8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397"/>
      <c r="P154" s="421"/>
      <c r="Q154" s="425"/>
    </row>
    <row r="155" spans="2:22" s="40" customFormat="1" ht="20.45" hidden="1" customHeight="1">
      <c r="B155" s="912" t="s">
        <v>105</v>
      </c>
      <c r="C155" s="46" t="s">
        <v>143</v>
      </c>
      <c r="D155" s="191">
        <v>3762366.8979904042</v>
      </c>
      <c r="E155" s="191">
        <v>1845781.0732105989</v>
      </c>
      <c r="F155" s="278">
        <v>3758495.9343637316</v>
      </c>
      <c r="G155" s="191">
        <v>3654799.2546649696</v>
      </c>
      <c r="H155" s="191">
        <v>4167333.1009521214</v>
      </c>
      <c r="I155" s="191">
        <v>5099646.7492576521</v>
      </c>
      <c r="J155" s="191">
        <v>4382317.7469792012</v>
      </c>
      <c r="K155" s="191">
        <v>3669060.1919087307</v>
      </c>
      <c r="L155" s="191">
        <v>3003252.2198854107</v>
      </c>
      <c r="M155" s="191">
        <v>2849265.419765864</v>
      </c>
      <c r="N155" s="191">
        <v>2655200.5414245822</v>
      </c>
      <c r="O155" s="417">
        <v>3431661.2466219934</v>
      </c>
      <c r="P155" s="777">
        <f t="shared" ref="P155:P156" si="70">+SUM(D155:O155)</f>
        <v>42279180.377025262</v>
      </c>
      <c r="Q155" s="778">
        <f t="shared" ref="Q155:Q156" si="71">AVERAGE(D155:O155)</f>
        <v>3523265.0314187719</v>
      </c>
    </row>
    <row r="156" spans="2:22" s="40" customFormat="1" ht="20.45" hidden="1" customHeight="1" thickBot="1">
      <c r="B156" s="924" t="s">
        <v>106</v>
      </c>
      <c r="C156" s="46" t="s">
        <v>143</v>
      </c>
      <c r="D156" s="53">
        <v>2156.0841822294578</v>
      </c>
      <c r="E156" s="53">
        <v>1047.5488497222468</v>
      </c>
      <c r="F156" s="53">
        <v>1903.9999667496108</v>
      </c>
      <c r="G156" s="53">
        <v>1769.8785736876366</v>
      </c>
      <c r="H156" s="53">
        <v>1958.3332241316359</v>
      </c>
      <c r="I156" s="53">
        <v>2413.4627303632997</v>
      </c>
      <c r="J156" s="53">
        <v>2124.2451512259822</v>
      </c>
      <c r="K156" s="53">
        <v>2935.2481535269844</v>
      </c>
      <c r="L156" s="53">
        <v>2558.1364734969429</v>
      </c>
      <c r="M156" s="53">
        <v>1607.9375958046637</v>
      </c>
      <c r="N156" s="53">
        <v>1516.3909431322572</v>
      </c>
      <c r="O156" s="53">
        <v>2026.9706122988739</v>
      </c>
      <c r="P156" s="777">
        <f t="shared" si="70"/>
        <v>24018.236456369592</v>
      </c>
      <c r="Q156" s="778">
        <f t="shared" si="71"/>
        <v>2001.5197046974661</v>
      </c>
    </row>
    <row r="157" spans="2:22" s="40" customFormat="1" ht="20.25" hidden="1" customHeight="1">
      <c r="B157" s="927" t="s">
        <v>382</v>
      </c>
      <c r="C157" s="8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397"/>
      <c r="P157" s="421"/>
      <c r="Q157" s="425"/>
    </row>
    <row r="158" spans="2:22" s="40" customFormat="1" ht="20.45" hidden="1" customHeight="1">
      <c r="B158" s="912" t="s">
        <v>105</v>
      </c>
      <c r="C158" s="46" t="s">
        <v>143</v>
      </c>
      <c r="D158" s="191">
        <v>2851130.2329326398</v>
      </c>
      <c r="E158" s="191">
        <v>2777561.5228135386</v>
      </c>
      <c r="F158" s="278">
        <v>3761868.8329361714</v>
      </c>
      <c r="G158" s="191">
        <v>3708916.48584913</v>
      </c>
      <c r="H158" s="191">
        <v>4103706.0140304016</v>
      </c>
      <c r="I158" s="191">
        <v>4188571.2804019158</v>
      </c>
      <c r="J158" s="191">
        <v>5217748.1727622142</v>
      </c>
      <c r="K158" s="191">
        <v>5036640.3148392616</v>
      </c>
      <c r="L158" s="191">
        <v>2960896.0483610914</v>
      </c>
      <c r="M158" s="191">
        <v>3309058.3785704174</v>
      </c>
      <c r="N158" s="191">
        <v>2571976.0326209906</v>
      </c>
      <c r="O158" s="417">
        <v>2951761.0038972753</v>
      </c>
      <c r="P158" s="777">
        <f t="shared" ref="P158:P159" si="72">+SUM(D158:O158)</f>
        <v>43439834.320015043</v>
      </c>
      <c r="Q158" s="778">
        <f t="shared" ref="Q158:Q159" si="73">AVERAGE(D158:O158)</f>
        <v>3619986.1933345869</v>
      </c>
      <c r="T158" s="1266"/>
      <c r="U158" s="1266"/>
      <c r="V158" s="1266"/>
    </row>
    <row r="159" spans="2:22" s="40" customFormat="1" ht="20.45" hidden="1" customHeight="1" thickBot="1">
      <c r="B159" s="924" t="s">
        <v>106</v>
      </c>
      <c r="C159" s="46" t="s">
        <v>143</v>
      </c>
      <c r="D159" s="555">
        <v>1840.6263608345</v>
      </c>
      <c r="E159" s="555">
        <v>1700.8949925373781</v>
      </c>
      <c r="F159" s="555">
        <v>2310.7302413612847</v>
      </c>
      <c r="G159" s="555">
        <v>2316.6249130850283</v>
      </c>
      <c r="H159" s="555">
        <v>2464.6882967149559</v>
      </c>
      <c r="I159" s="555">
        <v>2455.200047128907</v>
      </c>
      <c r="J159" s="555">
        <v>3147.0133731979581</v>
      </c>
      <c r="K159" s="555">
        <v>3028.6472127716547</v>
      </c>
      <c r="L159" s="555">
        <v>1888.3265614547777</v>
      </c>
      <c r="M159" s="555">
        <v>2189.979072515167</v>
      </c>
      <c r="N159" s="555">
        <v>1753.2215627954947</v>
      </c>
      <c r="O159" s="555">
        <v>1991.7415680818322</v>
      </c>
      <c r="P159" s="777">
        <f t="shared" si="72"/>
        <v>27087.694202478939</v>
      </c>
      <c r="Q159" s="778">
        <f t="shared" si="73"/>
        <v>2257.3078502065782</v>
      </c>
      <c r="T159" s="1266">
        <v>1159402</v>
      </c>
      <c r="U159" s="1266"/>
      <c r="V159" s="1266">
        <v>953650.97096844972</v>
      </c>
    </row>
    <row r="160" spans="2:22" s="40" customFormat="1" ht="20.25" customHeight="1">
      <c r="B160" s="927" t="s">
        <v>496</v>
      </c>
      <c r="C160" s="8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397"/>
      <c r="P160" s="421"/>
      <c r="Q160" s="425"/>
      <c r="T160" s="1266">
        <v>6817996</v>
      </c>
      <c r="U160" s="1266"/>
      <c r="V160" s="1266">
        <v>2309816.4295349023</v>
      </c>
    </row>
    <row r="161" spans="2:22" s="40" customFormat="1" ht="20.45" customHeight="1">
      <c r="B161" s="912" t="s">
        <v>105</v>
      </c>
      <c r="C161" s="46" t="s">
        <v>143</v>
      </c>
      <c r="D161" s="191">
        <v>1082195.3803715366</v>
      </c>
      <c r="E161" s="191">
        <v>2430915.0280329222</v>
      </c>
      <c r="F161" s="278">
        <v>3731025.3922047447</v>
      </c>
      <c r="G161" s="191">
        <v>3053959.4604948745</v>
      </c>
      <c r="H161" s="191">
        <v>3062774.2232137639</v>
      </c>
      <c r="I161" s="191">
        <v>2853350.8021899518</v>
      </c>
      <c r="J161" s="191">
        <v>3493677.0866873884</v>
      </c>
      <c r="K161" s="191">
        <v>3505637.1122258869</v>
      </c>
      <c r="L161" s="191">
        <v>2516137.9571198728</v>
      </c>
      <c r="M161" s="191">
        <v>3396755.0814104276</v>
      </c>
      <c r="N161" s="155">
        <v>2709697.4562138538</v>
      </c>
      <c r="O161" s="417">
        <v>2816962.9667977733</v>
      </c>
      <c r="P161" s="777">
        <f t="shared" ref="P161:P162" si="74">SUM(D161:G161)</f>
        <v>10298095.261104077</v>
      </c>
      <c r="Q161" s="778">
        <f t="shared" ref="Q161:Q162" si="75">AVERAGE(D161:G161)</f>
        <v>2574523.8152760193</v>
      </c>
      <c r="T161" s="1266">
        <v>1148278</v>
      </c>
      <c r="U161" s="1266"/>
      <c r="V161" s="1266">
        <v>1161707.6328904524</v>
      </c>
    </row>
    <row r="162" spans="2:22" s="40" customFormat="1" ht="20.45" customHeight="1" thickBot="1">
      <c r="B162" s="924" t="s">
        <v>106</v>
      </c>
      <c r="C162" s="46" t="s">
        <v>143</v>
      </c>
      <c r="D162" s="555">
        <v>775.76729775737385</v>
      </c>
      <c r="E162" s="555">
        <v>1758.983377737281</v>
      </c>
      <c r="F162" s="555">
        <v>2765.7712321754966</v>
      </c>
      <c r="G162" s="555">
        <v>2311.8542471573614</v>
      </c>
      <c r="H162" s="555">
        <v>2411.633246625011</v>
      </c>
      <c r="I162" s="555">
        <v>2329.2659609713892</v>
      </c>
      <c r="J162" s="555">
        <v>2882.5718537024654</v>
      </c>
      <c r="K162" s="555">
        <v>2847.7961918975525</v>
      </c>
      <c r="L162" s="555">
        <v>2079.452857123862</v>
      </c>
      <c r="M162" s="555">
        <v>2816.5465019986964</v>
      </c>
      <c r="N162" s="555">
        <v>2271.3306422580499</v>
      </c>
      <c r="O162" s="555">
        <v>2271.7443280627203</v>
      </c>
      <c r="P162" s="777">
        <f t="shared" si="74"/>
        <v>7612.3761548275124</v>
      </c>
      <c r="Q162" s="778">
        <f t="shared" si="75"/>
        <v>1903.0940387068781</v>
      </c>
      <c r="T162" s="1266">
        <f>SUM(T159:T161)</f>
        <v>9125676</v>
      </c>
      <c r="U162" s="1266"/>
      <c r="V162" s="1266">
        <f>SUM(V159:V161)</f>
        <v>4425175.0333938049</v>
      </c>
    </row>
    <row r="163" spans="2:22" s="40" customFormat="1" ht="20.25" customHeight="1">
      <c r="B163" s="927" t="s">
        <v>638</v>
      </c>
      <c r="C163" s="8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397"/>
      <c r="P163" s="421"/>
      <c r="Q163" s="425"/>
      <c r="T163" s="1266"/>
      <c r="U163" s="1266"/>
      <c r="V163" s="1266"/>
    </row>
    <row r="164" spans="2:22" s="40" customFormat="1" ht="20.45" customHeight="1">
      <c r="B164" s="912" t="s">
        <v>105</v>
      </c>
      <c r="C164" s="46" t="s">
        <v>143</v>
      </c>
      <c r="D164" s="191">
        <v>2677069.6242253301</v>
      </c>
      <c r="E164" s="191">
        <v>1693027.0530893714</v>
      </c>
      <c r="F164" s="278">
        <v>2937250.9163542013</v>
      </c>
      <c r="G164" s="191">
        <v>2492556.4052395774</v>
      </c>
      <c r="H164" s="1048">
        <v>2952236.9300480257</v>
      </c>
      <c r="I164" s="1048">
        <v>2806649.743377679</v>
      </c>
      <c r="J164" s="1048">
        <v>3692758.9688484995</v>
      </c>
      <c r="K164" s="191">
        <v>4425175.0333938049</v>
      </c>
      <c r="L164" s="1048">
        <v>3867896.6107905898</v>
      </c>
      <c r="M164" s="1048">
        <v>5104455.419244091</v>
      </c>
      <c r="N164" s="1049">
        <v>3113055.5286626937</v>
      </c>
      <c r="O164" s="417">
        <v>3320796.1015704786</v>
      </c>
      <c r="P164" s="775">
        <f t="shared" ref="P164:P165" si="76">SUM(D164:G164)</f>
        <v>9799903.9989084788</v>
      </c>
      <c r="Q164" s="776">
        <f t="shared" ref="Q164:Q165" si="77">AVERAGE(D164:G164)</f>
        <v>2449975.9997271197</v>
      </c>
      <c r="T164" s="1266"/>
      <c r="U164" s="1266"/>
      <c r="V164" s="1266"/>
    </row>
    <row r="165" spans="2:22" s="40" customFormat="1" ht="20.45" customHeight="1" thickBot="1">
      <c r="B165" s="924" t="s">
        <v>106</v>
      </c>
      <c r="C165" s="46" t="s">
        <v>143</v>
      </c>
      <c r="D165" s="974">
        <v>2292.0116645764811</v>
      </c>
      <c r="E165" s="974">
        <v>1422.7118093187994</v>
      </c>
      <c r="F165" s="974">
        <v>2357.3442346341903</v>
      </c>
      <c r="G165" s="974">
        <v>1994.0451241916619</v>
      </c>
      <c r="H165" s="974">
        <v>2404.101734566796</v>
      </c>
      <c r="I165" s="974">
        <v>2323.3855491537079</v>
      </c>
      <c r="J165" s="974">
        <v>3041.8113417203454</v>
      </c>
      <c r="K165" s="974">
        <v>3621.2561648067144</v>
      </c>
      <c r="L165" s="974">
        <v>3052.7992192506626</v>
      </c>
      <c r="M165" s="974">
        <v>3953.8771644028589</v>
      </c>
      <c r="N165" s="974">
        <v>2415.0935055567834</v>
      </c>
      <c r="O165" s="974">
        <v>2552.4950819142805</v>
      </c>
      <c r="P165" s="775">
        <f t="shared" si="76"/>
        <v>8066.1128327211318</v>
      </c>
      <c r="Q165" s="776">
        <f t="shared" si="77"/>
        <v>2016.5282081802829</v>
      </c>
    </row>
    <row r="166" spans="2:22" s="40" customFormat="1" ht="20.25" customHeight="1">
      <c r="B166" s="927" t="s">
        <v>750</v>
      </c>
      <c r="C166" s="8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397"/>
      <c r="P166" s="421"/>
      <c r="Q166" s="425"/>
      <c r="T166" s="1266"/>
      <c r="U166" s="1266"/>
      <c r="V166" s="1266"/>
    </row>
    <row r="167" spans="2:22" s="40" customFormat="1" ht="20.45" customHeight="1">
      <c r="B167" s="912" t="s">
        <v>105</v>
      </c>
      <c r="C167" s="46" t="s">
        <v>143</v>
      </c>
      <c r="D167" s="191">
        <v>2652719.4431111887</v>
      </c>
      <c r="E167" s="191">
        <v>2545339.1794312093</v>
      </c>
      <c r="F167" s="1380">
        <v>3260117.8634288269</v>
      </c>
      <c r="G167" s="191">
        <v>3135649.2077249158</v>
      </c>
      <c r="H167" s="1048"/>
      <c r="I167" s="1048"/>
      <c r="J167" s="1048"/>
      <c r="K167" s="191"/>
      <c r="L167" s="1048"/>
      <c r="M167" s="1048"/>
      <c r="N167" s="1049"/>
      <c r="O167" s="1225"/>
      <c r="P167" s="775">
        <f t="shared" ref="P167:P168" si="78">SUM(D167:G167)</f>
        <v>11593825.693696141</v>
      </c>
      <c r="Q167" s="776">
        <f t="shared" ref="Q167:Q168" si="79">AVERAGE(D167:G167)</f>
        <v>2898456.4234240353</v>
      </c>
      <c r="T167" s="1266"/>
      <c r="U167" s="1266"/>
      <c r="V167" s="1266"/>
    </row>
    <row r="168" spans="2:22" s="40" customFormat="1" ht="20.45" customHeight="1">
      <c r="B168" s="924" t="s">
        <v>106</v>
      </c>
      <c r="C168" s="46" t="s">
        <v>143</v>
      </c>
      <c r="D168" s="1301">
        <f>+D167/D$35</f>
        <v>2137.5660299042615</v>
      </c>
      <c r="E168" s="1301">
        <f>+E167/E$35</f>
        <v>1999.4808950755769</v>
      </c>
      <c r="F168" s="1301">
        <f>+F167/F$35</f>
        <v>2525.2655797279835</v>
      </c>
      <c r="G168" s="1301">
        <f>+G167/G$35</f>
        <v>2438.2964290240402</v>
      </c>
      <c r="H168" s="974"/>
      <c r="I168" s="974"/>
      <c r="J168" s="974"/>
      <c r="K168" s="974"/>
      <c r="L168" s="974"/>
      <c r="M168" s="974"/>
      <c r="N168" s="974"/>
      <c r="O168" s="974"/>
      <c r="P168" s="775">
        <f t="shared" si="78"/>
        <v>9100.6089337318626</v>
      </c>
      <c r="Q168" s="776">
        <f t="shared" si="79"/>
        <v>2275.1522334329657</v>
      </c>
    </row>
    <row r="169" spans="2:22" s="40" customFormat="1" ht="33" customHeight="1" thickBot="1">
      <c r="B169" s="928" t="s">
        <v>751</v>
      </c>
      <c r="C169" s="929"/>
      <c r="D169" s="930">
        <f>+(D168-D165)/D165</f>
        <v>-6.7384314425274983E-2</v>
      </c>
      <c r="E169" s="930">
        <f>+(E168-E165)/E165</f>
        <v>0.40540120773506266</v>
      </c>
      <c r="F169" s="930">
        <f>+(F168-F165)/F165</f>
        <v>7.1233272861335434E-2</v>
      </c>
      <c r="G169" s="930">
        <f>+(G168-G165)/G165</f>
        <v>0.22278899280800737</v>
      </c>
      <c r="H169" s="930"/>
      <c r="I169" s="930"/>
      <c r="J169" s="930"/>
      <c r="K169" s="930"/>
      <c r="L169" s="930"/>
      <c r="M169" s="930"/>
      <c r="N169" s="930"/>
      <c r="O169" s="930"/>
      <c r="P169" s="930">
        <f>+(P168-P165)/P165</f>
        <v>0.12825212372608727</v>
      </c>
      <c r="Q169" s="930">
        <f>+(Q168-Q165)/Q165</f>
        <v>0.12825212372608727</v>
      </c>
    </row>
    <row r="170" spans="2:22" s="40" customFormat="1" ht="20.25" hidden="1" customHeight="1">
      <c r="B170" s="535" t="s">
        <v>110</v>
      </c>
      <c r="C170" s="81" t="s">
        <v>143</v>
      </c>
      <c r="D170" s="72">
        <f>D42/D26</f>
        <v>1504.8250113122172</v>
      </c>
      <c r="E170" s="72">
        <v>879.11055492638729</v>
      </c>
      <c r="F170" s="72">
        <f t="shared" ref="F170:L170" si="80">F42/F26</f>
        <v>1479.4150593824227</v>
      </c>
      <c r="G170" s="72">
        <f t="shared" si="80"/>
        <v>1440.482447980417</v>
      </c>
      <c r="H170" s="72">
        <f t="shared" si="80"/>
        <v>1531.9844968944099</v>
      </c>
      <c r="I170" s="72">
        <f t="shared" si="80"/>
        <v>1790.7688681592051</v>
      </c>
      <c r="J170" s="72">
        <f t="shared" si="80"/>
        <v>2237.7225059382422</v>
      </c>
      <c r="K170" s="72">
        <f t="shared" si="80"/>
        <v>1913.6315846456689</v>
      </c>
      <c r="L170" s="72">
        <f t="shared" si="80"/>
        <v>2294.4481961147085</v>
      </c>
      <c r="M170" s="72">
        <v>3174.9424436090221</v>
      </c>
      <c r="N170" s="72">
        <f>N42/N26</f>
        <v>2334.7694751908389</v>
      </c>
      <c r="O170" s="418">
        <v>2327.7826445497631</v>
      </c>
      <c r="P170" s="775">
        <f t="shared" ref="P170" si="81">+SUM(D170:O170)</f>
        <v>22909.883288703302</v>
      </c>
      <c r="Q170" s="776">
        <f t="shared" ref="Q170:Q171" si="82">AVERAGE(D170:O170)</f>
        <v>1909.1569407252753</v>
      </c>
    </row>
    <row r="171" spans="2:22" s="40" customFormat="1" ht="20.45" hidden="1" customHeight="1">
      <c r="B171" s="535" t="s">
        <v>111</v>
      </c>
      <c r="C171" s="81" t="s">
        <v>143</v>
      </c>
      <c r="D171" s="72">
        <f t="shared" ref="D171:O171" si="83">D49/D27</f>
        <v>1904.811729468599</v>
      </c>
      <c r="E171" s="72">
        <f t="shared" si="83"/>
        <v>1378.3737878787879</v>
      </c>
      <c r="F171" s="72">
        <f t="shared" si="83"/>
        <v>1706.7540496657116</v>
      </c>
      <c r="G171" s="72">
        <f t="shared" si="83"/>
        <v>2024.1474877330718</v>
      </c>
      <c r="H171" s="72">
        <f t="shared" si="83"/>
        <v>1773.4080059523808</v>
      </c>
      <c r="I171" s="72">
        <f t="shared" si="83"/>
        <v>1498.0920934959352</v>
      </c>
      <c r="J171" s="72">
        <f t="shared" si="83"/>
        <v>1809.8589711934155</v>
      </c>
      <c r="K171" s="72">
        <f t="shared" si="83"/>
        <v>2346.2772956609479</v>
      </c>
      <c r="L171" s="72">
        <f t="shared" si="83"/>
        <v>2923.9938222676196</v>
      </c>
      <c r="M171" s="72">
        <f t="shared" si="83"/>
        <v>2714.5318216159517</v>
      </c>
      <c r="N171" s="72">
        <f t="shared" si="83"/>
        <v>2196.5406242038225</v>
      </c>
      <c r="O171" s="418">
        <f t="shared" si="83"/>
        <v>2686.3686775844417</v>
      </c>
      <c r="P171" s="775">
        <f t="shared" ref="P171:P176" si="84">+SUM(D171:O171)</f>
        <v>24963.158366720687</v>
      </c>
      <c r="Q171" s="776">
        <f t="shared" si="82"/>
        <v>2080.2631972267241</v>
      </c>
    </row>
    <row r="172" spans="2:22" s="40" customFormat="1" ht="20.45" hidden="1" customHeight="1">
      <c r="B172" s="535" t="s">
        <v>133</v>
      </c>
      <c r="C172" s="81" t="s">
        <v>143</v>
      </c>
      <c r="D172" s="72">
        <f t="shared" ref="D172:O172" si="85">+D56/D28</f>
        <v>2066.0887704918032</v>
      </c>
      <c r="E172" s="72">
        <f t="shared" si="85"/>
        <v>1432.150448239061</v>
      </c>
      <c r="F172" s="72">
        <f t="shared" si="85"/>
        <v>2208.0876853707423</v>
      </c>
      <c r="G172" s="72">
        <f t="shared" si="85"/>
        <v>1996.8183830845771</v>
      </c>
      <c r="H172" s="72">
        <f t="shared" si="85"/>
        <v>2376.4049990049739</v>
      </c>
      <c r="I172" s="72">
        <f t="shared" si="85"/>
        <v>2151.8905</v>
      </c>
      <c r="J172" s="72">
        <f t="shared" si="85"/>
        <v>2003.089166666666</v>
      </c>
      <c r="K172" s="72">
        <f t="shared" si="85"/>
        <v>2648.8942257742269</v>
      </c>
      <c r="L172" s="72">
        <f t="shared" si="85"/>
        <v>2340.8043682664047</v>
      </c>
      <c r="M172" s="72">
        <f t="shared" si="85"/>
        <v>3330.7499526515157</v>
      </c>
      <c r="N172" s="72">
        <f t="shared" si="85"/>
        <v>2925.3102518656724</v>
      </c>
      <c r="O172" s="418">
        <f t="shared" si="85"/>
        <v>2339.7961017514594</v>
      </c>
      <c r="P172" s="775">
        <f t="shared" si="84"/>
        <v>27820.084853167107</v>
      </c>
      <c r="Q172" s="428">
        <f t="shared" ref="Q172:Q176" si="86">AVERAGE(D172:O172)</f>
        <v>2318.3404044305921</v>
      </c>
    </row>
    <row r="173" spans="2:22" s="40" customFormat="1" ht="20.25" hidden="1" customHeight="1">
      <c r="B173" s="535" t="s">
        <v>156</v>
      </c>
      <c r="C173" s="81" t="s">
        <v>143</v>
      </c>
      <c r="D173" s="72">
        <f t="shared" ref="D173:O173" si="87">+D63/D29</f>
        <v>2562.7557513297875</v>
      </c>
      <c r="E173" s="72">
        <f t="shared" si="87"/>
        <v>714.82921591574041</v>
      </c>
      <c r="F173" s="72">
        <f t="shared" si="87"/>
        <v>1467.7821734939753</v>
      </c>
      <c r="G173" s="72">
        <f t="shared" si="87"/>
        <v>1363.0399283387621</v>
      </c>
      <c r="H173" s="72">
        <f t="shared" si="87"/>
        <v>1560.0944047812363</v>
      </c>
      <c r="I173" s="72">
        <f t="shared" si="87"/>
        <v>1314.119697622252</v>
      </c>
      <c r="J173" s="72">
        <f t="shared" si="87"/>
        <v>1656.4604243641234</v>
      </c>
      <c r="K173" s="72">
        <f t="shared" si="87"/>
        <v>2019.4385738153267</v>
      </c>
      <c r="L173" s="72">
        <f t="shared" si="87"/>
        <v>2244.0481907356948</v>
      </c>
      <c r="M173" s="72">
        <f t="shared" si="87"/>
        <v>2559.802384751772</v>
      </c>
      <c r="N173" s="72">
        <f t="shared" si="87"/>
        <v>1589.1511148215923</v>
      </c>
      <c r="O173" s="418">
        <f t="shared" si="87"/>
        <v>1749.489072463768</v>
      </c>
      <c r="P173" s="775">
        <f t="shared" si="84"/>
        <v>20801.01093243403</v>
      </c>
      <c r="Q173" s="428">
        <f t="shared" si="86"/>
        <v>1733.4175777028358</v>
      </c>
    </row>
    <row r="174" spans="2:22" s="40" customFormat="1" ht="20.25" hidden="1" customHeight="1">
      <c r="B174" s="535" t="s">
        <v>278</v>
      </c>
      <c r="C174" s="81" t="s">
        <v>143</v>
      </c>
      <c r="D174" s="72">
        <f t="shared" ref="D174:O174" si="88">+D70/D30</f>
        <v>1655.5807603686633</v>
      </c>
      <c r="E174" s="72">
        <f t="shared" si="88"/>
        <v>1605.1147248858438</v>
      </c>
      <c r="F174" s="72">
        <f t="shared" si="88"/>
        <v>1363.6352982857147</v>
      </c>
      <c r="G174" s="72">
        <f t="shared" si="88"/>
        <v>847.45209142857129</v>
      </c>
      <c r="H174" s="72">
        <f t="shared" si="88"/>
        <v>954.64245985401453</v>
      </c>
      <c r="I174" s="72">
        <f t="shared" si="88"/>
        <v>1123.3236439201448</v>
      </c>
      <c r="J174" s="72">
        <f t="shared" si="88"/>
        <v>2865.3439754739329</v>
      </c>
      <c r="K174" s="72">
        <f t="shared" si="88"/>
        <v>2600.5086748152362</v>
      </c>
      <c r="L174" s="72">
        <f t="shared" si="88"/>
        <v>2530.5144166201894</v>
      </c>
      <c r="M174" s="72">
        <f t="shared" si="88"/>
        <v>2273.7338572222216</v>
      </c>
      <c r="N174" s="72">
        <f t="shared" si="88"/>
        <v>1887.5464636465326</v>
      </c>
      <c r="O174" s="418">
        <f t="shared" si="88"/>
        <v>1686.2563203028542</v>
      </c>
      <c r="P174" s="775">
        <f t="shared" si="84"/>
        <v>21393.65268682392</v>
      </c>
      <c r="Q174" s="428">
        <f t="shared" si="86"/>
        <v>1782.80439056866</v>
      </c>
    </row>
    <row r="175" spans="2:22" s="40" customFormat="1" ht="20.25" hidden="1" customHeight="1">
      <c r="B175" s="535" t="s">
        <v>279</v>
      </c>
      <c r="C175" s="81" t="s">
        <v>143</v>
      </c>
      <c r="D175" s="72">
        <v>2169.6240708309456</v>
      </c>
      <c r="E175" s="72">
        <v>908.58325175936443</v>
      </c>
      <c r="F175" s="72">
        <v>1977.7872917933141</v>
      </c>
      <c r="G175" s="72">
        <v>1699.559798951361</v>
      </c>
      <c r="H175" s="72">
        <v>1691.9184052631585</v>
      </c>
      <c r="I175" s="72">
        <v>1861.8612757217243</v>
      </c>
      <c r="J175" s="72">
        <v>2441.4714331462919</v>
      </c>
      <c r="K175" s="72">
        <v>4479.5103921600021</v>
      </c>
      <c r="L175" s="72">
        <v>2957.6054272572383</v>
      </c>
      <c r="M175" s="72">
        <v>1720.4073936230259</v>
      </c>
      <c r="N175" s="72">
        <v>1693.6377275842385</v>
      </c>
      <c r="O175" s="72">
        <v>1539.5275891317212</v>
      </c>
      <c r="P175" s="775">
        <f t="shared" si="84"/>
        <v>25141.494057222386</v>
      </c>
      <c r="Q175" s="776">
        <f t="shared" si="86"/>
        <v>2095.124504768532</v>
      </c>
    </row>
    <row r="176" spans="2:22" s="40" customFormat="1" ht="20.25" hidden="1" customHeight="1">
      <c r="B176" s="535" t="s">
        <v>384</v>
      </c>
      <c r="C176" s="81" t="s">
        <v>143</v>
      </c>
      <c r="D176" s="554">
        <v>2452.5101342801804</v>
      </c>
      <c r="E176" s="554">
        <v>1383.7942094304967</v>
      </c>
      <c r="F176" s="554">
        <v>2088.9553808353803</v>
      </c>
      <c r="G176" s="554">
        <v>2496.1093154278574</v>
      </c>
      <c r="H176" s="554">
        <v>2311.3832672672675</v>
      </c>
      <c r="I176" s="554">
        <v>2789.6938911684279</v>
      </c>
      <c r="J176" s="554">
        <v>3436.1569427020531</v>
      </c>
      <c r="K176" s="554">
        <v>3562.6673398977732</v>
      </c>
      <c r="L176" s="554">
        <v>2498.1399220875855</v>
      </c>
      <c r="M176" s="554">
        <v>2548.2243955106992</v>
      </c>
      <c r="N176" s="554">
        <v>1621.7978922972068</v>
      </c>
      <c r="O176" s="554">
        <v>1915.2410957489299</v>
      </c>
      <c r="P176" s="775">
        <f t="shared" si="84"/>
        <v>29104.673786653861</v>
      </c>
      <c r="Q176" s="776">
        <f t="shared" si="86"/>
        <v>2425.389482221155</v>
      </c>
    </row>
    <row r="177" spans="2:17" s="40" customFormat="1" ht="20.25" customHeight="1">
      <c r="B177" s="535" t="s">
        <v>498</v>
      </c>
      <c r="C177" s="81" t="s">
        <v>143</v>
      </c>
      <c r="D177" s="554">
        <v>1143.7614014336914</v>
      </c>
      <c r="E177" s="554">
        <v>1762.0384225759772</v>
      </c>
      <c r="F177" s="554">
        <v>2222.2364255177495</v>
      </c>
      <c r="G177" s="554">
        <v>2259.6913338380023</v>
      </c>
      <c r="H177" s="554">
        <v>1965.2327622047244</v>
      </c>
      <c r="I177" s="554">
        <v>2669.8074510884348</v>
      </c>
      <c r="J177" s="554">
        <v>3160.2460750825089</v>
      </c>
      <c r="K177" s="554">
        <v>4815.4856352558982</v>
      </c>
      <c r="L177" s="554">
        <v>3111.2825471074393</v>
      </c>
      <c r="M177" s="554">
        <v>3015.4108952459924</v>
      </c>
      <c r="N177" s="554">
        <v>2382.5992013730474</v>
      </c>
      <c r="O177" s="554">
        <v>2172.5945331989246</v>
      </c>
      <c r="P177" s="775">
        <f t="shared" ref="P177:P179" si="89">SUM(D177:G177)</f>
        <v>7387.7275833654203</v>
      </c>
      <c r="Q177" s="776">
        <f t="shared" ref="Q177:Q179" si="90">AVERAGE(D177:G177)</f>
        <v>1846.9318958413551</v>
      </c>
    </row>
    <row r="178" spans="2:17" s="40" customFormat="1" ht="20.25" customHeight="1">
      <c r="B178" s="535" t="s">
        <v>637</v>
      </c>
      <c r="C178" s="81" t="s">
        <v>143</v>
      </c>
      <c r="D178" s="975">
        <v>3097.4040984589042</v>
      </c>
      <c r="E178" s="975">
        <v>1154.3025949579833</v>
      </c>
      <c r="F178" s="975">
        <v>2083.6467835288504</v>
      </c>
      <c r="G178" s="975">
        <v>1963.878232</v>
      </c>
      <c r="H178" s="975">
        <v>2037.9100732899017</v>
      </c>
      <c r="I178" s="975">
        <v>2149.6888245033083</v>
      </c>
      <c r="J178" s="975">
        <v>2756.7097253748284</v>
      </c>
      <c r="K178" s="975">
        <v>4984.8051309328948</v>
      </c>
      <c r="L178" s="975">
        <v>2937.7177374375169</v>
      </c>
      <c r="M178" s="975">
        <v>4207.7204082106891</v>
      </c>
      <c r="N178" s="975">
        <v>2727.0188207913111</v>
      </c>
      <c r="O178" s="975">
        <v>2519.5960857932287</v>
      </c>
      <c r="P178" s="775">
        <f t="shared" si="89"/>
        <v>8299.2317089457374</v>
      </c>
      <c r="Q178" s="776">
        <f t="shared" si="90"/>
        <v>2074.8079272364344</v>
      </c>
    </row>
    <row r="179" spans="2:17" s="40" customFormat="1" ht="20.25" customHeight="1">
      <c r="B179" s="535" t="s">
        <v>749</v>
      </c>
      <c r="C179" s="81" t="s">
        <v>143</v>
      </c>
      <c r="D179" s="975">
        <f>+D105/D$35</f>
        <v>2586.9998315874282</v>
      </c>
      <c r="E179" s="975">
        <f>+E105/E$35</f>
        <v>2027.3325773762763</v>
      </c>
      <c r="F179" s="975">
        <f>+F105/F$35</f>
        <v>2123.0604182804027</v>
      </c>
      <c r="G179" s="975">
        <f>+G105/G$35</f>
        <v>2299.2505500907205</v>
      </c>
      <c r="H179" s="975"/>
      <c r="I179" s="975"/>
      <c r="J179" s="975"/>
      <c r="K179" s="975"/>
      <c r="L179" s="975"/>
      <c r="M179" s="975"/>
      <c r="N179" s="975"/>
      <c r="O179" s="975"/>
      <c r="P179" s="890">
        <f t="shared" si="89"/>
        <v>9036.6433773348272</v>
      </c>
      <c r="Q179" s="891">
        <f t="shared" si="90"/>
        <v>2259.1608443337068</v>
      </c>
    </row>
    <row r="180" spans="2:17" s="40" customFormat="1" ht="20.45" customHeight="1" thickBot="1">
      <c r="B180" s="931" t="s">
        <v>748</v>
      </c>
      <c r="C180" s="932"/>
      <c r="D180" s="933">
        <f>+(D179-D178)/D178</f>
        <v>-0.16478452621839842</v>
      </c>
      <c r="E180" s="933">
        <f>+(E179-E178)/E178</f>
        <v>0.75632679527162583</v>
      </c>
      <c r="F180" s="933">
        <f>+(F179-F178)/F178</f>
        <v>1.8915698698606508E-2</v>
      </c>
      <c r="G180" s="933">
        <f>+(G179-G178)/G178</f>
        <v>0.17077042386135091</v>
      </c>
      <c r="H180" s="933"/>
      <c r="I180" s="933"/>
      <c r="J180" s="933"/>
      <c r="K180" s="933"/>
      <c r="L180" s="933"/>
      <c r="M180" s="933"/>
      <c r="N180" s="933"/>
      <c r="O180" s="933"/>
      <c r="P180" s="934">
        <f>+(P179-P178)/P178</f>
        <v>8.8853004018942389E-2</v>
      </c>
      <c r="Q180" s="935">
        <f t="shared" ref="Q180" si="91">+(Q179-Q178)/Q178</f>
        <v>8.8853004018942389E-2</v>
      </c>
    </row>
    <row r="181" spans="2:17" s="40" customFormat="1" ht="22.5" hidden="1" customHeight="1">
      <c r="B181" s="535" t="s">
        <v>113</v>
      </c>
      <c r="C181" s="46" t="s">
        <v>143</v>
      </c>
      <c r="D181" s="72">
        <f>D40/D26</f>
        <v>2248.0671577488688</v>
      </c>
      <c r="E181" s="72">
        <v>1357.9654534541337</v>
      </c>
      <c r="F181" s="554">
        <v>2225.3767828950909</v>
      </c>
      <c r="G181" s="72">
        <f t="shared" ref="G181:L181" si="92">G40/G26</f>
        <v>2171.2133275397805</v>
      </c>
      <c r="H181" s="72">
        <f t="shared" si="92"/>
        <v>2297.509639180952</v>
      </c>
      <c r="I181" s="72">
        <f t="shared" si="92"/>
        <v>2527.3058706467668</v>
      </c>
      <c r="J181" s="72">
        <f t="shared" si="92"/>
        <v>3194.3405624703082</v>
      </c>
      <c r="K181" s="72">
        <f t="shared" si="92"/>
        <v>2571.5268229986868</v>
      </c>
      <c r="L181" s="72">
        <f t="shared" si="92"/>
        <v>2769.1665730166073</v>
      </c>
      <c r="M181" s="72">
        <v>3740.6242272086474</v>
      </c>
      <c r="N181" s="72">
        <f>N40/N26</f>
        <v>2753.1083575058847</v>
      </c>
      <c r="O181" s="418">
        <v>2762.4410157910183</v>
      </c>
      <c r="P181" s="775">
        <f t="shared" ref="P181:P185" si="93">+SUM(D181:O181)</f>
        <v>30618.64579045674</v>
      </c>
      <c r="Q181" s="428">
        <f t="shared" ref="Q181:Q186" si="94">AVERAGE(D181:O181)</f>
        <v>2551.5538158713948</v>
      </c>
    </row>
    <row r="182" spans="2:17" s="40" customFormat="1" ht="22.5" hidden="1" customHeight="1">
      <c r="B182" s="535" t="s">
        <v>114</v>
      </c>
      <c r="C182" s="46" t="s">
        <v>143</v>
      </c>
      <c r="D182" s="72">
        <f>D47/D27</f>
        <v>2410.8211400966184</v>
      </c>
      <c r="E182" s="72">
        <f>E47/E27</f>
        <v>1801.3341193181818</v>
      </c>
      <c r="F182" s="554">
        <v>2377.0819675262655</v>
      </c>
      <c r="G182" s="72">
        <f t="shared" ref="G182:O182" si="95">G47/G27</f>
        <v>2607.9373784102063</v>
      </c>
      <c r="H182" s="72">
        <f t="shared" si="95"/>
        <v>2286.7714007464106</v>
      </c>
      <c r="I182" s="72">
        <f t="shared" si="95"/>
        <v>1950.2140609901728</v>
      </c>
      <c r="J182" s="72">
        <f t="shared" si="95"/>
        <v>2312.7392358073685</v>
      </c>
      <c r="K182" s="72">
        <f t="shared" si="95"/>
        <v>2992.4272828384028</v>
      </c>
      <c r="L182" s="72">
        <f t="shared" si="95"/>
        <v>3708.7990077119512</v>
      </c>
      <c r="M182" s="72">
        <f t="shared" si="95"/>
        <v>3406.5945372857609</v>
      </c>
      <c r="N182" s="72">
        <f t="shared" si="95"/>
        <v>2576.4509887827285</v>
      </c>
      <c r="O182" s="418">
        <f t="shared" si="95"/>
        <v>3132.0813761685363</v>
      </c>
      <c r="P182" s="775">
        <f t="shared" si="93"/>
        <v>31563.252495682602</v>
      </c>
      <c r="Q182" s="428">
        <f t="shared" si="94"/>
        <v>2630.2710413068835</v>
      </c>
    </row>
    <row r="183" spans="2:17" s="40" customFormat="1" ht="22.5" hidden="1" customHeight="1">
      <c r="B183" s="535" t="s">
        <v>134</v>
      </c>
      <c r="C183" s="46" t="s">
        <v>143</v>
      </c>
      <c r="D183" s="72">
        <f>+D54/D28</f>
        <v>2808.8993715553279</v>
      </c>
      <c r="E183" s="72">
        <f>+E54/E28</f>
        <v>1779.6786115973</v>
      </c>
      <c r="F183" s="554">
        <v>2720.440357989788</v>
      </c>
      <c r="G183" s="72">
        <f t="shared" ref="G183:O183" si="96">+G54/G28</f>
        <v>2493.0033235764972</v>
      </c>
      <c r="H183" s="72">
        <f t="shared" si="96"/>
        <v>2878.3376598768064</v>
      </c>
      <c r="I183" s="72">
        <f t="shared" si="96"/>
        <v>2588.6256919027101</v>
      </c>
      <c r="J183" s="72">
        <f t="shared" si="96"/>
        <v>2421.4981322154476</v>
      </c>
      <c r="K183" s="72">
        <f t="shared" si="96"/>
        <v>3077.0300755437893</v>
      </c>
      <c r="L183" s="72">
        <f t="shared" si="96"/>
        <v>2715.1200872510576</v>
      </c>
      <c r="M183" s="72">
        <f t="shared" si="96"/>
        <v>3862.6878276041666</v>
      </c>
      <c r="N183" s="72">
        <f t="shared" si="96"/>
        <v>3262.8351247564647</v>
      </c>
      <c r="O183" s="418">
        <f t="shared" si="96"/>
        <v>2612.0463340385072</v>
      </c>
      <c r="P183" s="775">
        <f t="shared" si="93"/>
        <v>33220.202597907868</v>
      </c>
      <c r="Q183" s="428">
        <f t="shared" si="94"/>
        <v>2768.3502164923225</v>
      </c>
    </row>
    <row r="184" spans="2:17" s="40" customFormat="1" ht="22.5" hidden="1" customHeight="1">
      <c r="B184" s="535" t="s">
        <v>157</v>
      </c>
      <c r="C184" s="46" t="s">
        <v>143</v>
      </c>
      <c r="D184" s="72">
        <f>+D61/D29</f>
        <v>2853.5075107158696</v>
      </c>
      <c r="E184" s="72">
        <f>+E61/E29</f>
        <v>858.16012127950057</v>
      </c>
      <c r="F184" s="554">
        <v>1739.6429759068274</v>
      </c>
      <c r="G184" s="72">
        <f t="shared" ref="G184:O184" si="97">+G61/G29</f>
        <v>1617.3475012178083</v>
      </c>
      <c r="H184" s="72">
        <f t="shared" si="97"/>
        <v>1820.8497398887384</v>
      </c>
      <c r="I184" s="72">
        <f t="shared" si="97"/>
        <v>1558.1918884859078</v>
      </c>
      <c r="J184" s="72">
        <f t="shared" si="97"/>
        <v>1943.5596457969352</v>
      </c>
      <c r="K184" s="72">
        <f t="shared" si="97"/>
        <v>2327.0305563193378</v>
      </c>
      <c r="L184" s="72">
        <f t="shared" si="97"/>
        <v>2546.8809690281555</v>
      </c>
      <c r="M184" s="72">
        <f t="shared" si="97"/>
        <v>3033.5223198334706</v>
      </c>
      <c r="N184" s="72">
        <f t="shared" si="97"/>
        <v>1858.2681699555073</v>
      </c>
      <c r="O184" s="418">
        <f t="shared" si="97"/>
        <v>2069.1097770304937</v>
      </c>
      <c r="P184" s="775">
        <f t="shared" si="93"/>
        <v>24226.071175458554</v>
      </c>
      <c r="Q184" s="428">
        <f t="shared" si="94"/>
        <v>2018.8392646215461</v>
      </c>
    </row>
    <row r="185" spans="2:17" s="40" customFormat="1" ht="22.5" hidden="1" customHeight="1">
      <c r="B185" s="535" t="s">
        <v>193</v>
      </c>
      <c r="C185" s="46" t="s">
        <v>143</v>
      </c>
      <c r="D185" s="72">
        <f>+D68/D30</f>
        <v>1969.742690748081</v>
      </c>
      <c r="E185" s="72">
        <f>+E68/E30</f>
        <v>1880.5940282034819</v>
      </c>
      <c r="F185" s="554">
        <v>1609.4813718709611</v>
      </c>
      <c r="G185" s="72">
        <f t="shared" ref="G185:O185" si="98">+G68/G30</f>
        <v>1031.0940858190472</v>
      </c>
      <c r="H185" s="72">
        <f t="shared" si="98"/>
        <v>1116.1976827968372</v>
      </c>
      <c r="I185" s="72">
        <f t="shared" si="98"/>
        <v>1305.7982802837912</v>
      </c>
      <c r="J185" s="72">
        <f t="shared" si="98"/>
        <v>3170.179706549251</v>
      </c>
      <c r="K185" s="72">
        <f t="shared" si="98"/>
        <v>2885.7407584475836</v>
      </c>
      <c r="L185" s="72">
        <f t="shared" si="98"/>
        <v>2777.066702620562</v>
      </c>
      <c r="M185" s="72">
        <f t="shared" si="98"/>
        <v>2685.5906560032549</v>
      </c>
      <c r="N185" s="72">
        <f t="shared" si="98"/>
        <v>2235.5034643337508</v>
      </c>
      <c r="O185" s="418">
        <f t="shared" si="98"/>
        <v>1998.8299969096026</v>
      </c>
      <c r="P185" s="775">
        <f t="shared" si="93"/>
        <v>24665.819424586207</v>
      </c>
      <c r="Q185" s="428">
        <f t="shared" si="94"/>
        <v>2055.4849520488506</v>
      </c>
    </row>
    <row r="186" spans="2:17" s="40" customFormat="1" ht="22.5" hidden="1" customHeight="1">
      <c r="B186" s="535" t="s">
        <v>277</v>
      </c>
      <c r="C186" s="46" t="s">
        <v>143</v>
      </c>
      <c r="D186" s="72">
        <v>2749.1519351289403</v>
      </c>
      <c r="E186" s="72">
        <v>1045.6232313746477</v>
      </c>
      <c r="F186" s="554">
        <v>2311.8053296254493</v>
      </c>
      <c r="G186" s="72">
        <v>1973.7202089169273</v>
      </c>
      <c r="H186" s="72">
        <v>1907.1336873460054</v>
      </c>
      <c r="I186" s="72">
        <v>2082.7449060905733</v>
      </c>
      <c r="J186" s="72">
        <v>2674.6500709083707</v>
      </c>
      <c r="K186" s="72">
        <v>4765.9918498000006</v>
      </c>
      <c r="L186" s="72">
        <v>3171.1647265936617</v>
      </c>
      <c r="M186" s="72">
        <v>1913.6415081330526</v>
      </c>
      <c r="N186" s="72">
        <v>1871.8976963007046</v>
      </c>
      <c r="O186" s="72">
        <v>1719.8956485741191</v>
      </c>
      <c r="P186" s="775">
        <f t="shared" ref="P186:P187" si="99">+SUM(D186:O186)</f>
        <v>28187.420798792453</v>
      </c>
      <c r="Q186" s="776">
        <f t="shared" si="94"/>
        <v>2348.9517332327046</v>
      </c>
    </row>
    <row r="187" spans="2:17" s="40" customFormat="1" ht="22.5" hidden="1" customHeight="1">
      <c r="B187" s="535" t="s">
        <v>385</v>
      </c>
      <c r="C187" s="46" t="s">
        <v>143</v>
      </c>
      <c r="D187" s="554">
        <v>2682.7857080047083</v>
      </c>
      <c r="E187" s="554">
        <v>1503.6379327150739</v>
      </c>
      <c r="F187" s="554">
        <v>2254.7946417359017</v>
      </c>
      <c r="G187" s="554">
        <v>2703.0364962502604</v>
      </c>
      <c r="H187" s="554">
        <v>2500.12731678103</v>
      </c>
      <c r="I187" s="554">
        <v>2976.6897996149387</v>
      </c>
      <c r="J187" s="554">
        <v>3629.1189393391282</v>
      </c>
      <c r="K187" s="554">
        <v>3743.8151415061111</v>
      </c>
      <c r="L187" s="554">
        <v>2726.8743836794201</v>
      </c>
      <c r="M187" s="554">
        <v>2793.3456586697544</v>
      </c>
      <c r="N187" s="554">
        <v>1821.5926659625093</v>
      </c>
      <c r="O187" s="554">
        <v>2228.915015069726</v>
      </c>
      <c r="P187" s="775">
        <f t="shared" si="99"/>
        <v>31564.733699328557</v>
      </c>
      <c r="Q187" s="776">
        <f>AVERAGE(D187:O187)</f>
        <v>2630.3944749440466</v>
      </c>
    </row>
    <row r="188" spans="2:17" s="40" customFormat="1" ht="22.5" customHeight="1">
      <c r="B188" s="535" t="s">
        <v>499</v>
      </c>
      <c r="C188" s="46" t="s">
        <v>143</v>
      </c>
      <c r="D188" s="554">
        <v>1303.1044930530099</v>
      </c>
      <c r="E188" s="554">
        <v>1993.0539283296396</v>
      </c>
      <c r="F188" s="554">
        <v>2536.4852583382335</v>
      </c>
      <c r="G188" s="554">
        <v>2512.8080749432256</v>
      </c>
      <c r="H188" s="554">
        <v>2209.2330732283463</v>
      </c>
      <c r="I188" s="554">
        <v>2931.8102546938781</v>
      </c>
      <c r="J188" s="554">
        <v>3382.9737338526734</v>
      </c>
      <c r="K188" s="554">
        <v>5112.1557426211857</v>
      </c>
      <c r="L188" s="554">
        <v>3401.406407097124</v>
      </c>
      <c r="M188" s="554">
        <v>3540.7416281160586</v>
      </c>
      <c r="N188" s="554">
        <v>2728.7517097438381</v>
      </c>
      <c r="O188" s="554">
        <v>2510.410479208992</v>
      </c>
      <c r="P188" s="775">
        <f t="shared" ref="P188:P190" si="100">SUM(D188:G188)</f>
        <v>8345.4517546641073</v>
      </c>
      <c r="Q188" s="776">
        <f t="shared" ref="Q188:Q190" si="101">AVERAGE(D188:G188)</f>
        <v>2086.3629386660268</v>
      </c>
    </row>
    <row r="189" spans="2:17" s="40" customFormat="1" ht="22.5" customHeight="1">
      <c r="B189" s="535" t="s">
        <v>636</v>
      </c>
      <c r="C189" s="46" t="s">
        <v>143</v>
      </c>
      <c r="D189" s="975">
        <v>3590.3922813789732</v>
      </c>
      <c r="E189" s="975">
        <v>1369.1386901035294</v>
      </c>
      <c r="F189" s="975">
        <v>2471.1172681734015</v>
      </c>
      <c r="G189" s="975">
        <v>2346.3732232806938</v>
      </c>
      <c r="H189" s="975">
        <v>2426.4268142679098</v>
      </c>
      <c r="I189" s="975">
        <v>2530.8636214584249</v>
      </c>
      <c r="J189" s="975">
        <v>3120.1161991447107</v>
      </c>
      <c r="K189" s="975">
        <v>5469.3530499648032</v>
      </c>
      <c r="L189" s="975">
        <v>3443.0442029092656</v>
      </c>
      <c r="M189" s="975">
        <v>5045.9535392460639</v>
      </c>
      <c r="N189" s="975">
        <v>3260.7057233643663</v>
      </c>
      <c r="O189" s="975">
        <v>2932.3375219062268</v>
      </c>
      <c r="P189" s="775">
        <f t="shared" si="100"/>
        <v>9777.0214629365983</v>
      </c>
      <c r="Q189" s="776">
        <f t="shared" si="101"/>
        <v>2444.2553657341496</v>
      </c>
    </row>
    <row r="190" spans="2:17" s="40" customFormat="1" ht="22.5" customHeight="1">
      <c r="B190" s="535" t="s">
        <v>747</v>
      </c>
      <c r="C190" s="46" t="s">
        <v>143</v>
      </c>
      <c r="D190" s="975">
        <f>+D103/D$35</f>
        <v>3092.2357431506834</v>
      </c>
      <c r="E190" s="975">
        <f>+E103/E$35</f>
        <v>2388.4030871956011</v>
      </c>
      <c r="F190" s="975">
        <f>+F103/F$35</f>
        <v>2501.0601812548412</v>
      </c>
      <c r="G190" s="975">
        <f>+G103/G$35</f>
        <v>2721.0832329574901</v>
      </c>
      <c r="H190" s="975"/>
      <c r="I190" s="975"/>
      <c r="J190" s="975"/>
      <c r="K190" s="975"/>
      <c r="L190" s="975"/>
      <c r="M190" s="975"/>
      <c r="N190" s="975"/>
      <c r="O190" s="975"/>
      <c r="P190" s="775">
        <f t="shared" si="100"/>
        <v>10702.782244558615</v>
      </c>
      <c r="Q190" s="776">
        <f t="shared" si="101"/>
        <v>2675.6955611396538</v>
      </c>
    </row>
    <row r="191" spans="2:17" s="40" customFormat="1" ht="26.45" customHeight="1" thickBot="1">
      <c r="B191" s="931" t="s">
        <v>748</v>
      </c>
      <c r="C191" s="936"/>
      <c r="D191" s="933">
        <f>+(D190-D189)/D189</f>
        <v>-0.13874710593934353</v>
      </c>
      <c r="E191" s="933">
        <f>+(E190-E189)/E189</f>
        <v>0.74445664596257854</v>
      </c>
      <c r="F191" s="933">
        <f>+(F190-F189)/F189</f>
        <v>1.2117155857833017E-2</v>
      </c>
      <c r="G191" s="933">
        <f>+(G190-G189)/G189</f>
        <v>0.15969753062254843</v>
      </c>
      <c r="H191" s="933"/>
      <c r="I191" s="933"/>
      <c r="J191" s="933"/>
      <c r="K191" s="933"/>
      <c r="L191" s="933"/>
      <c r="M191" s="933"/>
      <c r="N191" s="933"/>
      <c r="O191" s="933"/>
      <c r="P191" s="933">
        <f>+(P190-P189)/P189</f>
        <v>9.4687404045440043E-2</v>
      </c>
      <c r="Q191" s="933">
        <f t="shared" ref="Q191" si="102">+(Q190-Q189)/Q189</f>
        <v>9.4687404045440043E-2</v>
      </c>
    </row>
    <row r="192" spans="2:17" s="40" customFormat="1" ht="15">
      <c r="B192" s="908"/>
      <c r="C192" s="38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253"/>
      <c r="Q192" s="253"/>
    </row>
    <row r="193" spans="2:17" s="40" customFormat="1" ht="15">
      <c r="B193" s="908" t="s">
        <v>405</v>
      </c>
      <c r="C193" s="38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253"/>
      <c r="Q193" s="253"/>
    </row>
    <row r="194" spans="2:17" s="40" customFormat="1" ht="15">
      <c r="B194" s="908"/>
      <c r="C194" s="38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253"/>
      <c r="Q194" s="253"/>
    </row>
    <row r="195" spans="2:17" s="40" customFormat="1" ht="15">
      <c r="B195" s="908"/>
      <c r="C195" s="38"/>
      <c r="D195" s="39"/>
      <c r="E195" s="39"/>
      <c r="F195" s="39"/>
      <c r="G195" s="39"/>
      <c r="H195" s="39"/>
      <c r="I195" s="39"/>
      <c r="J195" s="39"/>
      <c r="K195" s="39"/>
      <c r="L195" s="39"/>
      <c r="M195" s="2"/>
      <c r="N195" s="2"/>
      <c r="O195" s="2"/>
      <c r="P195" s="253"/>
      <c r="Q195" s="253"/>
    </row>
    <row r="196" spans="2:17" s="40" customFormat="1" ht="15">
      <c r="B196" s="908"/>
      <c r="C196" s="38"/>
      <c r="D196" s="39"/>
      <c r="E196" s="39"/>
      <c r="F196" s="39"/>
      <c r="G196" s="39"/>
      <c r="H196" s="39"/>
      <c r="I196" s="39"/>
      <c r="J196" s="39"/>
      <c r="K196" s="39"/>
      <c r="L196" s="39"/>
      <c r="M196" s="2"/>
      <c r="N196" s="2"/>
      <c r="O196" s="39"/>
      <c r="P196" s="253"/>
      <c r="Q196" s="253"/>
    </row>
    <row r="197" spans="2:17" s="40" customFormat="1" ht="15">
      <c r="B197" s="908"/>
      <c r="C197" s="38"/>
      <c r="D197" s="39"/>
      <c r="E197" s="39"/>
      <c r="F197" s="39"/>
      <c r="G197" s="39"/>
      <c r="H197" s="39"/>
      <c r="I197" s="39"/>
      <c r="J197" s="39"/>
      <c r="K197" s="39"/>
      <c r="L197" s="39"/>
      <c r="M197" s="2"/>
      <c r="N197" s="2"/>
      <c r="O197" s="2"/>
      <c r="P197" s="253"/>
      <c r="Q197" s="253"/>
    </row>
    <row r="199" spans="2:17">
      <c r="D199" s="973"/>
      <c r="F199" s="973"/>
      <c r="J199" s="973"/>
      <c r="L199" s="973"/>
    </row>
  </sheetData>
  <mergeCells count="10">
    <mergeCell ref="B101:B102"/>
    <mergeCell ref="B80:B81"/>
    <mergeCell ref="B87:B88"/>
    <mergeCell ref="B94:B95"/>
    <mergeCell ref="B38:B39"/>
    <mergeCell ref="B45:B46"/>
    <mergeCell ref="B52:B53"/>
    <mergeCell ref="B59:B60"/>
    <mergeCell ref="B66:B67"/>
    <mergeCell ref="B73:B7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A6C3-15B9-4D78-B434-0B3AF64F5726}">
  <sheetPr codeName="Sheet12"/>
  <dimension ref="B2:AN475"/>
  <sheetViews>
    <sheetView topLeftCell="C1" zoomScale="70" zoomScaleNormal="70" workbookViewId="0">
      <selection activeCell="J15" sqref="J15"/>
    </sheetView>
  </sheetViews>
  <sheetFormatPr defaultRowHeight="14.25"/>
  <cols>
    <col min="1" max="1" width="0" hidden="1" customWidth="1"/>
    <col min="2" max="2" width="4" hidden="1" customWidth="1"/>
    <col min="3" max="3" width="23.28515625" customWidth="1"/>
    <col min="4" max="4" width="13.85546875" customWidth="1"/>
    <col min="5" max="5" width="10.140625" style="117" customWidth="1"/>
    <col min="6" max="6" width="20.28515625" style="3" customWidth="1"/>
    <col min="7" max="7" width="11.5703125" style="116" customWidth="1"/>
    <col min="8" max="8" width="20.28515625" style="3" customWidth="1"/>
    <col min="9" max="9" width="9.7109375" style="106" customWidth="1"/>
    <col min="10" max="10" width="15.7109375" style="3" customWidth="1"/>
    <col min="11" max="11" width="20.28515625" style="3" customWidth="1"/>
    <col min="12" max="12" width="16.5703125" style="3" customWidth="1"/>
    <col min="13" max="13" width="17.5703125" style="3" customWidth="1"/>
    <col min="14" max="14" width="20.28515625" style="3" customWidth="1"/>
    <col min="15" max="15" width="17.85546875" style="3" customWidth="1"/>
    <col min="16" max="18" width="20.28515625" style="3" customWidth="1"/>
    <col min="19" max="19" width="11" style="3" hidden="1" customWidth="1"/>
    <col min="20" max="20" width="16.85546875" style="3" hidden="1" customWidth="1"/>
    <col min="21" max="21" width="19" style="3" bestFit="1" customWidth="1"/>
    <col min="22" max="22" width="20.28515625" style="3" customWidth="1"/>
    <col min="23" max="23" width="15.7109375" style="108" bestFit="1" customWidth="1"/>
    <col min="24" max="24" width="15.85546875" style="109" hidden="1" customWidth="1"/>
    <col min="25" max="25" width="17.28515625" style="106" hidden="1" customWidth="1"/>
    <col min="26" max="26" width="17.42578125" style="106" customWidth="1"/>
    <col min="27" max="27" width="11.5703125" style="106" bestFit="1" customWidth="1"/>
    <col min="28" max="28" width="10.5703125" style="107" customWidth="1"/>
    <col min="29" max="29" width="11.42578125" style="107" customWidth="1"/>
    <col min="30" max="31" width="7" style="107" hidden="1" customWidth="1"/>
    <col min="32" max="32" width="20.28515625" style="107" customWidth="1"/>
    <col min="33" max="33" width="18.5703125" style="107" customWidth="1"/>
    <col min="34" max="34" width="15.7109375" style="2" customWidth="1"/>
    <col min="35" max="35" width="15.140625" style="107" customWidth="1"/>
    <col min="36" max="36" width="16.28515625" style="110" customWidth="1"/>
    <col min="37" max="37" width="15.140625" customWidth="1"/>
    <col min="38" max="38" width="17.42578125" customWidth="1"/>
    <col min="39" max="39" width="18.28515625" customWidth="1"/>
    <col min="40" max="40" width="12.85546875" customWidth="1"/>
  </cols>
  <sheetData>
    <row r="2" spans="3:40">
      <c r="E2" s="115"/>
      <c r="F2" s="82"/>
      <c r="G2" s="95"/>
      <c r="H2" s="82"/>
      <c r="I2" s="96"/>
      <c r="J2" s="9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9"/>
      <c r="X2" s="99"/>
      <c r="Y2" s="99"/>
      <c r="Z2" s="99"/>
      <c r="AA2" s="99"/>
      <c r="AB2" s="99"/>
      <c r="AC2" s="2"/>
      <c r="AD2" s="99"/>
      <c r="AE2" s="99"/>
      <c r="AF2" s="99"/>
      <c r="AG2" s="100"/>
      <c r="AI2" s="101"/>
      <c r="AJ2" s="102"/>
    </row>
    <row r="3" spans="3:40" ht="13.5" thickBot="1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3:40" ht="45.75" customHeight="1">
      <c r="E4" s="1448" t="s">
        <v>170</v>
      </c>
      <c r="F4" s="1447"/>
      <c r="G4" s="1448" t="s">
        <v>39</v>
      </c>
      <c r="H4" s="1447"/>
      <c r="I4" s="1449" t="s">
        <v>40</v>
      </c>
      <c r="J4" s="1450"/>
      <c r="K4" s="1611" t="s">
        <v>41</v>
      </c>
      <c r="L4" s="1611"/>
      <c r="M4" s="1611"/>
      <c r="N4" s="1611"/>
      <c r="O4" s="1611"/>
      <c r="P4" s="1611"/>
      <c r="Q4" s="1611"/>
      <c r="R4" s="1611"/>
      <c r="S4" s="1611"/>
      <c r="T4" s="1611"/>
      <c r="U4" s="1611"/>
      <c r="V4" s="1611"/>
      <c r="W4" s="1611"/>
      <c r="X4" s="1611"/>
      <c r="Y4" s="1611"/>
      <c r="Z4" s="1445" t="s">
        <v>15</v>
      </c>
      <c r="AA4" s="1451" t="s">
        <v>16</v>
      </c>
      <c r="AB4" s="1451"/>
      <c r="AC4" s="1451"/>
      <c r="AD4" s="1451"/>
      <c r="AE4" s="1451"/>
      <c r="AF4" s="1452"/>
      <c r="AG4" s="1443" t="s">
        <v>225</v>
      </c>
      <c r="AH4" s="1455" t="s">
        <v>17</v>
      </c>
      <c r="AI4" s="1456"/>
      <c r="AJ4" s="1456"/>
      <c r="AK4" s="1456"/>
      <c r="AL4" s="1456"/>
      <c r="AM4" s="1445" t="s">
        <v>226</v>
      </c>
      <c r="AN4" s="1612" t="s">
        <v>435</v>
      </c>
    </row>
    <row r="5" spans="3:40" ht="119.25" customHeight="1">
      <c r="D5" s="272"/>
      <c r="E5" s="272" t="s">
        <v>38</v>
      </c>
      <c r="F5" s="154" t="s">
        <v>50</v>
      </c>
      <c r="G5" s="273" t="s">
        <v>38</v>
      </c>
      <c r="H5" s="154" t="s">
        <v>50</v>
      </c>
      <c r="I5" s="273" t="s">
        <v>51</v>
      </c>
      <c r="J5" s="154" t="s">
        <v>50</v>
      </c>
      <c r="K5" s="154" t="s">
        <v>42</v>
      </c>
      <c r="L5" s="154" t="s">
        <v>49</v>
      </c>
      <c r="M5" s="154" t="s">
        <v>197</v>
      </c>
      <c r="N5" s="154" t="s">
        <v>198</v>
      </c>
      <c r="O5" s="154" t="s">
        <v>43</v>
      </c>
      <c r="P5" s="154" t="s">
        <v>149</v>
      </c>
      <c r="Q5" s="154" t="s">
        <v>44</v>
      </c>
      <c r="R5" s="154" t="s">
        <v>45</v>
      </c>
      <c r="S5" s="274" t="s">
        <v>120</v>
      </c>
      <c r="T5" s="154" t="s">
        <v>14</v>
      </c>
      <c r="U5" s="154" t="s">
        <v>174</v>
      </c>
      <c r="V5" s="154" t="s">
        <v>175</v>
      </c>
      <c r="W5" s="154" t="s">
        <v>171</v>
      </c>
      <c r="X5" s="200"/>
      <c r="Y5" s="200" t="s">
        <v>502</v>
      </c>
      <c r="Z5" s="1446"/>
      <c r="AA5" s="275">
        <v>1.5</v>
      </c>
      <c r="AB5" s="275">
        <v>2</v>
      </c>
      <c r="AC5" s="275">
        <v>2.1</v>
      </c>
      <c r="AD5" s="275">
        <v>2.7</v>
      </c>
      <c r="AE5" s="275">
        <v>3</v>
      </c>
      <c r="AF5" s="276" t="s">
        <v>46</v>
      </c>
      <c r="AG5" s="1444"/>
      <c r="AH5" s="276" t="s">
        <v>48</v>
      </c>
      <c r="AI5" s="277" t="s">
        <v>19</v>
      </c>
      <c r="AJ5" s="276" t="s">
        <v>20</v>
      </c>
      <c r="AK5" s="276" t="s">
        <v>47</v>
      </c>
      <c r="AL5" s="644" t="s">
        <v>505</v>
      </c>
      <c r="AM5" s="1446"/>
      <c r="AN5" s="1612"/>
    </row>
    <row r="6" spans="3:40" ht="19.5" customHeight="1">
      <c r="D6" s="665"/>
      <c r="E6" s="665"/>
      <c r="F6" s="666"/>
      <c r="G6" s="667"/>
      <c r="H6" s="666"/>
      <c r="I6" s="667"/>
      <c r="J6" s="666"/>
      <c r="K6" s="666"/>
      <c r="L6" s="666"/>
      <c r="M6" s="666"/>
      <c r="N6" s="666"/>
      <c r="O6" s="666"/>
      <c r="P6" s="666"/>
      <c r="Q6" s="666"/>
      <c r="R6" s="666"/>
      <c r="S6" s="668"/>
      <c r="T6" s="666"/>
      <c r="U6" s="666"/>
      <c r="V6" s="666"/>
      <c r="W6" s="666"/>
      <c r="X6" s="669"/>
      <c r="Y6" s="669"/>
      <c r="Z6" s="669"/>
      <c r="AA6" s="657"/>
      <c r="AB6" s="657"/>
      <c r="AC6" s="657"/>
      <c r="AD6" s="670"/>
      <c r="AE6" s="670"/>
      <c r="AF6" s="671"/>
      <c r="AG6" s="672"/>
      <c r="AH6" s="671"/>
      <c r="AI6" s="673"/>
      <c r="AJ6" s="671"/>
      <c r="AK6" s="657"/>
      <c r="AL6" s="657"/>
      <c r="AM6" s="669"/>
      <c r="AN6" s="675"/>
    </row>
    <row r="7" spans="3:40" ht="21.75" customHeight="1">
      <c r="C7" s="1605" t="str">
        <f>C14&amp;" Vs "&amp;C28</f>
        <v>Apr 2025 Vs Mar 2025</v>
      </c>
      <c r="D7" s="654" t="s">
        <v>216</v>
      </c>
      <c r="E7" s="657">
        <f>+E14/E28</f>
        <v>0.91171304956234867</v>
      </c>
      <c r="F7" s="657">
        <f t="shared" ref="F7" si="0">+F14/F28</f>
        <v>0.91578671402471534</v>
      </c>
      <c r="G7" s="657">
        <f>+G14/G28</f>
        <v>39.352941176470587</v>
      </c>
      <c r="H7" s="657">
        <f t="shared" ref="H7" si="1">+H14/H28</f>
        <v>42.983587392709126</v>
      </c>
      <c r="I7" s="657"/>
      <c r="J7" s="657"/>
      <c r="K7" s="657">
        <f t="shared" ref="K7:L7" si="2">+K14/K28</f>
        <v>1.0087981543237654</v>
      </c>
      <c r="L7" s="657">
        <f t="shared" si="2"/>
        <v>1.0314480040692899</v>
      </c>
      <c r="M7" s="657"/>
      <c r="N7" s="657">
        <f t="shared" ref="N7:R7" si="3">+N14/N28</f>
        <v>0.98376037531577043</v>
      </c>
      <c r="O7" s="657">
        <f t="shared" si="3"/>
        <v>1.0149803093871457</v>
      </c>
      <c r="P7" s="657">
        <f t="shared" si="3"/>
        <v>1</v>
      </c>
      <c r="Q7" s="657">
        <f t="shared" si="3"/>
        <v>0.97186281186157375</v>
      </c>
      <c r="R7" s="657">
        <f t="shared" si="3"/>
        <v>0.88372030716734495</v>
      </c>
      <c r="S7" s="657"/>
      <c r="T7" s="657"/>
      <c r="U7" s="657">
        <f t="shared" ref="U7:V8" si="4">+U14/U28</f>
        <v>1.0666666666666667</v>
      </c>
      <c r="V7" s="657">
        <f t="shared" si="4"/>
        <v>0.20156379864225549</v>
      </c>
      <c r="W7" s="657">
        <f t="shared" ref="W7:W8" si="5">+W14/W28</f>
        <v>0.99359079775191184</v>
      </c>
      <c r="X7" s="657"/>
      <c r="Y7" s="657"/>
      <c r="Z7" s="657">
        <f t="shared" ref="Z7:AA7" si="6">+Z14/Z28</f>
        <v>0.99787242336843651</v>
      </c>
      <c r="AA7" s="657">
        <f t="shared" si="6"/>
        <v>0.75803280702832221</v>
      </c>
      <c r="AB7" s="657"/>
      <c r="AC7" s="657"/>
      <c r="AD7" s="657" t="e">
        <f t="shared" ref="AD7:AF7" si="7">+AD14/AD28</f>
        <v>#DIV/0!</v>
      </c>
      <c r="AE7" s="657" t="e">
        <f t="shared" si="7"/>
        <v>#DIV/0!</v>
      </c>
      <c r="AF7" s="657">
        <f t="shared" si="7"/>
        <v>0.76173312553340866</v>
      </c>
      <c r="AG7" s="657">
        <f>+AG14/AG28</f>
        <v>0.93812841609969966</v>
      </c>
      <c r="AH7" s="657">
        <f t="shared" ref="AH7:AL7" si="8">+AH14/AH28</f>
        <v>0.99744251929493699</v>
      </c>
      <c r="AI7" s="657">
        <f t="shared" si="8"/>
        <v>0.97435897435897434</v>
      </c>
      <c r="AJ7" s="657">
        <f t="shared" si="8"/>
        <v>1.1490781357312507</v>
      </c>
      <c r="AK7" s="657">
        <f t="shared" si="8"/>
        <v>7.7142857142857144</v>
      </c>
      <c r="AL7" s="657">
        <f t="shared" si="8"/>
        <v>0.28766584621661112</v>
      </c>
      <c r="AM7" s="657">
        <f t="shared" ref="AM7" si="9">+AM14/AM28</f>
        <v>0.93402164536235399</v>
      </c>
      <c r="AN7" s="503">
        <f>+AN14/AN28</f>
        <v>0.9726027397260274</v>
      </c>
    </row>
    <row r="8" spans="3:40" ht="21.75" customHeight="1">
      <c r="C8" s="1605"/>
      <c r="D8" s="654" t="s">
        <v>217</v>
      </c>
      <c r="E8" s="657">
        <f t="shared" ref="E8:R8" si="10">+E15/E29</f>
        <v>0.91727945335656269</v>
      </c>
      <c r="F8" s="657">
        <f t="shared" si="10"/>
        <v>0.93096836884880207</v>
      </c>
      <c r="G8" s="657">
        <f t="shared" si="10"/>
        <v>38.363636363636367</v>
      </c>
      <c r="H8" s="657">
        <f t="shared" si="10"/>
        <v>40.667230120613233</v>
      </c>
      <c r="I8" s="657">
        <f t="shared" si="10"/>
        <v>0.9619660620245758</v>
      </c>
      <c r="J8" s="657">
        <f t="shared" si="10"/>
        <v>0.97644926469196813</v>
      </c>
      <c r="K8" s="657">
        <f t="shared" si="10"/>
        <v>1.0238202399907281</v>
      </c>
      <c r="L8" s="657">
        <f t="shared" si="10"/>
        <v>1.1590916074378896</v>
      </c>
      <c r="M8" s="657">
        <f t="shared" si="10"/>
        <v>0.96237772761474794</v>
      </c>
      <c r="N8" s="657">
        <f t="shared" si="10"/>
        <v>0.99312048970881417</v>
      </c>
      <c r="O8" s="657">
        <f t="shared" si="10"/>
        <v>0.95738795853815506</v>
      </c>
      <c r="P8" s="657">
        <f t="shared" si="10"/>
        <v>1</v>
      </c>
      <c r="Q8" s="657">
        <f t="shared" si="10"/>
        <v>0.98625616657592108</v>
      </c>
      <c r="R8" s="657">
        <f t="shared" si="10"/>
        <v>0.78453470399413028</v>
      </c>
      <c r="S8" s="657"/>
      <c r="T8" s="657"/>
      <c r="U8" s="657">
        <f t="shared" si="4"/>
        <v>1.1333333333333333</v>
      </c>
      <c r="V8" s="657">
        <f t="shared" si="4"/>
        <v>0.36119118022097696</v>
      </c>
      <c r="W8" s="657">
        <f t="shared" si="5"/>
        <v>1.01277396043487</v>
      </c>
      <c r="X8" s="657"/>
      <c r="Y8" s="657"/>
      <c r="Z8" s="657">
        <f t="shared" ref="Z8:AC8" si="11">+Z15/Z29</f>
        <v>1.0035168467901268</v>
      </c>
      <c r="AA8" s="657">
        <f t="shared" si="11"/>
        <v>0.93317886239629266</v>
      </c>
      <c r="AB8" s="657">
        <f t="shared" si="11"/>
        <v>1</v>
      </c>
      <c r="AC8" s="657">
        <f t="shared" si="11"/>
        <v>1.0303030303030303</v>
      </c>
      <c r="AD8" s="657" t="e">
        <f t="shared" ref="AD8:AL8" si="12">+AD15/AD29</f>
        <v>#DIV/0!</v>
      </c>
      <c r="AE8" s="657" t="e">
        <f t="shared" si="12"/>
        <v>#DIV/0!</v>
      </c>
      <c r="AF8" s="657">
        <f t="shared" si="12"/>
        <v>0.952030612213975</v>
      </c>
      <c r="AG8" s="657">
        <f t="shared" si="12"/>
        <v>0.99398427124542843</v>
      </c>
      <c r="AH8" s="657">
        <f t="shared" si="12"/>
        <v>1.0403372460090885</v>
      </c>
      <c r="AI8" s="657">
        <f t="shared" si="12"/>
        <v>1.0359281437125749</v>
      </c>
      <c r="AJ8" s="657">
        <f t="shared" si="12"/>
        <v>1.5685885693515242</v>
      </c>
      <c r="AK8" s="657"/>
      <c r="AL8" s="657">
        <f t="shared" si="12"/>
        <v>2.7538360848233728E-2</v>
      </c>
      <c r="AM8" s="657">
        <f t="shared" ref="AM8:AN8" si="13">+AM15/AM29</f>
        <v>0.99214115605183573</v>
      </c>
      <c r="AN8" s="503">
        <f t="shared" si="13"/>
        <v>0.98895027624309395</v>
      </c>
    </row>
    <row r="9" spans="3:40" ht="21.75" customHeight="1">
      <c r="C9" s="1605"/>
      <c r="D9" s="654" t="s">
        <v>218</v>
      </c>
      <c r="E9" s="657">
        <f t="shared" ref="E9:H9" si="14">+E16/E30</f>
        <v>0.98177654803930958</v>
      </c>
      <c r="F9" s="657">
        <f t="shared" si="14"/>
        <v>0.96890162468658969</v>
      </c>
      <c r="G9" s="657">
        <f t="shared" si="14"/>
        <v>41.5</v>
      </c>
      <c r="H9" s="657">
        <f t="shared" si="14"/>
        <v>45.209566498582284</v>
      </c>
      <c r="I9" s="657"/>
      <c r="J9" s="657"/>
      <c r="K9" s="657">
        <f t="shared" ref="K9:L9" si="15">+K16/K30</f>
        <v>1.0633935196513276</v>
      </c>
      <c r="L9" s="657">
        <f t="shared" si="15"/>
        <v>0.98795169939661542</v>
      </c>
      <c r="M9" s="657"/>
      <c r="N9" s="657">
        <f t="shared" ref="N9:R9" si="16">+N16/N30</f>
        <v>1.0559339834958739</v>
      </c>
      <c r="O9" s="657">
        <f t="shared" si="16"/>
        <v>1.1089256762522399</v>
      </c>
      <c r="P9" s="657">
        <f t="shared" si="16"/>
        <v>1</v>
      </c>
      <c r="Q9" s="657">
        <f t="shared" si="16"/>
        <v>1.0715272212654947</v>
      </c>
      <c r="R9" s="657">
        <f t="shared" si="16"/>
        <v>1.0437245661694388</v>
      </c>
      <c r="S9" s="657"/>
      <c r="T9" s="657"/>
      <c r="U9" s="657">
        <f t="shared" ref="U9:V9" si="17">+U16/U30</f>
        <v>1</v>
      </c>
      <c r="V9" s="657">
        <f t="shared" si="17"/>
        <v>1.7237346244579266</v>
      </c>
      <c r="W9" s="657">
        <f t="shared" ref="W9" si="18">+W16/W30</f>
        <v>1.0306981279302525</v>
      </c>
      <c r="X9" s="657"/>
      <c r="Y9" s="657"/>
      <c r="Z9" s="657">
        <f t="shared" ref="Z9:AA9" si="19">+Z16/Z30</f>
        <v>1.0644912290149413</v>
      </c>
      <c r="AA9" s="657">
        <f t="shared" si="19"/>
        <v>0.68447436264680606</v>
      </c>
      <c r="AB9" s="657"/>
      <c r="AC9" s="657"/>
      <c r="AD9" s="657" t="e">
        <f t="shared" ref="AD9:AK9" si="20">+AD16/AD30</f>
        <v>#DIV/0!</v>
      </c>
      <c r="AE9" s="657" t="e">
        <f t="shared" si="20"/>
        <v>#DIV/0!</v>
      </c>
      <c r="AF9" s="657">
        <f t="shared" si="20"/>
        <v>0.67931386759573731</v>
      </c>
      <c r="AG9" s="657">
        <f t="shared" si="20"/>
        <v>0.98901896836022718</v>
      </c>
      <c r="AH9" s="657">
        <f t="shared" si="20"/>
        <v>1.0062180405776611</v>
      </c>
      <c r="AI9" s="657">
        <f t="shared" si="20"/>
        <v>1.01840490797546</v>
      </c>
      <c r="AJ9" s="657">
        <f t="shared" si="20"/>
        <v>0.71178921401450557</v>
      </c>
      <c r="AK9" s="657">
        <f t="shared" si="20"/>
        <v>1.5384615384615385</v>
      </c>
      <c r="AL9" s="657"/>
      <c r="AM9" s="657">
        <f t="shared" ref="AM9:AN9" si="21">+AM16/AM30</f>
        <v>0.98769743492171158</v>
      </c>
      <c r="AN9" s="503">
        <f t="shared" si="21"/>
        <v>1.0337078651685394</v>
      </c>
    </row>
    <row r="10" spans="3:40" ht="21.75" customHeight="1">
      <c r="C10" s="1605"/>
      <c r="D10" s="654" t="s">
        <v>220</v>
      </c>
      <c r="E10" s="657">
        <f t="shared" ref="E10:H10" si="22">+E17/E31</f>
        <v>0.91077252211119497</v>
      </c>
      <c r="F10" s="657">
        <f t="shared" si="22"/>
        <v>0.91162881908807891</v>
      </c>
      <c r="G10" s="657">
        <f t="shared" si="22"/>
        <v>43.625</v>
      </c>
      <c r="H10" s="657">
        <f t="shared" si="22"/>
        <v>42.258456410560584</v>
      </c>
      <c r="I10" s="657"/>
      <c r="J10" s="657"/>
      <c r="K10" s="657">
        <f t="shared" ref="K10:R10" si="23">+K17/K31</f>
        <v>0.99843399519589215</v>
      </c>
      <c r="L10" s="657">
        <f t="shared" si="23"/>
        <v>1.0118715549611879</v>
      </c>
      <c r="M10" s="657">
        <f t="shared" si="23"/>
        <v>2.72</v>
      </c>
      <c r="N10" s="657">
        <f t="shared" si="23"/>
        <v>0.98299451614690081</v>
      </c>
      <c r="O10" s="657">
        <f t="shared" si="23"/>
        <v>0.9932128980168542</v>
      </c>
      <c r="P10" s="657">
        <f t="shared" si="23"/>
        <v>0.98454565756227463</v>
      </c>
      <c r="Q10" s="657">
        <f t="shared" si="23"/>
        <v>0.98703408441382634</v>
      </c>
      <c r="R10" s="657">
        <f t="shared" si="23"/>
        <v>0.72732468170281572</v>
      </c>
      <c r="S10" s="657"/>
      <c r="T10" s="657"/>
      <c r="U10" s="657">
        <f t="shared" ref="U10:W10" si="24">+U17/U31</f>
        <v>0.95238095238095233</v>
      </c>
      <c r="V10" s="657">
        <f>+V17/V31</f>
        <v>1.0519407933846463</v>
      </c>
      <c r="W10" s="657">
        <f t="shared" si="24"/>
        <v>0.98743519087690235</v>
      </c>
      <c r="X10" s="657"/>
      <c r="Y10" s="657"/>
      <c r="Z10" s="657">
        <f t="shared" ref="Z10:AB11" si="25">+Z17/Z31</f>
        <v>0.99614704745599592</v>
      </c>
      <c r="AA10" s="657">
        <f t="shared" si="25"/>
        <v>0.82231646680315884</v>
      </c>
      <c r="AB10" s="657">
        <f t="shared" ref="AB10" si="26">+AB17/AB31</f>
        <v>8.3478260869565215</v>
      </c>
      <c r="AC10" s="657"/>
      <c r="AD10" s="657" t="e">
        <f t="shared" ref="AD10:AK10" si="27">+AD17/AD31</f>
        <v>#DIV/0!</v>
      </c>
      <c r="AE10" s="657" t="e">
        <f t="shared" si="27"/>
        <v>#DIV/0!</v>
      </c>
      <c r="AF10" s="657">
        <f t="shared" si="27"/>
        <v>0.89888928521035683</v>
      </c>
      <c r="AG10" s="657">
        <f t="shared" si="27"/>
        <v>0.98657238552760462</v>
      </c>
      <c r="AH10" s="657">
        <f t="shared" si="27"/>
        <v>0.9791953875419005</v>
      </c>
      <c r="AI10" s="657">
        <f t="shared" si="27"/>
        <v>0.97350993377483441</v>
      </c>
      <c r="AJ10" s="657">
        <f t="shared" si="27"/>
        <v>1.1245502455667666</v>
      </c>
      <c r="AK10" s="657">
        <f t="shared" si="27"/>
        <v>0.25187969924812031</v>
      </c>
      <c r="AL10" s="657"/>
      <c r="AM10" s="657">
        <f t="shared" ref="AM10:AN10" si="28">+AM17/AM31</f>
        <v>0.98678289770044081</v>
      </c>
      <c r="AN10" s="503">
        <f t="shared" si="28"/>
        <v>0.98726114649681529</v>
      </c>
    </row>
    <row r="11" spans="3:40" s="653" customFormat="1" ht="21.75" customHeight="1">
      <c r="C11" s="1605"/>
      <c r="D11" s="656" t="s">
        <v>221</v>
      </c>
      <c r="E11" s="657">
        <f t="shared" ref="E11:R11" si="29">+E18/E32</f>
        <v>0.94480777881587563</v>
      </c>
      <c r="F11" s="657">
        <f t="shared" si="29"/>
        <v>0.94452364663428967</v>
      </c>
      <c r="G11" s="657">
        <f t="shared" si="29"/>
        <v>27.463414634146343</v>
      </c>
      <c r="H11" s="657">
        <f t="shared" si="29"/>
        <v>27.790468837028612</v>
      </c>
      <c r="I11" s="657">
        <f t="shared" si="29"/>
        <v>1.0653472740851382</v>
      </c>
      <c r="J11" s="657">
        <f t="shared" si="29"/>
        <v>1.133057935430611</v>
      </c>
      <c r="K11" s="657">
        <f t="shared" si="29"/>
        <v>1.0379064240044449</v>
      </c>
      <c r="L11" s="657">
        <f t="shared" si="29"/>
        <v>1.0226341755459376</v>
      </c>
      <c r="M11" s="657">
        <f t="shared" si="29"/>
        <v>1.1142513529765483</v>
      </c>
      <c r="N11" s="657">
        <f t="shared" si="29"/>
        <v>1.0285035629453683</v>
      </c>
      <c r="O11" s="657">
        <f t="shared" si="29"/>
        <v>1.0364479860877989</v>
      </c>
      <c r="P11" s="657">
        <f t="shared" si="29"/>
        <v>0.70620066053420816</v>
      </c>
      <c r="Q11" s="657">
        <f t="shared" si="29"/>
        <v>1.0536405193419047</v>
      </c>
      <c r="R11" s="657">
        <f t="shared" si="29"/>
        <v>1.0673050499961299</v>
      </c>
      <c r="S11" s="657"/>
      <c r="T11" s="657"/>
      <c r="U11" s="657">
        <f t="shared" ref="U11:V11" si="30">+U18/U32</f>
        <v>1.0606060606060606</v>
      </c>
      <c r="V11" s="657">
        <f t="shared" si="30"/>
        <v>0.58124494359009371</v>
      </c>
      <c r="W11" s="657">
        <f t="shared" ref="W11" si="31">+W18/W32</f>
        <v>1.037733481756242</v>
      </c>
      <c r="X11" s="657"/>
      <c r="Y11" s="657"/>
      <c r="Z11" s="657">
        <f t="shared" ref="Z11:AA11" si="32">+Z18/Z32</f>
        <v>1.0389296268138883</v>
      </c>
      <c r="AA11" s="657">
        <f t="shared" si="32"/>
        <v>1.5796966161026837</v>
      </c>
      <c r="AB11" s="657">
        <f t="shared" si="25"/>
        <v>2.8205128205128207</v>
      </c>
      <c r="AC11" s="657">
        <f t="shared" ref="AC11:AN11" si="33">+AC18/AC32</f>
        <v>0.76635514018691586</v>
      </c>
      <c r="AD11" s="657" t="e">
        <f t="shared" si="33"/>
        <v>#DIV/0!</v>
      </c>
      <c r="AE11" s="657" t="e">
        <f t="shared" si="33"/>
        <v>#DIV/0!</v>
      </c>
      <c r="AF11" s="657">
        <f t="shared" si="33"/>
        <v>1.5110020007785399</v>
      </c>
      <c r="AG11" s="657">
        <f t="shared" si="33"/>
        <v>1.1099315149772566</v>
      </c>
      <c r="AH11" s="657">
        <f t="shared" si="33"/>
        <v>1.0432204516348611</v>
      </c>
      <c r="AI11" s="657">
        <f t="shared" si="33"/>
        <v>1.0258215962441315</v>
      </c>
      <c r="AJ11" s="657">
        <f t="shared" si="33"/>
        <v>1.2905212922463549</v>
      </c>
      <c r="AK11" s="657">
        <f t="shared" si="33"/>
        <v>0.8125</v>
      </c>
      <c r="AL11" s="657">
        <f t="shared" si="33"/>
        <v>0.71660590133457114</v>
      </c>
      <c r="AM11" s="657">
        <f t="shared" si="33"/>
        <v>1.1156453836613796</v>
      </c>
      <c r="AN11" s="503">
        <f t="shared" si="33"/>
        <v>1.0020703933747412</v>
      </c>
    </row>
    <row r="12" spans="3:40" s="492" customFormat="1" ht="21.75" customHeight="1">
      <c r="D12" s="676" t="s">
        <v>79</v>
      </c>
      <c r="E12" s="677">
        <f>+E19/E33</f>
        <v>0.93420063919194751</v>
      </c>
      <c r="F12" s="677">
        <f t="shared" ref="F12:AJ12" si="34">+F19/F33</f>
        <v>0.93386360579055872</v>
      </c>
      <c r="G12" s="677">
        <f t="shared" si="34"/>
        <v>34.264367816091955</v>
      </c>
      <c r="H12" s="677">
        <f t="shared" si="34"/>
        <v>35.305158323823697</v>
      </c>
      <c r="I12" s="677">
        <f t="shared" si="34"/>
        <v>1.0250740825165261</v>
      </c>
      <c r="J12" s="677">
        <f t="shared" si="34"/>
        <v>1.082737394975579</v>
      </c>
      <c r="K12" s="677">
        <f t="shared" si="34"/>
        <v>1.0260378095616163</v>
      </c>
      <c r="L12" s="677">
        <f t="shared" si="34"/>
        <v>1.0177167556463473</v>
      </c>
      <c r="M12" s="677">
        <f t="shared" si="34"/>
        <v>1.0985681411403734</v>
      </c>
      <c r="N12" s="677">
        <f t="shared" si="34"/>
        <v>1.0125276506274776</v>
      </c>
      <c r="O12" s="677">
        <f t="shared" si="34"/>
        <v>1.02627986277203</v>
      </c>
      <c r="P12" s="677">
        <f t="shared" si="34"/>
        <v>0.86077361775488503</v>
      </c>
      <c r="Q12" s="677">
        <f t="shared" si="34"/>
        <v>1.0200164357830477</v>
      </c>
      <c r="R12" s="677">
        <f t="shared" si="34"/>
        <v>0.952007577127577</v>
      </c>
      <c r="S12" s="677" t="e">
        <f t="shared" si="34"/>
        <v>#DIV/0!</v>
      </c>
      <c r="T12" s="677" t="e">
        <f t="shared" si="34"/>
        <v>#DIV/0!</v>
      </c>
      <c r="U12" s="677">
        <f t="shared" si="34"/>
        <v>1.0419847328244274</v>
      </c>
      <c r="V12" s="677">
        <f t="shared" si="34"/>
        <v>0.59609522377959689</v>
      </c>
      <c r="W12" s="677">
        <f t="shared" si="34"/>
        <v>1.0135470764840273</v>
      </c>
      <c r="X12" s="677" t="e">
        <f t="shared" si="34"/>
        <v>#DIV/0!</v>
      </c>
      <c r="Y12" s="677" t="e">
        <f t="shared" si="34"/>
        <v>#DIV/0!</v>
      </c>
      <c r="Z12" s="677">
        <f t="shared" si="34"/>
        <v>1.0218211922130755</v>
      </c>
      <c r="AA12" s="677">
        <f t="shared" si="34"/>
        <v>1.0055384282546378</v>
      </c>
      <c r="AB12" s="677">
        <f t="shared" si="34"/>
        <v>2.8471177944862154</v>
      </c>
      <c r="AC12" s="677">
        <f t="shared" si="34"/>
        <v>0.83514313919052319</v>
      </c>
      <c r="AD12" s="677" t="e">
        <f t="shared" si="34"/>
        <v>#DIV/0!</v>
      </c>
      <c r="AE12" s="677" t="e">
        <f t="shared" si="34"/>
        <v>#DIV/0!</v>
      </c>
      <c r="AF12" s="677">
        <f t="shared" si="34"/>
        <v>1.028407257254689</v>
      </c>
      <c r="AG12" s="677">
        <f t="shared" si="34"/>
        <v>1.0229728350446705</v>
      </c>
      <c r="AH12" s="677">
        <f t="shared" si="34"/>
        <v>1.0175179618464003</v>
      </c>
      <c r="AI12" s="677">
        <f t="shared" si="34"/>
        <v>1.0076271186440677</v>
      </c>
      <c r="AJ12" s="677">
        <f t="shared" si="34"/>
        <v>1.2093265308054764</v>
      </c>
      <c r="AK12" s="677">
        <f>+AK19/AK33</f>
        <v>1.503968253968254</v>
      </c>
      <c r="AL12" s="677">
        <f t="shared" ref="AL12:AN12" si="35">+AL19/AL33</f>
        <v>0.43391058151832179</v>
      </c>
      <c r="AM12" s="677">
        <f t="shared" si="35"/>
        <v>1.0236087074349216</v>
      </c>
      <c r="AN12" s="677">
        <f t="shared" si="35"/>
        <v>0.99612703330751351</v>
      </c>
    </row>
    <row r="13" spans="3:40" ht="21.75" customHeight="1">
      <c r="J13" s="349"/>
    </row>
    <row r="14" spans="3:40" ht="19.5" customHeight="1">
      <c r="C14" s="1606" t="s">
        <v>5715</v>
      </c>
      <c r="D14" s="654" t="s">
        <v>216</v>
      </c>
      <c r="E14" s="655">
        <f>+SUMIFS('Salary sheet'!M$6:M$1291,'Salary sheet'!$E$6:$E$1291,'Compare months'!$D14)</f>
        <v>6385.0000000000027</v>
      </c>
      <c r="F14" s="655">
        <f>+SUMIFS('Salary sheet'!N$6:N$1291,'Salary sheet'!$E$6:$E$1291,'Compare months'!$D14)</f>
        <v>1608874600</v>
      </c>
      <c r="G14" s="655">
        <f>+SUMIFS('Salary sheet'!O$6:O$1291,'Salary sheet'!$E$6:$E$1291,'Compare months'!$D14)</f>
        <v>669</v>
      </c>
      <c r="H14" s="655">
        <f>+SUMIFS('Salary sheet'!P$6:P$1291,'Salary sheet'!$E$6:$E$1291,'Compare months'!$D14)</f>
        <v>167331753</v>
      </c>
      <c r="I14" s="655">
        <f>+SUMIFS('Salary sheet'!Q$6:Q$1291,'Salary sheet'!$E$6:$E$1291,'Compare months'!$D14)</f>
        <v>0</v>
      </c>
      <c r="J14" s="655">
        <f>+SUMIFS('Salary sheet'!R$6:R$1291,'Salary sheet'!$E$6:$E$1291,'Compare months'!$D14)</f>
        <v>0</v>
      </c>
      <c r="K14" s="655">
        <f>+SUMIFS('Salary sheet'!S$6:S$1291,'Salary sheet'!$E$6:$E$1291,'Compare months'!$D14)</f>
        <v>1776206353</v>
      </c>
      <c r="L14" s="655">
        <f>+SUMIFS('Salary sheet'!T$6:T$1291,'Salary sheet'!$E$6:$E$1291,'Compare months'!$D14)</f>
        <v>2283269</v>
      </c>
      <c r="M14" s="655">
        <f>+SUMIFS('Salary sheet'!U$6:U$1291,'Salary sheet'!$E$6:$E$1291,'Compare months'!$D14)</f>
        <v>0</v>
      </c>
      <c r="N14" s="655">
        <f>+SUMIFS('Salary sheet'!V$6:V$1291,'Salary sheet'!$E$6:$E$1291,'Compare months'!$D14)</f>
        <v>54520000</v>
      </c>
      <c r="O14" s="655">
        <f>+SUMIFS('Salary sheet'!W$6:W$1291,'Salary sheet'!$E$6:$E$1291,'Compare months'!$D14)</f>
        <v>118299000</v>
      </c>
      <c r="P14" s="655">
        <f>+SUMIFS('Salary sheet'!X$6:X$1291,'Salary sheet'!$E$6:$E$1291,'Compare months'!$D14)</f>
        <v>1282000</v>
      </c>
      <c r="Q14" s="655">
        <f>+SUMIFS('Salary sheet'!Y$6:Y$1291,'Salary sheet'!$E$6:$E$1291,'Compare months'!$D14)</f>
        <v>94191000</v>
      </c>
      <c r="R14" s="655">
        <f>+SUMIFS('Salary sheet'!Z$6:Z$1291,'Salary sheet'!$E$6:$E$1291,'Compare months'!$D14)</f>
        <v>128112674</v>
      </c>
      <c r="S14" s="655">
        <f>+SUMIFS('Salary sheet'!AA$6:AA$1291,'Salary sheet'!$E$6:$E$1291,'Compare months'!$D14)</f>
        <v>0</v>
      </c>
      <c r="T14" s="655">
        <f>+SUMIFS('Salary sheet'!AB$6:AB$1291,'Salary sheet'!$E$6:$E$1291,'Compare months'!$D14)</f>
        <v>0</v>
      </c>
      <c r="U14" s="655">
        <f>+SUMIFS('Salary sheet'!AC$6:AC$1291,'Salary sheet'!$E$6:$E$1291,'Compare months'!$D14)</f>
        <v>4800000</v>
      </c>
      <c r="V14" s="655">
        <f>+SUMIFS('Salary sheet'!AD$6:AD$1291,'Salary sheet'!$E$6:$E$1291,'Compare months'!$D14)</f>
        <v>437259</v>
      </c>
      <c r="W14" s="655">
        <f>+SUMIFS('Salary sheet'!AE$6:AE$1291,'Salary sheet'!$E$6:$E$1291,'Compare months'!$D14)</f>
        <v>8994093.7669289634</v>
      </c>
      <c r="X14" s="655"/>
      <c r="Y14" s="655">
        <f>+SUMIFS('Salary sheet'!AF$6:AF$1291,'Salary sheet'!$E$6:$E$1291,'Compare months'!$D14)</f>
        <v>0</v>
      </c>
      <c r="Z14" s="655">
        <f>+SUMIFS('Salary sheet'!AG$6:AG$1291,'Salary sheet'!$E$6:$E$1291,'Compare months'!$D14)</f>
        <v>2189125668</v>
      </c>
      <c r="AA14" s="655">
        <f>+SUMIFS('Salary sheet'!AH$6:AH$1291,'Salary sheet'!$E$6:$E$1291,'Compare months'!$D14)</f>
        <v>12338.5</v>
      </c>
      <c r="AB14" s="655">
        <f>+SUMIFS('Salary sheet'!AI$6:AI$1291,'Salary sheet'!$E$6:$E$1291,'Compare months'!$D14)</f>
        <v>0</v>
      </c>
      <c r="AC14" s="655">
        <f>+SUMIFS('Salary sheet'!AJ$6:AJ$1291,'Salary sheet'!$E$6:$E$1291,'Compare months'!$D14)</f>
        <v>0</v>
      </c>
      <c r="AD14" s="655">
        <f>+SUMIFS('Salary sheet'!AK$6:AK$1291,'Salary sheet'!$E$6:$E$1291,'Compare months'!$D14)</f>
        <v>0</v>
      </c>
      <c r="AE14" s="655">
        <f>+SUMIFS('Salary sheet'!AL$6:AL$1291,'Salary sheet'!$E$6:$E$1291,'Compare months'!$D14)</f>
        <v>0</v>
      </c>
      <c r="AF14" s="655">
        <f>+SUMIFS('Salary sheet'!AM$6:AM$1291,'Salary sheet'!$E$6:$E$1291,'Compare months'!$D14)</f>
        <v>565986246</v>
      </c>
      <c r="AG14" s="655">
        <f>+SUMIFS('Salary sheet'!AN$6:AN$1291,'Salary sheet'!$E$6:$E$1291,'Compare months'!$D14)</f>
        <v>2755111914</v>
      </c>
      <c r="AH14" s="655">
        <f>+SUMIFS('Salary sheet'!AO$6:AO$1291,'Salary sheet'!$E$6:$E$1291,'Compare months'!$D14)</f>
        <v>184996855</v>
      </c>
      <c r="AI14" s="655">
        <f>+SUMIFS('Salary sheet'!AP$6:AP$1291,'Salary sheet'!$E$6:$E$1291,'Compare months'!$D14)</f>
        <v>11730600</v>
      </c>
      <c r="AJ14" s="655">
        <f>+SUMIFS('Salary sheet'!AQ$6:AQ$1291,'Salary sheet'!$E$6:$E$1291,'Compare months'!$D14)</f>
        <v>540408</v>
      </c>
      <c r="AK14" s="655">
        <f>+SUMIFS('Salary sheet'!AR$6:AR$1291,'Salary sheet'!$E$6:$E$1291,'Compare months'!$D14)</f>
        <v>270000</v>
      </c>
      <c r="AL14" s="655">
        <f>+SUMIFS('Salary sheet'!AS$6:AS$1291,'Salary sheet'!$E$6:$E$1291,'Compare months'!$D14)</f>
        <v>234097</v>
      </c>
      <c r="AM14" s="655">
        <f>+SUMIFS('Salary sheet'!AT$6:AT$1291,'Salary sheet'!$E$6:$E$1291,'Compare months'!$D14)</f>
        <v>2557339954</v>
      </c>
      <c r="AN14" s="654">
        <f>COUNTIF('Salary sheet'!$E$6:$E$1291,'Compare months'!D14)</f>
        <v>284</v>
      </c>
    </row>
    <row r="15" spans="3:40" ht="19.5" customHeight="1">
      <c r="C15" s="1607"/>
      <c r="D15" s="654" t="s">
        <v>217</v>
      </c>
      <c r="E15" s="655">
        <f>+SUMIFS('Salary sheet'!M$6:M$1291,'Salary sheet'!$E$6:$E$1291,'Compare months'!$D15)</f>
        <v>4054.1000000000031</v>
      </c>
      <c r="F15" s="655">
        <f>+SUMIFS('Salary sheet'!N$6:N$1291,'Salary sheet'!$E$6:$E$1291,'Compare months'!$D15)</f>
        <v>1057391356</v>
      </c>
      <c r="G15" s="655">
        <f>+SUMIFS('Salary sheet'!O$6:O$1291,'Salary sheet'!$E$6:$E$1291,'Compare months'!$D15)</f>
        <v>422</v>
      </c>
      <c r="H15" s="655">
        <f>+SUMIFS('Salary sheet'!P$6:P$1291,'Salary sheet'!$E$6:$E$1291,'Compare months'!$D15)</f>
        <v>108960035</v>
      </c>
      <c r="I15" s="655">
        <f>+SUMIFS('Salary sheet'!Q$6:Q$1291,'Salary sheet'!$E$6:$E$1291,'Compare months'!$D15)</f>
        <v>1644</v>
      </c>
      <c r="J15" s="655">
        <f>+SUMIFS('Salary sheet'!R$6:R$1291,'Salary sheet'!$E$6:$E$1291,'Compare months'!$D15)</f>
        <v>15583312</v>
      </c>
      <c r="K15" s="655">
        <f>+SUMIFS('Salary sheet'!S$6:S$1291,'Salary sheet'!$E$6:$E$1291,'Compare months'!$D15)</f>
        <v>1181934703</v>
      </c>
      <c r="L15" s="655">
        <f>+SUMIFS('Salary sheet'!T$6:T$1291,'Salary sheet'!$E$6:$E$1291,'Compare months'!$D15)</f>
        <v>490385</v>
      </c>
      <c r="M15" s="655">
        <f>+SUMIFS('Salary sheet'!U$6:U$1291,'Salary sheet'!$E$6:$E$1291,'Compare months'!$D15)</f>
        <v>7674000</v>
      </c>
      <c r="N15" s="655">
        <f>+SUMIFS('Salary sheet'!V$6:V$1291,'Salary sheet'!$E$6:$E$1291,'Compare months'!$D15)</f>
        <v>35368000</v>
      </c>
      <c r="O15" s="655">
        <f>+SUMIFS('Salary sheet'!W$6:W$1291,'Salary sheet'!$E$6:$E$1291,'Compare months'!$D15)</f>
        <v>69919000</v>
      </c>
      <c r="P15" s="655">
        <f>+SUMIFS('Salary sheet'!X$6:X$1291,'Salary sheet'!$E$6:$E$1291,'Compare months'!$D15)</f>
        <v>200000</v>
      </c>
      <c r="Q15" s="655">
        <f>+SUMIFS('Salary sheet'!Y$6:Y$1291,'Salary sheet'!$E$6:$E$1291,'Compare months'!$D15)</f>
        <v>59776000</v>
      </c>
      <c r="R15" s="655">
        <f>+SUMIFS('Salary sheet'!Z$6:Z$1291,'Salary sheet'!$E$6:$E$1291,'Compare months'!$D15)</f>
        <v>64057075</v>
      </c>
      <c r="S15" s="655">
        <f>+SUMIFS('Salary sheet'!AA$6:AA$1291,'Salary sheet'!$E$6:$E$1291,'Compare months'!$D15)</f>
        <v>0</v>
      </c>
      <c r="T15" s="655">
        <f>+SUMIFS('Salary sheet'!AB$6:AB$1291,'Salary sheet'!$E$6:$E$1291,'Compare months'!$D15)</f>
        <v>0</v>
      </c>
      <c r="U15" s="655">
        <f>+SUMIFS('Salary sheet'!AC$6:AC$1291,'Salary sheet'!$E$6:$E$1291,'Compare months'!$D15)</f>
        <v>3400000</v>
      </c>
      <c r="V15" s="655">
        <f>+SUMIFS('Salary sheet'!AD$6:AD$1291,'Salary sheet'!$E$6:$E$1291,'Compare months'!$D15)</f>
        <v>524027</v>
      </c>
      <c r="W15" s="655">
        <f>+SUMIFS('Salary sheet'!AE$6:AE$1291,'Salary sheet'!$E$6:$E$1291,'Compare months'!$D15)</f>
        <v>3446004.7808205467</v>
      </c>
      <c r="X15" s="655"/>
      <c r="Y15" s="655">
        <f>+SUMIFS('Salary sheet'!AF$6:AF$1291,'Salary sheet'!$E$6:$E$1291,'Compare months'!$D15)</f>
        <v>0</v>
      </c>
      <c r="Z15" s="655">
        <f>+SUMIFS('Salary sheet'!AG$6:AG$1291,'Salary sheet'!$E$6:$E$1291,'Compare months'!$D15)</f>
        <v>1426789191</v>
      </c>
      <c r="AA15" s="655">
        <f>+SUMIFS('Salary sheet'!AH$6:AH$1291,'Salary sheet'!$E$6:$E$1291,'Compare months'!$D15)</f>
        <v>6242.5</v>
      </c>
      <c r="AB15" s="655">
        <f>+SUMIFS('Salary sheet'!AI$6:AI$1291,'Salary sheet'!$E$6:$E$1291,'Compare months'!$D15)</f>
        <v>32</v>
      </c>
      <c r="AC15" s="655">
        <f>+SUMIFS('Salary sheet'!AJ$6:AJ$1291,'Salary sheet'!$E$6:$E$1291,'Compare months'!$D15)</f>
        <v>136</v>
      </c>
      <c r="AD15" s="655">
        <f>+SUMIFS('Salary sheet'!AK$6:AK$1291,'Salary sheet'!$E$6:$E$1291,'Compare months'!$D15)</f>
        <v>0</v>
      </c>
      <c r="AE15" s="655">
        <f>+SUMIFS('Salary sheet'!AL$6:AL$1291,'Salary sheet'!$E$6:$E$1291,'Compare months'!$D15)</f>
        <v>0</v>
      </c>
      <c r="AF15" s="655">
        <f>+SUMIFS('Salary sheet'!AM$6:AM$1291,'Salary sheet'!$E$6:$E$1291,'Compare months'!$D15)</f>
        <v>307557603</v>
      </c>
      <c r="AG15" s="655">
        <f>+SUMIFS('Salary sheet'!AN$6:AN$1291,'Salary sheet'!$E$6:$E$1291,'Compare months'!$D15)</f>
        <v>1734346794</v>
      </c>
      <c r="AH15" s="655">
        <f>+SUMIFS('Salary sheet'!AO$6:AO$1291,'Salary sheet'!$E$6:$E$1291,'Compare months'!$D15)</f>
        <v>124768035</v>
      </c>
      <c r="AI15" s="655">
        <f>+SUMIFS('Salary sheet'!AP$6:AP$1291,'Salary sheet'!$E$6:$E$1291,'Compare months'!$D15)</f>
        <v>7629300</v>
      </c>
      <c r="AJ15" s="655">
        <f>+SUMIFS('Salary sheet'!AQ$6:AQ$1291,'Salary sheet'!$E$6:$E$1291,'Compare months'!$D15)</f>
        <v>871718</v>
      </c>
      <c r="AK15" s="655">
        <f>+SUMIFS('Salary sheet'!AR$6:AR$1291,'Salary sheet'!$E$6:$E$1291,'Compare months'!$D15)</f>
        <v>0</v>
      </c>
      <c r="AL15" s="655">
        <f>+SUMIFS('Salary sheet'!AS$6:AS$1291,'Salary sheet'!$E$6:$E$1291,'Compare months'!$D15)</f>
        <v>91558</v>
      </c>
      <c r="AM15" s="655">
        <f>+SUMIFS('Salary sheet'!AT$6:AT$1291,'Salary sheet'!$E$6:$E$1291,'Compare months'!$D15)</f>
        <v>1600986183</v>
      </c>
      <c r="AN15" s="654">
        <f>COUNTIF('Salary sheet'!$E$6:$E$1291,'Compare months'!D15)</f>
        <v>179</v>
      </c>
    </row>
    <row r="16" spans="3:40" ht="19.5" customHeight="1">
      <c r="C16" s="1607"/>
      <c r="D16" s="654" t="s">
        <v>218</v>
      </c>
      <c r="E16" s="655">
        <f>+SUMIFS('Salary sheet'!M$6:M$1291,'Salary sheet'!$E$6:$E$1291,'Compare months'!$D16)</f>
        <v>4116.0000000000018</v>
      </c>
      <c r="F16" s="655">
        <f>+SUMIFS('Salary sheet'!N$6:N$1291,'Salary sheet'!$E$6:$E$1291,'Compare months'!$D16)</f>
        <v>996353434</v>
      </c>
      <c r="G16" s="655">
        <f>+SUMIFS('Salary sheet'!O$6:O$1291,'Salary sheet'!$E$6:$E$1291,'Compare months'!$D16)</f>
        <v>415</v>
      </c>
      <c r="H16" s="655">
        <f>+SUMIFS('Salary sheet'!P$6:P$1291,'Salary sheet'!$E$6:$E$1291,'Compare months'!$D16)</f>
        <v>99509737</v>
      </c>
      <c r="I16" s="655">
        <f>+SUMIFS('Salary sheet'!Q$6:Q$1291,'Salary sheet'!$E$6:$E$1291,'Compare months'!$D16)</f>
        <v>0</v>
      </c>
      <c r="J16" s="655">
        <f>+SUMIFS('Salary sheet'!R$6:R$1291,'Salary sheet'!$E$6:$E$1291,'Compare months'!$D16)</f>
        <v>0</v>
      </c>
      <c r="K16" s="655">
        <f>+SUMIFS('Salary sheet'!S$6:S$1291,'Salary sheet'!$E$6:$E$1291,'Compare months'!$D16)</f>
        <v>1095863171</v>
      </c>
      <c r="L16" s="655">
        <f>+SUMIFS('Salary sheet'!T$6:T$1291,'Salary sheet'!$E$6:$E$1291,'Compare months'!$D16)</f>
        <v>662308</v>
      </c>
      <c r="M16" s="655">
        <f>+SUMIFS('Salary sheet'!U$6:U$1291,'Salary sheet'!$E$6:$E$1291,'Compare months'!$D16)</f>
        <v>0</v>
      </c>
      <c r="N16" s="655">
        <f>+SUMIFS('Salary sheet'!V$6:V$1291,'Salary sheet'!$E$6:$E$1291,'Compare months'!$D16)</f>
        <v>35189000</v>
      </c>
      <c r="O16" s="655">
        <f>+SUMIFS('Salary sheet'!W$6:W$1291,'Salary sheet'!$E$6:$E$1291,'Compare months'!$D16)</f>
        <v>77973000</v>
      </c>
      <c r="P16" s="655">
        <f>+SUMIFS('Salary sheet'!X$6:X$1291,'Salary sheet'!$E$6:$E$1291,'Compare months'!$D16)</f>
        <v>200000</v>
      </c>
      <c r="Q16" s="655">
        <f>+SUMIFS('Salary sheet'!Y$6:Y$1291,'Salary sheet'!$E$6:$E$1291,'Compare months'!$D16)</f>
        <v>62844000</v>
      </c>
      <c r="R16" s="655">
        <f>+SUMIFS('Salary sheet'!Z$6:Z$1291,'Salary sheet'!$E$6:$E$1291,'Compare months'!$D16)</f>
        <v>91038224</v>
      </c>
      <c r="S16" s="655">
        <f>+SUMIFS('Salary sheet'!AA$6:AA$1291,'Salary sheet'!$E$6:$E$1291,'Compare months'!$D16)</f>
        <v>0</v>
      </c>
      <c r="T16" s="655">
        <f>+SUMIFS('Salary sheet'!AB$6:AB$1291,'Salary sheet'!$E$6:$E$1291,'Compare months'!$D16)</f>
        <v>0</v>
      </c>
      <c r="U16" s="655">
        <f>+SUMIFS('Salary sheet'!AC$6:AC$1291,'Salary sheet'!$E$6:$E$1291,'Compare months'!$D16)</f>
        <v>4600000</v>
      </c>
      <c r="V16" s="655">
        <f>+SUMIFS('Salary sheet'!AD$6:AD$1291,'Salary sheet'!$E$6:$E$1291,'Compare months'!$D16)</f>
        <v>641543</v>
      </c>
      <c r="W16" s="655">
        <f>+SUMIFS('Salary sheet'!AE$6:AE$1291,'Salary sheet'!$E$6:$E$1291,'Compare months'!$D16)</f>
        <v>5909408.5933764009</v>
      </c>
      <c r="X16" s="655"/>
      <c r="Y16" s="655">
        <f>+SUMIFS('Salary sheet'!AF$6:AF$1291,'Salary sheet'!$E$6:$E$1291,'Compare months'!$D16)</f>
        <v>0</v>
      </c>
      <c r="Z16" s="655">
        <f>+SUMIFS('Salary sheet'!AG$6:AG$1291,'Salary sheet'!$E$6:$E$1291,'Compare months'!$D16)</f>
        <v>1374920683</v>
      </c>
      <c r="AA16" s="655">
        <f>+SUMIFS('Salary sheet'!AH$6:AH$1291,'Salary sheet'!$E$6:$E$1291,'Compare months'!$D16)</f>
        <v>4779</v>
      </c>
      <c r="AB16" s="655">
        <f>+SUMIFS('Salary sheet'!AI$6:AI$1291,'Salary sheet'!$E$6:$E$1291,'Compare months'!$D16)</f>
        <v>0</v>
      </c>
      <c r="AC16" s="655">
        <f>+SUMIFS('Salary sheet'!AJ$6:AJ$1291,'Salary sheet'!$E$6:$E$1291,'Compare months'!$D16)</f>
        <v>0</v>
      </c>
      <c r="AD16" s="655">
        <f>+SUMIFS('Salary sheet'!AK$6:AK$1291,'Salary sheet'!$E$6:$E$1291,'Compare months'!$D16)</f>
        <v>0</v>
      </c>
      <c r="AE16" s="655">
        <f>+SUMIFS('Salary sheet'!AL$6:AL$1291,'Salary sheet'!$E$6:$E$1291,'Compare months'!$D16)</f>
        <v>0</v>
      </c>
      <c r="AF16" s="655">
        <f>+SUMIFS('Salary sheet'!AM$6:AM$1291,'Salary sheet'!$E$6:$E$1291,'Compare months'!$D16)</f>
        <v>213818382</v>
      </c>
      <c r="AG16" s="655">
        <f>+SUMIFS('Salary sheet'!AN$6:AN$1291,'Salary sheet'!$E$6:$E$1291,'Compare months'!$D16)</f>
        <v>1588739065</v>
      </c>
      <c r="AH16" s="655">
        <f>+SUMIFS('Salary sheet'!AO$6:AO$1291,'Salary sheet'!$E$6:$E$1291,'Compare months'!$D16)</f>
        <v>110001990</v>
      </c>
      <c r="AI16" s="655">
        <f>+SUMIFS('Salary sheet'!AP$6:AP$1291,'Salary sheet'!$E$6:$E$1291,'Compare months'!$D16)</f>
        <v>7320600</v>
      </c>
      <c r="AJ16" s="655">
        <f>+SUMIFS('Salary sheet'!AQ$6:AQ$1291,'Salary sheet'!$E$6:$E$1291,'Compare months'!$D16)</f>
        <v>500906</v>
      </c>
      <c r="AK16" s="655">
        <f>+SUMIFS('Salary sheet'!AR$6:AR$1291,'Salary sheet'!$E$6:$E$1291,'Compare months'!$D16)</f>
        <v>200000</v>
      </c>
      <c r="AL16" s="655">
        <f>+SUMIFS('Salary sheet'!AS$6:AS$1291,'Salary sheet'!$E$6:$E$1291,'Compare months'!$D16)</f>
        <v>0</v>
      </c>
      <c r="AM16" s="655">
        <f>+SUMIFS('Salary sheet'!AT$6:AT$1291,'Salary sheet'!$E$6:$E$1291,'Compare months'!$D16)</f>
        <v>1470715569</v>
      </c>
      <c r="AN16" s="654">
        <f>COUNTIF('Salary sheet'!$E$6:$E$1291,'Compare months'!D16)</f>
        <v>184</v>
      </c>
    </row>
    <row r="17" spans="3:40" ht="19.5" customHeight="1">
      <c r="C17" s="1607"/>
      <c r="D17" s="654" t="s">
        <v>220</v>
      </c>
      <c r="E17" s="655">
        <f>+SUMIFS('Salary sheet'!M$6:M$1291,'Salary sheet'!$E$6:$E$1291,'Compare months'!$D17)</f>
        <v>3490.9000000000005</v>
      </c>
      <c r="F17" s="655">
        <f>+SUMIFS('Salary sheet'!N$6:N$1291,'Salary sheet'!$E$6:$E$1291,'Compare months'!$D17)</f>
        <v>1577960151</v>
      </c>
      <c r="G17" s="655">
        <f>+SUMIFS('Salary sheet'!O$6:O$1291,'Salary sheet'!$E$6:$E$1291,'Compare months'!$D17)</f>
        <v>349</v>
      </c>
      <c r="H17" s="655">
        <f>+SUMIFS('Salary sheet'!P$6:P$1291,'Salary sheet'!$E$6:$E$1291,'Compare months'!$D17)</f>
        <v>153889071</v>
      </c>
      <c r="I17" s="655">
        <f>+SUMIFS('Salary sheet'!Q$6:Q$1291,'Salary sheet'!$E$6:$E$1291,'Compare months'!$D17)</f>
        <v>0</v>
      </c>
      <c r="J17" s="655">
        <f>+SUMIFS('Salary sheet'!R$6:R$1291,'Salary sheet'!$E$6:$E$1291,'Compare months'!$D17)</f>
        <v>0</v>
      </c>
      <c r="K17" s="655">
        <f>+SUMIFS('Salary sheet'!S$6:S$1291,'Salary sheet'!$E$6:$E$1291,'Compare months'!$D17)</f>
        <v>1731849222</v>
      </c>
      <c r="L17" s="655">
        <f>+SUMIFS('Salary sheet'!T$6:T$1291,'Salary sheet'!$E$6:$E$1291,'Compare months'!$D17)</f>
        <v>30930575</v>
      </c>
      <c r="M17" s="655">
        <f>+SUMIFS('Salary sheet'!U$6:U$1291,'Salary sheet'!$E$6:$E$1291,'Compare months'!$D17)</f>
        <v>1428000</v>
      </c>
      <c r="N17" s="655">
        <f>+SUMIFS('Salary sheet'!V$6:V$1291,'Salary sheet'!$E$6:$E$1291,'Compare months'!$D17)</f>
        <v>17746000</v>
      </c>
      <c r="O17" s="655">
        <f>+SUMIFS('Salary sheet'!W$6:W$1291,'Salary sheet'!$E$6:$E$1291,'Compare months'!$D17)</f>
        <v>39365000</v>
      </c>
      <c r="P17" s="655">
        <f>+SUMIFS('Salary sheet'!X$6:X$1291,'Salary sheet'!$E$6:$E$1291,'Compare months'!$D17)</f>
        <v>3646000</v>
      </c>
      <c r="Q17" s="655">
        <f>+SUMIFS('Salary sheet'!Y$6:Y$1291,'Salary sheet'!$E$6:$E$1291,'Compare months'!$D17)</f>
        <v>32810000</v>
      </c>
      <c r="R17" s="655">
        <f>+SUMIFS('Salary sheet'!Z$6:Z$1291,'Salary sheet'!$E$6:$E$1291,'Compare months'!$D17)</f>
        <v>12197192</v>
      </c>
      <c r="S17" s="655">
        <f>+SUMIFS('Salary sheet'!AA$6:AA$1291,'Salary sheet'!$E$6:$E$1291,'Compare months'!$D17)</f>
        <v>0</v>
      </c>
      <c r="T17" s="655">
        <f>+SUMIFS('Salary sheet'!AB$6:AB$1291,'Salary sheet'!$E$6:$E$1291,'Compare months'!$D17)</f>
        <v>0</v>
      </c>
      <c r="U17" s="655">
        <f>+SUMIFS('Salary sheet'!AC$6:AC$1291,'Salary sheet'!$E$6:$E$1291,'Compare months'!$D17)</f>
        <v>4000000</v>
      </c>
      <c r="V17" s="655">
        <f>+SUMIFS('Salary sheet'!AD$6:AD$1291,'Salary sheet'!$E$6:$E$1291,'Compare months'!$D17)</f>
        <v>1893424</v>
      </c>
      <c r="W17" s="655">
        <f>+SUMIFS('Salary sheet'!AE$6:AE$1291,'Salary sheet'!$E$6:$E$1291,'Compare months'!$D17)</f>
        <v>6958947.1435663607</v>
      </c>
      <c r="X17" s="655"/>
      <c r="Y17" s="655">
        <f>+SUMIFS('Salary sheet'!AF$6:AF$1291,'Salary sheet'!$E$6:$E$1291,'Compare months'!$D17)</f>
        <v>0</v>
      </c>
      <c r="Z17" s="655">
        <f>+SUMIFS('Salary sheet'!AG$6:AG$1291,'Salary sheet'!$E$6:$E$1291,'Compare months'!$D17)</f>
        <v>1882824359</v>
      </c>
      <c r="AA17" s="655">
        <f>+SUMIFS('Salary sheet'!AH$6:AH$1291,'Salary sheet'!$E$6:$E$1291,'Compare months'!$D17)</f>
        <v>2811.5</v>
      </c>
      <c r="AB17" s="655">
        <f>+SUMIFS('Salary sheet'!AI$6:AI$1291,'Salary sheet'!$E$6:$E$1291,'Compare months'!$D17)</f>
        <v>96</v>
      </c>
      <c r="AC17" s="655">
        <f>+SUMIFS('Salary sheet'!AJ$6:AJ$1291,'Salary sheet'!$E$6:$E$1291,'Compare months'!$D17)</f>
        <v>0</v>
      </c>
      <c r="AD17" s="655">
        <f>+SUMIFS('Salary sheet'!AK$6:AK$1291,'Salary sheet'!$E$6:$E$1291,'Compare months'!$D17)</f>
        <v>0</v>
      </c>
      <c r="AE17" s="655">
        <f>+SUMIFS('Salary sheet'!AL$6:AL$1291,'Salary sheet'!$E$6:$E$1291,'Compare months'!$D17)</f>
        <v>40</v>
      </c>
      <c r="AF17" s="655">
        <f>+SUMIFS('Salary sheet'!AM$6:AM$1291,'Salary sheet'!$E$6:$E$1291,'Compare months'!$D17)</f>
        <v>185524005</v>
      </c>
      <c r="AG17" s="655">
        <f>+SUMIFS('Salary sheet'!AN$6:AN$1291,'Salary sheet'!$E$6:$E$1291,'Compare months'!$D17)</f>
        <v>2068348364</v>
      </c>
      <c r="AH17" s="655">
        <f>+SUMIFS('Salary sheet'!AO$6:AO$1291,'Salary sheet'!$E$6:$E$1291,'Compare months'!$D17)</f>
        <v>183391110</v>
      </c>
      <c r="AI17" s="655">
        <f>+SUMIFS('Salary sheet'!AP$6:AP$1291,'Salary sheet'!$E$6:$E$1291,'Compare months'!$D17)</f>
        <v>6482700</v>
      </c>
      <c r="AJ17" s="655">
        <f>+SUMIFS('Salary sheet'!AQ$6:AQ$1291,'Salary sheet'!$E$6:$E$1291,'Compare months'!$D17)</f>
        <v>4983540</v>
      </c>
      <c r="AK17" s="655">
        <f>+SUMIFS('Salary sheet'!AR$6:AR$1291,'Salary sheet'!$E$6:$E$1291,'Compare months'!$D17)</f>
        <v>33500</v>
      </c>
      <c r="AL17" s="655">
        <f>+SUMIFS('Salary sheet'!AS$6:AS$1291,'Salary sheet'!$E$6:$E$1291,'Compare months'!$D17)</f>
        <v>555308</v>
      </c>
      <c r="AM17" s="655">
        <f>+SUMIFS('Salary sheet'!AT$6:AT$1291,'Salary sheet'!$E$6:$E$1291,'Compare months'!$D17)</f>
        <v>1872902206</v>
      </c>
      <c r="AN17" s="654">
        <f>COUNTIF('Salary sheet'!$E$6:$E$1291,'Compare months'!D17)</f>
        <v>155</v>
      </c>
    </row>
    <row r="18" spans="3:40" ht="19.5" customHeight="1">
      <c r="C18" s="1607"/>
      <c r="D18" s="654" t="s">
        <v>221</v>
      </c>
      <c r="E18" s="655">
        <f>+SUMIFS('Salary sheet'!M$6:M$1291,'Salary sheet'!$E$6:$E$1291,'Compare months'!$D18)</f>
        <v>10921.599999999988</v>
      </c>
      <c r="F18" s="655">
        <f>+SUMIFS('Salary sheet'!N$6:N$1291,'Salary sheet'!$E$6:$E$1291,'Compare months'!$D18)</f>
        <v>3322855741</v>
      </c>
      <c r="G18" s="655">
        <f>+SUMIFS('Salary sheet'!O$6:O$1291,'Salary sheet'!$E$6:$E$1291,'Compare months'!$D18)</f>
        <v>1126</v>
      </c>
      <c r="H18" s="655">
        <f>+SUMIFS('Salary sheet'!P$6:P$1291,'Salary sheet'!$E$6:$E$1291,'Compare months'!$D18)</f>
        <v>337936353</v>
      </c>
      <c r="I18" s="655">
        <f>+SUMIFS('Salary sheet'!Q$6:Q$1291,'Salary sheet'!$E$6:$E$1291,'Compare months'!$D18)</f>
        <v>2853</v>
      </c>
      <c r="J18" s="655">
        <f>+SUMIFS('Salary sheet'!R$6:R$1291,'Salary sheet'!$E$6:$E$1291,'Compare months'!$D18)</f>
        <v>38194574</v>
      </c>
      <c r="K18" s="655">
        <f>+SUMIFS('Salary sheet'!S$6:S$1291,'Salary sheet'!$E$6:$E$1291,'Compare months'!$D18)</f>
        <v>3698986668</v>
      </c>
      <c r="L18" s="655">
        <f>+SUMIFS('Salary sheet'!T$6:T$1291,'Salary sheet'!$E$6:$E$1291,'Compare months'!$D18)</f>
        <v>22547115</v>
      </c>
      <c r="M18" s="655">
        <f>+SUMIFS('Salary sheet'!U$6:U$1291,'Salary sheet'!$E$6:$E$1291,'Compare months'!$D18)</f>
        <v>16677000</v>
      </c>
      <c r="N18" s="655">
        <f>+SUMIFS('Salary sheet'!V$6:V$1291,'Salary sheet'!$E$6:$E$1291,'Compare months'!$D18)</f>
        <v>88332000</v>
      </c>
      <c r="O18" s="655">
        <f>+SUMIFS('Salary sheet'!W$6:W$1291,'Salary sheet'!$E$6:$E$1291,'Compare months'!$D18)</f>
        <v>188334000</v>
      </c>
      <c r="P18" s="655">
        <f>+SUMIFS('Salary sheet'!X$6:X$1291,'Salary sheet'!$E$6:$E$1291,'Compare months'!$D18)</f>
        <v>3164000</v>
      </c>
      <c r="Q18" s="655">
        <f>+SUMIFS('Salary sheet'!Y$6:Y$1291,'Salary sheet'!$E$6:$E$1291,'Compare months'!$D18)</f>
        <v>150050000</v>
      </c>
      <c r="R18" s="655">
        <f>+SUMIFS('Salary sheet'!Z$6:Z$1291,'Salary sheet'!$E$6:$E$1291,'Compare months'!$D18)</f>
        <v>179045209</v>
      </c>
      <c r="S18" s="655">
        <f>+SUMIFS('Salary sheet'!AA$6:AA$1291,'Salary sheet'!$E$6:$E$1291,'Compare months'!$D18)</f>
        <v>0</v>
      </c>
      <c r="T18" s="655">
        <f>+SUMIFS('Salary sheet'!AB$6:AB$1291,'Salary sheet'!$E$6:$E$1291,'Compare months'!$D18)</f>
        <v>0</v>
      </c>
      <c r="U18" s="655">
        <f>+SUMIFS('Salary sheet'!AC$6:AC$1291,'Salary sheet'!$E$6:$E$1291,'Compare months'!$D18)</f>
        <v>10500000</v>
      </c>
      <c r="V18" s="655">
        <f>+SUMIFS('Salary sheet'!AD$6:AD$1291,'Salary sheet'!$E$6:$E$1291,'Compare months'!$D18)</f>
        <v>1702728</v>
      </c>
      <c r="W18" s="655">
        <f>+SUMIFS('Salary sheet'!AE$6:AE$1291,'Salary sheet'!$E$6:$E$1291,'Compare months'!$D18)</f>
        <v>11540185.039198747</v>
      </c>
      <c r="X18" s="655"/>
      <c r="Y18" s="655">
        <f>+SUMIFS('Salary sheet'!AF$6:AF$1291,'Salary sheet'!$E$6:$E$1291,'Compare months'!$D18)</f>
        <v>0</v>
      </c>
      <c r="Z18" s="655">
        <f>+SUMIFS('Salary sheet'!AG$6:AG$1291,'Salary sheet'!$E$6:$E$1291,'Compare months'!$D18)</f>
        <v>4370878939</v>
      </c>
      <c r="AA18" s="655">
        <f>+SUMIFS('Salary sheet'!AH$6:AH$1291,'Salary sheet'!$E$6:$E$1291,'Compare months'!$D18)</f>
        <v>20307</v>
      </c>
      <c r="AB18" s="655">
        <f>+SUMIFS('Salary sheet'!AI$6:AI$1291,'Salary sheet'!$E$6:$E$1291,'Compare months'!$D18)</f>
        <v>440</v>
      </c>
      <c r="AC18" s="655">
        <f>+SUMIFS('Salary sheet'!AJ$6:AJ$1291,'Salary sheet'!$E$6:$E$1291,'Compare months'!$D18)</f>
        <v>287</v>
      </c>
      <c r="AD18" s="655">
        <f>+SUMIFS('Salary sheet'!AK$6:AK$1291,'Salary sheet'!$E$6:$E$1291,'Compare months'!$D18)</f>
        <v>0</v>
      </c>
      <c r="AE18" s="655">
        <f>+SUMIFS('Salary sheet'!AL$6:AL$1291,'Salary sheet'!$E$6:$E$1291,'Compare months'!$D18)</f>
        <v>96</v>
      </c>
      <c r="AF18" s="655">
        <f>+SUMIFS('Salary sheet'!AM$6:AM$1291,'Salary sheet'!$E$6:$E$1291,'Compare months'!$D18)</f>
        <v>1125374008</v>
      </c>
      <c r="AG18" s="655">
        <f>+SUMIFS('Salary sheet'!AN$6:AN$1291,'Salary sheet'!$E$6:$E$1291,'Compare months'!$D18)</f>
        <v>5496252947</v>
      </c>
      <c r="AH18" s="655">
        <f>+SUMIFS('Salary sheet'!AO$6:AO$1291,'Salary sheet'!$E$6:$E$1291,'Compare months'!$D18)</f>
        <v>381504267</v>
      </c>
      <c r="AI18" s="655">
        <f>+SUMIFS('Salary sheet'!AP$6:AP$1291,'Salary sheet'!$E$6:$E$1291,'Compare months'!$D18)</f>
        <v>19271700</v>
      </c>
      <c r="AJ18" s="655">
        <f>+SUMIFS('Salary sheet'!AQ$6:AQ$1291,'Salary sheet'!$E$6:$E$1291,'Compare months'!$D18)</f>
        <v>8813379</v>
      </c>
      <c r="AK18" s="655">
        <f>+SUMIFS('Salary sheet'!AR$6:AR$1291,'Salary sheet'!$E$6:$E$1291,'Compare months'!$D18)</f>
        <v>65000</v>
      </c>
      <c r="AL18" s="655">
        <f>+SUMIFS('Salary sheet'!AS$6:AS$1291,'Salary sheet'!$E$6:$E$1291,'Compare months'!$D18)</f>
        <v>2318898</v>
      </c>
      <c r="AM18" s="655">
        <f>+SUMIFS('Salary sheet'!AT$6:AT$1291,'Salary sheet'!$E$6:$E$1291,'Compare months'!$D18)</f>
        <v>5084279703</v>
      </c>
      <c r="AN18" s="654">
        <f>COUNTIF('Salary sheet'!$E$6:$E$1291,'Compare months'!D18)</f>
        <v>484</v>
      </c>
    </row>
    <row r="19" spans="3:40" ht="19.5" customHeight="1">
      <c r="D19" s="272"/>
      <c r="E19" s="659">
        <f>SUM(E14:E18)</f>
        <v>28967.599999999995</v>
      </c>
      <c r="F19" s="659">
        <f t="shared" ref="F19:W19" si="36">SUM(F14:F18)</f>
        <v>8563435282</v>
      </c>
      <c r="G19" s="659">
        <f t="shared" si="36"/>
        <v>2981</v>
      </c>
      <c r="H19" s="659">
        <f t="shared" si="36"/>
        <v>867626949</v>
      </c>
      <c r="I19" s="659">
        <f t="shared" si="36"/>
        <v>4497</v>
      </c>
      <c r="J19" s="659">
        <f t="shared" si="36"/>
        <v>53777886</v>
      </c>
      <c r="K19" s="659">
        <f t="shared" si="36"/>
        <v>9484840117</v>
      </c>
      <c r="L19" s="659">
        <f t="shared" si="36"/>
        <v>56913652</v>
      </c>
      <c r="M19" s="659">
        <f t="shared" si="36"/>
        <v>25779000</v>
      </c>
      <c r="N19" s="659">
        <f t="shared" si="36"/>
        <v>231155000</v>
      </c>
      <c r="O19" s="659">
        <f t="shared" si="36"/>
        <v>493890000</v>
      </c>
      <c r="P19" s="659">
        <f t="shared" si="36"/>
        <v>8492000</v>
      </c>
      <c r="Q19" s="659">
        <f t="shared" si="36"/>
        <v>399671000</v>
      </c>
      <c r="R19" s="659">
        <f t="shared" si="36"/>
        <v>474450374</v>
      </c>
      <c r="S19" s="659">
        <f t="shared" si="36"/>
        <v>0</v>
      </c>
      <c r="T19" s="659">
        <f t="shared" si="36"/>
        <v>0</v>
      </c>
      <c r="U19" s="659">
        <f t="shared" si="36"/>
        <v>27300000</v>
      </c>
      <c r="V19" s="659">
        <f t="shared" si="36"/>
        <v>5198981</v>
      </c>
      <c r="W19" s="659">
        <f t="shared" si="36"/>
        <v>36848639.323891021</v>
      </c>
      <c r="X19" s="659"/>
      <c r="Y19" s="659">
        <f t="shared" ref="Y19:AN19" si="37">SUM(Y14:Y18)</f>
        <v>0</v>
      </c>
      <c r="Z19" s="659">
        <f t="shared" si="37"/>
        <v>11244538840</v>
      </c>
      <c r="AA19" s="659">
        <f t="shared" si="37"/>
        <v>46478.5</v>
      </c>
      <c r="AB19" s="659">
        <f t="shared" si="37"/>
        <v>568</v>
      </c>
      <c r="AC19" s="659">
        <f t="shared" si="37"/>
        <v>423</v>
      </c>
      <c r="AD19" s="659">
        <f t="shared" si="37"/>
        <v>0</v>
      </c>
      <c r="AE19" s="659">
        <f t="shared" si="37"/>
        <v>136</v>
      </c>
      <c r="AF19" s="659">
        <f t="shared" si="37"/>
        <v>2398260244</v>
      </c>
      <c r="AG19" s="659">
        <f t="shared" si="37"/>
        <v>13642799084</v>
      </c>
      <c r="AH19" s="659">
        <f t="shared" si="37"/>
        <v>984662257</v>
      </c>
      <c r="AI19" s="659">
        <f t="shared" si="37"/>
        <v>52434900</v>
      </c>
      <c r="AJ19" s="659">
        <f t="shared" si="37"/>
        <v>15709951</v>
      </c>
      <c r="AK19" s="659">
        <f t="shared" si="37"/>
        <v>568500</v>
      </c>
      <c r="AL19" s="659">
        <f t="shared" si="37"/>
        <v>3199861</v>
      </c>
      <c r="AM19" s="659">
        <f t="shared" si="37"/>
        <v>12586223615</v>
      </c>
      <c r="AN19" s="659">
        <f t="shared" si="37"/>
        <v>1286</v>
      </c>
    </row>
    <row r="20" spans="3:40" ht="19.5" customHeight="1">
      <c r="D20" s="665"/>
      <c r="E20" s="665"/>
      <c r="F20" s="666"/>
      <c r="G20" s="667"/>
      <c r="H20" s="666"/>
      <c r="I20" s="667"/>
      <c r="J20" s="666"/>
      <c r="K20" s="666"/>
      <c r="L20" s="666"/>
      <c r="M20" s="666"/>
      <c r="N20" s="666"/>
      <c r="O20" s="666"/>
      <c r="P20" s="666"/>
      <c r="Q20" s="666"/>
      <c r="R20" s="666"/>
      <c r="S20" s="668"/>
      <c r="T20" s="666"/>
      <c r="U20" s="666"/>
      <c r="V20" s="666"/>
      <c r="W20" s="666"/>
      <c r="X20" s="669"/>
      <c r="Y20" s="669"/>
      <c r="Z20" s="669"/>
      <c r="AA20" s="657"/>
      <c r="AB20" s="657"/>
      <c r="AC20" s="657"/>
      <c r="AD20" s="670"/>
      <c r="AE20" s="670"/>
      <c r="AF20" s="671"/>
      <c r="AG20" s="672"/>
      <c r="AH20" s="671"/>
      <c r="AI20" s="673"/>
      <c r="AJ20" s="671"/>
      <c r="AK20" s="657"/>
      <c r="AL20" s="657"/>
      <c r="AM20" s="669"/>
      <c r="AN20" s="675"/>
    </row>
    <row r="21" spans="3:40" ht="21.75" customHeight="1">
      <c r="C21" s="1605" t="str">
        <f>C28&amp;" Vs "&amp;C42</f>
        <v>Mar 2025 Vs Feb 2025</v>
      </c>
      <c r="D21" s="654" t="s">
        <v>216</v>
      </c>
      <c r="E21" s="657">
        <f>+E28/E42</f>
        <v>1.1930461150576659</v>
      </c>
      <c r="F21" s="657">
        <f t="shared" ref="F21" si="38">+F28/F42</f>
        <v>1.0926811479319296</v>
      </c>
      <c r="G21" s="657">
        <f>+G28/G42</f>
        <v>2.9462738301559793E-2</v>
      </c>
      <c r="H21" s="657">
        <f t="shared" ref="H21" si="39">+H28/H42</f>
        <v>2.4401530140107142E-2</v>
      </c>
      <c r="I21" s="657"/>
      <c r="J21" s="657"/>
      <c r="K21" s="657">
        <f t="shared" ref="K21:L21" si="40">+K28/K42</f>
        <v>0.99624889834315167</v>
      </c>
      <c r="L21" s="657">
        <f t="shared" si="40"/>
        <v>0.82721197948313219</v>
      </c>
      <c r="M21" s="657"/>
      <c r="N21" s="657">
        <f t="shared" ref="N21:R21" si="41">+N28/N42</f>
        <v>1.0127368748058403</v>
      </c>
      <c r="O21" s="657">
        <f t="shared" si="41"/>
        <v>0.96480278134183184</v>
      </c>
      <c r="P21" s="657">
        <f t="shared" si="41"/>
        <v>0.71337987923736246</v>
      </c>
      <c r="Q21" s="657">
        <f t="shared" si="41"/>
        <v>0.99713979999176916</v>
      </c>
      <c r="R21" s="657">
        <f t="shared" si="41"/>
        <v>1.289359354757275</v>
      </c>
      <c r="S21" s="657"/>
      <c r="T21" s="657"/>
      <c r="U21" s="657">
        <f t="shared" ref="U21:W21" si="42">+U28/U42</f>
        <v>0.86538461538461542</v>
      </c>
      <c r="V21" s="657"/>
      <c r="W21" s="657">
        <f t="shared" si="42"/>
        <v>0.92914153653416964</v>
      </c>
      <c r="X21" s="657"/>
      <c r="Y21" s="657"/>
      <c r="Z21" s="657">
        <f t="shared" ref="Z21" si="43">+Z28/Z42</f>
        <v>1.0099733132891044</v>
      </c>
      <c r="AA21" s="657">
        <f>+AA28/AA42</f>
        <v>1.3224731881702958</v>
      </c>
      <c r="AB21" s="657"/>
      <c r="AC21" s="657"/>
      <c r="AD21" s="657" t="e">
        <f t="shared" ref="AD21:AF21" si="44">+AD28/AD42</f>
        <v>#DIV/0!</v>
      </c>
      <c r="AE21" s="657" t="e">
        <f t="shared" si="44"/>
        <v>#DIV/0!</v>
      </c>
      <c r="AF21" s="657">
        <f t="shared" si="44"/>
        <v>1.2098859034514267</v>
      </c>
      <c r="AG21" s="657">
        <f>+AG28/AG42</f>
        <v>1.0540366650202</v>
      </c>
      <c r="AH21" s="657">
        <f t="shared" ref="AH21:AJ21" si="45">+AH28/AH42</f>
        <v>0.98167156308396697</v>
      </c>
      <c r="AI21" s="657">
        <f t="shared" si="45"/>
        <v>1</v>
      </c>
      <c r="AJ21" s="657">
        <f t="shared" si="45"/>
        <v>0.94422169977051829</v>
      </c>
      <c r="AK21" s="657"/>
      <c r="AL21" s="657">
        <f t="shared" ref="AL21:AM21" si="46">+AL28/AL42</f>
        <v>2.3984962627620194</v>
      </c>
      <c r="AM21" s="657">
        <f t="shared" si="46"/>
        <v>1.0615978445733831</v>
      </c>
      <c r="AN21" s="503">
        <f>+AN28/AN42</f>
        <v>0.99319727891156462</v>
      </c>
    </row>
    <row r="22" spans="3:40" ht="21.75" customHeight="1">
      <c r="C22" s="1605"/>
      <c r="D22" s="654" t="s">
        <v>217</v>
      </c>
      <c r="E22" s="657">
        <f t="shared" ref="E22:R22" si="47">+E29/E43</f>
        <v>1.2437946755220359</v>
      </c>
      <c r="F22" s="657">
        <f t="shared" si="47"/>
        <v>1.14805235421093</v>
      </c>
      <c r="G22" s="657">
        <f t="shared" si="47"/>
        <v>3.4055727554179564E-2</v>
      </c>
      <c r="H22" s="657">
        <f t="shared" si="47"/>
        <v>2.9105973683163939E-2</v>
      </c>
      <c r="I22" s="657">
        <f t="shared" si="47"/>
        <v>1.2411038489469861</v>
      </c>
      <c r="J22" s="657">
        <f t="shared" si="47"/>
        <v>1.1327389974108883</v>
      </c>
      <c r="K22" s="657">
        <f t="shared" si="47"/>
        <v>1.053828936770282</v>
      </c>
      <c r="L22" s="657">
        <f t="shared" si="47"/>
        <v>1.0153839876928099</v>
      </c>
      <c r="M22" s="657">
        <f t="shared" si="47"/>
        <v>1.1983769161406672</v>
      </c>
      <c r="N22" s="657">
        <f t="shared" si="47"/>
        <v>1.0523625188380958</v>
      </c>
      <c r="O22" s="657">
        <f t="shared" si="47"/>
        <v>1.0802922947206486</v>
      </c>
      <c r="P22" s="657">
        <f t="shared" si="47"/>
        <v>0.46628307112681966</v>
      </c>
      <c r="Q22" s="657">
        <f t="shared" si="47"/>
        <v>1.1216826442610208</v>
      </c>
      <c r="R22" s="657">
        <f t="shared" si="47"/>
        <v>1.1944241516912779</v>
      </c>
      <c r="S22" s="657"/>
      <c r="T22" s="657"/>
      <c r="U22" s="657">
        <f t="shared" ref="U22" si="48">+U29/U43</f>
        <v>1</v>
      </c>
      <c r="V22" s="657"/>
      <c r="W22" s="657">
        <f t="shared" ref="W22" si="49">+W29/W43</f>
        <v>0.95647096375021901</v>
      </c>
      <c r="X22" s="657"/>
      <c r="Y22" s="657"/>
      <c r="Z22" s="657">
        <f t="shared" ref="Z22:AA22" si="50">+Z29/Z43</f>
        <v>1.0663188212906463</v>
      </c>
      <c r="AA22" s="657">
        <f t="shared" si="50"/>
        <v>0.95115882269301866</v>
      </c>
      <c r="AB22" s="657"/>
      <c r="AC22" s="657">
        <f t="shared" ref="AC22:AJ22" si="51">+AC29/AC43</f>
        <v>0.92957746478873238</v>
      </c>
      <c r="AD22" s="657" t="e">
        <f t="shared" si="51"/>
        <v>#DIV/0!</v>
      </c>
      <c r="AE22" s="657" t="e">
        <f t="shared" si="51"/>
        <v>#DIV/0!</v>
      </c>
      <c r="AF22" s="657">
        <f t="shared" si="51"/>
        <v>0.86083608137020629</v>
      </c>
      <c r="AG22" s="657">
        <f t="shared" si="51"/>
        <v>1.0211873554421547</v>
      </c>
      <c r="AH22" s="657">
        <f t="shared" si="51"/>
        <v>1.0433701874232568</v>
      </c>
      <c r="AI22" s="657">
        <f t="shared" si="51"/>
        <v>1.050314465408805</v>
      </c>
      <c r="AJ22" s="657">
        <f t="shared" si="51"/>
        <v>0.677917844848408</v>
      </c>
      <c r="AK22" s="657"/>
      <c r="AL22" s="657"/>
      <c r="AM22" s="657">
        <f t="shared" ref="AM22:AN22" si="52">+AM29/AM43</f>
        <v>1.0191865645715092</v>
      </c>
      <c r="AN22" s="503">
        <f t="shared" si="52"/>
        <v>0.98907103825136611</v>
      </c>
    </row>
    <row r="23" spans="3:40" ht="21.75" customHeight="1">
      <c r="C23" s="1605"/>
      <c r="D23" s="654" t="s">
        <v>218</v>
      </c>
      <c r="E23" s="657">
        <f t="shared" ref="E23:H23" si="53">+E30/E44</f>
        <v>1.1486656803112498</v>
      </c>
      <c r="F23" s="657">
        <f t="shared" si="53"/>
        <v>1.0653701247896987</v>
      </c>
      <c r="G23" s="657">
        <f t="shared" si="53"/>
        <v>2.865329512893983E-2</v>
      </c>
      <c r="H23" s="657">
        <f t="shared" si="53"/>
        <v>2.3835875089786147E-2</v>
      </c>
      <c r="I23" s="657"/>
      <c r="J23" s="657"/>
      <c r="K23" s="657">
        <f t="shared" ref="K23:L23" si="54">+K30/K44</f>
        <v>0.97442799498038912</v>
      </c>
      <c r="L23" s="657">
        <f t="shared" si="54"/>
        <v>0.9780688252552826</v>
      </c>
      <c r="M23" s="657"/>
      <c r="N23" s="657">
        <f t="shared" ref="N23:R23" si="55">+N30/N44</f>
        <v>0.96434875712590795</v>
      </c>
      <c r="O23" s="657">
        <f t="shared" si="55"/>
        <v>0.95806082406801829</v>
      </c>
      <c r="P23" s="657">
        <f t="shared" si="55"/>
        <v>0.36806248228699306</v>
      </c>
      <c r="Q23" s="657">
        <f t="shared" si="55"/>
        <v>1.0611362402750135</v>
      </c>
      <c r="R23" s="657">
        <f t="shared" si="55"/>
        <v>1.6253451076305734</v>
      </c>
      <c r="S23" s="657"/>
      <c r="T23" s="657"/>
      <c r="U23" s="657">
        <f t="shared" ref="U23:W23" si="56">+U30/U44</f>
        <v>1</v>
      </c>
      <c r="V23" s="657"/>
      <c r="W23" s="657">
        <f t="shared" si="56"/>
        <v>0.87612719926275107</v>
      </c>
      <c r="X23" s="657"/>
      <c r="Y23" s="657"/>
      <c r="Z23" s="657">
        <f t="shared" ref="Z23:AA23" si="57">+Z30/Z44</f>
        <v>1.0037199770132834</v>
      </c>
      <c r="AA23" s="657">
        <f t="shared" si="57"/>
        <v>1.682004336304505</v>
      </c>
      <c r="AB23" s="657"/>
      <c r="AC23" s="657"/>
      <c r="AD23" s="657" t="e">
        <f t="shared" ref="AD23:AJ23" si="58">+AD30/AD44</f>
        <v>#DIV/0!</v>
      </c>
      <c r="AE23" s="657" t="e">
        <f t="shared" si="58"/>
        <v>#DIV/0!</v>
      </c>
      <c r="AF23" s="657">
        <f t="shared" si="58"/>
        <v>1.566747062014437</v>
      </c>
      <c r="AG23" s="657">
        <f t="shared" si="58"/>
        <v>1.0797490761713404</v>
      </c>
      <c r="AH23" s="657">
        <f t="shared" si="58"/>
        <v>0.94744294398136353</v>
      </c>
      <c r="AI23" s="657">
        <f t="shared" si="58"/>
        <v>0.93678160919540232</v>
      </c>
      <c r="AJ23" s="657">
        <f t="shared" si="58"/>
        <v>0.71455638749611616</v>
      </c>
      <c r="AK23" s="657"/>
      <c r="AL23" s="657"/>
      <c r="AM23" s="657">
        <f t="shared" ref="AM23:AN23" si="59">+AM30/AM44</f>
        <v>1.0954997317445254</v>
      </c>
      <c r="AN23" s="503">
        <f t="shared" si="59"/>
        <v>0.97802197802197799</v>
      </c>
    </row>
    <row r="24" spans="3:40" ht="21.75" customHeight="1">
      <c r="C24" s="1605"/>
      <c r="D24" s="654" t="s">
        <v>220</v>
      </c>
      <c r="E24" s="657">
        <f t="shared" ref="E24:H24" si="60">+E31/E45</f>
        <v>1.1824463982724045</v>
      </c>
      <c r="F24" s="657">
        <f t="shared" si="60"/>
        <v>1.0799851817276203</v>
      </c>
      <c r="G24" s="657">
        <f t="shared" si="60"/>
        <v>2.5889967637540454E-2</v>
      </c>
      <c r="H24" s="657">
        <f t="shared" si="60"/>
        <v>2.3953915699781638E-2</v>
      </c>
      <c r="I24" s="657"/>
      <c r="J24" s="657"/>
      <c r="K24" s="657">
        <f t="shared" ref="K24:R24" si="61">+K31/K45</f>
        <v>0.98849429124065835</v>
      </c>
      <c r="L24" s="657">
        <f t="shared" si="61"/>
        <v>0.98286407537700127</v>
      </c>
      <c r="M24" s="657">
        <f t="shared" si="61"/>
        <v>0.8928571428571429</v>
      </c>
      <c r="N24" s="657">
        <f t="shared" si="61"/>
        <v>0.99878284923928073</v>
      </c>
      <c r="O24" s="657">
        <f t="shared" si="61"/>
        <v>0.96227056424201218</v>
      </c>
      <c r="P24" s="657">
        <f t="shared" si="61"/>
        <v>0.87789446484492606</v>
      </c>
      <c r="Q24" s="657">
        <f t="shared" si="61"/>
        <v>0.97321114884646909</v>
      </c>
      <c r="R24" s="657">
        <f t="shared" si="61"/>
        <v>1.3251850366248612</v>
      </c>
      <c r="S24" s="657"/>
      <c r="T24" s="657"/>
      <c r="U24" s="657">
        <f t="shared" ref="U24:W24" si="62">+U31/U45</f>
        <v>0.97674418604651159</v>
      </c>
      <c r="V24" s="657">
        <f t="shared" si="62"/>
        <v>1.2413337931034483</v>
      </c>
      <c r="W24" s="657">
        <f t="shared" si="62"/>
        <v>0.92316950363251271</v>
      </c>
      <c r="X24" s="657"/>
      <c r="Y24" s="657"/>
      <c r="Z24" s="657">
        <f t="shared" ref="Z24:AB24" si="63">+Z31/Z45</f>
        <v>0.98952255890730756</v>
      </c>
      <c r="AA24" s="657">
        <f t="shared" si="63"/>
        <v>1.3109662576687116</v>
      </c>
      <c r="AB24" s="657">
        <f t="shared" si="63"/>
        <v>0.17424242424242425</v>
      </c>
      <c r="AC24" s="657"/>
      <c r="AD24" s="657" t="e">
        <f t="shared" ref="AD24:AJ24" si="64">+AD31/AD45</f>
        <v>#DIV/0!</v>
      </c>
      <c r="AE24" s="657" t="e">
        <f t="shared" si="64"/>
        <v>#DIV/0!</v>
      </c>
      <c r="AF24" s="657">
        <f t="shared" si="64"/>
        <v>1.1389658925204575</v>
      </c>
      <c r="AG24" s="657">
        <f t="shared" si="64"/>
        <v>1.0024715840578899</v>
      </c>
      <c r="AH24" s="657">
        <f t="shared" si="64"/>
        <v>0.99834829809217518</v>
      </c>
      <c r="AI24" s="657">
        <f t="shared" si="64"/>
        <v>1.0066666666666666</v>
      </c>
      <c r="AJ24" s="657">
        <f t="shared" si="64"/>
        <v>0.81293468654140577</v>
      </c>
      <c r="AK24" s="657"/>
      <c r="AL24" s="657"/>
      <c r="AM24" s="657">
        <f t="shared" ref="AM24:AN24" si="65">+AM31/AM45</f>
        <v>1.0056225732905</v>
      </c>
      <c r="AN24" s="503">
        <f t="shared" si="65"/>
        <v>1.0129032258064516</v>
      </c>
    </row>
    <row r="25" spans="3:40" s="653" customFormat="1" ht="21.75" customHeight="1">
      <c r="C25" s="1605"/>
      <c r="D25" s="656" t="s">
        <v>221</v>
      </c>
      <c r="E25" s="657">
        <f t="shared" ref="E25:R25" si="66">+E32/E46</f>
        <v>1.2370352931104582</v>
      </c>
      <c r="F25" s="657">
        <f t="shared" si="66"/>
        <v>1.1239355615743998</v>
      </c>
      <c r="G25" s="657">
        <f t="shared" si="66"/>
        <v>4.6750285062713795E-2</v>
      </c>
      <c r="H25" s="657">
        <f t="shared" si="66"/>
        <v>4.0654351504119862E-2</v>
      </c>
      <c r="I25" s="657">
        <f t="shared" si="66"/>
        <v>1.2343858031804564</v>
      </c>
      <c r="J25" s="657">
        <f t="shared" si="66"/>
        <v>1.1972077724758412</v>
      </c>
      <c r="K25" s="657">
        <f t="shared" si="66"/>
        <v>1.0308130878612418</v>
      </c>
      <c r="L25" s="657">
        <f t="shared" si="66"/>
        <v>0.98107699888641375</v>
      </c>
      <c r="M25" s="657">
        <f t="shared" si="66"/>
        <v>1.2988804998698256</v>
      </c>
      <c r="N25" s="657">
        <f t="shared" si="66"/>
        <v>1.053545799138851</v>
      </c>
      <c r="O25" s="657">
        <f t="shared" si="66"/>
        <v>1.0547055477519938</v>
      </c>
      <c r="P25" s="657">
        <f t="shared" si="66"/>
        <v>1.4160281289506953</v>
      </c>
      <c r="Q25" s="657">
        <f t="shared" si="66"/>
        <v>1.0158862637676196</v>
      </c>
      <c r="R25" s="657">
        <f t="shared" si="66"/>
        <v>1.1618769825489428</v>
      </c>
      <c r="S25" s="657"/>
      <c r="T25" s="657"/>
      <c r="U25" s="657">
        <f t="shared" ref="U25:W25" si="67">+U32/U46</f>
        <v>0.99</v>
      </c>
      <c r="V25" s="657"/>
      <c r="W25" s="657">
        <f t="shared" si="67"/>
        <v>0.93905430849277505</v>
      </c>
      <c r="X25" s="657"/>
      <c r="Y25" s="657"/>
      <c r="Z25" s="657">
        <f t="shared" ref="Z25:AA25" si="68">+Z32/Z46</f>
        <v>1.0375767937131577</v>
      </c>
      <c r="AA25" s="657">
        <f t="shared" si="68"/>
        <v>2.1136139427819796</v>
      </c>
      <c r="AB25" s="657"/>
      <c r="AC25" s="657">
        <f t="shared" ref="AC25:AL25" si="69">+AC32/AC46</f>
        <v>3.8214285714285716</v>
      </c>
      <c r="AD25" s="657" t="e">
        <f t="shared" si="69"/>
        <v>#DIV/0!</v>
      </c>
      <c r="AE25" s="657" t="e">
        <f t="shared" si="69"/>
        <v>#DIV/0!</v>
      </c>
      <c r="AF25" s="657">
        <f t="shared" si="69"/>
        <v>2.1120239297985077</v>
      </c>
      <c r="AG25" s="657">
        <f t="shared" si="69"/>
        <v>1.123545029211884</v>
      </c>
      <c r="AH25" s="657">
        <f t="shared" si="69"/>
        <v>0.99992503404700284</v>
      </c>
      <c r="AI25" s="657">
        <f t="shared" si="69"/>
        <v>1</v>
      </c>
      <c r="AJ25" s="657">
        <f t="shared" si="69"/>
        <v>1.8597745008947146</v>
      </c>
      <c r="AK25" s="657">
        <f t="shared" si="69"/>
        <v>8.7241003271537627E-3</v>
      </c>
      <c r="AL25" s="657">
        <f t="shared" si="69"/>
        <v>15.299981087470449</v>
      </c>
      <c r="AM25" s="657">
        <f t="shared" ref="AM25:AN25" si="70">+AM32/AM46</f>
        <v>1.1365264719970907</v>
      </c>
      <c r="AN25" s="503">
        <f t="shared" si="70"/>
        <v>1.0522875816993464</v>
      </c>
    </row>
    <row r="26" spans="3:40" s="492" customFormat="1" ht="21.75" customHeight="1">
      <c r="D26" s="676" t="s">
        <v>79</v>
      </c>
      <c r="E26" s="677">
        <f>+E33/E47</f>
        <v>1.2084421303693771</v>
      </c>
      <c r="F26" s="677">
        <f t="shared" ref="F26:AJ26" si="71">+F33/F47</f>
        <v>1.1054475308898464</v>
      </c>
      <c r="G26" s="677">
        <f t="shared" si="71"/>
        <v>3.572895277207392E-2</v>
      </c>
      <c r="H26" s="677">
        <f t="shared" si="71"/>
        <v>3.0909354497350876E-2</v>
      </c>
      <c r="I26" s="677">
        <f t="shared" si="71"/>
        <v>1.2369942196531791</v>
      </c>
      <c r="J26" s="677">
        <f t="shared" si="71"/>
        <v>1.1757072868434315</v>
      </c>
      <c r="K26" s="677">
        <f t="shared" si="71"/>
        <v>1.0122240508732598</v>
      </c>
      <c r="L26" s="677">
        <f t="shared" si="71"/>
        <v>0.97508005418669041</v>
      </c>
      <c r="M26" s="677">
        <f t="shared" si="71"/>
        <v>1.2366798418972331</v>
      </c>
      <c r="N26" s="677">
        <f t="shared" si="71"/>
        <v>1.0250544417753631</v>
      </c>
      <c r="O26" s="677">
        <f t="shared" si="71"/>
        <v>1.0125590711884092</v>
      </c>
      <c r="P26" s="677">
        <f t="shared" si="71"/>
        <v>0.9718121075102798</v>
      </c>
      <c r="Q26" s="677">
        <f t="shared" si="71"/>
        <v>1.0288520113433464</v>
      </c>
      <c r="R26" s="677">
        <f t="shared" si="71"/>
        <v>1.2729817104229921</v>
      </c>
      <c r="S26" s="677" t="e">
        <f t="shared" si="71"/>
        <v>#DIV/0!</v>
      </c>
      <c r="T26" s="677" t="e">
        <f t="shared" si="71"/>
        <v>#DIV/0!</v>
      </c>
      <c r="U26" s="677">
        <f t="shared" si="71"/>
        <v>0.96678966789667897</v>
      </c>
      <c r="V26" s="677">
        <f t="shared" si="71"/>
        <v>6.0149855172413798</v>
      </c>
      <c r="W26" s="677">
        <f t="shared" si="71"/>
        <v>0.92461697593422854</v>
      </c>
      <c r="X26" s="677" t="e">
        <f t="shared" si="71"/>
        <v>#DIV/0!</v>
      </c>
      <c r="Y26" s="677" t="e">
        <f t="shared" si="71"/>
        <v>#DIV/0!</v>
      </c>
      <c r="Z26" s="677">
        <f t="shared" si="71"/>
        <v>1.0229826064034451</v>
      </c>
      <c r="AA26" s="677">
        <f t="shared" si="71"/>
        <v>1.4362842582810267</v>
      </c>
      <c r="AB26" s="677">
        <f t="shared" si="71"/>
        <v>1.0754716981132075</v>
      </c>
      <c r="AC26" s="677">
        <f t="shared" si="71"/>
        <v>2.1104166666666666</v>
      </c>
      <c r="AD26" s="677" t="e">
        <f t="shared" si="71"/>
        <v>#DIV/0!</v>
      </c>
      <c r="AE26" s="677" t="e">
        <f t="shared" si="71"/>
        <v>#DIV/0!</v>
      </c>
      <c r="AF26" s="677">
        <f t="shared" si="71"/>
        <v>1.352553276849612</v>
      </c>
      <c r="AG26" s="677">
        <f t="shared" si="71"/>
        <v>1.0685090989526571</v>
      </c>
      <c r="AH26" s="677">
        <f t="shared" si="71"/>
        <v>0.99498316080032856</v>
      </c>
      <c r="AI26" s="677">
        <f t="shared" si="71"/>
        <v>0.99830795262267347</v>
      </c>
      <c r="AJ26" s="677">
        <f t="shared" si="71"/>
        <v>1.1369233252063642</v>
      </c>
      <c r="AK26" s="677">
        <f>+AK33/AK47</f>
        <v>1.4638396747022945E-2</v>
      </c>
      <c r="AL26" s="677">
        <f t="shared" ref="AL26:AN26" si="72">+AL33/AL47</f>
        <v>13.388946382274124</v>
      </c>
      <c r="AM26" s="677">
        <f t="shared" si="72"/>
        <v>1.0768125615564239</v>
      </c>
      <c r="AN26" s="677">
        <f t="shared" si="72"/>
        <v>1.01413982717989</v>
      </c>
    </row>
    <row r="27" spans="3:40" ht="21.75" customHeight="1">
      <c r="J27" s="349"/>
    </row>
    <row r="28" spans="3:40" ht="19.5" customHeight="1">
      <c r="C28" s="1608" t="s">
        <v>783</v>
      </c>
      <c r="D28" s="654" t="s">
        <v>216</v>
      </c>
      <c r="E28" s="655">
        <v>7003.3000000000065</v>
      </c>
      <c r="F28" s="655">
        <v>1756822386</v>
      </c>
      <c r="G28" s="655">
        <v>17</v>
      </c>
      <c r="H28" s="655">
        <v>3892922</v>
      </c>
      <c r="I28" s="655">
        <v>0</v>
      </c>
      <c r="J28" s="655">
        <v>0</v>
      </c>
      <c r="K28" s="655">
        <v>1760715308</v>
      </c>
      <c r="L28" s="655">
        <v>2213654</v>
      </c>
      <c r="M28" s="655">
        <v>0</v>
      </c>
      <c r="N28" s="655">
        <v>55420000</v>
      </c>
      <c r="O28" s="655">
        <v>116553000</v>
      </c>
      <c r="P28" s="655">
        <v>1282000</v>
      </c>
      <c r="Q28" s="655">
        <v>96918000</v>
      </c>
      <c r="R28" s="655">
        <v>144969707</v>
      </c>
      <c r="S28" s="655">
        <v>0</v>
      </c>
      <c r="T28" s="655">
        <v>0</v>
      </c>
      <c r="U28" s="655">
        <v>4500000</v>
      </c>
      <c r="V28" s="655">
        <v>2169333</v>
      </c>
      <c r="W28" s="655">
        <v>9052110.5743721724</v>
      </c>
      <c r="X28" s="655"/>
      <c r="Y28" s="655">
        <v>0</v>
      </c>
      <c r="Z28" s="655">
        <v>2193793131</v>
      </c>
      <c r="AA28" s="655">
        <v>16277</v>
      </c>
      <c r="AB28" s="655">
        <v>0</v>
      </c>
      <c r="AC28" s="655">
        <v>0</v>
      </c>
      <c r="AD28" s="655">
        <v>0</v>
      </c>
      <c r="AE28" s="655">
        <v>0</v>
      </c>
      <c r="AF28" s="655">
        <v>743024331</v>
      </c>
      <c r="AG28" s="655">
        <v>2936817462</v>
      </c>
      <c r="AH28" s="655">
        <v>185471194</v>
      </c>
      <c r="AI28" s="655">
        <v>12039300</v>
      </c>
      <c r="AJ28" s="655">
        <v>470297</v>
      </c>
      <c r="AK28" s="655">
        <v>35000</v>
      </c>
      <c r="AL28" s="655">
        <v>813781</v>
      </c>
      <c r="AM28" s="655">
        <v>2737987890</v>
      </c>
      <c r="AN28" s="654">
        <v>292</v>
      </c>
    </row>
    <row r="29" spans="3:40" ht="19.5" customHeight="1">
      <c r="C29" s="1609"/>
      <c r="D29" s="654" t="s">
        <v>217</v>
      </c>
      <c r="E29" s="655">
        <v>4419.7000000000035</v>
      </c>
      <c r="F29" s="655">
        <v>1135797296</v>
      </c>
      <c r="G29" s="655">
        <v>11</v>
      </c>
      <c r="H29" s="655">
        <v>2679308</v>
      </c>
      <c r="I29" s="655">
        <v>1709</v>
      </c>
      <c r="J29" s="655">
        <v>15959162</v>
      </c>
      <c r="K29" s="655">
        <v>1154435766</v>
      </c>
      <c r="L29" s="655">
        <v>423077</v>
      </c>
      <c r="M29" s="655">
        <v>7974000</v>
      </c>
      <c r="N29" s="655">
        <v>35613000</v>
      </c>
      <c r="O29" s="655">
        <v>73031000</v>
      </c>
      <c r="P29" s="655">
        <v>200000</v>
      </c>
      <c r="Q29" s="655">
        <v>60609000</v>
      </c>
      <c r="R29" s="655">
        <v>81649766</v>
      </c>
      <c r="S29" s="655">
        <v>0</v>
      </c>
      <c r="T29" s="655">
        <v>0</v>
      </c>
      <c r="U29" s="655">
        <v>3000000</v>
      </c>
      <c r="V29" s="655">
        <v>1450830</v>
      </c>
      <c r="W29" s="655">
        <v>3402540.8585158368</v>
      </c>
      <c r="X29" s="655"/>
      <c r="Y29" s="655">
        <v>0</v>
      </c>
      <c r="Z29" s="655">
        <v>1421788977</v>
      </c>
      <c r="AA29" s="655">
        <v>6689.5</v>
      </c>
      <c r="AB29" s="655">
        <v>32</v>
      </c>
      <c r="AC29" s="655">
        <v>132</v>
      </c>
      <c r="AD29" s="655">
        <v>0</v>
      </c>
      <c r="AE29" s="655">
        <v>0</v>
      </c>
      <c r="AF29" s="655">
        <v>323054321</v>
      </c>
      <c r="AG29" s="655">
        <v>1744843298</v>
      </c>
      <c r="AH29" s="655">
        <v>119930374</v>
      </c>
      <c r="AI29" s="655">
        <v>7364700</v>
      </c>
      <c r="AJ29" s="655">
        <v>555734</v>
      </c>
      <c r="AK29" s="655">
        <v>0</v>
      </c>
      <c r="AL29" s="655">
        <v>3324744</v>
      </c>
      <c r="AM29" s="655">
        <v>1613667746</v>
      </c>
      <c r="AN29" s="654">
        <v>181</v>
      </c>
    </row>
    <row r="30" spans="3:40" ht="19.5" customHeight="1">
      <c r="C30" s="1609"/>
      <c r="D30" s="654" t="s">
        <v>218</v>
      </c>
      <c r="E30" s="655">
        <v>4192.4000000000005</v>
      </c>
      <c r="F30" s="655">
        <v>1028332917</v>
      </c>
      <c r="G30" s="655">
        <v>10</v>
      </c>
      <c r="H30" s="655">
        <v>2201077</v>
      </c>
      <c r="I30" s="655">
        <v>0</v>
      </c>
      <c r="J30" s="655">
        <v>0</v>
      </c>
      <c r="K30" s="655">
        <v>1030533994</v>
      </c>
      <c r="L30" s="655">
        <v>670385</v>
      </c>
      <c r="M30" s="655">
        <v>0</v>
      </c>
      <c r="N30" s="655">
        <v>33325000</v>
      </c>
      <c r="O30" s="655">
        <v>70314000</v>
      </c>
      <c r="P30" s="655">
        <v>200000</v>
      </c>
      <c r="Q30" s="655">
        <v>58649000</v>
      </c>
      <c r="R30" s="655">
        <v>87224376</v>
      </c>
      <c r="S30" s="655">
        <v>0</v>
      </c>
      <c r="T30" s="655">
        <v>0</v>
      </c>
      <c r="U30" s="655">
        <v>4600000</v>
      </c>
      <c r="V30" s="655">
        <v>372182</v>
      </c>
      <c r="W30" s="655">
        <v>5733403.8291532546</v>
      </c>
      <c r="X30" s="655"/>
      <c r="Y30" s="655">
        <v>0</v>
      </c>
      <c r="Z30" s="655">
        <v>1291622369</v>
      </c>
      <c r="AA30" s="655">
        <v>6982</v>
      </c>
      <c r="AB30" s="655">
        <v>0</v>
      </c>
      <c r="AC30" s="655">
        <v>0</v>
      </c>
      <c r="AD30" s="655">
        <v>0</v>
      </c>
      <c r="AE30" s="655">
        <v>0</v>
      </c>
      <c r="AF30" s="655">
        <v>314756392</v>
      </c>
      <c r="AG30" s="655">
        <v>1606378761</v>
      </c>
      <c r="AH30" s="655">
        <v>109322220</v>
      </c>
      <c r="AI30" s="655">
        <v>7188300</v>
      </c>
      <c r="AJ30" s="655">
        <v>703728</v>
      </c>
      <c r="AK30" s="655">
        <v>130000</v>
      </c>
      <c r="AL30" s="655">
        <v>0</v>
      </c>
      <c r="AM30" s="655">
        <v>1489034513</v>
      </c>
      <c r="AN30" s="654">
        <v>178</v>
      </c>
    </row>
    <row r="31" spans="3:40" ht="19.5" customHeight="1">
      <c r="C31" s="1609"/>
      <c r="D31" s="654" t="s">
        <v>220</v>
      </c>
      <c r="E31" s="655">
        <v>3832.9000000000015</v>
      </c>
      <c r="F31" s="655">
        <v>1730923944</v>
      </c>
      <c r="G31" s="655">
        <v>8</v>
      </c>
      <c r="H31" s="655">
        <v>3641616</v>
      </c>
      <c r="I31" s="655">
        <v>0</v>
      </c>
      <c r="J31" s="655">
        <v>0</v>
      </c>
      <c r="K31" s="655">
        <v>1734565560</v>
      </c>
      <c r="L31" s="655">
        <v>30567689</v>
      </c>
      <c r="M31" s="655">
        <v>525000</v>
      </c>
      <c r="N31" s="655">
        <v>18053000</v>
      </c>
      <c r="O31" s="655">
        <v>39634000</v>
      </c>
      <c r="P31" s="655">
        <v>3703231</v>
      </c>
      <c r="Q31" s="655">
        <v>33241000</v>
      </c>
      <c r="R31" s="655">
        <v>16769941</v>
      </c>
      <c r="S31" s="655">
        <v>0</v>
      </c>
      <c r="T31" s="655">
        <v>0</v>
      </c>
      <c r="U31" s="655">
        <v>4200000</v>
      </c>
      <c r="V31" s="655">
        <v>1799934</v>
      </c>
      <c r="W31" s="655">
        <v>7047497.6057784548</v>
      </c>
      <c r="X31" s="655"/>
      <c r="Y31" s="655">
        <v>0</v>
      </c>
      <c r="Z31" s="655">
        <v>1890106851</v>
      </c>
      <c r="AA31" s="655">
        <v>3419</v>
      </c>
      <c r="AB31" s="655">
        <v>11.5</v>
      </c>
      <c r="AC31" s="655">
        <v>0</v>
      </c>
      <c r="AD31" s="655">
        <v>0</v>
      </c>
      <c r="AE31" s="655">
        <v>0</v>
      </c>
      <c r="AF31" s="655">
        <v>206392498</v>
      </c>
      <c r="AG31" s="655">
        <v>2096499349</v>
      </c>
      <c r="AH31" s="655">
        <v>187287555</v>
      </c>
      <c r="AI31" s="655">
        <v>6659100</v>
      </c>
      <c r="AJ31" s="655">
        <v>4431585</v>
      </c>
      <c r="AK31" s="655">
        <v>133000</v>
      </c>
      <c r="AL31" s="655">
        <v>0</v>
      </c>
      <c r="AM31" s="655">
        <v>1897988109</v>
      </c>
      <c r="AN31" s="654">
        <v>157</v>
      </c>
    </row>
    <row r="32" spans="3:40" ht="19.5" customHeight="1">
      <c r="C32" s="1609"/>
      <c r="D32" s="654" t="s">
        <v>221</v>
      </c>
      <c r="E32" s="655">
        <v>11559.599999999991</v>
      </c>
      <c r="F32" s="655">
        <v>3518022818</v>
      </c>
      <c r="G32" s="655">
        <v>41</v>
      </c>
      <c r="H32" s="655">
        <v>12160153</v>
      </c>
      <c r="I32" s="655">
        <v>2678</v>
      </c>
      <c r="J32" s="655">
        <v>33709286</v>
      </c>
      <c r="K32" s="655">
        <v>3563892257</v>
      </c>
      <c r="L32" s="655">
        <v>22048075</v>
      </c>
      <c r="M32" s="655">
        <v>14967000</v>
      </c>
      <c r="N32" s="655">
        <v>85884000</v>
      </c>
      <c r="O32" s="655">
        <v>181711000</v>
      </c>
      <c r="P32" s="655">
        <v>4480313</v>
      </c>
      <c r="Q32" s="655">
        <v>142411000</v>
      </c>
      <c r="R32" s="655">
        <v>167754485</v>
      </c>
      <c r="S32" s="655">
        <v>0</v>
      </c>
      <c r="T32" s="655">
        <v>0</v>
      </c>
      <c r="U32" s="655">
        <v>9900000</v>
      </c>
      <c r="V32" s="655">
        <v>2929450</v>
      </c>
      <c r="W32" s="655">
        <v>11120567.315288255</v>
      </c>
      <c r="X32" s="655"/>
      <c r="Y32" s="655">
        <v>0</v>
      </c>
      <c r="Z32" s="655">
        <v>4207098177</v>
      </c>
      <c r="AA32" s="655">
        <v>12855</v>
      </c>
      <c r="AB32" s="655">
        <v>156</v>
      </c>
      <c r="AC32" s="655">
        <v>374.5</v>
      </c>
      <c r="AD32" s="655">
        <v>0</v>
      </c>
      <c r="AE32" s="655">
        <v>0</v>
      </c>
      <c r="AF32" s="655">
        <v>744786577</v>
      </c>
      <c r="AG32" s="655">
        <v>4951884754</v>
      </c>
      <c r="AH32" s="655">
        <v>365698608</v>
      </c>
      <c r="AI32" s="655">
        <v>18786600</v>
      </c>
      <c r="AJ32" s="655">
        <v>6829317</v>
      </c>
      <c r="AK32" s="655">
        <v>80000</v>
      </c>
      <c r="AL32" s="655">
        <v>3235946</v>
      </c>
      <c r="AM32" s="655">
        <v>4557254283</v>
      </c>
      <c r="AN32" s="654">
        <v>483</v>
      </c>
    </row>
    <row r="33" spans="3:40" ht="19.5" customHeight="1">
      <c r="D33" s="272"/>
      <c r="E33" s="659">
        <f>SUM(E28:E32)</f>
        <v>31007.900000000005</v>
      </c>
      <c r="F33" s="659">
        <f t="shared" ref="F33:W33" si="73">SUM(F28:F32)</f>
        <v>9169899361</v>
      </c>
      <c r="G33" s="659">
        <f t="shared" si="73"/>
        <v>87</v>
      </c>
      <c r="H33" s="659">
        <f t="shared" si="73"/>
        <v>24575076</v>
      </c>
      <c r="I33" s="659">
        <f t="shared" si="73"/>
        <v>4387</v>
      </c>
      <c r="J33" s="659">
        <f t="shared" si="73"/>
        <v>49668448</v>
      </c>
      <c r="K33" s="659">
        <f t="shared" si="73"/>
        <v>9244142885</v>
      </c>
      <c r="L33" s="659">
        <f t="shared" si="73"/>
        <v>55922880</v>
      </c>
      <c r="M33" s="659">
        <f t="shared" si="73"/>
        <v>23466000</v>
      </c>
      <c r="N33" s="659">
        <f t="shared" si="73"/>
        <v>228295000</v>
      </c>
      <c r="O33" s="659">
        <f t="shared" si="73"/>
        <v>481243000</v>
      </c>
      <c r="P33" s="659">
        <f t="shared" si="73"/>
        <v>9865544</v>
      </c>
      <c r="Q33" s="659">
        <f t="shared" si="73"/>
        <v>391828000</v>
      </c>
      <c r="R33" s="659">
        <f t="shared" si="73"/>
        <v>498368275</v>
      </c>
      <c r="S33" s="659">
        <f t="shared" si="73"/>
        <v>0</v>
      </c>
      <c r="T33" s="659">
        <f t="shared" si="73"/>
        <v>0</v>
      </c>
      <c r="U33" s="659">
        <f t="shared" si="73"/>
        <v>26200000</v>
      </c>
      <c r="V33" s="659">
        <f t="shared" si="73"/>
        <v>8721729</v>
      </c>
      <c r="W33" s="659">
        <f t="shared" si="73"/>
        <v>36356120.183107972</v>
      </c>
      <c r="X33" s="659"/>
      <c r="Y33" s="659">
        <f t="shared" ref="Y33:AN33" si="74">SUM(Y28:Y32)</f>
        <v>0</v>
      </c>
      <c r="Z33" s="659">
        <f t="shared" si="74"/>
        <v>11004409505</v>
      </c>
      <c r="AA33" s="659">
        <f t="shared" si="74"/>
        <v>46222.5</v>
      </c>
      <c r="AB33" s="659">
        <f t="shared" si="74"/>
        <v>199.5</v>
      </c>
      <c r="AC33" s="659">
        <f t="shared" si="74"/>
        <v>506.5</v>
      </c>
      <c r="AD33" s="659">
        <f t="shared" si="74"/>
        <v>0</v>
      </c>
      <c r="AE33" s="659">
        <f t="shared" si="74"/>
        <v>0</v>
      </c>
      <c r="AF33" s="659">
        <f t="shared" si="74"/>
        <v>2332014119</v>
      </c>
      <c r="AG33" s="659">
        <f t="shared" si="74"/>
        <v>13336423624</v>
      </c>
      <c r="AH33" s="659">
        <f t="shared" si="74"/>
        <v>967709951</v>
      </c>
      <c r="AI33" s="659">
        <f t="shared" si="74"/>
        <v>52038000</v>
      </c>
      <c r="AJ33" s="659">
        <f t="shared" si="74"/>
        <v>12990661</v>
      </c>
      <c r="AK33" s="659">
        <f t="shared" si="74"/>
        <v>378000</v>
      </c>
      <c r="AL33" s="659">
        <f t="shared" si="74"/>
        <v>7374471</v>
      </c>
      <c r="AM33" s="659">
        <f t="shared" si="74"/>
        <v>12295932541</v>
      </c>
      <c r="AN33" s="659">
        <f t="shared" si="74"/>
        <v>1291</v>
      </c>
    </row>
    <row r="34" spans="3:40" ht="19.5" customHeight="1">
      <c r="D34" s="665"/>
      <c r="E34" s="665"/>
      <c r="F34" s="666"/>
      <c r="G34" s="667"/>
      <c r="H34" s="666"/>
      <c r="I34" s="667"/>
      <c r="J34" s="666"/>
      <c r="K34" s="666"/>
      <c r="L34" s="666"/>
      <c r="M34" s="666"/>
      <c r="N34" s="666"/>
      <c r="O34" s="666"/>
      <c r="P34" s="666"/>
      <c r="Q34" s="666"/>
      <c r="R34" s="666"/>
      <c r="S34" s="668"/>
      <c r="T34" s="666"/>
      <c r="U34" s="666"/>
      <c r="V34" s="666"/>
      <c r="W34" s="666"/>
      <c r="X34" s="669"/>
      <c r="Y34" s="669"/>
      <c r="Z34" s="669"/>
      <c r="AA34" s="657"/>
      <c r="AB34" s="657"/>
      <c r="AC34" s="657"/>
      <c r="AD34" s="670"/>
      <c r="AE34" s="670"/>
      <c r="AF34" s="671"/>
      <c r="AG34" s="672"/>
      <c r="AH34" s="671"/>
      <c r="AI34" s="673"/>
      <c r="AJ34" s="671"/>
      <c r="AK34" s="657"/>
      <c r="AL34" s="657"/>
      <c r="AM34" s="669"/>
      <c r="AN34" s="675"/>
    </row>
    <row r="35" spans="3:40" ht="21.75" customHeight="1">
      <c r="C35" s="1605" t="str">
        <f>C42&amp;" Vs "&amp;C56</f>
        <v>Feb 2025 Vs Jan 2025</v>
      </c>
      <c r="D35" s="654" t="s">
        <v>216</v>
      </c>
      <c r="E35" s="657">
        <f>+E42/E56</f>
        <v>1.0872367616825016</v>
      </c>
      <c r="F35" s="657">
        <f t="shared" ref="F35" si="75">+F42/F56</f>
        <v>1.1749197626206243</v>
      </c>
      <c r="G35" s="657">
        <f>+G42/G56</f>
        <v>0.29097327281896118</v>
      </c>
      <c r="H35" s="657">
        <f t="shared" ref="H35:R35" si="76">+H42/H56</f>
        <v>0.31889793539665406</v>
      </c>
      <c r="I35" s="657"/>
      <c r="J35" s="657"/>
      <c r="K35" s="657">
        <f t="shared" si="76"/>
        <v>0.94575445058365548</v>
      </c>
      <c r="L35" s="657">
        <f t="shared" si="76"/>
        <v>0.99433209873607364</v>
      </c>
      <c r="M35" s="657"/>
      <c r="N35" s="657">
        <f t="shared" si="76"/>
        <v>0.98422661870503592</v>
      </c>
      <c r="O35" s="657">
        <f t="shared" si="76"/>
        <v>0.95122047244094488</v>
      </c>
      <c r="P35" s="657">
        <f t="shared" si="76"/>
        <v>1.4017776911076443</v>
      </c>
      <c r="Q35" s="657">
        <f t="shared" si="76"/>
        <v>0.94779132130667965</v>
      </c>
      <c r="R35" s="657">
        <f t="shared" si="76"/>
        <v>1.0438774249347849</v>
      </c>
      <c r="S35" s="657"/>
      <c r="T35" s="657"/>
      <c r="U35" s="657">
        <f t="shared" ref="U35:W36" si="77">+U42/U56</f>
        <v>0.98113207547169812</v>
      </c>
      <c r="V35" s="657">
        <f t="shared" si="77"/>
        <v>0</v>
      </c>
      <c r="W35" s="657">
        <f t="shared" si="77"/>
        <v>1.0608168755274558</v>
      </c>
      <c r="X35" s="657"/>
      <c r="Y35" s="657"/>
      <c r="Z35" s="657">
        <f t="shared" ref="Z35" si="78">+Z42/Z56</f>
        <v>0.56986037251863586</v>
      </c>
      <c r="AA35" s="657">
        <f>+AA42/AA56</f>
        <v>0.82020525123284016</v>
      </c>
      <c r="AB35" s="657"/>
      <c r="AC35" s="657"/>
      <c r="AD35" s="657" t="e">
        <f t="shared" ref="AD35:AF35" si="79">+AD42/AD56</f>
        <v>#DIV/0!</v>
      </c>
      <c r="AE35" s="657" t="e">
        <f t="shared" si="79"/>
        <v>#DIV/0!</v>
      </c>
      <c r="AF35" s="657">
        <f t="shared" si="79"/>
        <v>0.82944528892673053</v>
      </c>
      <c r="AG35" s="657">
        <f>+AG42/AG56</f>
        <v>0.61208238950955651</v>
      </c>
      <c r="AH35" s="657">
        <f t="shared" ref="AH35:AJ35" si="80">+AH42/AH56</f>
        <v>0.98371592802215724</v>
      </c>
      <c r="AI35" s="657">
        <f t="shared" si="80"/>
        <v>0.98913043478260865</v>
      </c>
      <c r="AJ35" s="657">
        <f t="shared" si="80"/>
        <v>9.7222083417527055E-3</v>
      </c>
      <c r="AK35" s="657"/>
      <c r="AL35" s="657">
        <f t="shared" ref="AL35:AM35" si="81">+AL42/AL56</f>
        <v>2.4942145115048153</v>
      </c>
      <c r="AM35" s="657">
        <f t="shared" si="81"/>
        <v>1.2425969180935013</v>
      </c>
      <c r="AN35" s="503">
        <f>+AN42/AN56</f>
        <v>1.0388692579505301</v>
      </c>
    </row>
    <row r="36" spans="3:40" ht="21.75" customHeight="1">
      <c r="C36" s="1605"/>
      <c r="D36" s="654" t="s">
        <v>217</v>
      </c>
      <c r="E36" s="657">
        <f t="shared" ref="E36:R36" si="82">+E43/E57</f>
        <v>1.127455024272614</v>
      </c>
      <c r="F36" s="657">
        <f t="shared" si="82"/>
        <v>1.2049258980486179</v>
      </c>
      <c r="G36" s="657">
        <f t="shared" si="82"/>
        <v>0.27211457455770849</v>
      </c>
      <c r="H36" s="657">
        <f t="shared" si="82"/>
        <v>0.29821022376004586</v>
      </c>
      <c r="I36" s="657">
        <f t="shared" si="82"/>
        <v>1.7653846153846153</v>
      </c>
      <c r="J36" s="657">
        <f t="shared" si="82"/>
        <v>1.9142319846665814</v>
      </c>
      <c r="K36" s="657">
        <f t="shared" si="82"/>
        <v>0.96337539365085578</v>
      </c>
      <c r="L36" s="657">
        <f t="shared" si="82"/>
        <v>0.8587796407555881</v>
      </c>
      <c r="M36" s="657">
        <f t="shared" si="82"/>
        <v>1.8165438165438166</v>
      </c>
      <c r="N36" s="657">
        <f t="shared" si="82"/>
        <v>1.0071726190476191</v>
      </c>
      <c r="O36" s="657">
        <f t="shared" si="82"/>
        <v>1.1267166666666666</v>
      </c>
      <c r="P36" s="657">
        <f t="shared" si="82"/>
        <v>2.1446200000000002</v>
      </c>
      <c r="Q36" s="657">
        <f t="shared" si="82"/>
        <v>1.009981308411215</v>
      </c>
      <c r="R36" s="657">
        <f t="shared" si="82"/>
        <v>1.3547935695454907</v>
      </c>
      <c r="S36" s="657"/>
      <c r="T36" s="657"/>
      <c r="U36" s="657">
        <f t="shared" si="77"/>
        <v>0.967741935483871</v>
      </c>
      <c r="V36" s="657"/>
      <c r="W36" s="657">
        <f t="shared" si="77"/>
        <v>1.0723984904352706</v>
      </c>
      <c r="X36" s="657"/>
      <c r="Y36" s="657"/>
      <c r="Z36" s="657">
        <f t="shared" ref="Z36:AA36" si="83">+Z43/Z57</f>
        <v>0.61310601887310923</v>
      </c>
      <c r="AA36" s="657">
        <f t="shared" si="83"/>
        <v>1.1410724426056624</v>
      </c>
      <c r="AB36" s="657"/>
      <c r="AC36" s="657">
        <f t="shared" ref="AC36:AJ36" si="84">+AC43/AC57</f>
        <v>3.0869565217391304</v>
      </c>
      <c r="AD36" s="657" t="e">
        <f t="shared" si="84"/>
        <v>#DIV/0!</v>
      </c>
      <c r="AE36" s="657" t="e">
        <f t="shared" si="84"/>
        <v>#DIV/0!</v>
      </c>
      <c r="AF36" s="657">
        <f t="shared" si="84"/>
        <v>1.2320858827543655</v>
      </c>
      <c r="AG36" s="657">
        <f t="shared" si="84"/>
        <v>0.6891477457605153</v>
      </c>
      <c r="AH36" s="657">
        <f t="shared" si="84"/>
        <v>0.95827993585299409</v>
      </c>
      <c r="AI36" s="657">
        <f t="shared" si="84"/>
        <v>0.94082840236686394</v>
      </c>
      <c r="AJ36" s="657">
        <f t="shared" si="84"/>
        <v>2.9248324002952214E-2</v>
      </c>
      <c r="AK36" s="657"/>
      <c r="AL36" s="657"/>
      <c r="AM36" s="657">
        <f t="shared" ref="AM36:AN36" si="85">+AM43/AM57</f>
        <v>1.4817184517170592</v>
      </c>
      <c r="AN36" s="503">
        <f t="shared" si="85"/>
        <v>1.0639534883720929</v>
      </c>
    </row>
    <row r="37" spans="3:40" ht="21.75" customHeight="1">
      <c r="C37" s="1605"/>
      <c r="D37" s="654" t="s">
        <v>218</v>
      </c>
      <c r="E37" s="657">
        <f t="shared" ref="E37:H37" si="86">+E44/E58</f>
        <v>1.0478897502153313</v>
      </c>
      <c r="F37" s="657">
        <f t="shared" si="86"/>
        <v>1.1457832360380744</v>
      </c>
      <c r="G37" s="657">
        <f t="shared" si="86"/>
        <v>0.27265624999999999</v>
      </c>
      <c r="H37" s="657">
        <f t="shared" si="86"/>
        <v>0.2980017480129642</v>
      </c>
      <c r="I37" s="657"/>
      <c r="J37" s="657"/>
      <c r="K37" s="657">
        <f t="shared" ref="K37:L37" si="87">+K44/K58</f>
        <v>0.91779923375181083</v>
      </c>
      <c r="L37" s="657">
        <f t="shared" si="87"/>
        <v>1.1108199346230454</v>
      </c>
      <c r="M37" s="657"/>
      <c r="N37" s="657">
        <f t="shared" ref="N37:R37" si="88">+N44/N58</f>
        <v>0.9546132596685083</v>
      </c>
      <c r="O37" s="657">
        <f t="shared" si="88"/>
        <v>0.95314285714285718</v>
      </c>
      <c r="P37" s="657">
        <f t="shared" si="88"/>
        <v>2.7169300000000001</v>
      </c>
      <c r="Q37" s="657">
        <f t="shared" si="88"/>
        <v>0.91204620462046204</v>
      </c>
      <c r="R37" s="657">
        <f t="shared" si="88"/>
        <v>0.92054502159111062</v>
      </c>
      <c r="S37" s="657"/>
      <c r="T37" s="657"/>
      <c r="U37" s="657">
        <f t="shared" ref="U37:W37" si="89">+U44/U58</f>
        <v>1.0222222222222221</v>
      </c>
      <c r="V37" s="657">
        <f t="shared" si="89"/>
        <v>0</v>
      </c>
      <c r="W37" s="657">
        <f t="shared" si="89"/>
        <v>1.0375177959542068</v>
      </c>
      <c r="X37" s="657"/>
      <c r="Y37" s="657"/>
      <c r="Z37" s="657">
        <f t="shared" ref="Z37:AA37" si="90">+Z44/Z58</f>
        <v>0.54790894582683025</v>
      </c>
      <c r="AA37" s="657">
        <f t="shared" si="90"/>
        <v>0.51446985189316474</v>
      </c>
      <c r="AB37" s="657"/>
      <c r="AC37" s="657"/>
      <c r="AD37" s="657" t="e">
        <f t="shared" ref="AD37:AJ37" si="91">+AD44/AD58</f>
        <v>#DIV/0!</v>
      </c>
      <c r="AE37" s="657" t="e">
        <f t="shared" si="91"/>
        <v>#DIV/0!</v>
      </c>
      <c r="AF37" s="657">
        <f t="shared" si="91"/>
        <v>0.55938189992624077</v>
      </c>
      <c r="AG37" s="657">
        <f t="shared" si="91"/>
        <v>0.5494306501926226</v>
      </c>
      <c r="AH37" s="657">
        <f t="shared" si="91"/>
        <v>0.95961884901974659</v>
      </c>
      <c r="AI37" s="657">
        <f t="shared" si="91"/>
        <v>0.95081967213114749</v>
      </c>
      <c r="AJ37" s="657">
        <f t="shared" si="91"/>
        <v>3.3086334063978144E-2</v>
      </c>
      <c r="AK37" s="657"/>
      <c r="AL37" s="657">
        <f t="shared" ref="AL37" si="92">+AL44/AL58</f>
        <v>0</v>
      </c>
      <c r="AM37" s="657">
        <f t="shared" ref="AM37:AN37" si="93">+AM44/AM58</f>
        <v>1.1558625048521904</v>
      </c>
      <c r="AN37" s="503">
        <f t="shared" si="93"/>
        <v>0.99453551912568305</v>
      </c>
    </row>
    <row r="38" spans="3:40" ht="21.75" customHeight="1">
      <c r="C38" s="1605"/>
      <c r="D38" s="654" t="s">
        <v>220</v>
      </c>
      <c r="E38" s="657">
        <f t="shared" ref="E38:H38" si="94">+E45/E59</f>
        <v>1.1056347636264412</v>
      </c>
      <c r="F38" s="657">
        <f t="shared" si="94"/>
        <v>1.2053167264230205</v>
      </c>
      <c r="G38" s="657">
        <f t="shared" si="94"/>
        <v>0.28744186046511627</v>
      </c>
      <c r="H38" s="657">
        <f t="shared" si="94"/>
        <v>0.312458532696963</v>
      </c>
      <c r="I38" s="657"/>
      <c r="J38" s="657"/>
      <c r="K38" s="657">
        <f t="shared" ref="K38:R38" si="95">+K45/K59</f>
        <v>0.96613455999784903</v>
      </c>
      <c r="L38" s="657">
        <f t="shared" si="95"/>
        <v>1.0053301140144202</v>
      </c>
      <c r="M38" s="657">
        <f t="shared" si="95"/>
        <v>1.4736842105263157</v>
      </c>
      <c r="N38" s="657">
        <f t="shared" si="95"/>
        <v>0.99313186813186816</v>
      </c>
      <c r="O38" s="657">
        <f t="shared" si="95"/>
        <v>1.0427341772151899</v>
      </c>
      <c r="P38" s="657">
        <f t="shared" si="95"/>
        <v>1.2241178177597214</v>
      </c>
      <c r="Q38" s="657">
        <f t="shared" si="95"/>
        <v>0.98290647482014393</v>
      </c>
      <c r="R38" s="657">
        <f t="shared" si="95"/>
        <v>0.96703476743902594</v>
      </c>
      <c r="S38" s="657"/>
      <c r="T38" s="657"/>
      <c r="U38" s="657">
        <f t="shared" ref="U38:W38" si="96">+U45/U59</f>
        <v>1</v>
      </c>
      <c r="V38" s="657">
        <f t="shared" si="96"/>
        <v>1.45</v>
      </c>
      <c r="W38" s="657">
        <f t="shared" si="96"/>
        <v>1.0697603661897934</v>
      </c>
      <c r="X38" s="657"/>
      <c r="Y38" s="657"/>
      <c r="Z38" s="657">
        <f t="shared" ref="Z38:AB38" si="97">+Z45/Z59</f>
        <v>0.55807599314217249</v>
      </c>
      <c r="AA38" s="657">
        <f t="shared" si="97"/>
        <v>0.86300463269358041</v>
      </c>
      <c r="AB38" s="657">
        <f t="shared" si="97"/>
        <v>1.7142857142857142</v>
      </c>
      <c r="AC38" s="657"/>
      <c r="AD38" s="657" t="e">
        <f t="shared" ref="AD38:AJ38" si="98">+AD45/AD59</f>
        <v>#DIV/0!</v>
      </c>
      <c r="AE38" s="657" t="e">
        <f t="shared" si="98"/>
        <v>#DIV/0!</v>
      </c>
      <c r="AF38" s="657">
        <f t="shared" si="98"/>
        <v>0.99789981162476016</v>
      </c>
      <c r="AG38" s="657">
        <f t="shared" si="98"/>
        <v>0.58023531627365998</v>
      </c>
      <c r="AH38" s="657">
        <f t="shared" si="98"/>
        <v>0.98947852285062365</v>
      </c>
      <c r="AI38" s="657">
        <f t="shared" si="98"/>
        <v>0.99337748344370858</v>
      </c>
      <c r="AJ38" s="657">
        <f t="shared" si="98"/>
        <v>4.6289190382543546E-2</v>
      </c>
      <c r="AK38" s="657"/>
      <c r="AL38" s="657"/>
      <c r="AM38" s="657">
        <f t="shared" ref="AM38:AN38" si="99">+AM45/AM59</f>
        <v>1.5306626225305144</v>
      </c>
      <c r="AN38" s="503">
        <f t="shared" si="99"/>
        <v>1.0064935064935066</v>
      </c>
    </row>
    <row r="39" spans="3:40" s="653" customFormat="1" ht="21.75" customHeight="1">
      <c r="C39" s="1605"/>
      <c r="D39" s="656" t="s">
        <v>221</v>
      </c>
      <c r="E39" s="657">
        <f t="shared" ref="E39:R39" si="100">+E46/E60</f>
        <v>1.0989639072808746</v>
      </c>
      <c r="F39" s="657">
        <f t="shared" si="100"/>
        <v>1.1999246115513391</v>
      </c>
      <c r="G39" s="657">
        <f t="shared" si="100"/>
        <v>0.28001277139208175</v>
      </c>
      <c r="H39" s="657">
        <f t="shared" si="100"/>
        <v>0.31037099218229264</v>
      </c>
      <c r="I39" s="657">
        <f t="shared" si="100"/>
        <v>1.2837278106508876</v>
      </c>
      <c r="J39" s="657">
        <f t="shared" si="100"/>
        <v>1.3528294425965173</v>
      </c>
      <c r="K39" s="657">
        <f t="shared" si="100"/>
        <v>0.96222002798494921</v>
      </c>
      <c r="L39" s="657">
        <f t="shared" si="100"/>
        <v>1.0215670920791171</v>
      </c>
      <c r="M39" s="657">
        <f t="shared" si="100"/>
        <v>1.292830696735106</v>
      </c>
      <c r="N39" s="657">
        <f t="shared" si="100"/>
        <v>0.98452898550724632</v>
      </c>
      <c r="O39" s="657">
        <f t="shared" si="100"/>
        <v>1.0134470588235294</v>
      </c>
      <c r="P39" s="657">
        <f t="shared" si="100"/>
        <v>0.94054696789536263</v>
      </c>
      <c r="Q39" s="657">
        <f t="shared" si="100"/>
        <v>0.99140028288543136</v>
      </c>
      <c r="R39" s="657">
        <f t="shared" si="100"/>
        <v>1.0226823676141414</v>
      </c>
      <c r="S39" s="657"/>
      <c r="T39" s="657"/>
      <c r="U39" s="657">
        <f t="shared" ref="U39:W39" si="101">+U46/U60</f>
        <v>0.99009900990099009</v>
      </c>
      <c r="V39" s="657">
        <f t="shared" si="101"/>
        <v>0</v>
      </c>
      <c r="W39" s="657">
        <f t="shared" si="101"/>
        <v>1.0825341930763561</v>
      </c>
      <c r="X39" s="657"/>
      <c r="Y39" s="657"/>
      <c r="Z39" s="657">
        <f t="shared" ref="Z39:AA39" si="102">+Z46/Z60</f>
        <v>0.58827262435864369</v>
      </c>
      <c r="AA39" s="657">
        <f t="shared" si="102"/>
        <v>0.49463240078074172</v>
      </c>
      <c r="AB39" s="657"/>
      <c r="AC39" s="657">
        <f t="shared" ref="AC39:AN39" si="103">+AC46/AC60</f>
        <v>1.0208333333333333</v>
      </c>
      <c r="AD39" s="657" t="e">
        <f t="shared" si="103"/>
        <v>#DIV/0!</v>
      </c>
      <c r="AE39" s="657" t="e">
        <f t="shared" si="103"/>
        <v>#DIV/0!</v>
      </c>
      <c r="AF39" s="657">
        <f t="shared" si="103"/>
        <v>0.53558825735187798</v>
      </c>
      <c r="AG39" s="657">
        <f t="shared" si="103"/>
        <v>0.58367876627615789</v>
      </c>
      <c r="AH39" s="657">
        <f t="shared" si="103"/>
        <v>0.98267353059752249</v>
      </c>
      <c r="AI39" s="657">
        <f t="shared" si="103"/>
        <v>0.97706422018348627</v>
      </c>
      <c r="AJ39" s="657">
        <f t="shared" si="103"/>
        <v>2.8608321450208373E-2</v>
      </c>
      <c r="AK39" s="657">
        <f t="shared" si="103"/>
        <v>65.5</v>
      </c>
      <c r="AL39" s="657"/>
      <c r="AM39" s="657">
        <f t="shared" si="103"/>
        <v>1.3257879551450162</v>
      </c>
      <c r="AN39" s="503">
        <f t="shared" si="103"/>
        <v>1.022271714922049</v>
      </c>
    </row>
    <row r="40" spans="3:40" s="492" customFormat="1" ht="21.75" customHeight="1">
      <c r="D40" s="676" t="s">
        <v>79</v>
      </c>
      <c r="E40" s="677">
        <f>+E47/E61</f>
        <v>1.0933456049972941</v>
      </c>
      <c r="F40" s="677">
        <f t="shared" ref="F40:AN40" si="104">+F47/F61</f>
        <v>1.1900897350735087</v>
      </c>
      <c r="G40" s="677">
        <f t="shared" si="104"/>
        <v>0.28127526856878826</v>
      </c>
      <c r="H40" s="677">
        <f t="shared" si="104"/>
        <v>0.30947367798430631</v>
      </c>
      <c r="I40" s="677">
        <f t="shared" si="104"/>
        <v>1.4358299595141701</v>
      </c>
      <c r="J40" s="677">
        <f t="shared" si="104"/>
        <v>1.4994933313143963</v>
      </c>
      <c r="K40" s="677">
        <f t="shared" si="104"/>
        <v>0.95453443963035745</v>
      </c>
      <c r="L40" s="677">
        <f t="shared" si="104"/>
        <v>1.0109989680606486</v>
      </c>
      <c r="M40" s="677">
        <f t="shared" si="104"/>
        <v>1.4624277456647399</v>
      </c>
      <c r="N40" s="677">
        <f t="shared" si="104"/>
        <v>0.98372349823321559</v>
      </c>
      <c r="O40" s="677">
        <f t="shared" si="104"/>
        <v>1.0037465681098205</v>
      </c>
      <c r="P40" s="677">
        <f t="shared" si="104"/>
        <v>1.1954426519076777</v>
      </c>
      <c r="Q40" s="677">
        <f t="shared" si="104"/>
        <v>0.96955193482688395</v>
      </c>
      <c r="R40" s="677">
        <f t="shared" si="104"/>
        <v>1.0560160158610314</v>
      </c>
      <c r="S40" s="677" t="e">
        <f t="shared" si="104"/>
        <v>#DIV/0!</v>
      </c>
      <c r="T40" s="677" t="e">
        <f t="shared" si="104"/>
        <v>#DIV/0!</v>
      </c>
      <c r="U40" s="677">
        <f t="shared" si="104"/>
        <v>0.9926739926739927</v>
      </c>
      <c r="V40" s="677">
        <f t="shared" si="104"/>
        <v>0.34290730529723207</v>
      </c>
      <c r="W40" s="677">
        <f t="shared" si="104"/>
        <v>1.0660456788625172</v>
      </c>
      <c r="X40" s="677" t="e">
        <f t="shared" si="104"/>
        <v>#DIV/0!</v>
      </c>
      <c r="Y40" s="677">
        <f t="shared" si="104"/>
        <v>0</v>
      </c>
      <c r="Z40" s="677">
        <f t="shared" si="104"/>
        <v>0.5767807456546209</v>
      </c>
      <c r="AA40" s="677">
        <f t="shared" si="104"/>
        <v>0.72228207199928185</v>
      </c>
      <c r="AB40" s="677">
        <f t="shared" si="104"/>
        <v>0.15998275118585598</v>
      </c>
      <c r="AC40" s="677">
        <f t="shared" si="104"/>
        <v>1.6901408450704225</v>
      </c>
      <c r="AD40" s="677" t="e">
        <f t="shared" si="104"/>
        <v>#DIV/0!</v>
      </c>
      <c r="AE40" s="677" t="e">
        <f t="shared" si="104"/>
        <v>#DIV/0!</v>
      </c>
      <c r="AF40" s="677">
        <f t="shared" si="104"/>
        <v>0.7682896551679701</v>
      </c>
      <c r="AG40" s="677">
        <f t="shared" si="104"/>
        <v>0.59734950726466551</v>
      </c>
      <c r="AH40" s="677">
        <f t="shared" si="104"/>
        <v>0.97844045163703686</v>
      </c>
      <c r="AI40" s="677">
        <f t="shared" si="104"/>
        <v>0.97283950617283954</v>
      </c>
      <c r="AJ40" s="677">
        <f t="shared" si="104"/>
        <v>3.2172723467680658E-2</v>
      </c>
      <c r="AK40" s="677">
        <f>+AK47/AK61</f>
        <v>184.44642857142858</v>
      </c>
      <c r="AL40" s="677">
        <f t="shared" si="104"/>
        <v>2.9509767152791917</v>
      </c>
      <c r="AM40" s="677">
        <f t="shared" si="104"/>
        <v>1.3312377560096724</v>
      </c>
      <c r="AN40" s="677">
        <f t="shared" si="104"/>
        <v>1.0257856567284449</v>
      </c>
    </row>
    <row r="41" spans="3:40" ht="21.75" customHeight="1">
      <c r="J41" s="349"/>
    </row>
    <row r="42" spans="3:40" ht="19.5" customHeight="1">
      <c r="C42" s="1608" t="s">
        <v>776</v>
      </c>
      <c r="D42" s="654" t="s">
        <v>216</v>
      </c>
      <c r="E42" s="655">
        <v>5870.1000000000013</v>
      </c>
      <c r="F42" s="655">
        <v>1607808819</v>
      </c>
      <c r="G42" s="655">
        <v>577</v>
      </c>
      <c r="H42" s="655">
        <v>159535979</v>
      </c>
      <c r="I42" s="655">
        <v>0</v>
      </c>
      <c r="J42" s="655">
        <v>0</v>
      </c>
      <c r="K42" s="655">
        <v>1767344798</v>
      </c>
      <c r="L42" s="655">
        <v>2676042</v>
      </c>
      <c r="M42" s="655">
        <v>210000</v>
      </c>
      <c r="N42" s="655">
        <v>54723000</v>
      </c>
      <c r="O42" s="655">
        <v>120805000</v>
      </c>
      <c r="P42" s="655">
        <v>1797079</v>
      </c>
      <c r="Q42" s="655">
        <v>97196000</v>
      </c>
      <c r="R42" s="655">
        <v>112435456</v>
      </c>
      <c r="S42" s="655">
        <v>0</v>
      </c>
      <c r="T42" s="655">
        <v>0</v>
      </c>
      <c r="U42" s="655">
        <v>5200000</v>
      </c>
      <c r="V42" s="655">
        <v>0</v>
      </c>
      <c r="W42" s="655">
        <v>9742445.2771079801</v>
      </c>
      <c r="X42" s="655"/>
      <c r="Y42" s="655">
        <v>0</v>
      </c>
      <c r="Z42" s="655">
        <v>2172129800</v>
      </c>
      <c r="AA42" s="655">
        <v>12308</v>
      </c>
      <c r="AB42" s="655">
        <v>0</v>
      </c>
      <c r="AC42" s="655">
        <v>0</v>
      </c>
      <c r="AD42" s="655">
        <v>0</v>
      </c>
      <c r="AE42" s="655">
        <v>0</v>
      </c>
      <c r="AF42" s="655">
        <v>614127604</v>
      </c>
      <c r="AG42" s="655">
        <v>2786257404</v>
      </c>
      <c r="AH42" s="655">
        <v>188934060</v>
      </c>
      <c r="AI42" s="655">
        <v>12039300</v>
      </c>
      <c r="AJ42" s="655">
        <v>498079</v>
      </c>
      <c r="AK42" s="655">
        <v>5327000</v>
      </c>
      <c r="AL42" s="655">
        <v>339288</v>
      </c>
      <c r="AM42" s="655">
        <v>2579119677</v>
      </c>
      <c r="AN42" s="654">
        <v>294</v>
      </c>
    </row>
    <row r="43" spans="3:40" ht="19.5" customHeight="1">
      <c r="C43" s="1609"/>
      <c r="D43" s="654" t="s">
        <v>217</v>
      </c>
      <c r="E43" s="655">
        <v>3553.400000000001</v>
      </c>
      <c r="F43" s="655">
        <v>989325349</v>
      </c>
      <c r="G43" s="655">
        <v>323</v>
      </c>
      <c r="H43" s="655">
        <v>92053543</v>
      </c>
      <c r="I43" s="655">
        <v>1377</v>
      </c>
      <c r="J43" s="655">
        <v>14089002</v>
      </c>
      <c r="K43" s="655">
        <v>1095467894</v>
      </c>
      <c r="L43" s="655">
        <v>416667</v>
      </c>
      <c r="M43" s="655">
        <v>6654000</v>
      </c>
      <c r="N43" s="655">
        <v>33841000</v>
      </c>
      <c r="O43" s="655">
        <v>67603000</v>
      </c>
      <c r="P43" s="655">
        <v>428924</v>
      </c>
      <c r="Q43" s="655">
        <v>54034000</v>
      </c>
      <c r="R43" s="655">
        <v>68359105</v>
      </c>
      <c r="S43" s="655">
        <v>0</v>
      </c>
      <c r="T43" s="655">
        <v>0</v>
      </c>
      <c r="U43" s="655">
        <v>3000000</v>
      </c>
      <c r="V43" s="655">
        <v>0</v>
      </c>
      <c r="W43" s="655">
        <v>3557390.6448501507</v>
      </c>
      <c r="X43" s="655"/>
      <c r="Y43" s="655">
        <v>0</v>
      </c>
      <c r="Z43" s="655">
        <v>1333361982</v>
      </c>
      <c r="AA43" s="655">
        <v>7033</v>
      </c>
      <c r="AB43" s="655">
        <v>111.5</v>
      </c>
      <c r="AC43" s="655">
        <v>142</v>
      </c>
      <c r="AD43" s="655">
        <v>0</v>
      </c>
      <c r="AE43" s="655">
        <v>0</v>
      </c>
      <c r="AF43" s="655">
        <v>375279717</v>
      </c>
      <c r="AG43" s="655">
        <v>1708641699</v>
      </c>
      <c r="AH43" s="655">
        <v>114945180</v>
      </c>
      <c r="AI43" s="655">
        <v>7011900</v>
      </c>
      <c r="AJ43" s="655">
        <v>819766</v>
      </c>
      <c r="AK43" s="655">
        <v>2575000</v>
      </c>
      <c r="AL43" s="655">
        <v>0</v>
      </c>
      <c r="AM43" s="655">
        <v>1583289853</v>
      </c>
      <c r="AN43" s="654">
        <v>183</v>
      </c>
    </row>
    <row r="44" spans="3:40" ht="19.5" customHeight="1">
      <c r="C44" s="1609"/>
      <c r="D44" s="654" t="s">
        <v>218</v>
      </c>
      <c r="E44" s="655">
        <v>3649.8000000000006</v>
      </c>
      <c r="F44" s="655">
        <v>965235361</v>
      </c>
      <c r="G44" s="655">
        <v>349</v>
      </c>
      <c r="H44" s="655">
        <v>92343033</v>
      </c>
      <c r="I44" s="655">
        <v>0</v>
      </c>
      <c r="J44" s="655">
        <v>0</v>
      </c>
      <c r="K44" s="655">
        <v>1057578394</v>
      </c>
      <c r="L44" s="655">
        <v>685417</v>
      </c>
      <c r="M44" s="655">
        <v>0</v>
      </c>
      <c r="N44" s="655">
        <v>34557000</v>
      </c>
      <c r="O44" s="655">
        <v>73392000</v>
      </c>
      <c r="P44" s="655">
        <v>543386</v>
      </c>
      <c r="Q44" s="655">
        <v>55270000</v>
      </c>
      <c r="R44" s="655">
        <v>53665142</v>
      </c>
      <c r="S44" s="655">
        <v>0</v>
      </c>
      <c r="T44" s="655">
        <v>0</v>
      </c>
      <c r="U44" s="655">
        <v>4600000</v>
      </c>
      <c r="V44" s="655">
        <v>0</v>
      </c>
      <c r="W44" s="655">
        <v>6544031.3164319461</v>
      </c>
      <c r="X44" s="655"/>
      <c r="Y44" s="655">
        <v>0</v>
      </c>
      <c r="Z44" s="655">
        <v>1286835371</v>
      </c>
      <c r="AA44" s="655">
        <v>4151</v>
      </c>
      <c r="AB44" s="655">
        <v>0</v>
      </c>
      <c r="AC44" s="655">
        <v>0</v>
      </c>
      <c r="AD44" s="655">
        <v>0</v>
      </c>
      <c r="AE44" s="655">
        <v>0</v>
      </c>
      <c r="AF44" s="655">
        <v>200898026</v>
      </c>
      <c r="AG44" s="655">
        <v>1487733397</v>
      </c>
      <c r="AH44" s="655">
        <v>115386600</v>
      </c>
      <c r="AI44" s="655">
        <v>7673400</v>
      </c>
      <c r="AJ44" s="655">
        <v>984846</v>
      </c>
      <c r="AK44" s="655">
        <v>4460000</v>
      </c>
      <c r="AL44" s="655">
        <v>0</v>
      </c>
      <c r="AM44" s="655">
        <v>1359228551</v>
      </c>
      <c r="AN44" s="654">
        <v>182</v>
      </c>
    </row>
    <row r="45" spans="3:40" ht="19.5" customHeight="1">
      <c r="C45" s="1609"/>
      <c r="D45" s="654" t="s">
        <v>220</v>
      </c>
      <c r="E45" s="655">
        <v>3241.5000000000018</v>
      </c>
      <c r="F45" s="655">
        <v>1602729346</v>
      </c>
      <c r="G45" s="655">
        <v>309</v>
      </c>
      <c r="H45" s="655">
        <v>152025917</v>
      </c>
      <c r="I45" s="655">
        <v>0</v>
      </c>
      <c r="J45" s="655">
        <v>0</v>
      </c>
      <c r="K45" s="655">
        <v>1754755263</v>
      </c>
      <c r="L45" s="655">
        <v>31100627</v>
      </c>
      <c r="M45" s="655">
        <v>588000</v>
      </c>
      <c r="N45" s="655">
        <v>18075000</v>
      </c>
      <c r="O45" s="655">
        <v>41188000</v>
      </c>
      <c r="P45" s="655">
        <v>4218310</v>
      </c>
      <c r="Q45" s="655">
        <v>34156000</v>
      </c>
      <c r="R45" s="655">
        <v>12654792</v>
      </c>
      <c r="S45" s="655">
        <v>0</v>
      </c>
      <c r="T45" s="655">
        <v>0</v>
      </c>
      <c r="U45" s="655">
        <v>4300000</v>
      </c>
      <c r="V45" s="655">
        <v>1450000</v>
      </c>
      <c r="W45" s="655">
        <v>7634023.4139535241</v>
      </c>
      <c r="X45" s="655"/>
      <c r="Y45" s="655">
        <v>0</v>
      </c>
      <c r="Z45" s="655">
        <v>1910120021</v>
      </c>
      <c r="AA45" s="655">
        <v>2608</v>
      </c>
      <c r="AB45" s="655">
        <v>66</v>
      </c>
      <c r="AC45" s="655">
        <v>0</v>
      </c>
      <c r="AD45" s="655">
        <v>0</v>
      </c>
      <c r="AE45" s="655">
        <v>0</v>
      </c>
      <c r="AF45" s="655">
        <v>181210429</v>
      </c>
      <c r="AG45" s="655">
        <v>2091330450</v>
      </c>
      <c r="AH45" s="655">
        <v>187597410</v>
      </c>
      <c r="AI45" s="655">
        <v>6615000</v>
      </c>
      <c r="AJ45" s="655">
        <v>5451342</v>
      </c>
      <c r="AK45" s="655">
        <v>4290500</v>
      </c>
      <c r="AL45" s="655">
        <v>0</v>
      </c>
      <c r="AM45" s="655">
        <v>1887376198</v>
      </c>
      <c r="AN45" s="654">
        <v>155</v>
      </c>
    </row>
    <row r="46" spans="3:40" ht="19.5" customHeight="1">
      <c r="C46" s="1609"/>
      <c r="D46" s="654" t="s">
        <v>221</v>
      </c>
      <c r="E46" s="655">
        <v>9344.6000000000022</v>
      </c>
      <c r="F46" s="655">
        <v>3130092986</v>
      </c>
      <c r="G46" s="655">
        <v>877</v>
      </c>
      <c r="H46" s="655">
        <v>299110736</v>
      </c>
      <c r="I46" s="655">
        <v>2169.5</v>
      </c>
      <c r="J46" s="655">
        <v>28156588</v>
      </c>
      <c r="K46" s="655">
        <v>3457360310</v>
      </c>
      <c r="L46" s="655">
        <v>22473338</v>
      </c>
      <c r="M46" s="655">
        <v>11523000</v>
      </c>
      <c r="N46" s="655">
        <v>81519000</v>
      </c>
      <c r="O46" s="655">
        <v>172286000</v>
      </c>
      <c r="P46" s="655">
        <v>3164000</v>
      </c>
      <c r="Q46" s="655">
        <v>140184000</v>
      </c>
      <c r="R46" s="655">
        <v>144382312</v>
      </c>
      <c r="S46" s="655">
        <v>0</v>
      </c>
      <c r="T46" s="655">
        <v>0</v>
      </c>
      <c r="U46" s="655">
        <v>10000000</v>
      </c>
      <c r="V46" s="655">
        <v>0</v>
      </c>
      <c r="W46" s="655">
        <v>11842304.768440148</v>
      </c>
      <c r="X46" s="655"/>
      <c r="Y46" s="655">
        <v>0</v>
      </c>
      <c r="Z46" s="655">
        <v>4054734264</v>
      </c>
      <c r="AA46" s="655">
        <v>6082</v>
      </c>
      <c r="AB46" s="655">
        <v>8</v>
      </c>
      <c r="AC46" s="655">
        <v>98</v>
      </c>
      <c r="AD46" s="655">
        <v>0</v>
      </c>
      <c r="AE46" s="655">
        <v>0</v>
      </c>
      <c r="AF46" s="655">
        <v>352641164</v>
      </c>
      <c r="AG46" s="655">
        <v>4407375428</v>
      </c>
      <c r="AH46" s="655">
        <v>365726025</v>
      </c>
      <c r="AI46" s="655">
        <v>18786600</v>
      </c>
      <c r="AJ46" s="655">
        <v>3672121</v>
      </c>
      <c r="AK46" s="655">
        <v>9170000</v>
      </c>
      <c r="AL46" s="655">
        <v>211500</v>
      </c>
      <c r="AM46" s="655">
        <v>4009809182</v>
      </c>
      <c r="AN46" s="654">
        <v>459</v>
      </c>
    </row>
    <row r="47" spans="3:40" ht="19.5" customHeight="1">
      <c r="D47" s="272"/>
      <c r="E47" s="659">
        <f>SUM(E42:E46)</f>
        <v>25659.400000000009</v>
      </c>
      <c r="F47" s="659">
        <f t="shared" ref="F47:W47" si="105">SUM(F42:F46)</f>
        <v>8295191861</v>
      </c>
      <c r="G47" s="659">
        <f t="shared" si="105"/>
        <v>2435</v>
      </c>
      <c r="H47" s="659">
        <f t="shared" si="105"/>
        <v>795069208</v>
      </c>
      <c r="I47" s="659">
        <f t="shared" si="105"/>
        <v>3546.5</v>
      </c>
      <c r="J47" s="659">
        <f t="shared" si="105"/>
        <v>42245590</v>
      </c>
      <c r="K47" s="659">
        <f t="shared" si="105"/>
        <v>9132506659</v>
      </c>
      <c r="L47" s="659">
        <f t="shared" si="105"/>
        <v>57352091</v>
      </c>
      <c r="M47" s="659">
        <f t="shared" si="105"/>
        <v>18975000</v>
      </c>
      <c r="N47" s="659">
        <f t="shared" si="105"/>
        <v>222715000</v>
      </c>
      <c r="O47" s="659">
        <f t="shared" si="105"/>
        <v>475274000</v>
      </c>
      <c r="P47" s="659">
        <f t="shared" si="105"/>
        <v>10151699</v>
      </c>
      <c r="Q47" s="659">
        <f t="shared" si="105"/>
        <v>380840000</v>
      </c>
      <c r="R47" s="659">
        <f t="shared" si="105"/>
        <v>391496807</v>
      </c>
      <c r="S47" s="659">
        <f t="shared" si="105"/>
        <v>0</v>
      </c>
      <c r="T47" s="659">
        <f t="shared" si="105"/>
        <v>0</v>
      </c>
      <c r="U47" s="659">
        <f t="shared" si="105"/>
        <v>27100000</v>
      </c>
      <c r="V47" s="659">
        <f t="shared" si="105"/>
        <v>1450000</v>
      </c>
      <c r="W47" s="659">
        <f t="shared" si="105"/>
        <v>39320195.420783751</v>
      </c>
      <c r="X47" s="659"/>
      <c r="Y47" s="659">
        <f t="shared" ref="Y47:AN47" si="106">SUM(Y42:Y46)</f>
        <v>0</v>
      </c>
      <c r="Z47" s="659">
        <f t="shared" si="106"/>
        <v>10757181438</v>
      </c>
      <c r="AA47" s="659">
        <f t="shared" si="106"/>
        <v>32182</v>
      </c>
      <c r="AB47" s="659">
        <f t="shared" si="106"/>
        <v>185.5</v>
      </c>
      <c r="AC47" s="659">
        <f t="shared" si="106"/>
        <v>240</v>
      </c>
      <c r="AD47" s="659">
        <f t="shared" si="106"/>
        <v>0</v>
      </c>
      <c r="AE47" s="659">
        <f t="shared" si="106"/>
        <v>0</v>
      </c>
      <c r="AF47" s="659">
        <f t="shared" si="106"/>
        <v>1724156940</v>
      </c>
      <c r="AG47" s="659">
        <f t="shared" si="106"/>
        <v>12481338378</v>
      </c>
      <c r="AH47" s="659">
        <f t="shared" si="106"/>
        <v>972589275</v>
      </c>
      <c r="AI47" s="659">
        <f t="shared" si="106"/>
        <v>52126200</v>
      </c>
      <c r="AJ47" s="659">
        <f t="shared" si="106"/>
        <v>11426154</v>
      </c>
      <c r="AK47" s="659">
        <f t="shared" si="106"/>
        <v>25822500</v>
      </c>
      <c r="AL47" s="659">
        <f t="shared" si="106"/>
        <v>550788</v>
      </c>
      <c r="AM47" s="659">
        <f t="shared" si="106"/>
        <v>11418823461</v>
      </c>
      <c r="AN47" s="659">
        <f t="shared" si="106"/>
        <v>1273</v>
      </c>
    </row>
    <row r="48" spans="3:40" ht="19.5" customHeight="1">
      <c r="D48" s="665"/>
      <c r="E48" s="665"/>
      <c r="F48" s="666"/>
      <c r="G48" s="667"/>
      <c r="H48" s="666"/>
      <c r="I48" s="667"/>
      <c r="J48" s="666"/>
      <c r="K48" s="666"/>
      <c r="L48" s="666"/>
      <c r="M48" s="666"/>
      <c r="N48" s="666"/>
      <c r="O48" s="666"/>
      <c r="P48" s="666"/>
      <c r="Q48" s="666"/>
      <c r="R48" s="666"/>
      <c r="S48" s="668"/>
      <c r="T48" s="666"/>
      <c r="U48" s="666"/>
      <c r="V48" s="666"/>
      <c r="W48" s="666"/>
      <c r="X48" s="669"/>
      <c r="Y48" s="669"/>
      <c r="Z48" s="669"/>
      <c r="AA48" s="657"/>
      <c r="AB48" s="657"/>
      <c r="AC48" s="657"/>
      <c r="AD48" s="670"/>
      <c r="AE48" s="670"/>
      <c r="AF48" s="671"/>
      <c r="AG48" s="672"/>
      <c r="AH48" s="671"/>
      <c r="AI48" s="673"/>
      <c r="AJ48" s="671"/>
      <c r="AK48" s="657"/>
      <c r="AL48" s="657"/>
      <c r="AM48" s="669"/>
      <c r="AN48" s="675"/>
    </row>
    <row r="49" spans="3:40" ht="21.75" customHeight="1">
      <c r="C49" s="1605" t="str">
        <f>LEFT(C56,3)&amp;" Vs "&amp;C70</f>
        <v>Jan Vs Dec</v>
      </c>
      <c r="D49" s="654" t="s">
        <v>216</v>
      </c>
      <c r="E49" s="657">
        <f>+E56/E70</f>
        <v>0.77045250224752893</v>
      </c>
      <c r="F49" s="657">
        <f t="shared" ref="F49" si="107">+F56/F70</f>
        <v>0.77659644380999471</v>
      </c>
      <c r="G49" s="657">
        <f>+G56/G70</f>
        <v>11.203389830508474</v>
      </c>
      <c r="H49" s="657">
        <f t="shared" ref="H49:R49" si="108">+H56/H70</f>
        <v>11.641092956670445</v>
      </c>
      <c r="I49" s="657">
        <f t="shared" si="108"/>
        <v>0</v>
      </c>
      <c r="J49" s="657">
        <f t="shared" si="108"/>
        <v>0</v>
      </c>
      <c r="K49" s="657">
        <f t="shared" si="108"/>
        <v>1.0322107795062674</v>
      </c>
      <c r="L49" s="657">
        <f t="shared" si="108"/>
        <v>0.9632281307555588</v>
      </c>
      <c r="M49" s="657">
        <f t="shared" si="108"/>
        <v>0</v>
      </c>
      <c r="N49" s="657">
        <f t="shared" si="108"/>
        <v>1.0072463768115942</v>
      </c>
      <c r="O49" s="657">
        <f t="shared" si="108"/>
        <v>1.0200803212851406</v>
      </c>
      <c r="P49" s="657">
        <f t="shared" si="108"/>
        <v>1.1848428835489833</v>
      </c>
      <c r="Q49" s="657">
        <f t="shared" si="108"/>
        <v>1.0249875062468765</v>
      </c>
      <c r="R49" s="657">
        <f t="shared" si="108"/>
        <v>0.80256440286649378</v>
      </c>
      <c r="S49" s="657"/>
      <c r="T49" s="657"/>
      <c r="U49" s="657">
        <f t="shared" ref="U49:W49" si="109">+U56/U70</f>
        <v>1</v>
      </c>
      <c r="V49" s="657">
        <f t="shared" si="109"/>
        <v>0.86000069249451361</v>
      </c>
      <c r="W49" s="657">
        <f t="shared" si="109"/>
        <v>1.0084292985497085</v>
      </c>
      <c r="X49" s="657"/>
      <c r="Y49" s="657"/>
      <c r="Z49" s="657">
        <f t="shared" ref="Z49" si="110">+Z56/Z70</f>
        <v>1.4727903653616978</v>
      </c>
      <c r="AA49" s="657">
        <f>+AA56/AA70</f>
        <v>0.95019787873990813</v>
      </c>
      <c r="AB49" s="657"/>
      <c r="AC49" s="657">
        <f t="shared" ref="AC49:AF49" si="111">+AC56/AC70</f>
        <v>0</v>
      </c>
      <c r="AD49" s="657" t="e">
        <f t="shared" si="111"/>
        <v>#DIV/0!</v>
      </c>
      <c r="AE49" s="657" t="e">
        <f t="shared" si="111"/>
        <v>#DIV/0!</v>
      </c>
      <c r="AF49" s="657">
        <f t="shared" si="111"/>
        <v>1.0132282845904788</v>
      </c>
      <c r="AG49" s="657">
        <f>+AG56/AG70</f>
        <v>1.3716033161084196</v>
      </c>
      <c r="AH49" s="657">
        <f t="shared" ref="AH49:AN50" si="112">+AH56/AH70</f>
        <v>1.0080966712853652</v>
      </c>
      <c r="AI49" s="657">
        <f t="shared" si="112"/>
        <v>0.98220640569395012</v>
      </c>
      <c r="AJ49" s="657">
        <f t="shared" si="112"/>
        <v>11.741153579511273</v>
      </c>
      <c r="AK49" s="657"/>
      <c r="AL49" s="657">
        <f t="shared" si="112"/>
        <v>0.93479202028601072</v>
      </c>
      <c r="AM49" s="657">
        <f t="shared" si="112"/>
        <v>0.66709288943626965</v>
      </c>
      <c r="AN49" s="503">
        <f>+AN56/AN70</f>
        <v>0.94648829431438131</v>
      </c>
    </row>
    <row r="50" spans="3:40" ht="21.75" customHeight="1">
      <c r="C50" s="1605"/>
      <c r="D50" s="654" t="s">
        <v>217</v>
      </c>
      <c r="E50" s="657">
        <f t="shared" ref="E50:R50" si="113">+E57/E71</f>
        <v>0.73217023649119628</v>
      </c>
      <c r="F50" s="657">
        <f t="shared" si="113"/>
        <v>0.74001623703931985</v>
      </c>
      <c r="G50" s="657">
        <f t="shared" si="113"/>
        <v>7.7581699346405228</v>
      </c>
      <c r="H50" s="657">
        <f t="shared" si="113"/>
        <v>8.1282940555999197</v>
      </c>
      <c r="I50" s="657">
        <f t="shared" si="113"/>
        <v>0.46692607003891051</v>
      </c>
      <c r="J50" s="657">
        <f t="shared" si="113"/>
        <v>0.47544490923655847</v>
      </c>
      <c r="K50" s="657">
        <f t="shared" si="113"/>
        <v>0.9777561367332277</v>
      </c>
      <c r="L50" s="657">
        <f t="shared" si="113"/>
        <v>0.97036999999999995</v>
      </c>
      <c r="M50" s="657">
        <f t="shared" si="113"/>
        <v>0.47509727626459142</v>
      </c>
      <c r="N50" s="657">
        <f t="shared" si="113"/>
        <v>0.96551724137931039</v>
      </c>
      <c r="O50" s="657">
        <f t="shared" si="113"/>
        <v>0.78431372549019607</v>
      </c>
      <c r="P50" s="657">
        <f t="shared" si="113"/>
        <v>1</v>
      </c>
      <c r="Q50" s="657">
        <f t="shared" si="113"/>
        <v>0.85599999999999998</v>
      </c>
      <c r="R50" s="657">
        <f t="shared" si="113"/>
        <v>0.65190875636014389</v>
      </c>
      <c r="S50" s="657"/>
      <c r="T50" s="657"/>
      <c r="U50" s="657">
        <f t="shared" ref="U50" si="114">+U57/U71</f>
        <v>0.96875</v>
      </c>
      <c r="V50" s="657"/>
      <c r="W50" s="657">
        <f t="shared" ref="W50" si="115">+W57/W71</f>
        <v>0.99877753344014963</v>
      </c>
      <c r="X50" s="657"/>
      <c r="Y50" s="657"/>
      <c r="Z50" s="657">
        <f t="shared" ref="Z50:AJ50" si="116">+Z57/Z71</f>
        <v>1.3709112026709609</v>
      </c>
      <c r="AA50" s="657">
        <f t="shared" si="116"/>
        <v>0.79049634474798003</v>
      </c>
      <c r="AB50" s="657"/>
      <c r="AC50" s="657">
        <f t="shared" si="116"/>
        <v>0.63888888888888884</v>
      </c>
      <c r="AD50" s="657" t="e">
        <f t="shared" si="116"/>
        <v>#DIV/0!</v>
      </c>
      <c r="AE50" s="657" t="e">
        <f t="shared" si="116"/>
        <v>#DIV/0!</v>
      </c>
      <c r="AF50" s="657">
        <f t="shared" si="116"/>
        <v>0.81971430147250313</v>
      </c>
      <c r="AG50" s="657">
        <f t="shared" si="116"/>
        <v>1.2663048688111125</v>
      </c>
      <c r="AH50" s="657">
        <f t="shared" si="116"/>
        <v>0.977333130603389</v>
      </c>
      <c r="AI50" s="657">
        <f t="shared" si="116"/>
        <v>0.98830409356725146</v>
      </c>
      <c r="AJ50" s="657">
        <f t="shared" si="116"/>
        <v>6.902513471181031</v>
      </c>
      <c r="AK50" s="657"/>
      <c r="AL50" s="657">
        <f t="shared" si="112"/>
        <v>0</v>
      </c>
      <c r="AM50" s="657">
        <f t="shared" si="112"/>
        <v>0.58605134431919592</v>
      </c>
      <c r="AN50" s="503">
        <f t="shared" si="112"/>
        <v>0.97727272727272729</v>
      </c>
    </row>
    <row r="51" spans="3:40" ht="21.75" customHeight="1">
      <c r="C51" s="1605"/>
      <c r="D51" s="654" t="s">
        <v>218</v>
      </c>
      <c r="E51" s="657">
        <f t="shared" ref="E51:H51" si="117">+E58/E72</f>
        <v>0.74736074156724763</v>
      </c>
      <c r="F51" s="657">
        <f t="shared" si="117"/>
        <v>0.75551233872556856</v>
      </c>
      <c r="G51" s="657">
        <f t="shared" si="117"/>
        <v>12.075471698113208</v>
      </c>
      <c r="H51" s="657">
        <f t="shared" si="117"/>
        <v>12.836384939107623</v>
      </c>
      <c r="I51" s="657"/>
      <c r="J51" s="657"/>
      <c r="K51" s="657">
        <f t="shared" ref="K51:L51" si="118">+K58/K72</f>
        <v>1.0115180494017835</v>
      </c>
      <c r="L51" s="657">
        <f t="shared" si="118"/>
        <v>0.92042184714753461</v>
      </c>
      <c r="M51" s="657"/>
      <c r="N51" s="657">
        <f t="shared" ref="N51:R51" si="119">+N58/N72</f>
        <v>0.97837837837837838</v>
      </c>
      <c r="O51" s="657">
        <f t="shared" si="119"/>
        <v>0.95652173913043481</v>
      </c>
      <c r="P51" s="657">
        <f t="shared" si="119"/>
        <v>1</v>
      </c>
      <c r="Q51" s="657">
        <f t="shared" si="119"/>
        <v>0.90922730682670672</v>
      </c>
      <c r="R51" s="657">
        <f t="shared" si="119"/>
        <v>0.66816531005262425</v>
      </c>
      <c r="S51" s="657"/>
      <c r="T51" s="657"/>
      <c r="U51" s="657">
        <f t="shared" ref="U51:W51" si="120">+U58/U72</f>
        <v>0.95744680851063835</v>
      </c>
      <c r="V51" s="657">
        <f t="shared" si="120"/>
        <v>1.030793229750067</v>
      </c>
      <c r="W51" s="657">
        <f t="shared" si="120"/>
        <v>0.98637320024204478</v>
      </c>
      <c r="X51" s="657"/>
      <c r="Y51" s="657"/>
      <c r="Z51" s="657">
        <f t="shared" ref="Z51:AA51" si="121">+Z58/Z72</f>
        <v>1.4297107596352201</v>
      </c>
      <c r="AA51" s="657">
        <f t="shared" si="121"/>
        <v>0.78494989784998537</v>
      </c>
      <c r="AB51" s="657"/>
      <c r="AC51" s="657"/>
      <c r="AD51" s="657" t="e">
        <f t="shared" ref="AD51:AN51" si="122">+AD58/AD72</f>
        <v>#DIV/0!</v>
      </c>
      <c r="AE51" s="657" t="e">
        <f t="shared" si="122"/>
        <v>#DIV/0!</v>
      </c>
      <c r="AF51" s="657">
        <f t="shared" si="122"/>
        <v>0.7933485833645727</v>
      </c>
      <c r="AG51" s="657">
        <f t="shared" si="122"/>
        <v>1.2922319357384435</v>
      </c>
      <c r="AH51" s="657">
        <f t="shared" si="122"/>
        <v>1.0196819579380958</v>
      </c>
      <c r="AI51" s="657">
        <f t="shared" si="122"/>
        <v>1.011049723756906</v>
      </c>
      <c r="AJ51" s="657">
        <f t="shared" si="122"/>
        <v>7.3660158926676997</v>
      </c>
      <c r="AK51" s="657"/>
      <c r="AL51" s="657">
        <f t="shared" si="122"/>
        <v>0.69565695437053321</v>
      </c>
      <c r="AM51" s="657">
        <f t="shared" si="122"/>
        <v>0.59832064324847911</v>
      </c>
      <c r="AN51" s="503">
        <f t="shared" si="122"/>
        <v>0.953125</v>
      </c>
    </row>
    <row r="52" spans="3:40" ht="21.75" customHeight="1">
      <c r="C52" s="1605"/>
      <c r="D52" s="654" t="s">
        <v>220</v>
      </c>
      <c r="E52" s="657">
        <f t="shared" ref="E52:H52" si="123">+E59/E73</f>
        <v>0.76043990247445148</v>
      </c>
      <c r="F52" s="657">
        <f t="shared" si="123"/>
        <v>0.82945303644528445</v>
      </c>
      <c r="G52" s="657">
        <f t="shared" si="123"/>
        <v>18.53448275862069</v>
      </c>
      <c r="H52" s="657">
        <f t="shared" si="123"/>
        <v>25.307604158842793</v>
      </c>
      <c r="I52" s="657"/>
      <c r="J52" s="657"/>
      <c r="K52" s="657">
        <f t="shared" ref="K52:R52" si="124">+K59/K73</f>
        <v>1.1195267371194355</v>
      </c>
      <c r="L52" s="657">
        <f t="shared" si="124"/>
        <v>1.012384172964969</v>
      </c>
      <c r="M52" s="657">
        <f t="shared" si="124"/>
        <v>0.43181818181818182</v>
      </c>
      <c r="N52" s="657">
        <f t="shared" si="124"/>
        <v>0.98913043478260865</v>
      </c>
      <c r="O52" s="657">
        <f t="shared" si="124"/>
        <v>0.87777777777777777</v>
      </c>
      <c r="P52" s="657">
        <f t="shared" si="124"/>
        <v>1.0616142945163278</v>
      </c>
      <c r="Q52" s="657">
        <f t="shared" si="124"/>
        <v>0.95730027548209362</v>
      </c>
      <c r="R52" s="657">
        <f t="shared" si="124"/>
        <v>0.78633732851987292</v>
      </c>
      <c r="S52" s="657"/>
      <c r="T52" s="657"/>
      <c r="U52" s="657">
        <f t="shared" ref="U52:W52" si="125">+U59/U73</f>
        <v>1.0238095238095237</v>
      </c>
      <c r="V52" s="657">
        <f t="shared" si="125"/>
        <v>0.34194861469777216</v>
      </c>
      <c r="W52" s="657">
        <f t="shared" si="125"/>
        <v>1.1130165943168866</v>
      </c>
      <c r="X52" s="657"/>
      <c r="Y52" s="657"/>
      <c r="Z52" s="657">
        <f t="shared" ref="Z52:AJ52" si="126">+Z59/Z73</f>
        <v>1.5712780983771839</v>
      </c>
      <c r="AA52" s="657">
        <f t="shared" si="126"/>
        <v>0.89927094182413336</v>
      </c>
      <c r="AB52" s="657">
        <f t="shared" si="126"/>
        <v>15.4</v>
      </c>
      <c r="AC52" s="657"/>
      <c r="AD52" s="657" t="e">
        <f t="shared" si="126"/>
        <v>#DIV/0!</v>
      </c>
      <c r="AE52" s="657" t="e">
        <f t="shared" si="126"/>
        <v>#DIV/0!</v>
      </c>
      <c r="AF52" s="657">
        <f t="shared" si="126"/>
        <v>0.94476273962736756</v>
      </c>
      <c r="AG52" s="657">
        <f t="shared" si="126"/>
        <v>1.5204777398581903</v>
      </c>
      <c r="AH52" s="657">
        <f t="shared" si="126"/>
        <v>1.0784060775460473</v>
      </c>
      <c r="AI52" s="657">
        <f t="shared" si="126"/>
        <v>1</v>
      </c>
      <c r="AJ52" s="657">
        <f t="shared" si="126"/>
        <v>10.584114714281542</v>
      </c>
      <c r="AK52" s="657"/>
      <c r="AL52" s="657"/>
      <c r="AM52" s="657">
        <f t="shared" ref="AM52:AN52" si="127">+AM59/AM73</f>
        <v>0.56642304556071932</v>
      </c>
      <c r="AN52" s="503">
        <f t="shared" si="127"/>
        <v>0.96250000000000002</v>
      </c>
    </row>
    <row r="53" spans="3:40" s="653" customFormat="1" ht="21.75" customHeight="1">
      <c r="C53" s="1605"/>
      <c r="D53" s="656" t="s">
        <v>221</v>
      </c>
      <c r="E53" s="657">
        <f t="shared" ref="E53:R53" si="128">+E60/E74</f>
        <v>0.7438241366038002</v>
      </c>
      <c r="F53" s="657">
        <f t="shared" si="128"/>
        <v>0.76690816695777053</v>
      </c>
      <c r="G53" s="657">
        <f t="shared" si="128"/>
        <v>9.0520231213872826</v>
      </c>
      <c r="H53" s="657">
        <f t="shared" si="128"/>
        <v>10.510124031829321</v>
      </c>
      <c r="I53" s="657">
        <f t="shared" si="128"/>
        <v>0.59402460456942008</v>
      </c>
      <c r="J53" s="657">
        <f t="shared" si="128"/>
        <v>0.59770012021712482</v>
      </c>
      <c r="K53" s="657">
        <f t="shared" si="128"/>
        <v>1.0184737279369562</v>
      </c>
      <c r="L53" s="657">
        <f t="shared" si="128"/>
        <v>1.014600845500474</v>
      </c>
      <c r="M53" s="657">
        <f t="shared" si="128"/>
        <v>0.57068766807529769</v>
      </c>
      <c r="N53" s="657">
        <f t="shared" si="128"/>
        <v>0.95833333333333337</v>
      </c>
      <c r="O53" s="657">
        <f t="shared" si="128"/>
        <v>0.90666666666666662</v>
      </c>
      <c r="P53" s="657">
        <f t="shared" si="128"/>
        <v>1.1349527665317138</v>
      </c>
      <c r="Q53" s="657">
        <f t="shared" si="128"/>
        <v>0.97315898141775636</v>
      </c>
      <c r="R53" s="657">
        <f t="shared" si="128"/>
        <v>0.98625685656444995</v>
      </c>
      <c r="S53" s="657"/>
      <c r="T53" s="657"/>
      <c r="U53" s="657">
        <f t="shared" ref="U53:W53" si="129">+U60/U74</f>
        <v>0.92660550458715596</v>
      </c>
      <c r="V53" s="657">
        <f t="shared" si="129"/>
        <v>0.35423335100470998</v>
      </c>
      <c r="W53" s="657">
        <f t="shared" si="129"/>
        <v>0.99997561160794635</v>
      </c>
      <c r="X53" s="657"/>
      <c r="Y53" s="657"/>
      <c r="Z53" s="657">
        <f t="shared" ref="Z53:AA53" si="130">+Z60/Z74</f>
        <v>1.4362358563887441</v>
      </c>
      <c r="AA53" s="657">
        <f t="shared" si="130"/>
        <v>0.70297001400680326</v>
      </c>
      <c r="AB53" s="657"/>
      <c r="AC53" s="657">
        <f t="shared" ref="AC53:AN53" si="131">+AC60/AC74</f>
        <v>0.39669421487603307</v>
      </c>
      <c r="AD53" s="657" t="e">
        <f t="shared" si="131"/>
        <v>#DIV/0!</v>
      </c>
      <c r="AE53" s="657" t="e">
        <f t="shared" si="131"/>
        <v>#DIV/0!</v>
      </c>
      <c r="AF53" s="657">
        <f t="shared" si="131"/>
        <v>0.72419118780460312</v>
      </c>
      <c r="AG53" s="657">
        <f t="shared" si="131"/>
        <v>1.3228255831869089</v>
      </c>
      <c r="AH53" s="657">
        <f t="shared" si="131"/>
        <v>0.99490385854113084</v>
      </c>
      <c r="AI53" s="657">
        <f t="shared" si="131"/>
        <v>0.9732142857142857</v>
      </c>
      <c r="AJ53" s="657">
        <f t="shared" si="131"/>
        <v>6.1269215590172292</v>
      </c>
      <c r="AK53" s="657">
        <f t="shared" si="131"/>
        <v>0.38781163434903049</v>
      </c>
      <c r="AL53" s="657">
        <f t="shared" si="131"/>
        <v>0</v>
      </c>
      <c r="AM53" s="657">
        <f t="shared" si="131"/>
        <v>0.57160648979621909</v>
      </c>
      <c r="AN53" s="503">
        <f t="shared" si="131"/>
        <v>0.9472573839662447</v>
      </c>
    </row>
    <row r="54" spans="3:40" s="492" customFormat="1" ht="21.75" customHeight="1">
      <c r="D54" s="676" t="s">
        <v>79</v>
      </c>
      <c r="E54" s="677">
        <f>+E61/E75</f>
        <v>0.75076536243150183</v>
      </c>
      <c r="F54" s="677">
        <f t="shared" ref="F54:AN54" si="132">+F61/F75</f>
        <v>0.77522683520628666</v>
      </c>
      <c r="G54" s="677">
        <f t="shared" si="132"/>
        <v>10.30595238095238</v>
      </c>
      <c r="H54" s="677">
        <f t="shared" si="132"/>
        <v>11.893346220169681</v>
      </c>
      <c r="I54" s="677">
        <f t="shared" si="132"/>
        <v>0.49061475816863642</v>
      </c>
      <c r="J54" s="677">
        <f t="shared" si="132"/>
        <v>0.50647063553597649</v>
      </c>
      <c r="K54" s="677">
        <f t="shared" si="132"/>
        <v>1.032889952405037</v>
      </c>
      <c r="L54" s="677">
        <f t="shared" si="132"/>
        <v>1.0093249883575981</v>
      </c>
      <c r="M54" s="677">
        <f t="shared" si="132"/>
        <v>0.46035125066524746</v>
      </c>
      <c r="N54" s="677">
        <f t="shared" si="132"/>
        <v>0.97670405522001724</v>
      </c>
      <c r="O54" s="677">
        <f t="shared" si="132"/>
        <v>0.9212062256809338</v>
      </c>
      <c r="P54" s="677">
        <f t="shared" si="132"/>
        <v>1.1040041601664066</v>
      </c>
      <c r="Q54" s="677">
        <f t="shared" si="132"/>
        <v>0.95618305744888021</v>
      </c>
      <c r="R54" s="677">
        <f t="shared" si="132"/>
        <v>0.8083164406610378</v>
      </c>
      <c r="S54" s="677">
        <f t="shared" si="132"/>
        <v>0</v>
      </c>
      <c r="T54" s="677">
        <f t="shared" si="132"/>
        <v>0</v>
      </c>
      <c r="U54" s="677">
        <f t="shared" si="132"/>
        <v>0.96466431095406358</v>
      </c>
      <c r="V54" s="677">
        <f t="shared" si="132"/>
        <v>0.4321512374193654</v>
      </c>
      <c r="W54" s="677">
        <f t="shared" si="132"/>
        <v>1.0196249687244701</v>
      </c>
      <c r="X54" s="677" t="e">
        <f t="shared" si="132"/>
        <v>#DIV/0!</v>
      </c>
      <c r="Y54" s="677" t="e">
        <f t="shared" si="132"/>
        <v>#DIV/0!</v>
      </c>
      <c r="Z54" s="677">
        <f t="shared" si="132"/>
        <v>1.457683939596774</v>
      </c>
      <c r="AA54" s="677">
        <f t="shared" si="132"/>
        <v>0.81424694584296564</v>
      </c>
      <c r="AB54" s="677">
        <f t="shared" si="132"/>
        <v>11.771573604060913</v>
      </c>
      <c r="AC54" s="677">
        <f t="shared" si="132"/>
        <v>0.32272727272727275</v>
      </c>
      <c r="AD54" s="677" t="e">
        <f t="shared" si="132"/>
        <v>#DIV/0!</v>
      </c>
      <c r="AE54" s="677" t="e">
        <f t="shared" si="132"/>
        <v>#DIV/0!</v>
      </c>
      <c r="AF54" s="677">
        <f t="shared" si="132"/>
        <v>0.84480880309479667</v>
      </c>
      <c r="AG54" s="677">
        <f t="shared" si="132"/>
        <v>1.3523154525042378</v>
      </c>
      <c r="AH54" s="677">
        <f t="shared" si="132"/>
        <v>1.0132097729922336</v>
      </c>
      <c r="AI54" s="677">
        <f t="shared" si="132"/>
        <v>0.98620129870129869</v>
      </c>
      <c r="AJ54" s="677">
        <f t="shared" si="132"/>
        <v>7.9734584563017972</v>
      </c>
      <c r="AK54" s="677">
        <f t="shared" si="132"/>
        <v>0.38781163434903049</v>
      </c>
      <c r="AL54" s="677">
        <f t="shared" si="132"/>
        <v>7.6011712529882022E-2</v>
      </c>
      <c r="AM54" s="677">
        <f t="shared" si="132"/>
        <v>0.5969857247322371</v>
      </c>
      <c r="AN54" s="677">
        <f t="shared" si="132"/>
        <v>0.95388162951575706</v>
      </c>
    </row>
    <row r="55" spans="3:40" ht="21.75" customHeight="1">
      <c r="J55" s="349"/>
    </row>
    <row r="56" spans="3:40" ht="19.5" customHeight="1">
      <c r="C56" s="1608" t="s">
        <v>742</v>
      </c>
      <c r="D56" s="654" t="s">
        <v>216</v>
      </c>
      <c r="E56" s="655">
        <v>5399.1000000000058</v>
      </c>
      <c r="F56" s="655">
        <v>1368441378</v>
      </c>
      <c r="G56" s="655">
        <v>1983</v>
      </c>
      <c r="H56" s="655">
        <v>500272850</v>
      </c>
      <c r="I56" s="655">
        <v>0</v>
      </c>
      <c r="J56" s="655">
        <v>0</v>
      </c>
      <c r="K56" s="655">
        <v>1868714228</v>
      </c>
      <c r="L56" s="655">
        <v>2691296</v>
      </c>
      <c r="M56" s="655">
        <v>0</v>
      </c>
      <c r="N56" s="655">
        <v>55600000</v>
      </c>
      <c r="O56" s="655">
        <v>127000000</v>
      </c>
      <c r="P56" s="655">
        <v>1282000</v>
      </c>
      <c r="Q56" s="655">
        <v>102550000</v>
      </c>
      <c r="R56" s="655">
        <v>107709443</v>
      </c>
      <c r="S56" s="655">
        <v>0</v>
      </c>
      <c r="T56" s="655">
        <v>0</v>
      </c>
      <c r="U56" s="655">
        <v>5300000</v>
      </c>
      <c r="V56" s="655">
        <v>1564779</v>
      </c>
      <c r="W56" s="655">
        <v>9183908.6480066348</v>
      </c>
      <c r="X56" s="655"/>
      <c r="Y56" s="655">
        <v>1530092074</v>
      </c>
      <c r="Z56" s="655">
        <v>3811687748</v>
      </c>
      <c r="AA56" s="655">
        <v>15006</v>
      </c>
      <c r="AB56" s="655">
        <v>788.5</v>
      </c>
      <c r="AC56" s="655">
        <v>0</v>
      </c>
      <c r="AD56" s="655">
        <v>0</v>
      </c>
      <c r="AE56" s="655">
        <v>0</v>
      </c>
      <c r="AF56" s="655">
        <v>740407610</v>
      </c>
      <c r="AG56" s="655">
        <v>4552095358</v>
      </c>
      <c r="AH56" s="655">
        <v>192061605</v>
      </c>
      <c r="AI56" s="655">
        <v>12171600</v>
      </c>
      <c r="AJ56" s="655">
        <v>51231056</v>
      </c>
      <c r="AK56" s="655">
        <v>0</v>
      </c>
      <c r="AL56" s="655">
        <v>136030</v>
      </c>
      <c r="AM56" s="655">
        <v>2075588342</v>
      </c>
      <c r="AN56" s="654">
        <v>283</v>
      </c>
    </row>
    <row r="57" spans="3:40" ht="19.5" customHeight="1">
      <c r="C57" s="1609"/>
      <c r="D57" s="654" t="s">
        <v>217</v>
      </c>
      <c r="E57" s="655">
        <v>3151.700000000003</v>
      </c>
      <c r="F57" s="655">
        <v>821067379</v>
      </c>
      <c r="G57" s="655">
        <v>1187</v>
      </c>
      <c r="H57" s="655">
        <v>308686744</v>
      </c>
      <c r="I57" s="655">
        <v>780</v>
      </c>
      <c r="J57" s="655">
        <v>7360133</v>
      </c>
      <c r="K57" s="655">
        <v>1137114256</v>
      </c>
      <c r="L57" s="655">
        <v>485185</v>
      </c>
      <c r="M57" s="655">
        <v>3663000</v>
      </c>
      <c r="N57" s="655">
        <v>33600000</v>
      </c>
      <c r="O57" s="655">
        <v>60000000</v>
      </c>
      <c r="P57" s="655">
        <v>200000</v>
      </c>
      <c r="Q57" s="655">
        <v>53500000</v>
      </c>
      <c r="R57" s="655">
        <v>50457211</v>
      </c>
      <c r="S57" s="655">
        <v>0</v>
      </c>
      <c r="T57" s="655">
        <v>0</v>
      </c>
      <c r="U57" s="655">
        <v>3100000</v>
      </c>
      <c r="V57" s="655">
        <v>0</v>
      </c>
      <c r="W57" s="655">
        <v>3317228.3219144209</v>
      </c>
      <c r="X57" s="655"/>
      <c r="Y57" s="655">
        <v>829328890</v>
      </c>
      <c r="Z57" s="655">
        <v>2174765768</v>
      </c>
      <c r="AA57" s="655">
        <v>6163.5</v>
      </c>
      <c r="AB57" s="655">
        <v>152</v>
      </c>
      <c r="AC57" s="655">
        <v>46</v>
      </c>
      <c r="AD57" s="655">
        <v>0</v>
      </c>
      <c r="AE57" s="655">
        <v>0</v>
      </c>
      <c r="AF57" s="655">
        <v>304588927</v>
      </c>
      <c r="AG57" s="655">
        <v>2479354695</v>
      </c>
      <c r="AH57" s="655">
        <v>119949480</v>
      </c>
      <c r="AI57" s="655">
        <v>7452900</v>
      </c>
      <c r="AJ57" s="655">
        <v>28027794</v>
      </c>
      <c r="AK57" s="655">
        <v>0</v>
      </c>
      <c r="AL57" s="655">
        <v>0</v>
      </c>
      <c r="AM57" s="655">
        <v>1068549731</v>
      </c>
      <c r="AN57" s="654">
        <v>172</v>
      </c>
    </row>
    <row r="58" spans="3:40" ht="19.5" customHeight="1">
      <c r="C58" s="1609"/>
      <c r="D58" s="654" t="s">
        <v>218</v>
      </c>
      <c r="E58" s="655">
        <v>3483.0000000000018</v>
      </c>
      <c r="F58" s="655">
        <v>842424056</v>
      </c>
      <c r="G58" s="655">
        <v>1280</v>
      </c>
      <c r="H58" s="655">
        <v>309874132</v>
      </c>
      <c r="I58" s="655">
        <v>0</v>
      </c>
      <c r="J58" s="655">
        <v>0</v>
      </c>
      <c r="K58" s="655">
        <v>1152298188</v>
      </c>
      <c r="L58" s="655">
        <v>617037</v>
      </c>
      <c r="M58" s="655">
        <v>0</v>
      </c>
      <c r="N58" s="655">
        <v>36200000</v>
      </c>
      <c r="O58" s="655">
        <v>77000000</v>
      </c>
      <c r="P58" s="655">
        <v>200000</v>
      </c>
      <c r="Q58" s="655">
        <v>60600000</v>
      </c>
      <c r="R58" s="655">
        <v>58297140</v>
      </c>
      <c r="S58" s="655">
        <v>0</v>
      </c>
      <c r="T58" s="655">
        <v>0</v>
      </c>
      <c r="U58" s="655">
        <v>4500000</v>
      </c>
      <c r="V58" s="655">
        <v>300000</v>
      </c>
      <c r="W58" s="655">
        <v>6307391.8750602147</v>
      </c>
      <c r="X58" s="655"/>
      <c r="Y58" s="655">
        <v>952310178</v>
      </c>
      <c r="Z58" s="655">
        <v>2348629970</v>
      </c>
      <c r="AA58" s="655">
        <v>8068.5</v>
      </c>
      <c r="AB58" s="655">
        <v>0</v>
      </c>
      <c r="AC58" s="655">
        <v>0</v>
      </c>
      <c r="AD58" s="655">
        <v>0</v>
      </c>
      <c r="AE58" s="655">
        <v>0</v>
      </c>
      <c r="AF58" s="655">
        <v>359142879</v>
      </c>
      <c r="AG58" s="655">
        <v>2707772849</v>
      </c>
      <c r="AH58" s="655">
        <v>120242115</v>
      </c>
      <c r="AI58" s="655">
        <v>8070300</v>
      </c>
      <c r="AJ58" s="655">
        <v>29765945</v>
      </c>
      <c r="AK58" s="655">
        <v>0</v>
      </c>
      <c r="AL58" s="655">
        <v>50616</v>
      </c>
      <c r="AM58" s="655">
        <v>1175943112</v>
      </c>
      <c r="AN58" s="654">
        <v>183</v>
      </c>
    </row>
    <row r="59" spans="3:40" ht="19.5" customHeight="1">
      <c r="C59" s="1609"/>
      <c r="D59" s="654" t="s">
        <v>220</v>
      </c>
      <c r="E59" s="655">
        <v>2931.8000000000011</v>
      </c>
      <c r="F59" s="655">
        <v>1329716340</v>
      </c>
      <c r="G59" s="655">
        <v>1075</v>
      </c>
      <c r="H59" s="655">
        <v>486547497</v>
      </c>
      <c r="I59" s="655">
        <v>0</v>
      </c>
      <c r="J59" s="655">
        <v>0</v>
      </c>
      <c r="K59" s="655">
        <v>1816263837</v>
      </c>
      <c r="L59" s="655">
        <v>30935736</v>
      </c>
      <c r="M59" s="655">
        <v>399000</v>
      </c>
      <c r="N59" s="655">
        <v>18200000</v>
      </c>
      <c r="O59" s="655">
        <v>39500000</v>
      </c>
      <c r="P59" s="655">
        <v>3446000</v>
      </c>
      <c r="Q59" s="655">
        <v>34750000</v>
      </c>
      <c r="R59" s="655">
        <v>13086181</v>
      </c>
      <c r="S59" s="655">
        <v>0</v>
      </c>
      <c r="T59" s="655">
        <v>0</v>
      </c>
      <c r="U59" s="655">
        <v>4300000</v>
      </c>
      <c r="V59" s="655">
        <v>1000000</v>
      </c>
      <c r="W59" s="655">
        <v>7136199.5220891554</v>
      </c>
      <c r="X59" s="655"/>
      <c r="Y59" s="655">
        <v>1453671078</v>
      </c>
      <c r="Z59" s="655">
        <v>3422688029</v>
      </c>
      <c r="AA59" s="655">
        <v>3022</v>
      </c>
      <c r="AB59" s="655">
        <v>38.5</v>
      </c>
      <c r="AC59" s="655">
        <v>0</v>
      </c>
      <c r="AD59" s="655">
        <v>0</v>
      </c>
      <c r="AE59" s="655">
        <v>0</v>
      </c>
      <c r="AF59" s="655">
        <v>181591806</v>
      </c>
      <c r="AG59" s="655">
        <v>3604279835</v>
      </c>
      <c r="AH59" s="655">
        <v>189592200</v>
      </c>
      <c r="AI59" s="655">
        <v>6659100</v>
      </c>
      <c r="AJ59" s="655">
        <v>117767063</v>
      </c>
      <c r="AK59" s="655">
        <v>0</v>
      </c>
      <c r="AL59" s="655">
        <v>0</v>
      </c>
      <c r="AM59" s="655">
        <v>1233045199</v>
      </c>
      <c r="AN59" s="654">
        <v>154</v>
      </c>
    </row>
    <row r="60" spans="3:40" ht="19.5" customHeight="1">
      <c r="C60" s="1609"/>
      <c r="D60" s="654" t="s">
        <v>221</v>
      </c>
      <c r="E60" s="655">
        <v>8503.0999999999985</v>
      </c>
      <c r="F60" s="655">
        <v>2608574702</v>
      </c>
      <c r="G60" s="655">
        <v>3132</v>
      </c>
      <c r="H60" s="655">
        <v>963720011</v>
      </c>
      <c r="I60" s="655">
        <v>1690</v>
      </c>
      <c r="J60" s="655">
        <v>20813110</v>
      </c>
      <c r="K60" s="655">
        <v>3593107823</v>
      </c>
      <c r="L60" s="655">
        <v>21998886</v>
      </c>
      <c r="M60" s="655">
        <v>8913000</v>
      </c>
      <c r="N60" s="655">
        <v>82800000</v>
      </c>
      <c r="O60" s="655">
        <v>170000000</v>
      </c>
      <c r="P60" s="655">
        <v>3364000</v>
      </c>
      <c r="Q60" s="655">
        <v>141400000</v>
      </c>
      <c r="R60" s="655">
        <v>141180015</v>
      </c>
      <c r="S60" s="655">
        <v>0</v>
      </c>
      <c r="T60" s="655">
        <v>0</v>
      </c>
      <c r="U60" s="655">
        <v>10100000</v>
      </c>
      <c r="V60" s="655">
        <v>1363769</v>
      </c>
      <c r="W60" s="655">
        <v>10939427.912929542</v>
      </c>
      <c r="X60" s="655"/>
      <c r="Y60" s="655">
        <v>2707443885</v>
      </c>
      <c r="Z60" s="655">
        <v>6892610834</v>
      </c>
      <c r="AA60" s="655">
        <v>12296</v>
      </c>
      <c r="AB60" s="655">
        <v>180.5</v>
      </c>
      <c r="AC60" s="655">
        <v>96</v>
      </c>
      <c r="AD60" s="655">
        <v>0</v>
      </c>
      <c r="AE60" s="655">
        <v>0</v>
      </c>
      <c r="AF60" s="655">
        <v>658418401</v>
      </c>
      <c r="AG60" s="655">
        <v>7551029235</v>
      </c>
      <c r="AH60" s="655">
        <v>372174495</v>
      </c>
      <c r="AI60" s="655">
        <v>19227600</v>
      </c>
      <c r="AJ60" s="655">
        <v>128358492</v>
      </c>
      <c r="AK60" s="655">
        <v>140000</v>
      </c>
      <c r="AL60" s="655">
        <v>0</v>
      </c>
      <c r="AM60" s="655">
        <v>3024472478</v>
      </c>
      <c r="AN60" s="654">
        <v>449</v>
      </c>
    </row>
    <row r="61" spans="3:40" ht="19.5" customHeight="1">
      <c r="D61" s="272"/>
      <c r="E61" s="659">
        <f>SUM(E56:E60)</f>
        <v>23468.700000000012</v>
      </c>
      <c r="F61" s="659">
        <f t="shared" ref="F61:W61" si="133">SUM(F56:F60)</f>
        <v>6970223855</v>
      </c>
      <c r="G61" s="659">
        <f t="shared" si="133"/>
        <v>8657</v>
      </c>
      <c r="H61" s="659">
        <f t="shared" si="133"/>
        <v>2569101234</v>
      </c>
      <c r="I61" s="659">
        <f t="shared" si="133"/>
        <v>2470</v>
      </c>
      <c r="J61" s="659">
        <f t="shared" si="133"/>
        <v>28173243</v>
      </c>
      <c r="K61" s="659">
        <f t="shared" si="133"/>
        <v>9567498332</v>
      </c>
      <c r="L61" s="659">
        <f t="shared" si="133"/>
        <v>56728140</v>
      </c>
      <c r="M61" s="659">
        <f t="shared" si="133"/>
        <v>12975000</v>
      </c>
      <c r="N61" s="659">
        <f t="shared" si="133"/>
        <v>226400000</v>
      </c>
      <c r="O61" s="659">
        <f t="shared" si="133"/>
        <v>473500000</v>
      </c>
      <c r="P61" s="659">
        <f t="shared" si="133"/>
        <v>8492000</v>
      </c>
      <c r="Q61" s="659">
        <f t="shared" si="133"/>
        <v>392800000</v>
      </c>
      <c r="R61" s="659">
        <f t="shared" si="133"/>
        <v>370729990</v>
      </c>
      <c r="S61" s="659">
        <f t="shared" si="133"/>
        <v>0</v>
      </c>
      <c r="T61" s="659">
        <f t="shared" si="133"/>
        <v>0</v>
      </c>
      <c r="U61" s="659">
        <f t="shared" si="133"/>
        <v>27300000</v>
      </c>
      <c r="V61" s="659">
        <f t="shared" si="133"/>
        <v>4228548</v>
      </c>
      <c r="W61" s="659">
        <f t="shared" si="133"/>
        <v>36884156.279999971</v>
      </c>
      <c r="X61" s="659"/>
      <c r="Y61" s="659">
        <f t="shared" ref="Y61:AN61" si="134">SUM(Y56:Y60)</f>
        <v>7472846105</v>
      </c>
      <c r="Z61" s="659">
        <f t="shared" si="134"/>
        <v>18650382349</v>
      </c>
      <c r="AA61" s="659">
        <f t="shared" si="134"/>
        <v>44556</v>
      </c>
      <c r="AB61" s="659">
        <f t="shared" si="134"/>
        <v>1159.5</v>
      </c>
      <c r="AC61" s="659">
        <f t="shared" si="134"/>
        <v>142</v>
      </c>
      <c r="AD61" s="659">
        <f t="shared" si="134"/>
        <v>0</v>
      </c>
      <c r="AE61" s="659">
        <f t="shared" si="134"/>
        <v>0</v>
      </c>
      <c r="AF61" s="659">
        <f t="shared" si="134"/>
        <v>2244149623</v>
      </c>
      <c r="AG61" s="659">
        <f t="shared" si="134"/>
        <v>20894531972</v>
      </c>
      <c r="AH61" s="659">
        <f t="shared" si="134"/>
        <v>994019895</v>
      </c>
      <c r="AI61" s="659">
        <f t="shared" si="134"/>
        <v>53581500</v>
      </c>
      <c r="AJ61" s="659">
        <f t="shared" si="134"/>
        <v>355150350</v>
      </c>
      <c r="AK61" s="659">
        <f t="shared" si="134"/>
        <v>140000</v>
      </c>
      <c r="AL61" s="659">
        <f t="shared" si="134"/>
        <v>186646</v>
      </c>
      <c r="AM61" s="659">
        <f t="shared" si="134"/>
        <v>8577598862</v>
      </c>
      <c r="AN61" s="659">
        <f t="shared" si="134"/>
        <v>1241</v>
      </c>
    </row>
    <row r="62" spans="3:40" ht="19.5" customHeight="1">
      <c r="D62" s="665"/>
      <c r="E62" s="665"/>
      <c r="F62" s="666"/>
      <c r="G62" s="667"/>
      <c r="H62" s="666"/>
      <c r="I62" s="667"/>
      <c r="J62" s="666"/>
      <c r="K62" s="666"/>
      <c r="L62" s="666"/>
      <c r="M62" s="666"/>
      <c r="N62" s="666"/>
      <c r="O62" s="666"/>
      <c r="P62" s="666"/>
      <c r="Q62" s="666"/>
      <c r="R62" s="666"/>
      <c r="S62" s="668"/>
      <c r="T62" s="666"/>
      <c r="U62" s="666"/>
      <c r="V62" s="666"/>
      <c r="W62" s="666"/>
      <c r="X62" s="669"/>
      <c r="Y62" s="669"/>
      <c r="Z62" s="669"/>
      <c r="AA62" s="657"/>
      <c r="AB62" s="657"/>
      <c r="AC62" s="657"/>
      <c r="AD62" s="670"/>
      <c r="AE62" s="670"/>
      <c r="AF62" s="671"/>
      <c r="AG62" s="672"/>
      <c r="AH62" s="671"/>
      <c r="AI62" s="673"/>
      <c r="AJ62" s="671"/>
      <c r="AK62" s="657"/>
      <c r="AL62" s="657"/>
      <c r="AM62" s="669"/>
      <c r="AN62" s="675"/>
    </row>
    <row r="63" spans="3:40" ht="21.75" customHeight="1">
      <c r="C63" s="1605" t="str">
        <f>C70&amp;" Vs "&amp;C84</f>
        <v>Dec Vs Nov</v>
      </c>
      <c r="D63" s="654" t="s">
        <v>216</v>
      </c>
      <c r="E63" s="657">
        <f>+E70/E84</f>
        <v>1.0112413056653871</v>
      </c>
      <c r="F63" s="657">
        <f t="shared" ref="F63" si="135">+F70/F84</f>
        <v>1.0111383821012461</v>
      </c>
      <c r="G63" s="657">
        <f>+G70/G84</f>
        <v>0.89847715736040612</v>
      </c>
      <c r="H63" s="657">
        <f t="shared" ref="H63:R63" si="136">+H70/H84</f>
        <v>0.84653106641635589</v>
      </c>
      <c r="I63" s="657">
        <f t="shared" si="136"/>
        <v>2.6615384615384614</v>
      </c>
      <c r="J63" s="657">
        <f t="shared" si="136"/>
        <v>2.5763446084283275</v>
      </c>
      <c r="K63" s="657">
        <f t="shared" si="136"/>
        <v>1.0082858104947179</v>
      </c>
      <c r="L63" s="657">
        <f t="shared" si="136"/>
        <v>1.0179356807470687</v>
      </c>
      <c r="M63" s="657">
        <f t="shared" si="136"/>
        <v>4.37</v>
      </c>
      <c r="N63" s="657">
        <f t="shared" si="136"/>
        <v>1.0072992700729928</v>
      </c>
      <c r="O63" s="657">
        <f t="shared" si="136"/>
        <v>1.0040322580645162</v>
      </c>
      <c r="P63" s="657">
        <f t="shared" si="136"/>
        <v>0.6774868369066277</v>
      </c>
      <c r="Q63" s="657">
        <f t="shared" si="136"/>
        <v>1.0065392354124749</v>
      </c>
      <c r="R63" s="657">
        <f t="shared" si="136"/>
        <v>1.0227094995904238</v>
      </c>
      <c r="S63" s="657"/>
      <c r="T63" s="657"/>
      <c r="U63" s="657">
        <f t="shared" ref="U63:W63" si="137">+U70/U84</f>
        <v>1.0392156862745099</v>
      </c>
      <c r="V63" s="657">
        <f t="shared" si="137"/>
        <v>2.8530084625504313</v>
      </c>
      <c r="W63" s="657">
        <f t="shared" si="137"/>
        <v>1.0051488897308793</v>
      </c>
      <c r="X63" s="657"/>
      <c r="Y63" s="657"/>
      <c r="Z63" s="657">
        <f t="shared" ref="Z63" si="138">+Z70/Z84</f>
        <v>1.1631841796268509</v>
      </c>
      <c r="AA63" s="657">
        <f>+AA70/AA84</f>
        <v>1.3561614426792614</v>
      </c>
      <c r="AB63" s="657"/>
      <c r="AC63" s="657">
        <f t="shared" ref="AC63:AF63" si="139">+AC70/AC84</f>
        <v>4.2</v>
      </c>
      <c r="AD63" s="657" t="e">
        <f t="shared" si="139"/>
        <v>#DIV/0!</v>
      </c>
      <c r="AE63" s="657" t="e">
        <f t="shared" si="139"/>
        <v>#DIV/0!</v>
      </c>
      <c r="AF63" s="657">
        <f t="shared" si="139"/>
        <v>1.3647285608890656</v>
      </c>
      <c r="AG63" s="657">
        <f>+AG70/AG84</f>
        <v>1.2022781810713528</v>
      </c>
      <c r="AH63" s="657">
        <f t="shared" ref="AH63:AK63" si="140">+AH70/AH84</f>
        <v>1.0132402107041882</v>
      </c>
      <c r="AI63" s="657">
        <f t="shared" si="140"/>
        <v>1.0524344569288389</v>
      </c>
      <c r="AJ63" s="657">
        <f t="shared" si="140"/>
        <v>18.882366432694887</v>
      </c>
      <c r="AK63" s="657">
        <f t="shared" si="140"/>
        <v>0</v>
      </c>
      <c r="AL63" s="657">
        <f t="shared" ref="Z63:AN64" si="141">+AL70/AL84</f>
        <v>0.21904790576901367</v>
      </c>
      <c r="AM63" s="657">
        <f t="shared" ref="AM63" si="142">+AM70/AM84</f>
        <v>1.2157216019350434</v>
      </c>
      <c r="AN63" s="503">
        <f>+AN70/AN84</f>
        <v>1.0528169014084507</v>
      </c>
    </row>
    <row r="64" spans="3:40" ht="21.75" customHeight="1">
      <c r="C64" s="1605"/>
      <c r="D64" s="654" t="s">
        <v>217</v>
      </c>
      <c r="E64" s="657">
        <f t="shared" ref="E64:R64" si="143">+E71/E85</f>
        <v>1.0117757668351157</v>
      </c>
      <c r="F64" s="657">
        <f t="shared" si="143"/>
        <v>1.0193362356760556</v>
      </c>
      <c r="G64" s="657">
        <f t="shared" si="143"/>
        <v>0.90532544378698221</v>
      </c>
      <c r="H64" s="657">
        <f t="shared" si="143"/>
        <v>0.85959876190204354</v>
      </c>
      <c r="I64" s="657">
        <f t="shared" si="143"/>
        <v>1.014576374126936</v>
      </c>
      <c r="J64" s="657">
        <f t="shared" si="143"/>
        <v>1.0256879200923035</v>
      </c>
      <c r="K64" s="657">
        <f t="shared" si="143"/>
        <v>1.0132710823954281</v>
      </c>
      <c r="L64" s="657">
        <f t="shared" si="143"/>
        <v>1.0441770423058772</v>
      </c>
      <c r="M64" s="657">
        <f t="shared" si="143"/>
        <v>0.94035858031467257</v>
      </c>
      <c r="N64" s="657">
        <f t="shared" si="143"/>
        <v>0.99428571428571433</v>
      </c>
      <c r="O64" s="657">
        <f t="shared" si="143"/>
        <v>1.0625</v>
      </c>
      <c r="P64" s="657">
        <f t="shared" si="143"/>
        <v>0.53807846798298598</v>
      </c>
      <c r="Q64" s="657">
        <f t="shared" si="143"/>
        <v>1.017087062652563</v>
      </c>
      <c r="R64" s="657">
        <f t="shared" si="143"/>
        <v>1.0986288131813442</v>
      </c>
      <c r="S64" s="657"/>
      <c r="T64" s="657"/>
      <c r="U64" s="657">
        <f t="shared" ref="U64:W64" si="144">+U71/U85</f>
        <v>1.032258064516129</v>
      </c>
      <c r="V64" s="657"/>
      <c r="W64" s="657">
        <f t="shared" si="144"/>
        <v>1.0031692697863963</v>
      </c>
      <c r="X64" s="657"/>
      <c r="Y64" s="657"/>
      <c r="Z64" s="657">
        <f t="shared" si="141"/>
        <v>1.1314106300497173</v>
      </c>
      <c r="AA64" s="657">
        <f t="shared" si="141"/>
        <v>1.2781967213114753</v>
      </c>
      <c r="AB64" s="657">
        <f t="shared" si="141"/>
        <v>0</v>
      </c>
      <c r="AC64" s="657">
        <f t="shared" si="141"/>
        <v>1.7142857142857142</v>
      </c>
      <c r="AD64" s="657" t="e">
        <f t="shared" si="141"/>
        <v>#DIV/0!</v>
      </c>
      <c r="AE64" s="657" t="e">
        <f t="shared" si="141"/>
        <v>#DIV/0!</v>
      </c>
      <c r="AF64" s="657">
        <f t="shared" si="141"/>
        <v>1.2391325370664505</v>
      </c>
      <c r="AG64" s="657">
        <f t="shared" si="141"/>
        <v>1.1503900352502712</v>
      </c>
      <c r="AH64" s="657">
        <f t="shared" si="141"/>
        <v>1.0034542202497307</v>
      </c>
      <c r="AI64" s="657">
        <f t="shared" si="141"/>
        <v>1.0426829268292683</v>
      </c>
      <c r="AJ64" s="657">
        <f t="shared" si="141"/>
        <v>5.8323709717266778</v>
      </c>
      <c r="AK64" s="657"/>
      <c r="AL64" s="657">
        <f t="shared" ref="AL64" si="145">+AL71/AL85</f>
        <v>0.59266096769469134</v>
      </c>
      <c r="AM64" s="657">
        <f t="shared" si="141"/>
        <v>1.1604333654313526</v>
      </c>
      <c r="AN64" s="503">
        <f t="shared" si="141"/>
        <v>1</v>
      </c>
    </row>
    <row r="65" spans="3:40" ht="21.75" customHeight="1">
      <c r="C65" s="1605"/>
      <c r="D65" s="654" t="s">
        <v>218</v>
      </c>
      <c r="E65" s="657">
        <f t="shared" ref="E65:H65" si="146">+E72/E86</f>
        <v>1.010275308909603</v>
      </c>
      <c r="F65" s="657">
        <f t="shared" si="146"/>
        <v>1.0099630719686843</v>
      </c>
      <c r="G65" s="657">
        <f t="shared" si="146"/>
        <v>1.1648351648351649</v>
      </c>
      <c r="H65" s="657">
        <f t="shared" si="146"/>
        <v>1.1829538151385359</v>
      </c>
      <c r="I65" s="657"/>
      <c r="J65" s="657"/>
      <c r="K65" s="657">
        <f t="shared" ref="K65:L65" si="147">+K72/K86</f>
        <v>1.0131025672868843</v>
      </c>
      <c r="L65" s="657">
        <f t="shared" si="147"/>
        <v>1.0040332967895378</v>
      </c>
      <c r="M65" s="657"/>
      <c r="N65" s="657">
        <f t="shared" ref="N65:R65" si="148">+N72/N86</f>
        <v>1.0164835164835164</v>
      </c>
      <c r="O65" s="657">
        <f t="shared" si="148"/>
        <v>0.99382716049382713</v>
      </c>
      <c r="P65" s="657">
        <f t="shared" si="148"/>
        <v>0.30402159769430021</v>
      </c>
      <c r="Q65" s="657">
        <f t="shared" si="148"/>
        <v>1.0479559748427674</v>
      </c>
      <c r="R65" s="657">
        <f t="shared" si="148"/>
        <v>1.0747171638621893</v>
      </c>
      <c r="S65" s="657"/>
      <c r="T65" s="657"/>
      <c r="U65" s="657">
        <f t="shared" ref="U65:W65" si="149">+U72/U86</f>
        <v>1.0681818181818181</v>
      </c>
      <c r="V65" s="657">
        <f t="shared" si="149"/>
        <v>0.64466668881726863</v>
      </c>
      <c r="W65" s="657">
        <f t="shared" si="149"/>
        <v>1.010752613020732</v>
      </c>
      <c r="X65" s="657"/>
      <c r="Y65" s="657"/>
      <c r="Z65" s="657">
        <f t="shared" ref="Z65:AA65" si="150">+Z72/Z86</f>
        <v>1.174107733510644</v>
      </c>
      <c r="AA65" s="657">
        <f t="shared" si="150"/>
        <v>1.1577406093371627</v>
      </c>
      <c r="AB65" s="657"/>
      <c r="AC65" s="657"/>
      <c r="AD65" s="657" t="e">
        <f t="shared" ref="AD65:AN65" si="151">+AD72/AD86</f>
        <v>#DIV/0!</v>
      </c>
      <c r="AE65" s="657" t="e">
        <f t="shared" si="151"/>
        <v>#DIV/0!</v>
      </c>
      <c r="AF65" s="657">
        <f t="shared" si="151"/>
        <v>1.1561872189002997</v>
      </c>
      <c r="AG65" s="657">
        <f t="shared" si="151"/>
        <v>1.17018932335109</v>
      </c>
      <c r="AH65" s="657">
        <f t="shared" si="151"/>
        <v>1.0169282953808707</v>
      </c>
      <c r="AI65" s="657">
        <f t="shared" si="151"/>
        <v>1.0168539325842696</v>
      </c>
      <c r="AJ65" s="657">
        <f t="shared" si="151"/>
        <v>3.9853082438336438</v>
      </c>
      <c r="AK65" s="657">
        <f t="shared" si="151"/>
        <v>0</v>
      </c>
      <c r="AL65" s="657">
        <f t="shared" si="151"/>
        <v>0.16266015072220122</v>
      </c>
      <c r="AM65" s="657">
        <f t="shared" si="151"/>
        <v>1.1801629683413122</v>
      </c>
      <c r="AN65" s="503">
        <f t="shared" si="151"/>
        <v>1.0158730158730158</v>
      </c>
    </row>
    <row r="66" spans="3:40" ht="21.75" customHeight="1">
      <c r="C66" s="1605"/>
      <c r="D66" s="654" t="s">
        <v>220</v>
      </c>
      <c r="E66" s="657">
        <f t="shared" ref="E66:H66" si="152">+E73/E87</f>
        <v>1.0044289287203001</v>
      </c>
      <c r="F66" s="657">
        <f t="shared" si="152"/>
        <v>1.0026182260625505</v>
      </c>
      <c r="G66" s="657">
        <f t="shared" si="152"/>
        <v>0.70731707317073167</v>
      </c>
      <c r="H66" s="657">
        <f t="shared" si="152"/>
        <v>0.66853335651569157</v>
      </c>
      <c r="I66" s="657"/>
      <c r="J66" s="657"/>
      <c r="K66" s="657">
        <f t="shared" ref="K66:R66" si="153">+K73/K87</f>
        <v>0.99671574248338579</v>
      </c>
      <c r="L66" s="657">
        <f t="shared" si="153"/>
        <v>0.99958491982891196</v>
      </c>
      <c r="M66" s="657">
        <f t="shared" si="153"/>
        <v>1.013157894736842</v>
      </c>
      <c r="N66" s="657">
        <f t="shared" si="153"/>
        <v>0.989247311827957</v>
      </c>
      <c r="O66" s="657">
        <f t="shared" si="153"/>
        <v>1.0714285714285714</v>
      </c>
      <c r="P66" s="657">
        <f t="shared" si="153"/>
        <v>0.86305020447589642</v>
      </c>
      <c r="Q66" s="657">
        <f t="shared" si="153"/>
        <v>1.0431034482758621</v>
      </c>
      <c r="R66" s="657">
        <f t="shared" si="153"/>
        <v>1.0229525849218903</v>
      </c>
      <c r="S66" s="657"/>
      <c r="T66" s="657"/>
      <c r="U66" s="657">
        <f t="shared" ref="U66:W66" si="154">+U73/U87</f>
        <v>1.024390243902439</v>
      </c>
      <c r="V66" s="657">
        <f t="shared" si="154"/>
        <v>1.8017716955069318</v>
      </c>
      <c r="W66" s="657">
        <f t="shared" si="154"/>
        <v>1.0022376545276199</v>
      </c>
      <c r="X66" s="657"/>
      <c r="Y66" s="657"/>
      <c r="Z66" s="657">
        <f t="shared" ref="Z66:AK66" si="155">+Z73/Z87</f>
        <v>1.2191466774656428</v>
      </c>
      <c r="AA66" s="657">
        <f t="shared" si="155"/>
        <v>0.98954652532391052</v>
      </c>
      <c r="AB66" s="657">
        <f t="shared" si="155"/>
        <v>0.10416666666666667</v>
      </c>
      <c r="AC66" s="657">
        <f t="shared" si="155"/>
        <v>0</v>
      </c>
      <c r="AD66" s="657" t="e">
        <f t="shared" si="155"/>
        <v>#DIV/0!</v>
      </c>
      <c r="AE66" s="657" t="e">
        <f t="shared" si="155"/>
        <v>#DIV/0!</v>
      </c>
      <c r="AF66" s="657">
        <f t="shared" si="155"/>
        <v>0.97531055758795049</v>
      </c>
      <c r="AG66" s="657">
        <f t="shared" si="155"/>
        <v>1.1949235459171599</v>
      </c>
      <c r="AH66" s="657">
        <f t="shared" si="155"/>
        <v>1.0068110494500109</v>
      </c>
      <c r="AI66" s="657">
        <f t="shared" si="155"/>
        <v>1.0272108843537415</v>
      </c>
      <c r="AJ66" s="657">
        <f t="shared" si="155"/>
        <v>3.6087508870435214</v>
      </c>
      <c r="AK66" s="657">
        <f t="shared" si="155"/>
        <v>0</v>
      </c>
      <c r="AL66" s="657"/>
      <c r="AM66" s="657">
        <f t="shared" ref="AM66:AN66" si="156">+AM73/AM87</f>
        <v>1.21001697234203</v>
      </c>
      <c r="AN66" s="503">
        <f t="shared" si="156"/>
        <v>1.0256410256410255</v>
      </c>
    </row>
    <row r="67" spans="3:40" s="653" customFormat="1" ht="21.75" customHeight="1">
      <c r="C67" s="1605"/>
      <c r="D67" s="656" t="s">
        <v>221</v>
      </c>
      <c r="E67" s="657">
        <f t="shared" ref="E67:R67" si="157">+E74/E88</f>
        <v>0.98495631645155202</v>
      </c>
      <c r="F67" s="657">
        <f t="shared" si="157"/>
        <v>0.99533506815972872</v>
      </c>
      <c r="G67" s="657">
        <f t="shared" si="157"/>
        <v>1.0328358208955224</v>
      </c>
      <c r="H67" s="657">
        <f t="shared" si="157"/>
        <v>1.0217261665989188</v>
      </c>
      <c r="I67" s="657">
        <f t="shared" si="157"/>
        <v>1.0601825973542016</v>
      </c>
      <c r="J67" s="657">
        <f t="shared" si="157"/>
        <v>1.020918453252279</v>
      </c>
      <c r="K67" s="657">
        <f t="shared" si="157"/>
        <v>0.9962503113813701</v>
      </c>
      <c r="L67" s="657">
        <f t="shared" si="157"/>
        <v>1.0013498311879725</v>
      </c>
      <c r="M67" s="657">
        <f t="shared" si="157"/>
        <v>1.0221873159238171</v>
      </c>
      <c r="N67" s="657">
        <f t="shared" si="157"/>
        <v>0.98181818181818181</v>
      </c>
      <c r="O67" s="657">
        <f t="shared" si="157"/>
        <v>1.0330578512396693</v>
      </c>
      <c r="P67" s="657">
        <f t="shared" si="157"/>
        <v>0.69247272337326737</v>
      </c>
      <c r="Q67" s="657">
        <f t="shared" si="157"/>
        <v>1.1095838106147384</v>
      </c>
      <c r="R67" s="657">
        <f t="shared" si="157"/>
        <v>1.2342896951773115</v>
      </c>
      <c r="S67" s="657"/>
      <c r="T67" s="657"/>
      <c r="U67" s="657">
        <f t="shared" ref="U67:W67" si="158">+U74/U88</f>
        <v>1.0480769230769231</v>
      </c>
      <c r="V67" s="657">
        <f t="shared" si="158"/>
        <v>1.5585282480226506</v>
      </c>
      <c r="W67" s="657">
        <f t="shared" si="158"/>
        <v>0.98593728454684537</v>
      </c>
      <c r="X67" s="657"/>
      <c r="Y67" s="657"/>
      <c r="Z67" s="657">
        <f t="shared" ref="Z67:AN67" si="159">+Z74/Z88</f>
        <v>1.1640296395016163</v>
      </c>
      <c r="AA67" s="657">
        <f t="shared" si="159"/>
        <v>1.0464552796889022</v>
      </c>
      <c r="AB67" s="657"/>
      <c r="AC67" s="657">
        <f t="shared" si="159"/>
        <v>1.0083333333333333</v>
      </c>
      <c r="AD67" s="657" t="e">
        <f t="shared" si="159"/>
        <v>#DIV/0!</v>
      </c>
      <c r="AE67" s="657" t="e">
        <f t="shared" si="159"/>
        <v>#DIV/0!</v>
      </c>
      <c r="AF67" s="657">
        <f t="shared" si="159"/>
        <v>1.0958545386523044</v>
      </c>
      <c r="AG67" s="657">
        <f t="shared" si="159"/>
        <v>1.152608749518337</v>
      </c>
      <c r="AH67" s="657">
        <f t="shared" si="159"/>
        <v>1.0241347186975656</v>
      </c>
      <c r="AI67" s="657">
        <f t="shared" si="159"/>
        <v>1.0275229357798166</v>
      </c>
      <c r="AJ67" s="657">
        <f t="shared" si="159"/>
        <v>3.7303058204221795</v>
      </c>
      <c r="AK67" s="657">
        <f t="shared" si="159"/>
        <v>0.40222841225626743</v>
      </c>
      <c r="AL67" s="657">
        <f t="shared" si="159"/>
        <v>1.1948915401234357</v>
      </c>
      <c r="AM67" s="657">
        <f t="shared" si="159"/>
        <v>1.160385476951532</v>
      </c>
      <c r="AN67" s="503">
        <f t="shared" si="159"/>
        <v>0.97933884297520657</v>
      </c>
    </row>
    <row r="68" spans="3:40" s="492" customFormat="1" ht="21.75" customHeight="1">
      <c r="D68" s="676" t="s">
        <v>79</v>
      </c>
      <c r="E68" s="677">
        <f>+E75/E89</f>
        <v>1.0005697476785982</v>
      </c>
      <c r="F68" s="677">
        <f t="shared" ref="F68:AN68" si="160">+F75/F89</f>
        <v>1.0044352408424575</v>
      </c>
      <c r="G68" s="677">
        <f t="shared" si="160"/>
        <v>0.9610983981693364</v>
      </c>
      <c r="H68" s="677">
        <f t="shared" si="160"/>
        <v>0.92370171078212171</v>
      </c>
      <c r="I68" s="677">
        <f t="shared" si="160"/>
        <v>1.112596685082873</v>
      </c>
      <c r="J68" s="677">
        <f t="shared" si="160"/>
        <v>1.0850194747810917</v>
      </c>
      <c r="K68" s="677">
        <f t="shared" si="160"/>
        <v>1.0028384991331387</v>
      </c>
      <c r="L68" s="677">
        <f t="shared" si="160"/>
        <v>1.0015970225978625</v>
      </c>
      <c r="M68" s="677">
        <f t="shared" si="160"/>
        <v>1.1144721233689205</v>
      </c>
      <c r="N68" s="677">
        <f t="shared" si="160"/>
        <v>0.99570446735395191</v>
      </c>
      <c r="O68" s="677">
        <f t="shared" si="160"/>
        <v>1.0269730269730271</v>
      </c>
      <c r="P68" s="677">
        <f t="shared" si="160"/>
        <v>0.72103405957923561</v>
      </c>
      <c r="Q68" s="677">
        <f t="shared" si="160"/>
        <v>1.0527934392619169</v>
      </c>
      <c r="R68" s="677">
        <f t="shared" si="160"/>
        <v>1.1048882572382404</v>
      </c>
      <c r="S68" s="677" t="e">
        <f t="shared" si="160"/>
        <v>#DIV/0!</v>
      </c>
      <c r="T68" s="677" t="e">
        <f t="shared" si="160"/>
        <v>#DIV/0!</v>
      </c>
      <c r="U68" s="677">
        <f t="shared" si="160"/>
        <v>1.0442804428044281</v>
      </c>
      <c r="V68" s="677">
        <f t="shared" si="160"/>
        <v>1.8880581031199168</v>
      </c>
      <c r="W68" s="677">
        <f t="shared" si="160"/>
        <v>0.9995426868331988</v>
      </c>
      <c r="X68" s="677" t="e">
        <f t="shared" si="160"/>
        <v>#DIV/0!</v>
      </c>
      <c r="Y68" s="677" t="e">
        <f t="shared" si="160"/>
        <v>#DIV/0!</v>
      </c>
      <c r="Z68" s="677">
        <f t="shared" si="160"/>
        <v>1.1699700529760864</v>
      </c>
      <c r="AA68" s="677">
        <f t="shared" si="160"/>
        <v>1.1708801848741295</v>
      </c>
      <c r="AB68" s="677">
        <f t="shared" si="160"/>
        <v>0.68402777777777779</v>
      </c>
      <c r="AC68" s="677">
        <f t="shared" si="160"/>
        <v>1.3990461049284579</v>
      </c>
      <c r="AD68" s="677" t="e">
        <f t="shared" si="160"/>
        <v>#DIV/0!</v>
      </c>
      <c r="AE68" s="677" t="e">
        <f t="shared" si="160"/>
        <v>#DIV/0!</v>
      </c>
      <c r="AF68" s="677">
        <f t="shared" si="160"/>
        <v>1.1787444453525338</v>
      </c>
      <c r="AG68" s="677">
        <f t="shared" si="160"/>
        <v>1.1714692787422956</v>
      </c>
      <c r="AH68" s="677">
        <f t="shared" si="160"/>
        <v>1.0154007647975518</v>
      </c>
      <c r="AI68" s="677">
        <f t="shared" si="160"/>
        <v>1.0335570469798658</v>
      </c>
      <c r="AJ68" s="677">
        <f t="shared" si="160"/>
        <v>4.1859737041019311</v>
      </c>
      <c r="AK68" s="677">
        <f t="shared" si="160"/>
        <v>0.18767871068364961</v>
      </c>
      <c r="AL68" s="677">
        <f t="shared" si="160"/>
        <v>0.75658505908659124</v>
      </c>
      <c r="AM68" s="677">
        <f t="shared" si="160"/>
        <v>1.182099025005602</v>
      </c>
      <c r="AN68" s="677">
        <f t="shared" si="160"/>
        <v>1.0093095422808378</v>
      </c>
    </row>
    <row r="69" spans="3:40" ht="21.75" customHeight="1">
      <c r="J69" s="349"/>
    </row>
    <row r="70" spans="3:40" ht="19.5" customHeight="1">
      <c r="C70" s="1610" t="s">
        <v>74</v>
      </c>
      <c r="D70" s="654" t="s">
        <v>216</v>
      </c>
      <c r="E70" s="655">
        <v>7007.6999999999962</v>
      </c>
      <c r="F70" s="655">
        <v>1762101010</v>
      </c>
      <c r="G70" s="655">
        <v>177</v>
      </c>
      <c r="H70" s="655">
        <v>42974732</v>
      </c>
      <c r="I70" s="655">
        <v>519</v>
      </c>
      <c r="J70" s="655">
        <v>5324096</v>
      </c>
      <c r="K70" s="655">
        <v>1810399838</v>
      </c>
      <c r="L70" s="655">
        <v>2794038</v>
      </c>
      <c r="M70" s="655">
        <v>3933000</v>
      </c>
      <c r="N70" s="655">
        <v>55200000</v>
      </c>
      <c r="O70" s="655">
        <v>124500000</v>
      </c>
      <c r="P70" s="655">
        <v>1082000</v>
      </c>
      <c r="Q70" s="655">
        <v>100050000</v>
      </c>
      <c r="R70" s="655">
        <v>134206604</v>
      </c>
      <c r="S70" s="655">
        <v>1305</v>
      </c>
      <c r="T70" s="655">
        <v>339680016</v>
      </c>
      <c r="U70" s="655">
        <v>5300000</v>
      </c>
      <c r="V70" s="655">
        <v>1819509</v>
      </c>
      <c r="W70" s="655">
        <v>9107141.8305821195</v>
      </c>
      <c r="X70" s="655"/>
      <c r="Y70" s="655">
        <v>0</v>
      </c>
      <c r="Z70" s="655">
        <v>2588072164</v>
      </c>
      <c r="AA70" s="655">
        <v>15792.5</v>
      </c>
      <c r="AB70" s="655">
        <v>0</v>
      </c>
      <c r="AC70" s="655">
        <v>126</v>
      </c>
      <c r="AD70" s="655">
        <v>0</v>
      </c>
      <c r="AE70" s="655">
        <v>0</v>
      </c>
      <c r="AF70" s="655">
        <v>730741158</v>
      </c>
      <c r="AG70" s="655">
        <v>3318813322</v>
      </c>
      <c r="AH70" s="655">
        <v>190519035</v>
      </c>
      <c r="AI70" s="655">
        <v>12392100</v>
      </c>
      <c r="AJ70" s="655">
        <v>4363375</v>
      </c>
      <c r="AK70" s="655">
        <v>0</v>
      </c>
      <c r="AL70" s="655">
        <v>145519</v>
      </c>
      <c r="AM70" s="655">
        <v>3111393293</v>
      </c>
      <c r="AN70" s="654">
        <v>299</v>
      </c>
    </row>
    <row r="71" spans="3:40" ht="19.5" customHeight="1">
      <c r="C71" s="1610"/>
      <c r="D71" s="654" t="s">
        <v>217</v>
      </c>
      <c r="E71" s="655">
        <v>4304.5999999999995</v>
      </c>
      <c r="F71" s="655">
        <v>1109526167</v>
      </c>
      <c r="G71" s="655">
        <v>153</v>
      </c>
      <c r="H71" s="655">
        <v>37976818</v>
      </c>
      <c r="I71" s="655">
        <v>1670.5</v>
      </c>
      <c r="J71" s="655">
        <v>15480517</v>
      </c>
      <c r="K71" s="655">
        <v>1162983502</v>
      </c>
      <c r="L71" s="655">
        <v>500000</v>
      </c>
      <c r="M71" s="655">
        <v>7710000</v>
      </c>
      <c r="N71" s="655">
        <v>34800000</v>
      </c>
      <c r="O71" s="655">
        <v>76500000</v>
      </c>
      <c r="P71" s="655">
        <v>200000</v>
      </c>
      <c r="Q71" s="655">
        <v>62500000</v>
      </c>
      <c r="R71" s="655">
        <v>77399192</v>
      </c>
      <c r="S71" s="655">
        <v>576</v>
      </c>
      <c r="T71" s="655">
        <v>156351177</v>
      </c>
      <c r="U71" s="655">
        <v>3200000</v>
      </c>
      <c r="V71" s="655">
        <v>900000</v>
      </c>
      <c r="W71" s="655">
        <v>3321288.4860242014</v>
      </c>
      <c r="X71" s="655"/>
      <c r="Y71" s="655">
        <v>0</v>
      </c>
      <c r="Z71" s="655">
        <v>1586365159</v>
      </c>
      <c r="AA71" s="655">
        <v>7797</v>
      </c>
      <c r="AB71" s="655">
        <v>0</v>
      </c>
      <c r="AC71" s="655">
        <v>72</v>
      </c>
      <c r="AD71" s="655">
        <v>0</v>
      </c>
      <c r="AE71" s="655">
        <v>0</v>
      </c>
      <c r="AF71" s="655">
        <v>371579374</v>
      </c>
      <c r="AG71" s="655">
        <v>1957944533</v>
      </c>
      <c r="AH71" s="655">
        <v>122731417</v>
      </c>
      <c r="AI71" s="655">
        <v>7541100</v>
      </c>
      <c r="AJ71" s="655">
        <v>4060520</v>
      </c>
      <c r="AK71" s="655">
        <v>0</v>
      </c>
      <c r="AL71" s="655">
        <v>307546</v>
      </c>
      <c r="AM71" s="655">
        <v>1823303950</v>
      </c>
      <c r="AN71" s="654">
        <v>176</v>
      </c>
    </row>
    <row r="72" spans="3:40" ht="19.5" customHeight="1">
      <c r="C72" s="1610"/>
      <c r="D72" s="654" t="s">
        <v>218</v>
      </c>
      <c r="E72" s="655">
        <v>4660.4000000000015</v>
      </c>
      <c r="F72" s="655">
        <v>1115036794</v>
      </c>
      <c r="G72" s="655">
        <v>106</v>
      </c>
      <c r="H72" s="655">
        <v>24140296</v>
      </c>
      <c r="I72" s="655">
        <v>0</v>
      </c>
      <c r="J72" s="655">
        <v>0</v>
      </c>
      <c r="K72" s="655">
        <v>1139177090</v>
      </c>
      <c r="L72" s="655">
        <v>670385</v>
      </c>
      <c r="M72" s="655">
        <v>0</v>
      </c>
      <c r="N72" s="655">
        <v>37000000</v>
      </c>
      <c r="O72" s="655">
        <v>80500000</v>
      </c>
      <c r="P72" s="655">
        <v>200000</v>
      </c>
      <c r="Q72" s="655">
        <v>66650000</v>
      </c>
      <c r="R72" s="655">
        <v>87249576</v>
      </c>
      <c r="S72" s="655">
        <v>868</v>
      </c>
      <c r="T72" s="655">
        <v>219898198</v>
      </c>
      <c r="U72" s="655">
        <v>4700000</v>
      </c>
      <c r="V72" s="655">
        <v>291038</v>
      </c>
      <c r="W72" s="655">
        <v>6394528.8390970603</v>
      </c>
      <c r="X72" s="655"/>
      <c r="Y72" s="655">
        <v>0</v>
      </c>
      <c r="Z72" s="655">
        <v>1642730849</v>
      </c>
      <c r="AA72" s="655">
        <v>10279</v>
      </c>
      <c r="AB72" s="655">
        <v>0</v>
      </c>
      <c r="AC72" s="655">
        <v>0</v>
      </c>
      <c r="AD72" s="655">
        <v>0</v>
      </c>
      <c r="AE72" s="655">
        <v>0</v>
      </c>
      <c r="AF72" s="655">
        <v>452692406</v>
      </c>
      <c r="AG72" s="655">
        <v>2095423255</v>
      </c>
      <c r="AH72" s="655">
        <v>117921195</v>
      </c>
      <c r="AI72" s="655">
        <v>7982100</v>
      </c>
      <c r="AJ72" s="655">
        <v>4040983</v>
      </c>
      <c r="AK72" s="655">
        <v>0</v>
      </c>
      <c r="AL72" s="655">
        <v>72760</v>
      </c>
      <c r="AM72" s="655">
        <v>1965406217</v>
      </c>
      <c r="AN72" s="654">
        <v>192</v>
      </c>
    </row>
    <row r="73" spans="3:40" ht="19.5" customHeight="1">
      <c r="C73" s="1610"/>
      <c r="D73" s="654" t="s">
        <v>220</v>
      </c>
      <c r="E73" s="655">
        <v>3855.400000000001</v>
      </c>
      <c r="F73" s="655">
        <v>1603124326</v>
      </c>
      <c r="G73" s="655">
        <v>58</v>
      </c>
      <c r="H73" s="655">
        <v>19225348</v>
      </c>
      <c r="I73" s="655">
        <v>0</v>
      </c>
      <c r="J73" s="655">
        <v>0</v>
      </c>
      <c r="K73" s="655">
        <v>1622349674</v>
      </c>
      <c r="L73" s="655">
        <v>30557309</v>
      </c>
      <c r="M73" s="655">
        <v>924000</v>
      </c>
      <c r="N73" s="655">
        <v>18400000</v>
      </c>
      <c r="O73" s="655">
        <v>45000000</v>
      </c>
      <c r="P73" s="655">
        <v>3246000</v>
      </c>
      <c r="Q73" s="655">
        <v>36300000</v>
      </c>
      <c r="R73" s="655">
        <v>16641943</v>
      </c>
      <c r="S73" s="655">
        <v>906.17</v>
      </c>
      <c r="T73" s="655">
        <v>391327856</v>
      </c>
      <c r="U73" s="655">
        <v>4200000</v>
      </c>
      <c r="V73" s="655">
        <v>2924416</v>
      </c>
      <c r="W73" s="655">
        <v>6411584.1206024373</v>
      </c>
      <c r="X73" s="655"/>
      <c r="Y73" s="655">
        <v>0</v>
      </c>
      <c r="Z73" s="655">
        <v>2178282783</v>
      </c>
      <c r="AA73" s="655">
        <v>3360.5</v>
      </c>
      <c r="AB73" s="655">
        <v>2.5</v>
      </c>
      <c r="AC73" s="655">
        <v>0</v>
      </c>
      <c r="AD73" s="655">
        <v>0</v>
      </c>
      <c r="AE73" s="655">
        <v>0</v>
      </c>
      <c r="AF73" s="655">
        <v>192208899</v>
      </c>
      <c r="AG73" s="655">
        <v>2370491682</v>
      </c>
      <c r="AH73" s="655">
        <v>175807800</v>
      </c>
      <c r="AI73" s="655">
        <v>6659100</v>
      </c>
      <c r="AJ73" s="655">
        <v>11126775</v>
      </c>
      <c r="AK73" s="655">
        <v>0</v>
      </c>
      <c r="AL73" s="655">
        <v>0</v>
      </c>
      <c r="AM73" s="655">
        <v>2176898007</v>
      </c>
      <c r="AN73" s="654">
        <v>160</v>
      </c>
    </row>
    <row r="74" spans="3:40" ht="19.5" customHeight="1">
      <c r="C74" s="1610"/>
      <c r="D74" s="654" t="s">
        <v>221</v>
      </c>
      <c r="E74" s="655">
        <v>11431.599999999995</v>
      </c>
      <c r="F74" s="655">
        <v>3401417294</v>
      </c>
      <c r="G74" s="655">
        <v>346</v>
      </c>
      <c r="H74" s="655">
        <v>91694447</v>
      </c>
      <c r="I74" s="655">
        <v>2845</v>
      </c>
      <c r="J74" s="655">
        <v>34821994</v>
      </c>
      <c r="K74" s="655">
        <v>3527933735</v>
      </c>
      <c r="L74" s="655">
        <v>21682306</v>
      </c>
      <c r="M74" s="655">
        <v>15618000</v>
      </c>
      <c r="N74" s="655">
        <v>86400000</v>
      </c>
      <c r="O74" s="655">
        <v>187500000</v>
      </c>
      <c r="P74" s="655">
        <v>2964000</v>
      </c>
      <c r="Q74" s="655">
        <v>145300000</v>
      </c>
      <c r="R74" s="655">
        <v>143147309</v>
      </c>
      <c r="S74" s="655">
        <v>1927.6360167837015</v>
      </c>
      <c r="T74" s="655">
        <v>642845044</v>
      </c>
      <c r="U74" s="655">
        <v>10900000</v>
      </c>
      <c r="V74" s="655">
        <v>3849917</v>
      </c>
      <c r="W74" s="655">
        <v>10939694.714493187</v>
      </c>
      <c r="X74" s="655"/>
      <c r="Y74" s="655">
        <v>0</v>
      </c>
      <c r="Z74" s="655">
        <v>4799080042</v>
      </c>
      <c r="AA74" s="655">
        <v>17491.5</v>
      </c>
      <c r="AB74" s="655">
        <v>96</v>
      </c>
      <c r="AC74" s="655">
        <v>242</v>
      </c>
      <c r="AD74" s="655">
        <v>0</v>
      </c>
      <c r="AE74" s="655">
        <v>0</v>
      </c>
      <c r="AF74" s="655">
        <v>909177593</v>
      </c>
      <c r="AG74" s="655">
        <v>5708257635</v>
      </c>
      <c r="AH74" s="655">
        <v>374080864</v>
      </c>
      <c r="AI74" s="655">
        <v>19756800</v>
      </c>
      <c r="AJ74" s="655">
        <v>20949916</v>
      </c>
      <c r="AK74" s="655">
        <v>361000</v>
      </c>
      <c r="AL74" s="655">
        <v>1929665</v>
      </c>
      <c r="AM74" s="655">
        <v>5291179390</v>
      </c>
      <c r="AN74" s="654">
        <v>474</v>
      </c>
    </row>
    <row r="75" spans="3:40" ht="19.5" customHeight="1">
      <c r="D75" s="272"/>
      <c r="E75" s="659">
        <f>SUM(E70:E74)</f>
        <v>31259.699999999993</v>
      </c>
      <c r="F75" s="659">
        <f t="shared" ref="F75:W75" si="161">SUM(F70:F74)</f>
        <v>8991205591</v>
      </c>
      <c r="G75" s="659">
        <f t="shared" si="161"/>
        <v>840</v>
      </c>
      <c r="H75" s="659">
        <f t="shared" si="161"/>
        <v>216011641</v>
      </c>
      <c r="I75" s="659">
        <f t="shared" si="161"/>
        <v>5034.5</v>
      </c>
      <c r="J75" s="659">
        <f t="shared" si="161"/>
        <v>55626607</v>
      </c>
      <c r="K75" s="659">
        <f t="shared" si="161"/>
        <v>9262843839</v>
      </c>
      <c r="L75" s="659">
        <f t="shared" si="161"/>
        <v>56204038</v>
      </c>
      <c r="M75" s="659">
        <f t="shared" si="161"/>
        <v>28185000</v>
      </c>
      <c r="N75" s="659">
        <f t="shared" si="161"/>
        <v>231800000</v>
      </c>
      <c r="O75" s="659">
        <f t="shared" si="161"/>
        <v>514000000</v>
      </c>
      <c r="P75" s="659">
        <f t="shared" si="161"/>
        <v>7692000</v>
      </c>
      <c r="Q75" s="659">
        <f t="shared" si="161"/>
        <v>410800000</v>
      </c>
      <c r="R75" s="659">
        <f t="shared" si="161"/>
        <v>458644624</v>
      </c>
      <c r="S75" s="659">
        <f t="shared" si="161"/>
        <v>5582.8060167837011</v>
      </c>
      <c r="T75" s="659">
        <f t="shared" si="161"/>
        <v>1750102291</v>
      </c>
      <c r="U75" s="659">
        <f t="shared" si="161"/>
        <v>28300000</v>
      </c>
      <c r="V75" s="659">
        <f t="shared" si="161"/>
        <v>9784880</v>
      </c>
      <c r="W75" s="659">
        <f t="shared" si="161"/>
        <v>36174237.990799002</v>
      </c>
      <c r="X75" s="659"/>
      <c r="Y75" s="659">
        <f t="shared" ref="Y75:AN75" si="162">SUM(Y70:Y74)</f>
        <v>0</v>
      </c>
      <c r="Z75" s="659">
        <f t="shared" si="162"/>
        <v>12794530997</v>
      </c>
      <c r="AA75" s="659">
        <f t="shared" si="162"/>
        <v>54720.5</v>
      </c>
      <c r="AB75" s="659">
        <f t="shared" si="162"/>
        <v>98.5</v>
      </c>
      <c r="AC75" s="659">
        <f t="shared" si="162"/>
        <v>440</v>
      </c>
      <c r="AD75" s="659">
        <f t="shared" si="162"/>
        <v>0</v>
      </c>
      <c r="AE75" s="659">
        <f t="shared" si="162"/>
        <v>0</v>
      </c>
      <c r="AF75" s="659">
        <f t="shared" si="162"/>
        <v>2656399430</v>
      </c>
      <c r="AG75" s="659">
        <f t="shared" si="162"/>
        <v>15450930427</v>
      </c>
      <c r="AH75" s="659">
        <f t="shared" si="162"/>
        <v>981060311</v>
      </c>
      <c r="AI75" s="659">
        <f t="shared" si="162"/>
        <v>54331200</v>
      </c>
      <c r="AJ75" s="659">
        <f t="shared" si="162"/>
        <v>44541569</v>
      </c>
      <c r="AK75" s="659">
        <f t="shared" si="162"/>
        <v>361000</v>
      </c>
      <c r="AL75" s="659">
        <f t="shared" si="162"/>
        <v>2455490</v>
      </c>
      <c r="AM75" s="659">
        <f t="shared" si="162"/>
        <v>14368180857</v>
      </c>
      <c r="AN75" s="659">
        <f t="shared" si="162"/>
        <v>1301</v>
      </c>
    </row>
    <row r="76" spans="3:40" ht="19.5" customHeight="1">
      <c r="D76" s="665"/>
      <c r="E76" s="665"/>
      <c r="F76" s="666"/>
      <c r="G76" s="667"/>
      <c r="H76" s="666"/>
      <c r="I76" s="667"/>
      <c r="J76" s="666"/>
      <c r="K76" s="666"/>
      <c r="L76" s="666"/>
      <c r="M76" s="666"/>
      <c r="N76" s="666"/>
      <c r="O76" s="666"/>
      <c r="P76" s="666"/>
      <c r="Q76" s="666"/>
      <c r="R76" s="666"/>
      <c r="S76" s="668"/>
      <c r="T76" s="666"/>
      <c r="U76" s="666"/>
      <c r="V76" s="666"/>
      <c r="W76" s="666"/>
      <c r="X76" s="669"/>
      <c r="Y76" s="669"/>
      <c r="Z76" s="669"/>
      <c r="AA76" s="657"/>
      <c r="AB76" s="657"/>
      <c r="AC76" s="657"/>
      <c r="AD76" s="670"/>
      <c r="AE76" s="670"/>
      <c r="AF76" s="671"/>
      <c r="AG76" s="672"/>
      <c r="AH76" s="671"/>
      <c r="AI76" s="673"/>
      <c r="AJ76" s="671"/>
      <c r="AK76" s="657"/>
      <c r="AL76" s="657"/>
      <c r="AM76" s="669"/>
      <c r="AN76" s="675"/>
    </row>
    <row r="77" spans="3:40" ht="21.75" customHeight="1">
      <c r="C77" s="1605" t="str">
        <f>C84&amp;" Vs "&amp;C98</f>
        <v>Nov Vs Oct</v>
      </c>
      <c r="D77" s="654" t="s">
        <v>216</v>
      </c>
      <c r="E77" s="657">
        <f>+E84/E98</f>
        <v>0.96890467268812375</v>
      </c>
      <c r="F77" s="657">
        <f t="shared" ref="F77" si="163">+F84/F98</f>
        <v>0.96783134604547227</v>
      </c>
      <c r="G77" s="657">
        <f>+G84/G98</f>
        <v>1.2792207792207793</v>
      </c>
      <c r="H77" s="657">
        <f t="shared" ref="H77:R77" si="164">+H84/H98</f>
        <v>1.3051184088717953</v>
      </c>
      <c r="I77" s="657">
        <f t="shared" si="164"/>
        <v>0.8571428571428571</v>
      </c>
      <c r="J77" s="657">
        <f t="shared" si="164"/>
        <v>0.88335223403759655</v>
      </c>
      <c r="K77" s="657">
        <f t="shared" si="164"/>
        <v>0.97484709038865336</v>
      </c>
      <c r="L77" s="657">
        <f t="shared" si="164"/>
        <v>1.0044704807742979</v>
      </c>
      <c r="M77" s="657">
        <f t="shared" si="164"/>
        <v>0.8571428571428571</v>
      </c>
      <c r="N77" s="657">
        <f t="shared" si="164"/>
        <v>1.0110701107011071</v>
      </c>
      <c r="O77" s="657">
        <f t="shared" si="164"/>
        <v>1.0040485829959513</v>
      </c>
      <c r="P77" s="657">
        <f t="shared" si="164"/>
        <v>1</v>
      </c>
      <c r="Q77" s="657">
        <f t="shared" si="164"/>
        <v>1.0070921985815602</v>
      </c>
      <c r="R77" s="657">
        <f t="shared" si="164"/>
        <v>0.85361288350510522</v>
      </c>
      <c r="S77" s="657"/>
      <c r="T77" s="657"/>
      <c r="U77" s="657">
        <f t="shared" ref="U77:W77" si="165">+U84/U98</f>
        <v>0.96226415094339623</v>
      </c>
      <c r="V77" s="657">
        <f t="shared" si="165"/>
        <v>0.28678149600102887</v>
      </c>
      <c r="W77" s="657">
        <f t="shared" si="165"/>
        <v>0.99925259779112618</v>
      </c>
      <c r="X77" s="657"/>
      <c r="Y77" s="657"/>
      <c r="Z77" s="657">
        <f t="shared" ref="Z77" si="166">+Z84/Z98</f>
        <v>0.96993716391608542</v>
      </c>
      <c r="AA77" s="657">
        <f>+AA84/AA98</f>
        <v>0.47658024514518404</v>
      </c>
      <c r="AB77" s="657">
        <f t="shared" ref="AB77:AF77" si="167">+AB84/AB98</f>
        <v>0</v>
      </c>
      <c r="AC77" s="657">
        <f t="shared" si="167"/>
        <v>0.46875</v>
      </c>
      <c r="AD77" s="657" t="e">
        <f t="shared" si="167"/>
        <v>#DIV/0!</v>
      </c>
      <c r="AE77" s="657" t="e">
        <f t="shared" si="167"/>
        <v>#DIV/0!</v>
      </c>
      <c r="AF77" s="657">
        <f t="shared" si="167"/>
        <v>0.42704926267739246</v>
      </c>
      <c r="AG77" s="657">
        <f>+AG84/AG98</f>
        <v>0.77807367483874812</v>
      </c>
      <c r="AH77" s="657">
        <f t="shared" ref="AH77:AM77" si="168">+AH84/AH98</f>
        <v>1.0353632328530469</v>
      </c>
      <c r="AI77" s="657">
        <f t="shared" si="168"/>
        <v>1.0229885057471264</v>
      </c>
      <c r="AJ77" s="657">
        <f t="shared" si="168"/>
        <v>6.5399128490854871E-2</v>
      </c>
      <c r="AK77" s="657">
        <f t="shared" si="168"/>
        <v>1.7777777777777777</v>
      </c>
      <c r="AL77" s="657"/>
      <c r="AM77" s="657">
        <f t="shared" si="168"/>
        <v>0.76376753769253214</v>
      </c>
      <c r="AN77" s="503">
        <f>+AN84/AN98</f>
        <v>1.0142857142857142</v>
      </c>
    </row>
    <row r="78" spans="3:40" ht="21.75" customHeight="1">
      <c r="C78" s="1605"/>
      <c r="D78" s="654" t="s">
        <v>217</v>
      </c>
      <c r="E78" s="657">
        <f t="shared" ref="E78:R78" si="169">+E85/E99</f>
        <v>0.95817755956938899</v>
      </c>
      <c r="F78" s="657">
        <f t="shared" si="169"/>
        <v>0.96431841653438088</v>
      </c>
      <c r="G78" s="657">
        <f t="shared" si="169"/>
        <v>1.198581560283688</v>
      </c>
      <c r="H78" s="657">
        <f t="shared" si="169"/>
        <v>1.2825885574854801</v>
      </c>
      <c r="I78" s="657">
        <f t="shared" si="169"/>
        <v>1.0825115055884287</v>
      </c>
      <c r="J78" s="657">
        <f t="shared" si="169"/>
        <v>1.0574698099263398</v>
      </c>
      <c r="K78" s="657">
        <f t="shared" si="169"/>
        <v>0.97475819456991364</v>
      </c>
      <c r="L78" s="657">
        <f t="shared" si="169"/>
        <v>0.99836540666763962</v>
      </c>
      <c r="M78" s="657">
        <f t="shared" si="169"/>
        <v>1.167948717948718</v>
      </c>
      <c r="N78" s="657">
        <f t="shared" si="169"/>
        <v>1.0057471264367817</v>
      </c>
      <c r="O78" s="657">
        <f t="shared" si="169"/>
        <v>0.99310344827586206</v>
      </c>
      <c r="P78" s="657">
        <f t="shared" si="169"/>
        <v>0.86657076778170494</v>
      </c>
      <c r="Q78" s="657">
        <f t="shared" si="169"/>
        <v>0.98084596967278537</v>
      </c>
      <c r="R78" s="657">
        <f t="shared" si="169"/>
        <v>0.96469822590183163</v>
      </c>
      <c r="S78" s="657"/>
      <c r="T78" s="657"/>
      <c r="U78" s="657">
        <f t="shared" ref="U78:W79" si="170">+U85/U99</f>
        <v>1.1071428571428572</v>
      </c>
      <c r="V78" s="657">
        <f t="shared" si="170"/>
        <v>0</v>
      </c>
      <c r="W78" s="657">
        <f t="shared" si="170"/>
        <v>1.011562109677415</v>
      </c>
      <c r="X78" s="657"/>
      <c r="Y78" s="657"/>
      <c r="Z78" s="657">
        <f t="shared" ref="Z78:AN78" si="171">+Z85/Z99</f>
        <v>0.9764167747804674</v>
      </c>
      <c r="AA78" s="657">
        <f t="shared" si="171"/>
        <v>0.56221198156682028</v>
      </c>
      <c r="AB78" s="657">
        <f t="shared" si="171"/>
        <v>0.18362662586074982</v>
      </c>
      <c r="AC78" s="657">
        <f t="shared" si="171"/>
        <v>0.3559322033898305</v>
      </c>
      <c r="AD78" s="657">
        <f t="shared" si="171"/>
        <v>0</v>
      </c>
      <c r="AE78" s="657" t="e">
        <f t="shared" si="171"/>
        <v>#DIV/0!</v>
      </c>
      <c r="AF78" s="657">
        <f t="shared" si="171"/>
        <v>0.52361115798241176</v>
      </c>
      <c r="AG78" s="657">
        <f t="shared" si="171"/>
        <v>0.84731650660495084</v>
      </c>
      <c r="AH78" s="657">
        <f t="shared" si="171"/>
        <v>1.0581764634277067</v>
      </c>
      <c r="AI78" s="657">
        <f t="shared" si="171"/>
        <v>1.0512820512820513</v>
      </c>
      <c r="AJ78" s="657">
        <f t="shared" si="171"/>
        <v>0.23608554643893348</v>
      </c>
      <c r="AK78" s="657">
        <f t="shared" si="171"/>
        <v>0</v>
      </c>
      <c r="AL78" s="657">
        <f t="shared" si="171"/>
        <v>2.2089862290615754</v>
      </c>
      <c r="AM78" s="657">
        <f t="shared" si="171"/>
        <v>0.83445990973608808</v>
      </c>
      <c r="AN78" s="503">
        <f t="shared" si="171"/>
        <v>1.0057142857142858</v>
      </c>
    </row>
    <row r="79" spans="3:40" ht="21.75" customHeight="1">
      <c r="C79" s="1605"/>
      <c r="D79" s="654" t="s">
        <v>218</v>
      </c>
      <c r="E79" s="657">
        <f t="shared" ref="E79:H79" si="172">+E86/E100</f>
        <v>0.98259739706477545</v>
      </c>
      <c r="F79" s="657">
        <f t="shared" si="172"/>
        <v>0.98087552964206037</v>
      </c>
      <c r="G79" s="657">
        <f t="shared" si="172"/>
        <v>1.0459770114942528</v>
      </c>
      <c r="H79" s="657">
        <f t="shared" si="172"/>
        <v>1.0043709548771222</v>
      </c>
      <c r="I79" s="657"/>
      <c r="J79" s="657"/>
      <c r="K79" s="657">
        <f t="shared" ref="K79:L79" si="173">+K86/K100</f>
        <v>0.98129213462270126</v>
      </c>
      <c r="L79" s="657">
        <f t="shared" si="173"/>
        <v>1.0554843319480298</v>
      </c>
      <c r="M79" s="657"/>
      <c r="N79" s="657">
        <f t="shared" ref="N79:R79" si="174">+N86/N100</f>
        <v>1.0055248618784531</v>
      </c>
      <c r="O79" s="657">
        <f t="shared" si="174"/>
        <v>1.1095890410958904</v>
      </c>
      <c r="P79" s="657">
        <f t="shared" si="174"/>
        <v>1</v>
      </c>
      <c r="Q79" s="657">
        <f t="shared" si="174"/>
        <v>1.1286601597160604</v>
      </c>
      <c r="R79" s="657">
        <f t="shared" si="174"/>
        <v>0.95361618949711191</v>
      </c>
      <c r="S79" s="657"/>
      <c r="T79" s="657"/>
      <c r="U79" s="657">
        <f t="shared" si="170"/>
        <v>1</v>
      </c>
      <c r="V79" s="657">
        <f t="shared" si="170"/>
        <v>0.41732491636492713</v>
      </c>
      <c r="W79" s="657">
        <f t="shared" si="170"/>
        <v>0.98325289837897967</v>
      </c>
      <c r="X79" s="657"/>
      <c r="Y79" s="657"/>
      <c r="Z79" s="657">
        <f t="shared" ref="Z79:AB79" si="175">+Z86/Z100</f>
        <v>0.99245357257392797</v>
      </c>
      <c r="AA79" s="657">
        <f t="shared" si="175"/>
        <v>0.6083872957138452</v>
      </c>
      <c r="AB79" s="657">
        <f t="shared" si="175"/>
        <v>0</v>
      </c>
      <c r="AC79" s="657"/>
      <c r="AD79" s="657" t="e">
        <f t="shared" ref="AD79:AL79" si="176">+AD86/AD100</f>
        <v>#DIV/0!</v>
      </c>
      <c r="AE79" s="657" t="e">
        <f t="shared" si="176"/>
        <v>#DIV/0!</v>
      </c>
      <c r="AF79" s="657">
        <f t="shared" si="176"/>
        <v>0.59392360712504788</v>
      </c>
      <c r="AG79" s="657">
        <f t="shared" si="176"/>
        <v>0.86547145651582369</v>
      </c>
      <c r="AH79" s="657">
        <f t="shared" si="176"/>
        <v>1.0379565762106207</v>
      </c>
      <c r="AI79" s="657">
        <f t="shared" si="176"/>
        <v>1.0409356725146199</v>
      </c>
      <c r="AJ79" s="657">
        <f t="shared" si="176"/>
        <v>0.48637509839313992</v>
      </c>
      <c r="AK79" s="657">
        <f t="shared" si="176"/>
        <v>0.12264150943396226</v>
      </c>
      <c r="AL79" s="657">
        <f t="shared" si="176"/>
        <v>0.66828566477028251</v>
      </c>
      <c r="AM79" s="657">
        <f t="shared" ref="AM79:AN79" si="177">+AM86/AM100</f>
        <v>0.85546818912653888</v>
      </c>
      <c r="AN79" s="503">
        <f t="shared" si="177"/>
        <v>0.99473684210526314</v>
      </c>
    </row>
    <row r="80" spans="3:40" ht="21.75" customHeight="1">
      <c r="C80" s="1605"/>
      <c r="D80" s="654" t="s">
        <v>220</v>
      </c>
      <c r="E80" s="657">
        <f t="shared" ref="E80:H80" si="178">+E87/E101</f>
        <v>0.93289585611860482</v>
      </c>
      <c r="F80" s="657">
        <f t="shared" si="178"/>
        <v>0.93383072629914321</v>
      </c>
      <c r="G80" s="657">
        <f t="shared" si="178"/>
        <v>1.3442622950819672</v>
      </c>
      <c r="H80" s="657">
        <f t="shared" si="178"/>
        <v>1.3132569008607604</v>
      </c>
      <c r="I80" s="657"/>
      <c r="J80" s="657"/>
      <c r="K80" s="657">
        <f t="shared" ref="K80:R80" si="179">+K87/K101</f>
        <v>0.93862194815535394</v>
      </c>
      <c r="L80" s="657">
        <f t="shared" si="179"/>
        <v>0.97418737885196804</v>
      </c>
      <c r="M80" s="657">
        <f t="shared" si="179"/>
        <v>1.9487179487179487</v>
      </c>
      <c r="N80" s="657">
        <f t="shared" si="179"/>
        <v>0.96875</v>
      </c>
      <c r="O80" s="657">
        <f t="shared" si="179"/>
        <v>1</v>
      </c>
      <c r="P80" s="657">
        <f t="shared" si="179"/>
        <v>1</v>
      </c>
      <c r="Q80" s="657">
        <f t="shared" si="179"/>
        <v>0.96801112656467314</v>
      </c>
      <c r="R80" s="657">
        <f t="shared" si="179"/>
        <v>0.8931424051121104</v>
      </c>
      <c r="S80" s="657"/>
      <c r="T80" s="657"/>
      <c r="U80" s="657">
        <f t="shared" ref="U80:W80" si="180">+U87/U101</f>
        <v>1</v>
      </c>
      <c r="V80" s="657">
        <f t="shared" si="180"/>
        <v>1.0565036292377723</v>
      </c>
      <c r="W80" s="657">
        <f t="shared" si="180"/>
        <v>0.96002125978042396</v>
      </c>
      <c r="X80" s="657"/>
      <c r="Y80" s="657"/>
      <c r="Z80" s="657">
        <f t="shared" ref="Z80:AC80" si="181">+Z87/Z101</f>
        <v>0.94166791127303706</v>
      </c>
      <c r="AA80" s="657">
        <f t="shared" si="181"/>
        <v>0.67181008902077155</v>
      </c>
      <c r="AB80" s="657">
        <f t="shared" si="181"/>
        <v>0.38400000000000001</v>
      </c>
      <c r="AC80" s="657">
        <f t="shared" si="181"/>
        <v>0.7142857142857143</v>
      </c>
      <c r="AD80" s="657">
        <f t="shared" ref="AD80:AK80" si="182">+AD87/AD101</f>
        <v>0</v>
      </c>
      <c r="AE80" s="657" t="e">
        <f t="shared" si="182"/>
        <v>#DIV/0!</v>
      </c>
      <c r="AF80" s="657">
        <f t="shared" si="182"/>
        <v>0.65677887459826256</v>
      </c>
      <c r="AG80" s="657">
        <f t="shared" si="182"/>
        <v>0.90276659547694571</v>
      </c>
      <c r="AH80" s="657">
        <f t="shared" si="182"/>
        <v>0.99111234807317994</v>
      </c>
      <c r="AI80" s="657">
        <f t="shared" si="182"/>
        <v>0.96078431372549022</v>
      </c>
      <c r="AJ80" s="657">
        <f t="shared" si="182"/>
        <v>0.4705244283021891</v>
      </c>
      <c r="AK80" s="657">
        <f t="shared" si="182"/>
        <v>0.65348288075560801</v>
      </c>
      <c r="AL80" s="657"/>
      <c r="AM80" s="657">
        <f t="shared" ref="AM80:AN80" si="183">+AM87/AM101</f>
        <v>0.89633303719175061</v>
      </c>
      <c r="AN80" s="503">
        <f t="shared" si="183"/>
        <v>0.97499999999999998</v>
      </c>
    </row>
    <row r="81" spans="3:40" s="653" customFormat="1" ht="21.75" customHeight="1">
      <c r="C81" s="1605"/>
      <c r="D81" s="656" t="s">
        <v>221</v>
      </c>
      <c r="E81" s="657">
        <f t="shared" ref="E81:R81" si="184">+E88/E102</f>
        <v>0.97066153717487724</v>
      </c>
      <c r="F81" s="657">
        <f t="shared" si="184"/>
        <v>0.9663427995776771</v>
      </c>
      <c r="G81" s="657">
        <f t="shared" si="184"/>
        <v>1.1631944444444444</v>
      </c>
      <c r="H81" s="657">
        <f t="shared" si="184"/>
        <v>1.0937287963135129</v>
      </c>
      <c r="I81" s="657">
        <f t="shared" si="184"/>
        <v>0.96079484425349082</v>
      </c>
      <c r="J81" s="657">
        <f t="shared" si="184"/>
        <v>0.95157237315533705</v>
      </c>
      <c r="K81" s="657">
        <f t="shared" si="184"/>
        <v>0.96905826403561413</v>
      </c>
      <c r="L81" s="657">
        <f t="shared" si="184"/>
        <v>0.9915759621934005</v>
      </c>
      <c r="M81" s="657">
        <f t="shared" si="184"/>
        <v>1.0276432606941082</v>
      </c>
      <c r="N81" s="657">
        <f t="shared" si="184"/>
        <v>1.0232558139534884</v>
      </c>
      <c r="O81" s="657">
        <f t="shared" si="184"/>
        <v>1.0196629213483146</v>
      </c>
      <c r="P81" s="657">
        <f t="shared" si="184"/>
        <v>0.74947418075154859</v>
      </c>
      <c r="Q81" s="657">
        <f t="shared" si="184"/>
        <v>0.99695470118005325</v>
      </c>
      <c r="R81" s="657">
        <f t="shared" si="184"/>
        <v>0.94992032331385035</v>
      </c>
      <c r="S81" s="657"/>
      <c r="T81" s="657"/>
      <c r="U81" s="657">
        <f t="shared" ref="U81:W81" si="185">+U88/U102</f>
        <v>0.98113207547169812</v>
      </c>
      <c r="V81" s="657">
        <f t="shared" si="185"/>
        <v>0.4851399706978699</v>
      </c>
      <c r="W81" s="657">
        <f t="shared" si="185"/>
        <v>1.0161977129890525</v>
      </c>
      <c r="X81" s="657"/>
      <c r="Y81" s="657"/>
      <c r="Z81" s="657">
        <f t="shared" ref="Z81:AN81" si="186">+Z88/Z102</f>
        <v>0.97219065220549683</v>
      </c>
      <c r="AA81" s="657">
        <f t="shared" si="186"/>
        <v>0.82394695980085275</v>
      </c>
      <c r="AB81" s="657">
        <f t="shared" si="186"/>
        <v>0</v>
      </c>
      <c r="AC81" s="657">
        <f t="shared" si="186"/>
        <v>0.76677316293929709</v>
      </c>
      <c r="AD81" s="657" t="e">
        <f t="shared" si="186"/>
        <v>#DIV/0!</v>
      </c>
      <c r="AE81" s="657" t="e">
        <f t="shared" si="186"/>
        <v>#DIV/0!</v>
      </c>
      <c r="AF81" s="657">
        <f t="shared" si="186"/>
        <v>0.80761929532804078</v>
      </c>
      <c r="AG81" s="657">
        <f t="shared" si="186"/>
        <v>0.94009876875091203</v>
      </c>
      <c r="AH81" s="657">
        <f t="shared" si="186"/>
        <v>1.0235478217828688</v>
      </c>
      <c r="AI81" s="657">
        <f t="shared" si="186"/>
        <v>1.0307328605200945</v>
      </c>
      <c r="AJ81" s="657">
        <f t="shared" si="186"/>
        <v>0.57548062355717122</v>
      </c>
      <c r="AK81" s="657">
        <f t="shared" si="186"/>
        <v>0.84669811320754718</v>
      </c>
      <c r="AL81" s="657">
        <f t="shared" si="186"/>
        <v>1.6198062365783374</v>
      </c>
      <c r="AM81" s="657">
        <f t="shared" si="186"/>
        <v>0.93426131514813127</v>
      </c>
      <c r="AN81" s="503">
        <f t="shared" si="186"/>
        <v>0.99588477366255146</v>
      </c>
    </row>
    <row r="82" spans="3:40" s="492" customFormat="1" ht="21.75" customHeight="1">
      <c r="D82" s="676" t="s">
        <v>79</v>
      </c>
      <c r="E82" s="677">
        <f>+E89/E103</f>
        <v>0.96548985432002654</v>
      </c>
      <c r="F82" s="677">
        <f t="shared" ref="F82:AN82" si="187">+F89/F103</f>
        <v>0.9621599285441147</v>
      </c>
      <c r="G82" s="677">
        <f t="shared" si="187"/>
        <v>1.1956224350205198</v>
      </c>
      <c r="H82" s="677">
        <f t="shared" si="187"/>
        <v>1.1833967662243465</v>
      </c>
      <c r="I82" s="677">
        <f t="shared" si="187"/>
        <v>0.99636683915006052</v>
      </c>
      <c r="J82" s="677">
        <f t="shared" si="187"/>
        <v>0.97734300779057326</v>
      </c>
      <c r="K82" s="677">
        <f t="shared" si="187"/>
        <v>0.96681948975557186</v>
      </c>
      <c r="L82" s="677">
        <f t="shared" si="187"/>
        <v>0.98339652412583145</v>
      </c>
      <c r="M82" s="677">
        <f t="shared" si="187"/>
        <v>1.0804921814919251</v>
      </c>
      <c r="N82" s="677">
        <f t="shared" si="187"/>
        <v>1.0104166666666667</v>
      </c>
      <c r="O82" s="677">
        <f t="shared" si="187"/>
        <v>1.0235173824130879</v>
      </c>
      <c r="P82" s="677">
        <f t="shared" si="187"/>
        <v>0.877591000605626</v>
      </c>
      <c r="Q82" s="677">
        <f t="shared" si="187"/>
        <v>1.0135064935064935</v>
      </c>
      <c r="R82" s="677">
        <f t="shared" si="187"/>
        <v>0.91797455700978459</v>
      </c>
      <c r="S82" s="677" t="e">
        <f t="shared" si="187"/>
        <v>#DIV/0!</v>
      </c>
      <c r="T82" s="677" t="e">
        <f t="shared" si="187"/>
        <v>#DIV/0!</v>
      </c>
      <c r="U82" s="677">
        <f t="shared" si="187"/>
        <v>0.99632352941176472</v>
      </c>
      <c r="V82" s="677">
        <f t="shared" si="187"/>
        <v>0.45230983473725844</v>
      </c>
      <c r="W82" s="677">
        <f t="shared" si="187"/>
        <v>0.9954277223193817</v>
      </c>
      <c r="X82" s="677" t="e">
        <f t="shared" si="187"/>
        <v>#DIV/0!</v>
      </c>
      <c r="Y82" s="677" t="e">
        <f t="shared" si="187"/>
        <v>#DIV/0!</v>
      </c>
      <c r="Z82" s="677">
        <f t="shared" si="187"/>
        <v>0.96966811712264755</v>
      </c>
      <c r="AA82" s="677">
        <f t="shared" si="187"/>
        <v>0.62130830436256557</v>
      </c>
      <c r="AB82" s="677">
        <f t="shared" si="187"/>
        <v>6.0025010421008752E-2</v>
      </c>
      <c r="AC82" s="677">
        <f t="shared" si="187"/>
        <v>0.63089267803410232</v>
      </c>
      <c r="AD82" s="677">
        <f t="shared" si="187"/>
        <v>0</v>
      </c>
      <c r="AE82" s="677" t="e">
        <f t="shared" si="187"/>
        <v>#DIV/0!</v>
      </c>
      <c r="AF82" s="677">
        <f t="shared" si="187"/>
        <v>0.59100888705251953</v>
      </c>
      <c r="AG82" s="677">
        <f t="shared" si="187"/>
        <v>0.87399032454229419</v>
      </c>
      <c r="AH82" s="677">
        <f t="shared" si="187"/>
        <v>1.0257171325776604</v>
      </c>
      <c r="AI82" s="677">
        <f t="shared" si="187"/>
        <v>1.0240549828178693</v>
      </c>
      <c r="AJ82" s="677">
        <f t="shared" si="187"/>
        <v>0.42769691015301703</v>
      </c>
      <c r="AK82" s="677">
        <f t="shared" si="187"/>
        <v>0.76344512800158759</v>
      </c>
      <c r="AL82" s="677">
        <f t="shared" si="187"/>
        <v>1.7070319074628875</v>
      </c>
      <c r="AM82" s="677">
        <f t="shared" si="187"/>
        <v>0.86398027940987088</v>
      </c>
      <c r="AN82" s="677">
        <f t="shared" si="187"/>
        <v>0.99845081332300545</v>
      </c>
    </row>
    <row r="83" spans="3:40" ht="21.75" customHeight="1">
      <c r="J83" s="349"/>
    </row>
    <row r="84" spans="3:40" ht="19.5" customHeight="1">
      <c r="C84" s="1610" t="s">
        <v>73</v>
      </c>
      <c r="D84" s="654" t="s">
        <v>216</v>
      </c>
      <c r="E84" s="655">
        <v>6929.7999999999975</v>
      </c>
      <c r="F84" s="655">
        <v>1742690260</v>
      </c>
      <c r="G84" s="655">
        <v>197</v>
      </c>
      <c r="H84" s="655">
        <v>50765688</v>
      </c>
      <c r="I84" s="655">
        <v>195</v>
      </c>
      <c r="J84" s="655">
        <v>2066531</v>
      </c>
      <c r="K84" s="655">
        <v>1795522479</v>
      </c>
      <c r="L84" s="655">
        <v>2744808</v>
      </c>
      <c r="M84" s="655">
        <v>900000</v>
      </c>
      <c r="N84" s="655">
        <v>54800000</v>
      </c>
      <c r="O84" s="655">
        <v>124000000</v>
      </c>
      <c r="P84" s="655">
        <v>1597079</v>
      </c>
      <c r="Q84" s="655">
        <v>99400000</v>
      </c>
      <c r="R84" s="655">
        <v>131226515.5</v>
      </c>
      <c r="S84" s="655">
        <v>0</v>
      </c>
      <c r="T84" s="655">
        <v>0</v>
      </c>
      <c r="U84" s="655">
        <v>5100000</v>
      </c>
      <c r="V84" s="655">
        <v>637751</v>
      </c>
      <c r="W84" s="655">
        <v>9060490.3647861406</v>
      </c>
      <c r="X84" s="655"/>
      <c r="Y84" s="655">
        <v>0</v>
      </c>
      <c r="Z84" s="655">
        <v>2224989137</v>
      </c>
      <c r="AA84" s="655">
        <v>11645</v>
      </c>
      <c r="AB84" s="655">
        <v>0</v>
      </c>
      <c r="AC84" s="655">
        <v>30</v>
      </c>
      <c r="AD84" s="655">
        <v>0</v>
      </c>
      <c r="AE84" s="655">
        <v>0</v>
      </c>
      <c r="AF84" s="655">
        <v>535447985</v>
      </c>
      <c r="AG84" s="655">
        <v>2760437122</v>
      </c>
      <c r="AH84" s="655">
        <v>188029485</v>
      </c>
      <c r="AI84" s="655">
        <v>11774700</v>
      </c>
      <c r="AJ84" s="655">
        <v>231082</v>
      </c>
      <c r="AK84" s="655">
        <v>440000</v>
      </c>
      <c r="AL84" s="655">
        <v>664325</v>
      </c>
      <c r="AM84" s="655">
        <v>2559297530</v>
      </c>
      <c r="AN84" s="654">
        <v>284</v>
      </c>
    </row>
    <row r="85" spans="3:40" ht="19.5" customHeight="1">
      <c r="C85" s="1610"/>
      <c r="D85" s="654" t="s">
        <v>217</v>
      </c>
      <c r="E85" s="655">
        <v>4254.5</v>
      </c>
      <c r="F85" s="655">
        <v>1088479079</v>
      </c>
      <c r="G85" s="655">
        <v>169</v>
      </c>
      <c r="H85" s="655">
        <v>44179703</v>
      </c>
      <c r="I85" s="655">
        <v>1646.5</v>
      </c>
      <c r="J85" s="655">
        <v>15092814</v>
      </c>
      <c r="K85" s="655">
        <v>1147751596</v>
      </c>
      <c r="L85" s="655">
        <v>478846</v>
      </c>
      <c r="M85" s="655">
        <v>8199000</v>
      </c>
      <c r="N85" s="655">
        <v>35000000</v>
      </c>
      <c r="O85" s="655">
        <v>72000000</v>
      </c>
      <c r="P85" s="655">
        <v>371693</v>
      </c>
      <c r="Q85" s="655">
        <v>61450000</v>
      </c>
      <c r="R85" s="655">
        <v>70450721</v>
      </c>
      <c r="S85" s="655">
        <v>0</v>
      </c>
      <c r="T85" s="655">
        <v>0</v>
      </c>
      <c r="U85" s="655">
        <v>3100000</v>
      </c>
      <c r="V85" s="655">
        <v>0</v>
      </c>
      <c r="W85" s="655">
        <v>3310795.6813025181</v>
      </c>
      <c r="X85" s="655"/>
      <c r="Y85" s="655">
        <v>0</v>
      </c>
      <c r="Z85" s="655">
        <v>1402112652</v>
      </c>
      <c r="AA85" s="655">
        <v>6100</v>
      </c>
      <c r="AB85" s="655">
        <v>120</v>
      </c>
      <c r="AC85" s="655">
        <v>42</v>
      </c>
      <c r="AD85" s="655">
        <v>0</v>
      </c>
      <c r="AE85" s="655">
        <v>0</v>
      </c>
      <c r="AF85" s="655">
        <v>299870565</v>
      </c>
      <c r="AG85" s="655">
        <v>1701983217</v>
      </c>
      <c r="AH85" s="655">
        <v>122308935</v>
      </c>
      <c r="AI85" s="655">
        <v>7232400</v>
      </c>
      <c r="AJ85" s="655">
        <v>696204</v>
      </c>
      <c r="AK85" s="655">
        <v>0</v>
      </c>
      <c r="AL85" s="655">
        <v>518924</v>
      </c>
      <c r="AM85" s="655">
        <v>1571226754</v>
      </c>
      <c r="AN85" s="654">
        <v>176</v>
      </c>
    </row>
    <row r="86" spans="3:40" ht="19.5" customHeight="1">
      <c r="C86" s="1610"/>
      <c r="D86" s="654" t="s">
        <v>218</v>
      </c>
      <c r="E86" s="655">
        <v>4613.0000000000027</v>
      </c>
      <c r="F86" s="655">
        <v>1104037192</v>
      </c>
      <c r="G86" s="655">
        <v>91</v>
      </c>
      <c r="H86" s="655">
        <v>20406795</v>
      </c>
      <c r="I86" s="655">
        <v>0</v>
      </c>
      <c r="J86" s="655">
        <v>0</v>
      </c>
      <c r="K86" s="655">
        <v>1124443987</v>
      </c>
      <c r="L86" s="655">
        <v>667692</v>
      </c>
      <c r="M86" s="655">
        <v>0</v>
      </c>
      <c r="N86" s="655">
        <v>36400000</v>
      </c>
      <c r="O86" s="655">
        <v>81000000</v>
      </c>
      <c r="P86" s="655">
        <v>657848</v>
      </c>
      <c r="Q86" s="655">
        <v>63600000</v>
      </c>
      <c r="R86" s="655">
        <v>81183756</v>
      </c>
      <c r="S86" s="655">
        <v>0</v>
      </c>
      <c r="T86" s="655">
        <v>0</v>
      </c>
      <c r="U86" s="655">
        <v>4400000</v>
      </c>
      <c r="V86" s="655">
        <v>451455</v>
      </c>
      <c r="W86" s="655">
        <v>6326502.4069404993</v>
      </c>
      <c r="X86" s="655"/>
      <c r="Y86" s="655">
        <v>0</v>
      </c>
      <c r="Z86" s="655">
        <v>1399131274</v>
      </c>
      <c r="AA86" s="655">
        <v>8878.5</v>
      </c>
      <c r="AB86" s="655">
        <v>0</v>
      </c>
      <c r="AC86" s="655">
        <v>0</v>
      </c>
      <c r="AD86" s="655">
        <v>0</v>
      </c>
      <c r="AE86" s="655">
        <v>0</v>
      </c>
      <c r="AF86" s="655">
        <v>391539016</v>
      </c>
      <c r="AG86" s="655">
        <v>1790670290</v>
      </c>
      <c r="AH86" s="655">
        <v>115958220</v>
      </c>
      <c r="AI86" s="655">
        <v>7849800</v>
      </c>
      <c r="AJ86" s="655">
        <v>1013970</v>
      </c>
      <c r="AK86" s="655">
        <v>32500</v>
      </c>
      <c r="AL86" s="655">
        <v>447313</v>
      </c>
      <c r="AM86" s="655">
        <v>1665368487</v>
      </c>
      <c r="AN86" s="654">
        <v>189</v>
      </c>
    </row>
    <row r="87" spans="3:40" ht="19.5" customHeight="1">
      <c r="C87" s="1610"/>
      <c r="D87" s="654" t="s">
        <v>220</v>
      </c>
      <c r="E87" s="655">
        <v>3838.400000000001</v>
      </c>
      <c r="F87" s="655">
        <v>1598937945</v>
      </c>
      <c r="G87" s="655">
        <v>82</v>
      </c>
      <c r="H87" s="655">
        <v>28757500</v>
      </c>
      <c r="I87" s="655">
        <v>0</v>
      </c>
      <c r="J87" s="655">
        <v>0</v>
      </c>
      <c r="K87" s="655">
        <v>1627695445</v>
      </c>
      <c r="L87" s="655">
        <v>30569998</v>
      </c>
      <c r="M87" s="655">
        <v>912000</v>
      </c>
      <c r="N87" s="655">
        <v>18600000</v>
      </c>
      <c r="O87" s="655">
        <v>42000000</v>
      </c>
      <c r="P87" s="655">
        <v>3761079</v>
      </c>
      <c r="Q87" s="655">
        <v>34800000</v>
      </c>
      <c r="R87" s="655">
        <v>16268538</v>
      </c>
      <c r="S87" s="655">
        <v>0</v>
      </c>
      <c r="T87" s="655">
        <v>0</v>
      </c>
      <c r="U87" s="655">
        <v>4100000</v>
      </c>
      <c r="V87" s="655">
        <v>1623078</v>
      </c>
      <c r="W87" s="655">
        <v>6397269.242118408</v>
      </c>
      <c r="X87" s="655"/>
      <c r="Y87" s="655">
        <v>0</v>
      </c>
      <c r="Z87" s="655">
        <v>1786727408</v>
      </c>
      <c r="AA87" s="655">
        <v>3396</v>
      </c>
      <c r="AB87" s="655">
        <v>24</v>
      </c>
      <c r="AC87" s="655">
        <v>2.5</v>
      </c>
      <c r="AD87" s="655">
        <v>0</v>
      </c>
      <c r="AE87" s="655">
        <v>0</v>
      </c>
      <c r="AF87" s="655">
        <v>197074560</v>
      </c>
      <c r="AG87" s="655">
        <v>1983801968</v>
      </c>
      <c r="AH87" s="655">
        <v>174618465</v>
      </c>
      <c r="AI87" s="655">
        <v>6482700</v>
      </c>
      <c r="AJ87" s="655">
        <v>3083276</v>
      </c>
      <c r="AK87" s="655">
        <v>553500</v>
      </c>
      <c r="AL87" s="655">
        <v>0</v>
      </c>
      <c r="AM87" s="655">
        <v>1799064027</v>
      </c>
      <c r="AN87" s="654">
        <v>156</v>
      </c>
    </row>
    <row r="88" spans="3:40" ht="19.5" customHeight="1">
      <c r="C88" s="1610"/>
      <c r="D88" s="654" t="s">
        <v>221</v>
      </c>
      <c r="E88" s="655">
        <v>11606.199999999992</v>
      </c>
      <c r="F88" s="655">
        <v>3417359041</v>
      </c>
      <c r="G88" s="655">
        <v>335</v>
      </c>
      <c r="H88" s="655">
        <v>89744640</v>
      </c>
      <c r="I88" s="655">
        <v>2683.5</v>
      </c>
      <c r="J88" s="655">
        <v>34108497</v>
      </c>
      <c r="K88" s="655">
        <v>3541212178</v>
      </c>
      <c r="L88" s="655">
        <v>21653078</v>
      </c>
      <c r="M88" s="655">
        <v>15279000</v>
      </c>
      <c r="N88" s="655">
        <v>88000000</v>
      </c>
      <c r="O88" s="655">
        <v>181500000</v>
      </c>
      <c r="P88" s="655">
        <v>4280313</v>
      </c>
      <c r="Q88" s="655">
        <v>130950000</v>
      </c>
      <c r="R88" s="655">
        <v>115975455</v>
      </c>
      <c r="S88" s="655">
        <v>0</v>
      </c>
      <c r="T88" s="655">
        <v>0</v>
      </c>
      <c r="U88" s="655">
        <v>10400000</v>
      </c>
      <c r="V88" s="655">
        <v>2470226</v>
      </c>
      <c r="W88" s="655">
        <v>11095730.819756217</v>
      </c>
      <c r="X88" s="655"/>
      <c r="Y88" s="655">
        <v>0</v>
      </c>
      <c r="Z88" s="655">
        <v>4122816017</v>
      </c>
      <c r="AA88" s="655">
        <v>16715</v>
      </c>
      <c r="AB88" s="655">
        <v>0</v>
      </c>
      <c r="AC88" s="655">
        <v>240</v>
      </c>
      <c r="AD88" s="655">
        <v>0</v>
      </c>
      <c r="AE88" s="655">
        <v>0</v>
      </c>
      <c r="AF88" s="655">
        <v>829651711</v>
      </c>
      <c r="AG88" s="655">
        <v>4952467728</v>
      </c>
      <c r="AH88" s="655">
        <v>365265289</v>
      </c>
      <c r="AI88" s="655">
        <v>19227600</v>
      </c>
      <c r="AJ88" s="655">
        <v>5616139</v>
      </c>
      <c r="AK88" s="655">
        <v>897500</v>
      </c>
      <c r="AL88" s="655">
        <v>1614929</v>
      </c>
      <c r="AM88" s="655">
        <v>4559846271</v>
      </c>
      <c r="AN88" s="654">
        <v>484</v>
      </c>
    </row>
    <row r="89" spans="3:40" ht="19.5" customHeight="1">
      <c r="D89" s="272"/>
      <c r="E89" s="659">
        <f>SUM(E84:E88)</f>
        <v>31241.899999999994</v>
      </c>
      <c r="F89" s="659">
        <f t="shared" ref="F89:W89" si="188">SUM(F84:F88)</f>
        <v>8951503517</v>
      </c>
      <c r="G89" s="659">
        <f t="shared" si="188"/>
        <v>874</v>
      </c>
      <c r="H89" s="659">
        <f t="shared" si="188"/>
        <v>233854326</v>
      </c>
      <c r="I89" s="659">
        <f t="shared" si="188"/>
        <v>4525</v>
      </c>
      <c r="J89" s="659">
        <f t="shared" si="188"/>
        <v>51267842</v>
      </c>
      <c r="K89" s="659">
        <f t="shared" si="188"/>
        <v>9236625685</v>
      </c>
      <c r="L89" s="659">
        <f t="shared" si="188"/>
        <v>56114422</v>
      </c>
      <c r="M89" s="659">
        <f t="shared" si="188"/>
        <v>25290000</v>
      </c>
      <c r="N89" s="659">
        <f t="shared" si="188"/>
        <v>232800000</v>
      </c>
      <c r="O89" s="659">
        <f t="shared" si="188"/>
        <v>500500000</v>
      </c>
      <c r="P89" s="659">
        <f t="shared" si="188"/>
        <v>10668012</v>
      </c>
      <c r="Q89" s="659">
        <f t="shared" si="188"/>
        <v>390200000</v>
      </c>
      <c r="R89" s="659">
        <f t="shared" si="188"/>
        <v>415104985.5</v>
      </c>
      <c r="S89" s="659">
        <f t="shared" si="188"/>
        <v>0</v>
      </c>
      <c r="T89" s="659">
        <f t="shared" si="188"/>
        <v>0</v>
      </c>
      <c r="U89" s="659">
        <f t="shared" si="188"/>
        <v>27100000</v>
      </c>
      <c r="V89" s="659">
        <f t="shared" si="188"/>
        <v>5182510</v>
      </c>
      <c r="W89" s="659">
        <f t="shared" si="188"/>
        <v>36190788.514903784</v>
      </c>
      <c r="X89" s="659"/>
      <c r="Y89" s="659">
        <f t="shared" ref="Y89:AN89" si="189">SUM(Y84:Y88)</f>
        <v>0</v>
      </c>
      <c r="Z89" s="659">
        <f t="shared" si="189"/>
        <v>10935776488</v>
      </c>
      <c r="AA89" s="659">
        <f t="shared" si="189"/>
        <v>46734.5</v>
      </c>
      <c r="AB89" s="659">
        <f t="shared" si="189"/>
        <v>144</v>
      </c>
      <c r="AC89" s="659">
        <f t="shared" si="189"/>
        <v>314.5</v>
      </c>
      <c r="AD89" s="659">
        <f t="shared" si="189"/>
        <v>0</v>
      </c>
      <c r="AE89" s="659">
        <f t="shared" si="189"/>
        <v>0</v>
      </c>
      <c r="AF89" s="659">
        <f t="shared" si="189"/>
        <v>2253583837</v>
      </c>
      <c r="AG89" s="659">
        <f t="shared" si="189"/>
        <v>13189360325</v>
      </c>
      <c r="AH89" s="659">
        <f t="shared" si="189"/>
        <v>966180394</v>
      </c>
      <c r="AI89" s="659">
        <f t="shared" si="189"/>
        <v>52567200</v>
      </c>
      <c r="AJ89" s="659">
        <f t="shared" si="189"/>
        <v>10640671</v>
      </c>
      <c r="AK89" s="659">
        <f t="shared" si="189"/>
        <v>1923500</v>
      </c>
      <c r="AL89" s="659">
        <f t="shared" si="189"/>
        <v>3245491</v>
      </c>
      <c r="AM89" s="659">
        <f t="shared" si="189"/>
        <v>12154803069</v>
      </c>
      <c r="AN89" s="659">
        <f t="shared" si="189"/>
        <v>1289</v>
      </c>
    </row>
    <row r="90" spans="3:40" ht="19.5" customHeight="1">
      <c r="D90" s="665"/>
      <c r="E90" s="665"/>
      <c r="F90" s="666"/>
      <c r="G90" s="667"/>
      <c r="H90" s="666"/>
      <c r="I90" s="667"/>
      <c r="J90" s="666"/>
      <c r="K90" s="666"/>
      <c r="L90" s="666"/>
      <c r="M90" s="666"/>
      <c r="N90" s="666"/>
      <c r="O90" s="666"/>
      <c r="P90" s="666"/>
      <c r="Q90" s="666"/>
      <c r="R90" s="666"/>
      <c r="S90" s="668"/>
      <c r="T90" s="666"/>
      <c r="U90" s="666"/>
      <c r="V90" s="666"/>
      <c r="W90" s="666"/>
      <c r="X90" s="669"/>
      <c r="Y90" s="669"/>
      <c r="Z90" s="669"/>
      <c r="AA90" s="657"/>
      <c r="AB90" s="657"/>
      <c r="AC90" s="657"/>
      <c r="AD90" s="670"/>
      <c r="AE90" s="670"/>
      <c r="AF90" s="671"/>
      <c r="AG90" s="672"/>
      <c r="AH90" s="671"/>
      <c r="AI90" s="673"/>
      <c r="AJ90" s="671"/>
      <c r="AK90" s="657"/>
      <c r="AL90" s="657"/>
      <c r="AM90" s="669"/>
      <c r="AN90" s="675"/>
    </row>
    <row r="91" spans="3:40" ht="21.75" customHeight="1">
      <c r="C91" s="1605" t="str">
        <f>C98&amp;" Vs "&amp;C112</f>
        <v>Oct Vs Sep</v>
      </c>
      <c r="D91" s="654" t="s">
        <v>216</v>
      </c>
      <c r="E91" s="657">
        <f>+E98/E112</f>
        <v>1.2254052016584998</v>
      </c>
      <c r="F91" s="657">
        <f t="shared" ref="F91" si="190">+F98/F112</f>
        <v>1.1684586815372573</v>
      </c>
      <c r="G91" s="657">
        <f>+G98/G112</f>
        <v>0.23655913978494625</v>
      </c>
      <c r="H91" s="657">
        <f t="shared" ref="H91:J91" si="191">+H98/H112</f>
        <v>0.22825713765289857</v>
      </c>
      <c r="I91" s="657">
        <f t="shared" si="191"/>
        <v>0.63636363636363635</v>
      </c>
      <c r="J91" s="657">
        <f t="shared" si="191"/>
        <v>0.62274007667461528</v>
      </c>
      <c r="K91" s="657">
        <f t="shared" ref="K91:M91" si="192">+K98/K112</f>
        <v>1.0738506111106889</v>
      </c>
      <c r="L91" s="657">
        <f t="shared" si="192"/>
        <v>1.1965110780278483</v>
      </c>
      <c r="M91" s="657">
        <f t="shared" si="192"/>
        <v>0.61403508771929827</v>
      </c>
      <c r="N91" s="657">
        <f t="shared" ref="N91:R91" si="193">+N98/N112</f>
        <v>1.0463320463320462</v>
      </c>
      <c r="O91" s="657">
        <f t="shared" si="193"/>
        <v>1.0291666666666666</v>
      </c>
      <c r="P91" s="657">
        <f t="shared" si="193"/>
        <v>1.4760434380776339</v>
      </c>
      <c r="Q91" s="657">
        <f t="shared" si="193"/>
        <v>1.0297339593114241</v>
      </c>
      <c r="R91" s="657">
        <f t="shared" si="193"/>
        <v>1.3499390997896394</v>
      </c>
      <c r="S91" s="657"/>
      <c r="T91" s="657"/>
      <c r="U91" s="657">
        <f t="shared" ref="U91:W91" si="194">+U98/U112</f>
        <v>0.96363636363636362</v>
      </c>
      <c r="V91" s="657">
        <f t="shared" si="194"/>
        <v>50.506972518737221</v>
      </c>
      <c r="W91" s="657">
        <f t="shared" si="194"/>
        <v>1.0171095579192424</v>
      </c>
      <c r="X91" s="657"/>
      <c r="Y91" s="657"/>
      <c r="Z91" s="657">
        <f t="shared" ref="Z91" si="195">+Z98/Z112</f>
        <v>1.0839714616094771</v>
      </c>
      <c r="AA91" s="657">
        <f>+AA98/AA112</f>
        <v>1.4092626236410302</v>
      </c>
      <c r="AB91" s="657">
        <f t="shared" ref="AB91:AC91" si="196">+AB98/AB112</f>
        <v>22.548611111111111</v>
      </c>
      <c r="AC91" s="657">
        <f t="shared" si="196"/>
        <v>0.58181818181818179</v>
      </c>
      <c r="AD91" s="657" t="e">
        <f t="shared" ref="AD91:AF91" si="197">+AD98/AD112</f>
        <v>#DIV/0!</v>
      </c>
      <c r="AE91" s="657" t="e">
        <f t="shared" si="197"/>
        <v>#DIV/0!</v>
      </c>
      <c r="AF91" s="657">
        <f t="shared" si="197"/>
        <v>1.4804188044318574</v>
      </c>
      <c r="AG91" s="657">
        <f>+AG98/AG112</f>
        <v>1.1972846638406078</v>
      </c>
      <c r="AH91" s="657">
        <f t="shared" ref="AH91:AL91" si="198">+AH98/AH112</f>
        <v>1.0056444743450506</v>
      </c>
      <c r="AI91" s="657">
        <f t="shared" si="198"/>
        <v>0.98863636363636365</v>
      </c>
      <c r="AJ91" s="657">
        <f t="shared" si="198"/>
        <v>4.1825216263180574</v>
      </c>
      <c r="AK91" s="657">
        <f t="shared" si="198"/>
        <v>0.39442231075697209</v>
      </c>
      <c r="AL91" s="657">
        <f t="shared" si="198"/>
        <v>0</v>
      </c>
      <c r="AM91" s="657">
        <f t="shared" ref="AM91" si="199">+AM98/AM112</f>
        <v>1.2102690352269188</v>
      </c>
      <c r="AN91" s="503">
        <f>+AN98/AN112</f>
        <v>1.0181818181818181</v>
      </c>
    </row>
    <row r="92" spans="3:40" ht="21.75" customHeight="1">
      <c r="C92" s="1605"/>
      <c r="D92" s="654" t="s">
        <v>217</v>
      </c>
      <c r="E92" s="657">
        <f t="shared" ref="E92:R92" si="200">+E99/E113</f>
        <v>1.1856341789052063</v>
      </c>
      <c r="F92" s="657">
        <f t="shared" si="200"/>
        <v>1.1347826044732234</v>
      </c>
      <c r="G92" s="657">
        <f t="shared" si="200"/>
        <v>0.34987593052109184</v>
      </c>
      <c r="H92" s="657">
        <f t="shared" si="200"/>
        <v>0.3228388766027257</v>
      </c>
      <c r="I92" s="657">
        <f t="shared" si="200"/>
        <v>0.97095435684647302</v>
      </c>
      <c r="J92" s="657">
        <f t="shared" si="200"/>
        <v>0.980445390961318</v>
      </c>
      <c r="K92" s="657">
        <f t="shared" si="200"/>
        <v>1.0551385177159722</v>
      </c>
      <c r="L92" s="657">
        <f t="shared" si="200"/>
        <v>0.95926</v>
      </c>
      <c r="M92" s="657">
        <f t="shared" si="200"/>
        <v>0.83274021352313166</v>
      </c>
      <c r="N92" s="657">
        <f t="shared" si="200"/>
        <v>1.0481927710843373</v>
      </c>
      <c r="O92" s="657">
        <f t="shared" si="200"/>
        <v>0.97315436241610742</v>
      </c>
      <c r="P92" s="657">
        <f t="shared" si="200"/>
        <v>2.1446200000000002</v>
      </c>
      <c r="Q92" s="657">
        <f t="shared" si="200"/>
        <v>1.0700256191289497</v>
      </c>
      <c r="R92" s="657">
        <f t="shared" si="200"/>
        <v>1.1223189064891383</v>
      </c>
      <c r="S92" s="657"/>
      <c r="T92" s="657"/>
      <c r="U92" s="657">
        <f t="shared" ref="U92:W93" si="201">+U99/U113</f>
        <v>0.96551724137931039</v>
      </c>
      <c r="V92" s="657">
        <f t="shared" si="201"/>
        <v>5.2411405071212922</v>
      </c>
      <c r="W92" s="657">
        <f t="shared" si="201"/>
        <v>1.0210716990092372</v>
      </c>
      <c r="X92" s="657"/>
      <c r="Y92" s="657"/>
      <c r="Z92" s="657">
        <f t="shared" ref="Z92:AB92" si="202">+Z99/Z113</f>
        <v>1.0537061536630201</v>
      </c>
      <c r="AA92" s="657">
        <f t="shared" si="202"/>
        <v>0.98762060804660479</v>
      </c>
      <c r="AB92" s="657">
        <f t="shared" si="202"/>
        <v>0.4895131086142322</v>
      </c>
      <c r="AC92" s="657">
        <f t="shared" ref="AC92:AN92" si="203">+AC99/AC113</f>
        <v>0.47773279352226722</v>
      </c>
      <c r="AD92" s="657">
        <f t="shared" si="203"/>
        <v>0.38709677419354838</v>
      </c>
      <c r="AE92" s="657" t="e">
        <f t="shared" si="203"/>
        <v>#DIV/0!</v>
      </c>
      <c r="AF92" s="657">
        <f t="shared" si="203"/>
        <v>0.8851642864957554</v>
      </c>
      <c r="AG92" s="657">
        <f t="shared" si="203"/>
        <v>0.99944865782491543</v>
      </c>
      <c r="AH92" s="657">
        <f t="shared" si="203"/>
        <v>1.0182844690748567</v>
      </c>
      <c r="AI92" s="657">
        <f t="shared" si="203"/>
        <v>0.93413173652694614</v>
      </c>
      <c r="AJ92" s="657">
        <f t="shared" si="203"/>
        <v>1.0814533169920619</v>
      </c>
      <c r="AK92" s="657">
        <f t="shared" si="203"/>
        <v>0.65146579804560256</v>
      </c>
      <c r="AL92" s="657">
        <f t="shared" si="203"/>
        <v>0.14433720030745731</v>
      </c>
      <c r="AM92" s="657">
        <f t="shared" si="203"/>
        <v>0.99921756834425213</v>
      </c>
      <c r="AN92" s="503">
        <f t="shared" si="203"/>
        <v>0.97765363128491622</v>
      </c>
    </row>
    <row r="93" spans="3:40" ht="21.75" customHeight="1">
      <c r="C93" s="1605"/>
      <c r="D93" s="654" t="s">
        <v>218</v>
      </c>
      <c r="E93" s="657">
        <f t="shared" ref="E93:H93" si="204">+E100/E114</f>
        <v>1.2370750988142294</v>
      </c>
      <c r="F93" s="657">
        <f t="shared" si="204"/>
        <v>1.1709435224715654</v>
      </c>
      <c r="G93" s="657">
        <f t="shared" si="204"/>
        <v>0.21641791044776118</v>
      </c>
      <c r="H93" s="657">
        <f t="shared" si="204"/>
        <v>0.19923281878057428</v>
      </c>
      <c r="I93" s="657"/>
      <c r="J93" s="657"/>
      <c r="K93" s="657">
        <f t="shared" ref="K93:L93" si="205">+K100/K114</f>
        <v>1.0777402111291543</v>
      </c>
      <c r="L93" s="657">
        <f t="shared" si="205"/>
        <v>0.94135863095238093</v>
      </c>
      <c r="M93" s="657"/>
      <c r="N93" s="657">
        <f t="shared" ref="N93:R93" si="206">+N100/N114</f>
        <v>1.0710059171597632</v>
      </c>
      <c r="O93" s="657">
        <f t="shared" si="206"/>
        <v>1.0068965517241379</v>
      </c>
      <c r="P93" s="657">
        <f t="shared" si="206"/>
        <v>3.2892399999999999</v>
      </c>
      <c r="Q93" s="657">
        <f t="shared" si="206"/>
        <v>1.0329972502291476</v>
      </c>
      <c r="R93" s="657">
        <f t="shared" si="206"/>
        <v>1.2285632609329433</v>
      </c>
      <c r="S93" s="657"/>
      <c r="T93" s="657"/>
      <c r="U93" s="657">
        <f t="shared" ref="U93" si="207">+U100/U114</f>
        <v>0.93617021276595747</v>
      </c>
      <c r="V93" s="657">
        <f t="shared" si="201"/>
        <v>1.8820163535142658</v>
      </c>
      <c r="W93" s="657">
        <f t="shared" ref="W93" si="208">+W100/W114</f>
        <v>1.0293543951162245</v>
      </c>
      <c r="X93" s="657"/>
      <c r="Y93" s="657"/>
      <c r="Z93" s="657">
        <f t="shared" ref="Z93:AB93" si="209">+Z100/Z114</f>
        <v>1.0796484780903191</v>
      </c>
      <c r="AA93" s="657">
        <f t="shared" si="209"/>
        <v>1.1036451637298645</v>
      </c>
      <c r="AB93" s="657">
        <f t="shared" si="209"/>
        <v>0.75</v>
      </c>
      <c r="AC93" s="657"/>
      <c r="AD93" s="657" t="e">
        <f t="shared" ref="AD93:AK93" si="210">+AD100/AD114</f>
        <v>#DIV/0!</v>
      </c>
      <c r="AE93" s="657" t="e">
        <f t="shared" si="210"/>
        <v>#DIV/0!</v>
      </c>
      <c r="AF93" s="657">
        <f t="shared" si="210"/>
        <v>1.0646103681626005</v>
      </c>
      <c r="AG93" s="657">
        <f t="shared" si="210"/>
        <v>1.0748110306753937</v>
      </c>
      <c r="AH93" s="657">
        <f t="shared" si="210"/>
        <v>1.0174334543312538</v>
      </c>
      <c r="AI93" s="657">
        <f t="shared" si="210"/>
        <v>1.0426829268292683</v>
      </c>
      <c r="AJ93" s="657">
        <f t="shared" si="210"/>
        <v>1.1761889260186824</v>
      </c>
      <c r="AK93" s="657">
        <f t="shared" si="210"/>
        <v>1.3947368421052631</v>
      </c>
      <c r="AL93" s="657"/>
      <c r="AM93" s="657">
        <f t="shared" ref="AM93:AN93" si="211">+AM100/AM114</f>
        <v>1.0779244308055846</v>
      </c>
      <c r="AN93" s="503">
        <f t="shared" si="211"/>
        <v>1.0382513661202186</v>
      </c>
    </row>
    <row r="94" spans="3:40" ht="21.75" customHeight="1">
      <c r="C94" s="1605"/>
      <c r="D94" s="654" t="s">
        <v>220</v>
      </c>
      <c r="E94" s="657">
        <f t="shared" ref="E94:H94" si="212">+E101/E115</f>
        <v>1.17877094972067</v>
      </c>
      <c r="F94" s="657">
        <f t="shared" si="212"/>
        <v>1.1295222957799047</v>
      </c>
      <c r="G94" s="657">
        <f t="shared" si="212"/>
        <v>0.16353887399463807</v>
      </c>
      <c r="H94" s="657">
        <f t="shared" si="212"/>
        <v>0.13898422126533008</v>
      </c>
      <c r="I94" s="657"/>
      <c r="J94" s="657"/>
      <c r="K94" s="657">
        <f t="shared" ref="K94:R94" si="213">+K101/K115</f>
        <v>1.0362625016068006</v>
      </c>
      <c r="L94" s="657">
        <f t="shared" si="213"/>
        <v>1.001429638234318</v>
      </c>
      <c r="M94" s="657">
        <f t="shared" si="213"/>
        <v>1.1818181818181819</v>
      </c>
      <c r="N94" s="657">
        <f t="shared" si="213"/>
        <v>1.0105263157894737</v>
      </c>
      <c r="O94" s="657">
        <f t="shared" si="213"/>
        <v>1.024390243902439</v>
      </c>
      <c r="P94" s="657">
        <f t="shared" si="213"/>
        <v>1.1586811460258779</v>
      </c>
      <c r="Q94" s="657">
        <f t="shared" si="213"/>
        <v>0.98899587345254469</v>
      </c>
      <c r="R94" s="657">
        <f t="shared" si="213"/>
        <v>1.1208679748156822</v>
      </c>
      <c r="S94" s="657"/>
      <c r="T94" s="657"/>
      <c r="U94" s="657">
        <f t="shared" ref="U94:W94" si="214">+U101/U115</f>
        <v>1.1714285714285715</v>
      </c>
      <c r="V94" s="657">
        <f t="shared" si="214"/>
        <v>0.93107454545454549</v>
      </c>
      <c r="W94" s="657">
        <f t="shared" si="214"/>
        <v>0.9957155626041112</v>
      </c>
      <c r="X94" s="657"/>
      <c r="Y94" s="657"/>
      <c r="Z94" s="657">
        <f t="shared" ref="Z94:AB94" si="215">+Z101/Z115</f>
        <v>1.0352109708302459</v>
      </c>
      <c r="AA94" s="657">
        <f t="shared" si="215"/>
        <v>1.236092431837633</v>
      </c>
      <c r="AB94" s="657">
        <f t="shared" si="215"/>
        <v>0.249500998003992</v>
      </c>
      <c r="AC94" s="657"/>
      <c r="AD94" s="657" t="e">
        <f t="shared" ref="AD94:AN94" si="216">+AD101/AD115</f>
        <v>#DIV/0!</v>
      </c>
      <c r="AE94" s="657">
        <f t="shared" si="216"/>
        <v>0</v>
      </c>
      <c r="AF94" s="657">
        <f t="shared" si="216"/>
        <v>1.0936158799026265</v>
      </c>
      <c r="AG94" s="657">
        <f t="shared" si="216"/>
        <v>1.0428156454568087</v>
      </c>
      <c r="AH94" s="657">
        <f t="shared" si="216"/>
        <v>1.0073724264048134</v>
      </c>
      <c r="AI94" s="657">
        <f t="shared" si="216"/>
        <v>0.99350649350649356</v>
      </c>
      <c r="AJ94" s="657">
        <f t="shared" si="216"/>
        <v>0.81394178934659589</v>
      </c>
      <c r="AK94" s="657">
        <f t="shared" si="216"/>
        <v>1.2951070336391437</v>
      </c>
      <c r="AL94" s="657"/>
      <c r="AM94" s="657">
        <f t="shared" si="216"/>
        <v>1.0470993949084413</v>
      </c>
      <c r="AN94" s="503">
        <f t="shared" si="216"/>
        <v>1</v>
      </c>
    </row>
    <row r="95" spans="3:40" s="653" customFormat="1" ht="21.75" customHeight="1">
      <c r="C95" s="1605"/>
      <c r="D95" s="656" t="s">
        <v>221</v>
      </c>
      <c r="E95" s="657">
        <f t="shared" ref="E95:R95" si="217">+E102/E116</f>
        <v>1.2029054033661624</v>
      </c>
      <c r="F95" s="657">
        <f t="shared" si="217"/>
        <v>1.1447736731564404</v>
      </c>
      <c r="G95" s="657">
        <f t="shared" si="217"/>
        <v>0.25714285714285712</v>
      </c>
      <c r="H95" s="657">
        <f t="shared" si="217"/>
        <v>0.23848754226016919</v>
      </c>
      <c r="I95" s="657">
        <f t="shared" si="217"/>
        <v>0.93442622950819676</v>
      </c>
      <c r="J95" s="657">
        <f t="shared" si="217"/>
        <v>0.96191243822563199</v>
      </c>
      <c r="K95" s="657">
        <f t="shared" si="217"/>
        <v>1.052962075378501</v>
      </c>
      <c r="L95" s="657">
        <f t="shared" si="217"/>
        <v>0.9826409813344853</v>
      </c>
      <c r="M95" s="657">
        <f t="shared" si="217"/>
        <v>0.946524064171123</v>
      </c>
      <c r="N95" s="657">
        <f t="shared" si="217"/>
        <v>1.036144578313253</v>
      </c>
      <c r="O95" s="657">
        <f t="shared" si="217"/>
        <v>0.98342541436464093</v>
      </c>
      <c r="P95" s="657">
        <f t="shared" si="217"/>
        <v>1.9268178137651821</v>
      </c>
      <c r="Q95" s="657">
        <f t="shared" si="217"/>
        <v>1.0019069412662089</v>
      </c>
      <c r="R95" s="657">
        <f t="shared" si="217"/>
        <v>1.0066117564181527</v>
      </c>
      <c r="S95" s="657"/>
      <c r="T95" s="657"/>
      <c r="U95" s="657">
        <f t="shared" ref="U95:W95" si="218">+U102/U116</f>
        <v>1.029126213592233</v>
      </c>
      <c r="V95" s="657">
        <f t="shared" si="218"/>
        <v>1.4534521264934781</v>
      </c>
      <c r="W95" s="657">
        <f t="shared" si="218"/>
        <v>1.0022093196552506</v>
      </c>
      <c r="X95" s="657"/>
      <c r="Y95" s="657"/>
      <c r="Z95" s="657">
        <f t="shared" ref="Z95:AN95" si="219">+Z102/Z116</f>
        <v>1.0464630355489479</v>
      </c>
      <c r="AA95" s="657">
        <f t="shared" si="219"/>
        <v>0.90096151710967509</v>
      </c>
      <c r="AB95" s="657">
        <f t="shared" si="219"/>
        <v>3.1682284694332888E-2</v>
      </c>
      <c r="AC95" s="657">
        <f t="shared" si="219"/>
        <v>1.0296052631578947</v>
      </c>
      <c r="AD95" s="657" t="e">
        <f t="shared" si="219"/>
        <v>#DIV/0!</v>
      </c>
      <c r="AE95" s="657" t="e">
        <f t="shared" si="219"/>
        <v>#DIV/0!</v>
      </c>
      <c r="AF95" s="657">
        <f t="shared" si="219"/>
        <v>0.8261051580009644</v>
      </c>
      <c r="AG95" s="657">
        <f t="shared" si="219"/>
        <v>0.99472190825992746</v>
      </c>
      <c r="AH95" s="657">
        <f t="shared" si="219"/>
        <v>1.0196700981103182</v>
      </c>
      <c r="AI95" s="657">
        <f t="shared" si="219"/>
        <v>0.97018348623853212</v>
      </c>
      <c r="AJ95" s="657">
        <f t="shared" si="219"/>
        <v>1.2315370853391421</v>
      </c>
      <c r="AK95" s="657">
        <f t="shared" si="219"/>
        <v>2.5389221556886228</v>
      </c>
      <c r="AL95" s="657">
        <f t="shared" si="219"/>
        <v>0.97158591467490985</v>
      </c>
      <c r="AM95" s="657">
        <f t="shared" si="219"/>
        <v>0.99253436349894197</v>
      </c>
      <c r="AN95" s="503">
        <f t="shared" si="219"/>
        <v>1.0340425531914894</v>
      </c>
    </row>
    <row r="96" spans="3:40" s="492" customFormat="1" ht="21.75" customHeight="1">
      <c r="D96" s="676" t="s">
        <v>79</v>
      </c>
      <c r="E96" s="677">
        <f>+E103/E117</f>
        <v>1.2070861559581001</v>
      </c>
      <c r="F96" s="677">
        <f t="shared" ref="F96:AN96" si="220">+F103/F117</f>
        <v>1.1483033140817598</v>
      </c>
      <c r="G96" s="677">
        <f t="shared" si="220"/>
        <v>0.24788063750423872</v>
      </c>
      <c r="H96" s="677">
        <f t="shared" si="220"/>
        <v>0.22438062689436647</v>
      </c>
      <c r="I96" s="677">
        <f t="shared" si="220"/>
        <v>0.92438428658660698</v>
      </c>
      <c r="J96" s="677">
        <f t="shared" si="220"/>
        <v>0.94384101903643702</v>
      </c>
      <c r="K96" s="677">
        <f t="shared" si="220"/>
        <v>1.057017637233471</v>
      </c>
      <c r="L96" s="677">
        <f t="shared" si="220"/>
        <v>1.0008427257962107</v>
      </c>
      <c r="M96" s="677">
        <f t="shared" si="220"/>
        <v>0.89186099679926845</v>
      </c>
      <c r="N96" s="677">
        <f t="shared" si="220"/>
        <v>1.0434782608695652</v>
      </c>
      <c r="O96" s="677">
        <f t="shared" si="220"/>
        <v>1</v>
      </c>
      <c r="P96" s="677">
        <f t="shared" si="220"/>
        <v>1.5803455538221529</v>
      </c>
      <c r="Q96" s="677">
        <f t="shared" si="220"/>
        <v>1.0228480340063761</v>
      </c>
      <c r="R96" s="677">
        <f t="shared" si="220"/>
        <v>1.1721553945355432</v>
      </c>
      <c r="S96" s="677" t="e">
        <f t="shared" si="220"/>
        <v>#DIV/0!</v>
      </c>
      <c r="T96" s="677" t="e">
        <f t="shared" si="220"/>
        <v>#DIV/0!</v>
      </c>
      <c r="U96" s="677">
        <f t="shared" si="220"/>
        <v>1.0111524163568772</v>
      </c>
      <c r="V96" s="677">
        <f t="shared" si="220"/>
        <v>1.88984047185496</v>
      </c>
      <c r="W96" s="677">
        <f t="shared" si="220"/>
        <v>1.0110950183663672</v>
      </c>
      <c r="X96" s="677" t="e">
        <f t="shared" si="220"/>
        <v>#DIV/0!</v>
      </c>
      <c r="Y96" s="677" t="e">
        <f t="shared" si="220"/>
        <v>#DIV/0!</v>
      </c>
      <c r="Z96" s="677">
        <f t="shared" si="220"/>
        <v>1.0569555815506053</v>
      </c>
      <c r="AA96" s="677">
        <f t="shared" si="220"/>
        <v>1.1036777274828145</v>
      </c>
      <c r="AB96" s="677">
        <f t="shared" si="220"/>
        <v>0.85373665480427041</v>
      </c>
      <c r="AC96" s="677">
        <f t="shared" si="220"/>
        <v>0.75416036308623302</v>
      </c>
      <c r="AD96" s="677">
        <f t="shared" si="220"/>
        <v>0.532258064516129</v>
      </c>
      <c r="AE96" s="677">
        <f t="shared" si="220"/>
        <v>0</v>
      </c>
      <c r="AF96" s="677">
        <f t="shared" si="220"/>
        <v>1.0501345992273194</v>
      </c>
      <c r="AG96" s="677">
        <f t="shared" si="220"/>
        <v>1.0552237362016843</v>
      </c>
      <c r="AH96" s="677">
        <f t="shared" si="220"/>
        <v>1.0141934859822124</v>
      </c>
      <c r="AI96" s="677">
        <f t="shared" si="220"/>
        <v>0.98227848101265824</v>
      </c>
      <c r="AJ96" s="677">
        <f t="shared" si="220"/>
        <v>1.1669794841630572</v>
      </c>
      <c r="AK96" s="677">
        <f t="shared" si="220"/>
        <v>1.2335373317013465</v>
      </c>
      <c r="AL96" s="677">
        <f t="shared" si="220"/>
        <v>0.5540866354891516</v>
      </c>
      <c r="AM96" s="677">
        <f t="shared" si="220"/>
        <v>1.0582999021965418</v>
      </c>
      <c r="AN96" s="677">
        <f t="shared" si="220"/>
        <v>1.0189423835832676</v>
      </c>
    </row>
    <row r="97" spans="3:40" ht="21.75" customHeight="1">
      <c r="J97" s="349"/>
    </row>
    <row r="98" spans="3:40" ht="19.5" customHeight="1">
      <c r="C98" s="1610" t="s">
        <v>72</v>
      </c>
      <c r="D98" s="654" t="s">
        <v>216</v>
      </c>
      <c r="E98" s="655">
        <v>7152.1999999999989</v>
      </c>
      <c r="F98" s="655">
        <v>1800613575</v>
      </c>
      <c r="G98" s="655">
        <v>154</v>
      </c>
      <c r="H98" s="655">
        <v>38897381</v>
      </c>
      <c r="I98" s="655">
        <v>227.5</v>
      </c>
      <c r="J98" s="655">
        <v>2339419</v>
      </c>
      <c r="K98" s="655">
        <v>1841850375</v>
      </c>
      <c r="L98" s="655">
        <v>2732592</v>
      </c>
      <c r="M98" s="655">
        <v>1050000</v>
      </c>
      <c r="N98" s="655">
        <v>54200000</v>
      </c>
      <c r="O98" s="655">
        <v>123500000</v>
      </c>
      <c r="P98" s="655">
        <v>1597079</v>
      </c>
      <c r="Q98" s="655">
        <v>98700000</v>
      </c>
      <c r="R98" s="655">
        <v>153730711</v>
      </c>
      <c r="S98" s="655">
        <v>0</v>
      </c>
      <c r="T98" s="655">
        <v>0</v>
      </c>
      <c r="U98" s="655">
        <v>5300000</v>
      </c>
      <c r="V98" s="655">
        <v>2223822</v>
      </c>
      <c r="W98" s="655">
        <v>9067267.260364987</v>
      </c>
      <c r="X98" s="655"/>
      <c r="Y98" s="655">
        <v>0</v>
      </c>
      <c r="Z98" s="655">
        <v>2293951835</v>
      </c>
      <c r="AA98" s="655">
        <v>24434.5</v>
      </c>
      <c r="AB98" s="655">
        <v>1623.5</v>
      </c>
      <c r="AC98" s="655">
        <v>64</v>
      </c>
      <c r="AD98" s="655">
        <v>0</v>
      </c>
      <c r="AE98" s="655">
        <v>0</v>
      </c>
      <c r="AF98" s="655">
        <v>1253831892</v>
      </c>
      <c r="AG98" s="655">
        <v>3547783727</v>
      </c>
      <c r="AH98" s="655">
        <v>181607265</v>
      </c>
      <c r="AI98" s="655">
        <v>11510100</v>
      </c>
      <c r="AJ98" s="655">
        <v>3533411</v>
      </c>
      <c r="AK98" s="655">
        <v>247500</v>
      </c>
      <c r="AL98" s="655">
        <v>0</v>
      </c>
      <c r="AM98" s="655">
        <v>3350885451</v>
      </c>
      <c r="AN98" s="654">
        <v>280</v>
      </c>
    </row>
    <row r="99" spans="3:40" ht="19.5" customHeight="1">
      <c r="C99" s="1610"/>
      <c r="D99" s="654" t="s">
        <v>217</v>
      </c>
      <c r="E99" s="655">
        <v>4440.1999999999989</v>
      </c>
      <c r="F99" s="655">
        <v>1128754839</v>
      </c>
      <c r="G99" s="655">
        <v>141</v>
      </c>
      <c r="H99" s="655">
        <v>34445733</v>
      </c>
      <c r="I99" s="655">
        <v>1521</v>
      </c>
      <c r="J99" s="655">
        <v>14272572</v>
      </c>
      <c r="K99" s="655">
        <v>1177473144</v>
      </c>
      <c r="L99" s="655">
        <v>479630</v>
      </c>
      <c r="M99" s="655">
        <v>7020000</v>
      </c>
      <c r="N99" s="655">
        <v>34800000</v>
      </c>
      <c r="O99" s="655">
        <v>72500000</v>
      </c>
      <c r="P99" s="655">
        <v>428924</v>
      </c>
      <c r="Q99" s="655">
        <v>62650000</v>
      </c>
      <c r="R99" s="655">
        <v>73028766</v>
      </c>
      <c r="S99" s="655">
        <v>0</v>
      </c>
      <c r="T99" s="655">
        <v>0</v>
      </c>
      <c r="U99" s="655">
        <v>2800000</v>
      </c>
      <c r="V99" s="655">
        <v>1524218</v>
      </c>
      <c r="W99" s="655">
        <v>3272953.4347211993</v>
      </c>
      <c r="X99" s="655"/>
      <c r="Y99" s="655">
        <v>0</v>
      </c>
      <c r="Z99" s="655">
        <v>1435977636</v>
      </c>
      <c r="AA99" s="655">
        <v>10850</v>
      </c>
      <c r="AB99" s="655">
        <v>653.5</v>
      </c>
      <c r="AC99" s="655">
        <v>118</v>
      </c>
      <c r="AD99" s="655">
        <v>12</v>
      </c>
      <c r="AE99" s="655">
        <v>0</v>
      </c>
      <c r="AF99" s="655">
        <v>572697049</v>
      </c>
      <c r="AG99" s="655">
        <v>2008674685</v>
      </c>
      <c r="AH99" s="655">
        <v>115584630</v>
      </c>
      <c r="AI99" s="655">
        <v>6879600</v>
      </c>
      <c r="AJ99" s="655">
        <v>2948948</v>
      </c>
      <c r="AK99" s="655">
        <v>100000</v>
      </c>
      <c r="AL99" s="655">
        <v>234915</v>
      </c>
      <c r="AM99" s="655">
        <v>1882926592</v>
      </c>
      <c r="AN99" s="654">
        <v>175</v>
      </c>
    </row>
    <row r="100" spans="3:40" ht="19.5" customHeight="1">
      <c r="C100" s="1610"/>
      <c r="D100" s="654" t="s">
        <v>218</v>
      </c>
      <c r="E100" s="655">
        <v>4694.7000000000016</v>
      </c>
      <c r="F100" s="655">
        <v>1125562988</v>
      </c>
      <c r="G100" s="655">
        <v>87</v>
      </c>
      <c r="H100" s="655">
        <v>20317986</v>
      </c>
      <c r="I100" s="655">
        <v>0</v>
      </c>
      <c r="J100" s="655">
        <v>0</v>
      </c>
      <c r="K100" s="655">
        <v>1145880974</v>
      </c>
      <c r="L100" s="655">
        <v>632593</v>
      </c>
      <c r="M100" s="655">
        <v>0</v>
      </c>
      <c r="N100" s="655">
        <v>36200000</v>
      </c>
      <c r="O100" s="655">
        <v>73000000</v>
      </c>
      <c r="P100" s="655">
        <v>657848</v>
      </c>
      <c r="Q100" s="655">
        <v>56350000</v>
      </c>
      <c r="R100" s="655">
        <v>85132527</v>
      </c>
      <c r="S100" s="655">
        <v>0</v>
      </c>
      <c r="T100" s="655">
        <v>0</v>
      </c>
      <c r="U100" s="655">
        <v>4400000</v>
      </c>
      <c r="V100" s="655">
        <v>1081783</v>
      </c>
      <c r="W100" s="655">
        <v>6434257.5723606423</v>
      </c>
      <c r="X100" s="655"/>
      <c r="Y100" s="655">
        <v>0</v>
      </c>
      <c r="Z100" s="655">
        <v>1409770001</v>
      </c>
      <c r="AA100" s="655">
        <v>14593.5</v>
      </c>
      <c r="AB100" s="655">
        <v>24</v>
      </c>
      <c r="AC100" s="655">
        <v>0</v>
      </c>
      <c r="AD100" s="655">
        <v>0</v>
      </c>
      <c r="AE100" s="655">
        <v>0</v>
      </c>
      <c r="AF100" s="655">
        <v>659241376</v>
      </c>
      <c r="AG100" s="655">
        <v>2069011377</v>
      </c>
      <c r="AH100" s="655">
        <v>111717795</v>
      </c>
      <c r="AI100" s="655">
        <v>7541100</v>
      </c>
      <c r="AJ100" s="655">
        <v>2084749</v>
      </c>
      <c r="AK100" s="655">
        <v>265000</v>
      </c>
      <c r="AL100" s="655">
        <v>669344</v>
      </c>
      <c r="AM100" s="655">
        <v>1946733389</v>
      </c>
      <c r="AN100" s="654">
        <v>190</v>
      </c>
    </row>
    <row r="101" spans="3:40" ht="19.5" customHeight="1">
      <c r="C101" s="1610"/>
      <c r="D101" s="654" t="s">
        <v>220</v>
      </c>
      <c r="E101" s="655">
        <v>4114.5000000000018</v>
      </c>
      <c r="F101" s="655">
        <v>1712235312</v>
      </c>
      <c r="G101" s="655">
        <v>61</v>
      </c>
      <c r="H101" s="655">
        <v>21897848</v>
      </c>
      <c r="I101" s="655">
        <v>0</v>
      </c>
      <c r="J101" s="655">
        <v>0</v>
      </c>
      <c r="K101" s="655">
        <v>1734133160</v>
      </c>
      <c r="L101" s="655">
        <v>31379998</v>
      </c>
      <c r="M101" s="655">
        <v>468000</v>
      </c>
      <c r="N101" s="655">
        <v>19200000</v>
      </c>
      <c r="O101" s="655">
        <v>42000000</v>
      </c>
      <c r="P101" s="655">
        <v>3761079</v>
      </c>
      <c r="Q101" s="655">
        <v>35950000</v>
      </c>
      <c r="R101" s="655">
        <v>18214943</v>
      </c>
      <c r="S101" s="655">
        <v>0</v>
      </c>
      <c r="T101" s="655">
        <v>0</v>
      </c>
      <c r="U101" s="655">
        <v>4100000</v>
      </c>
      <c r="V101" s="655">
        <v>1536273</v>
      </c>
      <c r="W101" s="655">
        <v>6663674.5561047168</v>
      </c>
      <c r="X101" s="655"/>
      <c r="Y101" s="655">
        <v>0</v>
      </c>
      <c r="Z101" s="655">
        <v>1897407129</v>
      </c>
      <c r="AA101" s="655">
        <v>5055</v>
      </c>
      <c r="AB101" s="655">
        <v>62.5</v>
      </c>
      <c r="AC101" s="655">
        <v>3.5</v>
      </c>
      <c r="AD101" s="655">
        <v>4.5</v>
      </c>
      <c r="AE101" s="655">
        <v>0</v>
      </c>
      <c r="AF101" s="655">
        <v>300062270</v>
      </c>
      <c r="AG101" s="655">
        <v>2197469399</v>
      </c>
      <c r="AH101" s="655">
        <v>176184330</v>
      </c>
      <c r="AI101" s="655">
        <v>6747300</v>
      </c>
      <c r="AJ101" s="655">
        <v>6552850</v>
      </c>
      <c r="AK101" s="655">
        <v>847000</v>
      </c>
      <c r="AL101" s="655">
        <v>0</v>
      </c>
      <c r="AM101" s="655">
        <v>2007137919</v>
      </c>
      <c r="AN101" s="654">
        <v>160</v>
      </c>
    </row>
    <row r="102" spans="3:40" ht="19.5" customHeight="1">
      <c r="C102" s="1610"/>
      <c r="D102" s="654" t="s">
        <v>221</v>
      </c>
      <c r="E102" s="655">
        <v>11956.999999999984</v>
      </c>
      <c r="F102" s="655">
        <v>3536383820</v>
      </c>
      <c r="G102" s="655">
        <v>288</v>
      </c>
      <c r="H102" s="655">
        <v>82053833</v>
      </c>
      <c r="I102" s="655">
        <v>2793</v>
      </c>
      <c r="J102" s="655">
        <v>35844354</v>
      </c>
      <c r="K102" s="655">
        <v>3654282007</v>
      </c>
      <c r="L102" s="655">
        <v>21837034</v>
      </c>
      <c r="M102" s="655">
        <v>14868000</v>
      </c>
      <c r="N102" s="655">
        <v>86000000</v>
      </c>
      <c r="O102" s="655">
        <v>178000000</v>
      </c>
      <c r="P102" s="655">
        <v>5711088</v>
      </c>
      <c r="Q102" s="655">
        <v>131350000</v>
      </c>
      <c r="R102" s="655">
        <v>122089666</v>
      </c>
      <c r="S102" s="655">
        <v>0</v>
      </c>
      <c r="T102" s="655">
        <v>0</v>
      </c>
      <c r="U102" s="655">
        <v>10600000</v>
      </c>
      <c r="V102" s="655">
        <v>5091780</v>
      </c>
      <c r="W102" s="655">
        <v>10918870.095780024</v>
      </c>
      <c r="X102" s="655"/>
      <c r="Y102" s="655">
        <v>0</v>
      </c>
      <c r="Z102" s="655">
        <v>4240748466</v>
      </c>
      <c r="AA102" s="655">
        <v>20286.5</v>
      </c>
      <c r="AB102" s="655">
        <v>35.5</v>
      </c>
      <c r="AC102" s="655">
        <v>313</v>
      </c>
      <c r="AD102" s="655">
        <v>0</v>
      </c>
      <c r="AE102" s="655">
        <v>0</v>
      </c>
      <c r="AF102" s="655">
        <v>1027280695</v>
      </c>
      <c r="AG102" s="655">
        <v>5268029161</v>
      </c>
      <c r="AH102" s="655">
        <v>356861967</v>
      </c>
      <c r="AI102" s="655">
        <v>18654300</v>
      </c>
      <c r="AJ102" s="655">
        <v>9759041</v>
      </c>
      <c r="AK102" s="655">
        <v>1060000</v>
      </c>
      <c r="AL102" s="655">
        <v>996989</v>
      </c>
      <c r="AM102" s="655">
        <v>4880696864</v>
      </c>
      <c r="AN102" s="654">
        <v>486</v>
      </c>
    </row>
    <row r="103" spans="3:40" ht="19.5" customHeight="1">
      <c r="D103" s="272"/>
      <c r="E103" s="659">
        <v>32358.599999999984</v>
      </c>
      <c r="F103" s="659">
        <v>9303550534</v>
      </c>
      <c r="G103" s="659">
        <v>731</v>
      </c>
      <c r="H103" s="659">
        <v>197612781</v>
      </c>
      <c r="I103" s="659">
        <v>4541.5</v>
      </c>
      <c r="J103" s="659">
        <v>52456345</v>
      </c>
      <c r="K103" s="659">
        <v>9553619660</v>
      </c>
      <c r="L103" s="659">
        <v>57061847</v>
      </c>
      <c r="M103" s="659">
        <v>23406000</v>
      </c>
      <c r="N103" s="659">
        <v>230400000</v>
      </c>
      <c r="O103" s="659">
        <v>489000000</v>
      </c>
      <c r="P103" s="659">
        <v>12156018</v>
      </c>
      <c r="Q103" s="659">
        <v>385000000</v>
      </c>
      <c r="R103" s="659">
        <v>452196613</v>
      </c>
      <c r="S103" s="659">
        <v>0</v>
      </c>
      <c r="T103" s="659">
        <v>0</v>
      </c>
      <c r="U103" s="659">
        <v>27200000</v>
      </c>
      <c r="V103" s="659">
        <v>11457876</v>
      </c>
      <c r="W103" s="659">
        <v>36357022.919331573</v>
      </c>
      <c r="X103" s="659"/>
      <c r="Y103" s="659">
        <v>0</v>
      </c>
      <c r="Z103" s="659">
        <v>11277855067</v>
      </c>
      <c r="AA103" s="659">
        <v>75219.5</v>
      </c>
      <c r="AB103" s="659">
        <v>2399</v>
      </c>
      <c r="AC103" s="659">
        <v>498.5</v>
      </c>
      <c r="AD103" s="659">
        <v>16.5</v>
      </c>
      <c r="AE103" s="659">
        <v>0</v>
      </c>
      <c r="AF103" s="659">
        <v>3813113282</v>
      </c>
      <c r="AG103" s="659">
        <v>15090968349</v>
      </c>
      <c r="AH103" s="659">
        <v>941955987</v>
      </c>
      <c r="AI103" s="659">
        <v>51332400</v>
      </c>
      <c r="AJ103" s="659">
        <v>24878999</v>
      </c>
      <c r="AK103" s="659">
        <v>2519500</v>
      </c>
      <c r="AL103" s="659">
        <v>1901248</v>
      </c>
      <c r="AM103" s="659">
        <v>14068380215</v>
      </c>
      <c r="AN103" s="659">
        <v>1291</v>
      </c>
    </row>
    <row r="104" spans="3:40" ht="19.5" customHeight="1">
      <c r="D104" s="665"/>
      <c r="E104" s="665"/>
      <c r="F104" s="666"/>
      <c r="G104" s="667"/>
      <c r="H104" s="666"/>
      <c r="I104" s="667"/>
      <c r="J104" s="666"/>
      <c r="K104" s="666"/>
      <c r="L104" s="666"/>
      <c r="M104" s="666"/>
      <c r="N104" s="666"/>
      <c r="O104" s="666"/>
      <c r="P104" s="666"/>
      <c r="Q104" s="666"/>
      <c r="R104" s="666"/>
      <c r="S104" s="668"/>
      <c r="T104" s="666"/>
      <c r="U104" s="666"/>
      <c r="V104" s="666"/>
      <c r="W104" s="666"/>
      <c r="X104" s="669"/>
      <c r="Y104" s="669"/>
      <c r="Z104" s="669"/>
      <c r="AA104" s="657"/>
      <c r="AB104" s="657"/>
      <c r="AC104" s="657"/>
      <c r="AD104" s="670"/>
      <c r="AE104" s="670"/>
      <c r="AF104" s="671"/>
      <c r="AG104" s="672"/>
      <c r="AH104" s="671"/>
      <c r="AI104" s="673"/>
      <c r="AJ104" s="671"/>
      <c r="AK104" s="657"/>
      <c r="AL104" s="657"/>
      <c r="AM104" s="669"/>
      <c r="AN104" s="675"/>
    </row>
    <row r="105" spans="3:40" ht="21.75" customHeight="1">
      <c r="C105" s="1605" t="str">
        <f>C112&amp;" Vs "&amp;C126</f>
        <v>Sep Vs Aug</v>
      </c>
      <c r="D105" s="654" t="s">
        <v>216</v>
      </c>
      <c r="E105" s="657">
        <f>+E112/E126</f>
        <v>0.85198376784515195</v>
      </c>
      <c r="F105" s="657">
        <f t="shared" ref="F105" si="221">+F112/F126</f>
        <v>0.88736682053280147</v>
      </c>
      <c r="G105" s="657">
        <f>+G112/G126</f>
        <v>4.4589041095890414</v>
      </c>
      <c r="H105" s="657">
        <f t="shared" ref="H105" si="222">+H112/H126</f>
        <v>4.8947348435736124</v>
      </c>
      <c r="I105" s="657"/>
      <c r="J105" s="657"/>
      <c r="K105" s="657">
        <f t="shared" ref="K105:L105" si="223">+K112/K126</f>
        <v>0.96824676911809582</v>
      </c>
      <c r="L105" s="657">
        <f t="shared" si="223"/>
        <v>1.0061617383627028</v>
      </c>
      <c r="M105" s="657"/>
      <c r="N105" s="657">
        <f t="shared" ref="N105:R105" si="224">+N112/N126</f>
        <v>0.9923371647509579</v>
      </c>
      <c r="O105" s="657">
        <f t="shared" si="224"/>
        <v>1.0084033613445378</v>
      </c>
      <c r="P105" s="657">
        <f t="shared" si="224"/>
        <v>1</v>
      </c>
      <c r="Q105" s="657">
        <f t="shared" si="224"/>
        <v>1.0142857142857142</v>
      </c>
      <c r="R105" s="657">
        <f t="shared" si="224"/>
        <v>0.86266304543299466</v>
      </c>
      <c r="S105" s="657"/>
      <c r="T105" s="657"/>
      <c r="U105" s="657">
        <f t="shared" ref="U105:W105" si="225">+U112/U126</f>
        <v>1.0185185185185186</v>
      </c>
      <c r="V105" s="657">
        <f t="shared" si="225"/>
        <v>4.7574386978686073E-2</v>
      </c>
      <c r="W105" s="657">
        <f t="shared" si="225"/>
        <v>1.0168110273303519</v>
      </c>
      <c r="X105" s="657"/>
      <c r="Y105" s="657"/>
      <c r="Z105" s="657">
        <f t="shared" ref="Z105" si="226">+Z112/Z126</f>
        <v>0.9673894078956029</v>
      </c>
      <c r="AA105" s="657">
        <f>+AA112/AA126</f>
        <v>1.0382024490284723</v>
      </c>
      <c r="AB105" s="657"/>
      <c r="AC105" s="657"/>
      <c r="AD105" s="657" t="e">
        <f t="shared" ref="AD105:AF105" si="227">+AD112/AD126</f>
        <v>#DIV/0!</v>
      </c>
      <c r="AE105" s="657" t="e">
        <f t="shared" si="227"/>
        <v>#DIV/0!</v>
      </c>
      <c r="AF105" s="657">
        <f t="shared" si="227"/>
        <v>1.0759270634237947</v>
      </c>
      <c r="AG105" s="657">
        <f>+AG112/AG126</f>
        <v>0.99611044378564151</v>
      </c>
      <c r="AH105" s="657">
        <f t="shared" ref="AH105:AM105" si="228">+AH112/AH126</f>
        <v>1.007798745781584</v>
      </c>
      <c r="AI105" s="657">
        <f t="shared" si="228"/>
        <v>1.0114942528735633</v>
      </c>
      <c r="AJ105" s="657">
        <f t="shared" si="228"/>
        <v>0.77726796388591657</v>
      </c>
      <c r="AK105" s="657">
        <f t="shared" si="228"/>
        <v>0.371301775147929</v>
      </c>
      <c r="AL105" s="657"/>
      <c r="AM105" s="657">
        <f t="shared" si="228"/>
        <v>0.99547931544328427</v>
      </c>
      <c r="AN105" s="503">
        <f>+AN112/AN126</f>
        <v>1.0261194029850746</v>
      </c>
    </row>
    <row r="106" spans="3:40" ht="21.75" customHeight="1">
      <c r="C106" s="1605"/>
      <c r="D106" s="654" t="s">
        <v>217</v>
      </c>
      <c r="E106" s="657">
        <f t="shared" ref="E106:R106" si="229">+E113/E127</f>
        <v>0.9122354030156139</v>
      </c>
      <c r="F106" s="657">
        <f>+F113/F127</f>
        <v>0.94187452309992858</v>
      </c>
      <c r="G106" s="657">
        <f t="shared" si="229"/>
        <v>5.0374999999999996</v>
      </c>
      <c r="H106" s="657">
        <f t="shared" si="229"/>
        <v>5.3548034652331165</v>
      </c>
      <c r="I106" s="657">
        <f t="shared" si="229"/>
        <v>1.1586538461538463</v>
      </c>
      <c r="J106" s="657">
        <f t="shared" si="229"/>
        <v>1.1217883379496454</v>
      </c>
      <c r="K106" s="657">
        <f t="shared" si="229"/>
        <v>1.0247633646037826</v>
      </c>
      <c r="L106" s="657">
        <f t="shared" si="229"/>
        <v>1.0843376106837617</v>
      </c>
      <c r="M106" s="657">
        <f t="shared" si="229"/>
        <v>1.338095238095238</v>
      </c>
      <c r="N106" s="657">
        <f t="shared" si="229"/>
        <v>1.0506329113924051</v>
      </c>
      <c r="O106" s="657">
        <f t="shared" si="229"/>
        <v>1.1640625</v>
      </c>
      <c r="P106" s="657">
        <f t="shared" si="229"/>
        <v>1</v>
      </c>
      <c r="Q106" s="657">
        <f t="shared" si="229"/>
        <v>1.0812557710064634</v>
      </c>
      <c r="R106" s="657">
        <f t="shared" si="229"/>
        <v>0.99058527706581756</v>
      </c>
      <c r="S106" s="657"/>
      <c r="T106" s="657"/>
      <c r="U106" s="657">
        <f t="shared" ref="U106:W106" si="230">+U113/U127</f>
        <v>1.0740740740740742</v>
      </c>
      <c r="V106" s="657">
        <f t="shared" si="230"/>
        <v>0.21819324963274075</v>
      </c>
      <c r="W106" s="657">
        <f t="shared" si="230"/>
        <v>1.0715636228474485</v>
      </c>
      <c r="X106" s="657"/>
      <c r="Y106" s="657"/>
      <c r="Z106" s="657">
        <f t="shared" ref="Z106:AA106" si="231">+Z113/Z127</f>
        <v>1.0336690456279882</v>
      </c>
      <c r="AA106" s="657">
        <f t="shared" si="231"/>
        <v>1.4418268915283154</v>
      </c>
      <c r="AB106" s="657"/>
      <c r="AC106" s="657">
        <f t="shared" ref="AC106:AN106" si="232">+AC113/AC127</f>
        <v>3.25</v>
      </c>
      <c r="AD106" s="657" t="e">
        <f t="shared" si="232"/>
        <v>#DIV/0!</v>
      </c>
      <c r="AE106" s="657" t="e">
        <f t="shared" si="232"/>
        <v>#DIV/0!</v>
      </c>
      <c r="AF106" s="657">
        <f t="shared" si="232"/>
        <v>1.715873045765572</v>
      </c>
      <c r="AG106" s="657">
        <f t="shared" si="232"/>
        <v>1.1853886970500831</v>
      </c>
      <c r="AH106" s="657">
        <f t="shared" si="232"/>
        <v>1.0683062634486298</v>
      </c>
      <c r="AI106" s="657">
        <f t="shared" si="232"/>
        <v>1.1928571428571428</v>
      </c>
      <c r="AJ106" s="657">
        <f t="shared" si="232"/>
        <v>2.2510921789093072</v>
      </c>
      <c r="AK106" s="657">
        <f t="shared" si="232"/>
        <v>0.26016949152542374</v>
      </c>
      <c r="AL106" s="657">
        <f t="shared" si="232"/>
        <v>3.8936994310923123</v>
      </c>
      <c r="AM106" s="657">
        <f t="shared" si="232"/>
        <v>1.1920415619402824</v>
      </c>
      <c r="AN106" s="503">
        <f t="shared" si="232"/>
        <v>1.0783132530120483</v>
      </c>
    </row>
    <row r="107" spans="3:40" ht="21.75" customHeight="1">
      <c r="C107" s="1605"/>
      <c r="D107" s="654" t="s">
        <v>218</v>
      </c>
      <c r="E107" s="657">
        <f t="shared" ref="E107:H107" si="233">+E114/E128</f>
        <v>0.86507556588935208</v>
      </c>
      <c r="F107" s="657">
        <f t="shared" si="233"/>
        <v>0.89583251684738885</v>
      </c>
      <c r="G107" s="657">
        <f t="shared" si="233"/>
        <v>4.8433734939759034</v>
      </c>
      <c r="H107" s="657">
        <f t="shared" si="233"/>
        <v>5.2766066917586443</v>
      </c>
      <c r="I107" s="657"/>
      <c r="J107" s="657"/>
      <c r="K107" s="657">
        <f t="shared" ref="K107:L107" si="234">+K114/K128</f>
        <v>0.97334221733902793</v>
      </c>
      <c r="L107" s="657">
        <f t="shared" si="234"/>
        <v>1.0124995479912733</v>
      </c>
      <c r="M107" s="657"/>
      <c r="N107" s="657">
        <f t="shared" ref="N107:R107" si="235">+N114/N128</f>
        <v>1.0119760479041917</v>
      </c>
      <c r="O107" s="657">
        <f t="shared" si="235"/>
        <v>0.98639455782312924</v>
      </c>
      <c r="P107" s="657">
        <f t="shared" si="235"/>
        <v>1</v>
      </c>
      <c r="Q107" s="657">
        <f t="shared" si="235"/>
        <v>1.0129990714948933</v>
      </c>
      <c r="R107" s="657">
        <f t="shared" si="235"/>
        <v>1.0985524279835703</v>
      </c>
      <c r="S107" s="657"/>
      <c r="T107" s="657"/>
      <c r="U107" s="657">
        <f t="shared" ref="U107:W107" si="236">+U114/U128</f>
        <v>0.92156862745098034</v>
      </c>
      <c r="V107" s="657"/>
      <c r="W107" s="657">
        <f t="shared" si="236"/>
        <v>1.0297940284400136</v>
      </c>
      <c r="X107" s="657"/>
      <c r="Y107" s="657"/>
      <c r="Z107" s="657">
        <f t="shared" ref="Z107:AA107" si="237">+Z114/Z128</f>
        <v>0.98310576722305187</v>
      </c>
      <c r="AA107" s="657">
        <f t="shared" si="237"/>
        <v>1.2564017292983038</v>
      </c>
      <c r="AB107" s="657"/>
      <c r="AC107" s="657"/>
      <c r="AD107" s="657" t="e">
        <f t="shared" ref="AD107:AK107" si="238">+AD114/AD128</f>
        <v>#DIV/0!</v>
      </c>
      <c r="AE107" s="657" t="e">
        <f t="shared" si="238"/>
        <v>#DIV/0!</v>
      </c>
      <c r="AF107" s="657">
        <f t="shared" si="238"/>
        <v>1.2806942896132549</v>
      </c>
      <c r="AG107" s="657">
        <f t="shared" si="238"/>
        <v>1.0625264182686653</v>
      </c>
      <c r="AH107" s="657">
        <f t="shared" si="238"/>
        <v>0.98676510274832185</v>
      </c>
      <c r="AI107" s="657">
        <f t="shared" si="238"/>
        <v>0.98203592814371254</v>
      </c>
      <c r="AJ107" s="657">
        <f t="shared" si="238"/>
        <v>1.1046963560734395</v>
      </c>
      <c r="AK107" s="657">
        <f t="shared" si="238"/>
        <v>0.27142857142857141</v>
      </c>
      <c r="AL107" s="657"/>
      <c r="AM107" s="657">
        <f t="shared" ref="AM107:AN107" si="239">+AM114/AM128</f>
        <v>1.0681506653765533</v>
      </c>
      <c r="AN107" s="503">
        <f t="shared" si="239"/>
        <v>1.0639534883720929</v>
      </c>
    </row>
    <row r="108" spans="3:40" ht="21.75" customHeight="1">
      <c r="C108" s="1605"/>
      <c r="D108" s="654" t="s">
        <v>220</v>
      </c>
      <c r="E108" s="657">
        <f t="shared" ref="E108:H108" si="240">+E115/E129</f>
        <v>0.844503048485435</v>
      </c>
      <c r="F108" s="657">
        <f t="shared" si="240"/>
        <v>0.86979787261296149</v>
      </c>
      <c r="G108" s="657">
        <f t="shared" si="240"/>
        <v>8.1086956521739122</v>
      </c>
      <c r="H108" s="657">
        <f t="shared" si="240"/>
        <v>9.714214475771735</v>
      </c>
      <c r="I108" s="657"/>
      <c r="J108" s="657"/>
      <c r="K108" s="657">
        <f t="shared" ref="K108:R108" si="241">+K115/K129</f>
        <v>0.9513479071684926</v>
      </c>
      <c r="L108" s="657">
        <f t="shared" si="241"/>
        <v>1.0018300746541677</v>
      </c>
      <c r="M108" s="657">
        <f t="shared" si="241"/>
        <v>0.59459459459459463</v>
      </c>
      <c r="N108" s="657">
        <f t="shared" si="241"/>
        <v>0.98958333333333337</v>
      </c>
      <c r="O108" s="657">
        <f t="shared" si="241"/>
        <v>0.93181818181818177</v>
      </c>
      <c r="P108" s="657">
        <f t="shared" si="241"/>
        <v>1</v>
      </c>
      <c r="Q108" s="657">
        <f t="shared" si="241"/>
        <v>0.99862637362637363</v>
      </c>
      <c r="R108" s="657">
        <f t="shared" si="241"/>
        <v>0.74315554040329879</v>
      </c>
      <c r="S108" s="657"/>
      <c r="T108" s="657"/>
      <c r="U108" s="657">
        <f t="shared" ref="U108:W108" si="242">+U115/U129</f>
        <v>1</v>
      </c>
      <c r="V108" s="657">
        <f t="shared" si="242"/>
        <v>0.42483246152562743</v>
      </c>
      <c r="W108" s="657">
        <f t="shared" si="242"/>
        <v>0.97478210798303033</v>
      </c>
      <c r="X108" s="657"/>
      <c r="Y108" s="657"/>
      <c r="Z108" s="657">
        <f t="shared" ref="Z108:AB108" si="243">+Z115/Z129</f>
        <v>0.94970470469851953</v>
      </c>
      <c r="AA108" s="657">
        <f t="shared" si="243"/>
        <v>0.7444252298170565</v>
      </c>
      <c r="AB108" s="657">
        <f t="shared" si="243"/>
        <v>2.8465909090909092</v>
      </c>
      <c r="AC108" s="657"/>
      <c r="AD108" s="657" t="e">
        <f t="shared" ref="AD108:AL108" si="244">+AD115/AD129</f>
        <v>#DIV/0!</v>
      </c>
      <c r="AE108" s="657" t="e">
        <f t="shared" si="244"/>
        <v>#DIV/0!</v>
      </c>
      <c r="AF108" s="657">
        <f t="shared" si="244"/>
        <v>0.82930098590615087</v>
      </c>
      <c r="AG108" s="657">
        <f t="shared" si="244"/>
        <v>0.93208436698048303</v>
      </c>
      <c r="AH108" s="657">
        <f t="shared" si="244"/>
        <v>0.97969518664994693</v>
      </c>
      <c r="AI108" s="657">
        <f t="shared" si="244"/>
        <v>1.0335570469798658</v>
      </c>
      <c r="AJ108" s="657">
        <f t="shared" si="244"/>
        <v>1.3459057483474088</v>
      </c>
      <c r="AK108" s="657">
        <f t="shared" si="244"/>
        <v>0.8493506493506493</v>
      </c>
      <c r="AL108" s="657">
        <f t="shared" si="244"/>
        <v>0</v>
      </c>
      <c r="AM108" s="657">
        <f t="shared" ref="AM108:AN108" si="245">+AM115/AM129</f>
        <v>0.92674331950174271</v>
      </c>
      <c r="AN108" s="503">
        <f t="shared" si="245"/>
        <v>1</v>
      </c>
    </row>
    <row r="109" spans="3:40" s="653" customFormat="1" ht="21.75" customHeight="1">
      <c r="C109" s="1605"/>
      <c r="D109" s="656" t="s">
        <v>221</v>
      </c>
      <c r="E109" s="657">
        <f t="shared" ref="E109:R109" si="246">+E116/E130</f>
        <v>0.87268880265491366</v>
      </c>
      <c r="F109" s="657">
        <f t="shared" si="246"/>
        <v>0.90492343862907432</v>
      </c>
      <c r="G109" s="657">
        <f t="shared" si="246"/>
        <v>5.2336448598130838</v>
      </c>
      <c r="H109" s="657">
        <f t="shared" si="246"/>
        <v>5.8440157800003369</v>
      </c>
      <c r="I109" s="657">
        <f t="shared" si="246"/>
        <v>0.91983382058778274</v>
      </c>
      <c r="J109" s="657">
        <f t="shared" si="246"/>
        <v>0.94962010109383987</v>
      </c>
      <c r="K109" s="657">
        <f t="shared" si="246"/>
        <v>0.98822373936924368</v>
      </c>
      <c r="L109" s="657">
        <f t="shared" si="246"/>
        <v>1.0212946656715429</v>
      </c>
      <c r="M109" s="657">
        <f t="shared" si="246"/>
        <v>0.90525587828492393</v>
      </c>
      <c r="N109" s="657">
        <f t="shared" si="246"/>
        <v>1.0272277227722773</v>
      </c>
      <c r="O109" s="657">
        <f t="shared" si="246"/>
        <v>1.0402298850574712</v>
      </c>
      <c r="P109" s="657">
        <f t="shared" si="246"/>
        <v>1.4236311239193085</v>
      </c>
      <c r="Q109" s="657">
        <f t="shared" si="246"/>
        <v>0.93877551020408168</v>
      </c>
      <c r="R109" s="657">
        <f t="shared" si="246"/>
        <v>0.65488808875037618</v>
      </c>
      <c r="S109" s="657"/>
      <c r="T109" s="657"/>
      <c r="U109" s="657">
        <f t="shared" ref="U109:W109" si="247">+U116/U130</f>
        <v>1.03</v>
      </c>
      <c r="V109" s="657">
        <f t="shared" si="247"/>
        <v>0.92100348291353284</v>
      </c>
      <c r="W109" s="657">
        <f t="shared" si="247"/>
        <v>1.0530583321545635</v>
      </c>
      <c r="X109" s="657"/>
      <c r="Y109" s="657"/>
      <c r="Z109" s="657">
        <f t="shared" ref="Z109:AN109" si="248">+Z116/Z130</f>
        <v>0.97489134868322658</v>
      </c>
      <c r="AA109" s="657">
        <f t="shared" si="248"/>
        <v>0.91235640916550176</v>
      </c>
      <c r="AB109" s="657">
        <f t="shared" si="248"/>
        <v>0.62545353056098241</v>
      </c>
      <c r="AC109" s="657">
        <f t="shared" si="248"/>
        <v>0.59143968871595332</v>
      </c>
      <c r="AD109" s="657" t="e">
        <f t="shared" si="248"/>
        <v>#DIV/0!</v>
      </c>
      <c r="AE109" s="657" t="e">
        <f t="shared" si="248"/>
        <v>#DIV/0!</v>
      </c>
      <c r="AF109" s="657">
        <f t="shared" si="248"/>
        <v>0.85929887682322437</v>
      </c>
      <c r="AG109" s="657">
        <f t="shared" si="248"/>
        <v>0.94504140945559423</v>
      </c>
      <c r="AH109" s="657">
        <f t="shared" si="248"/>
        <v>1.0085705241846257</v>
      </c>
      <c r="AI109" s="657">
        <f t="shared" si="248"/>
        <v>1.0927318295739348</v>
      </c>
      <c r="AJ109" s="657">
        <f t="shared" si="248"/>
        <v>0.79986274415199043</v>
      </c>
      <c r="AK109" s="657">
        <f t="shared" si="248"/>
        <v>0.70227081581160644</v>
      </c>
      <c r="AL109" s="657">
        <f t="shared" si="248"/>
        <v>0.94791723439692499</v>
      </c>
      <c r="AM109" s="657">
        <f t="shared" si="248"/>
        <v>0.94062958073674585</v>
      </c>
      <c r="AN109" s="503">
        <f t="shared" si="248"/>
        <v>1.0307017543859649</v>
      </c>
    </row>
    <row r="110" spans="3:40" s="492" customFormat="1" ht="21.75" customHeight="1">
      <c r="D110" s="676" t="s">
        <v>79</v>
      </c>
      <c r="E110" s="677">
        <f>+E117/E131</f>
        <v>0.86849693191905686</v>
      </c>
      <c r="F110" s="677">
        <f t="shared" ref="F110:AN110" si="249">+F117/F131</f>
        <v>0.89800298082063501</v>
      </c>
      <c r="G110" s="677">
        <f t="shared" si="249"/>
        <v>5.182776801405975</v>
      </c>
      <c r="H110" s="677">
        <f t="shared" si="249"/>
        <v>5.904407495464528</v>
      </c>
      <c r="I110" s="677">
        <f t="shared" si="249"/>
        <v>1.0676953167445398</v>
      </c>
      <c r="J110" s="677">
        <f t="shared" si="249"/>
        <v>1.0643491113495163</v>
      </c>
      <c r="K110" s="677">
        <f t="shared" si="249"/>
        <v>0.97990611731031574</v>
      </c>
      <c r="L110" s="677">
        <f t="shared" si="249"/>
        <v>1.0103092520438925</v>
      </c>
      <c r="M110" s="677">
        <f t="shared" si="249"/>
        <v>1.07920059215396</v>
      </c>
      <c r="N110" s="677">
        <f t="shared" si="249"/>
        <v>1.0165745856353592</v>
      </c>
      <c r="O110" s="677">
        <f t="shared" si="249"/>
        <v>1.0305584826132772</v>
      </c>
      <c r="P110" s="677">
        <f t="shared" si="249"/>
        <v>1.1295154185022027</v>
      </c>
      <c r="Q110" s="677">
        <f t="shared" si="249"/>
        <v>0.99432043323206976</v>
      </c>
      <c r="R110" s="677">
        <f t="shared" si="249"/>
        <v>0.8245914792943867</v>
      </c>
      <c r="S110" s="677" t="e">
        <f t="shared" si="249"/>
        <v>#DIV/0!</v>
      </c>
      <c r="T110" s="677" t="e">
        <f t="shared" si="249"/>
        <v>#DIV/0!</v>
      </c>
      <c r="U110" s="677">
        <f t="shared" si="249"/>
        <v>1.0074906367041199</v>
      </c>
      <c r="V110" s="677">
        <f t="shared" si="249"/>
        <v>0.60958340790312426</v>
      </c>
      <c r="W110" s="677">
        <f t="shared" si="249"/>
        <v>1.0262017460880049</v>
      </c>
      <c r="X110" s="677" t="e">
        <f t="shared" si="249"/>
        <v>#DIV/0!</v>
      </c>
      <c r="Y110" s="677" t="e">
        <f t="shared" si="249"/>
        <v>#DIV/0!</v>
      </c>
      <c r="Z110" s="677">
        <f t="shared" si="249"/>
        <v>0.97703246962970136</v>
      </c>
      <c r="AA110" s="677">
        <f t="shared" si="249"/>
        <v>1.0482331679932326</v>
      </c>
      <c r="AB110" s="677">
        <f t="shared" si="249"/>
        <v>1.4282083862770012</v>
      </c>
      <c r="AC110" s="677">
        <f t="shared" si="249"/>
        <v>1.0661290322580645</v>
      </c>
      <c r="AD110" s="677" t="e">
        <f t="shared" si="249"/>
        <v>#DIV/0!</v>
      </c>
      <c r="AE110" s="677" t="e">
        <f t="shared" si="249"/>
        <v>#DIV/0!</v>
      </c>
      <c r="AF110" s="677">
        <f t="shared" si="249"/>
        <v>1.0599367407442233</v>
      </c>
      <c r="AG110" s="677">
        <f t="shared" si="249"/>
        <v>0.99682856870506642</v>
      </c>
      <c r="AH110" s="677">
        <f t="shared" si="249"/>
        <v>1.0070822753991102</v>
      </c>
      <c r="AI110" s="677">
        <f t="shared" si="249"/>
        <v>1.0618279569892473</v>
      </c>
      <c r="AJ110" s="677">
        <f t="shared" si="249"/>
        <v>1.07719102520183</v>
      </c>
      <c r="AK110" s="677">
        <f t="shared" si="249"/>
        <v>0.47013465300955232</v>
      </c>
      <c r="AL110" s="677">
        <f t="shared" si="249"/>
        <v>1.6578406495077671</v>
      </c>
      <c r="AM110" s="677">
        <f t="shared" si="249"/>
        <v>0.99583031121158971</v>
      </c>
      <c r="AN110" s="677">
        <f t="shared" si="249"/>
        <v>1.0368248772504092</v>
      </c>
    </row>
    <row r="111" spans="3:40" ht="21.75" customHeight="1">
      <c r="J111" s="349"/>
    </row>
    <row r="112" spans="3:40" ht="19.5" customHeight="1">
      <c r="C112" s="1610" t="s">
        <v>71</v>
      </c>
      <c r="D112" s="654" t="s">
        <v>216</v>
      </c>
      <c r="E112" s="655">
        <v>5836.5999999999995</v>
      </c>
      <c r="F112" s="655">
        <v>1541016044</v>
      </c>
      <c r="G112" s="655">
        <v>651</v>
      </c>
      <c r="H112" s="655">
        <v>170410360</v>
      </c>
      <c r="I112" s="655">
        <v>357.5</v>
      </c>
      <c r="J112" s="655">
        <v>3756654</v>
      </c>
      <c r="K112" s="655">
        <v>1715183058</v>
      </c>
      <c r="L112" s="655">
        <v>2283800</v>
      </c>
      <c r="M112" s="655">
        <v>1710000</v>
      </c>
      <c r="N112" s="655">
        <v>51800000</v>
      </c>
      <c r="O112" s="655">
        <v>120000000</v>
      </c>
      <c r="P112" s="655">
        <v>1082000</v>
      </c>
      <c r="Q112" s="655">
        <v>95850000</v>
      </c>
      <c r="R112" s="655">
        <v>113879738</v>
      </c>
      <c r="S112" s="655">
        <v>0</v>
      </c>
      <c r="T112" s="655">
        <v>0</v>
      </c>
      <c r="U112" s="655">
        <v>5500000</v>
      </c>
      <c r="V112" s="655">
        <v>44030</v>
      </c>
      <c r="W112" s="655">
        <v>8914740</v>
      </c>
      <c r="X112" s="655"/>
      <c r="Y112" s="655">
        <v>0</v>
      </c>
      <c r="Z112" s="655">
        <v>2116247444</v>
      </c>
      <c r="AA112" s="655">
        <v>17338.5</v>
      </c>
      <c r="AB112" s="655">
        <v>72</v>
      </c>
      <c r="AC112" s="655">
        <v>110</v>
      </c>
      <c r="AD112" s="655">
        <v>0</v>
      </c>
      <c r="AE112" s="655">
        <v>0</v>
      </c>
      <c r="AF112" s="655">
        <v>846944046</v>
      </c>
      <c r="AG112" s="655">
        <v>2963191490</v>
      </c>
      <c r="AH112" s="655">
        <v>180587941</v>
      </c>
      <c r="AI112" s="655">
        <v>11642400</v>
      </c>
      <c r="AJ112" s="655">
        <v>844804</v>
      </c>
      <c r="AK112" s="655">
        <v>627500</v>
      </c>
      <c r="AL112" s="655">
        <v>777630</v>
      </c>
      <c r="AM112" s="655">
        <v>2768711215</v>
      </c>
      <c r="AN112" s="654">
        <v>275</v>
      </c>
    </row>
    <row r="113" spans="3:40" ht="19.5" customHeight="1">
      <c r="C113" s="1610"/>
      <c r="D113" s="654" t="s">
        <v>217</v>
      </c>
      <c r="E113" s="655">
        <v>3745.0000000000014</v>
      </c>
      <c r="F113" s="655">
        <v>994688176</v>
      </c>
      <c r="G113" s="655">
        <v>403</v>
      </c>
      <c r="H113" s="655">
        <v>106696360</v>
      </c>
      <c r="I113" s="655">
        <v>1566.5</v>
      </c>
      <c r="J113" s="655">
        <v>14557233</v>
      </c>
      <c r="K113" s="655">
        <v>1115941769</v>
      </c>
      <c r="L113" s="655">
        <v>500000</v>
      </c>
      <c r="M113" s="655">
        <v>8430000</v>
      </c>
      <c r="N113" s="655">
        <v>33200000</v>
      </c>
      <c r="O113" s="655">
        <v>74500000</v>
      </c>
      <c r="P113" s="655">
        <v>200000</v>
      </c>
      <c r="Q113" s="655">
        <v>58550000</v>
      </c>
      <c r="R113" s="655">
        <v>65069532</v>
      </c>
      <c r="S113" s="655">
        <v>0</v>
      </c>
      <c r="T113" s="655">
        <v>0</v>
      </c>
      <c r="U113" s="655">
        <v>2900000</v>
      </c>
      <c r="V113" s="655">
        <v>290818</v>
      </c>
      <c r="W113" s="655">
        <v>3205410</v>
      </c>
      <c r="X113" s="655"/>
      <c r="Y113" s="655">
        <v>0</v>
      </c>
      <c r="Z113" s="655">
        <v>1362787558</v>
      </c>
      <c r="AA113" s="655">
        <v>10986</v>
      </c>
      <c r="AB113" s="655">
        <v>1335</v>
      </c>
      <c r="AC113" s="655">
        <v>247</v>
      </c>
      <c r="AD113" s="655">
        <v>31</v>
      </c>
      <c r="AE113" s="655">
        <v>0</v>
      </c>
      <c r="AF113" s="655">
        <v>646995205</v>
      </c>
      <c r="AG113" s="655">
        <v>2009782763</v>
      </c>
      <c r="AH113" s="655">
        <v>113509175</v>
      </c>
      <c r="AI113" s="655">
        <v>7364700</v>
      </c>
      <c r="AJ113" s="655">
        <v>2726838</v>
      </c>
      <c r="AK113" s="655">
        <v>153500</v>
      </c>
      <c r="AL113" s="655">
        <v>1627543</v>
      </c>
      <c r="AM113" s="655">
        <v>1884401007</v>
      </c>
      <c r="AN113" s="654">
        <v>179</v>
      </c>
    </row>
    <row r="114" spans="3:40" ht="19.5" customHeight="1">
      <c r="C114" s="1610"/>
      <c r="D114" s="654" t="s">
        <v>218</v>
      </c>
      <c r="E114" s="655">
        <v>3795.0000000000009</v>
      </c>
      <c r="F114" s="655">
        <v>961244472</v>
      </c>
      <c r="G114" s="655">
        <v>402</v>
      </c>
      <c r="H114" s="655">
        <v>101981120</v>
      </c>
      <c r="I114" s="655">
        <v>0</v>
      </c>
      <c r="J114" s="655">
        <v>0</v>
      </c>
      <c r="K114" s="655">
        <v>1063225592</v>
      </c>
      <c r="L114" s="655">
        <v>672000</v>
      </c>
      <c r="M114" s="655">
        <v>0</v>
      </c>
      <c r="N114" s="655">
        <v>33800000</v>
      </c>
      <c r="O114" s="655">
        <v>72500000</v>
      </c>
      <c r="P114" s="655">
        <v>200000</v>
      </c>
      <c r="Q114" s="655">
        <v>54550000</v>
      </c>
      <c r="R114" s="655">
        <v>69294378</v>
      </c>
      <c r="S114" s="655">
        <v>0</v>
      </c>
      <c r="T114" s="655">
        <v>0</v>
      </c>
      <c r="U114" s="655">
        <v>4700000</v>
      </c>
      <c r="V114" s="655">
        <v>574800</v>
      </c>
      <c r="W114" s="655">
        <v>6250770</v>
      </c>
      <c r="X114" s="655"/>
      <c r="Y114" s="655">
        <v>0</v>
      </c>
      <c r="Z114" s="655">
        <v>1305767599</v>
      </c>
      <c r="AA114" s="655">
        <v>13223</v>
      </c>
      <c r="AB114" s="655">
        <v>32</v>
      </c>
      <c r="AC114" s="655">
        <v>0</v>
      </c>
      <c r="AD114" s="655">
        <v>0</v>
      </c>
      <c r="AE114" s="655">
        <v>0</v>
      </c>
      <c r="AF114" s="655">
        <v>619232534</v>
      </c>
      <c r="AG114" s="655">
        <v>1925000133</v>
      </c>
      <c r="AH114" s="655">
        <v>109803540</v>
      </c>
      <c r="AI114" s="655">
        <v>7232400</v>
      </c>
      <c r="AJ114" s="655">
        <v>1772461</v>
      </c>
      <c r="AK114" s="655">
        <v>190000</v>
      </c>
      <c r="AL114" s="655">
        <v>0</v>
      </c>
      <c r="AM114" s="655">
        <v>1806001732</v>
      </c>
      <c r="AN114" s="654">
        <v>183</v>
      </c>
    </row>
    <row r="115" spans="3:40" ht="19.5" customHeight="1">
      <c r="C115" s="1610"/>
      <c r="D115" s="654" t="s">
        <v>220</v>
      </c>
      <c r="E115" s="655">
        <v>3490.5000000000027</v>
      </c>
      <c r="F115" s="655">
        <v>1515893328</v>
      </c>
      <c r="G115" s="655">
        <v>373</v>
      </c>
      <c r="H115" s="655">
        <v>157556360</v>
      </c>
      <c r="I115" s="655">
        <v>0</v>
      </c>
      <c r="J115" s="655">
        <v>0</v>
      </c>
      <c r="K115" s="655">
        <v>1673449688</v>
      </c>
      <c r="L115" s="655">
        <v>31335200</v>
      </c>
      <c r="M115" s="655">
        <v>396000</v>
      </c>
      <c r="N115" s="655">
        <v>19000000</v>
      </c>
      <c r="O115" s="655">
        <v>41000000</v>
      </c>
      <c r="P115" s="655">
        <v>3246000</v>
      </c>
      <c r="Q115" s="655">
        <v>36350000</v>
      </c>
      <c r="R115" s="655">
        <v>16250748</v>
      </c>
      <c r="S115" s="655">
        <v>0</v>
      </c>
      <c r="T115" s="655">
        <v>0</v>
      </c>
      <c r="U115" s="655">
        <v>3500000</v>
      </c>
      <c r="V115" s="655">
        <v>1650000</v>
      </c>
      <c r="W115" s="655">
        <v>6692347.5</v>
      </c>
      <c r="X115" s="655"/>
      <c r="Y115" s="655">
        <v>0</v>
      </c>
      <c r="Z115" s="655">
        <v>1832869997</v>
      </c>
      <c r="AA115" s="655">
        <v>4089.5</v>
      </c>
      <c r="AB115" s="655">
        <v>250.5</v>
      </c>
      <c r="AC115" s="655">
        <v>0</v>
      </c>
      <c r="AD115" s="655">
        <v>0</v>
      </c>
      <c r="AE115" s="655">
        <v>5</v>
      </c>
      <c r="AF115" s="655">
        <v>274376292</v>
      </c>
      <c r="AG115" s="655">
        <v>2107246289</v>
      </c>
      <c r="AH115" s="655">
        <v>174894930</v>
      </c>
      <c r="AI115" s="655">
        <v>6791400</v>
      </c>
      <c r="AJ115" s="655">
        <v>8050760</v>
      </c>
      <c r="AK115" s="655">
        <v>654000</v>
      </c>
      <c r="AL115" s="655">
        <v>0</v>
      </c>
      <c r="AM115" s="655">
        <v>1916855199</v>
      </c>
      <c r="AN115" s="654">
        <v>160</v>
      </c>
    </row>
    <row r="116" spans="3:40" ht="19.5" customHeight="1">
      <c r="C116" s="1610"/>
      <c r="D116" s="654" t="s">
        <v>221</v>
      </c>
      <c r="E116" s="655">
        <v>9940.0999999999949</v>
      </c>
      <c r="F116" s="655">
        <v>3089155440</v>
      </c>
      <c r="G116" s="655">
        <v>1120</v>
      </c>
      <c r="H116" s="655">
        <v>344059200</v>
      </c>
      <c r="I116" s="655">
        <v>2989</v>
      </c>
      <c r="J116" s="655">
        <v>37263635</v>
      </c>
      <c r="K116" s="655">
        <v>3470478275</v>
      </c>
      <c r="L116" s="655">
        <v>22222800</v>
      </c>
      <c r="M116" s="655">
        <v>15708000</v>
      </c>
      <c r="N116" s="655">
        <v>83000000</v>
      </c>
      <c r="O116" s="655">
        <v>181000000</v>
      </c>
      <c r="P116" s="655">
        <v>2964000</v>
      </c>
      <c r="Q116" s="655">
        <v>131100000</v>
      </c>
      <c r="R116" s="655">
        <v>121287741</v>
      </c>
      <c r="S116" s="655">
        <v>0</v>
      </c>
      <c r="T116" s="655">
        <v>0</v>
      </c>
      <c r="U116" s="655">
        <v>10300000</v>
      </c>
      <c r="V116" s="655">
        <v>3503232</v>
      </c>
      <c r="W116" s="655">
        <v>10894800</v>
      </c>
      <c r="X116" s="655"/>
      <c r="Y116" s="655">
        <v>0</v>
      </c>
      <c r="Z116" s="655">
        <v>4052458923</v>
      </c>
      <c r="AA116" s="655">
        <v>22516.5</v>
      </c>
      <c r="AB116" s="655">
        <v>1120.5</v>
      </c>
      <c r="AC116" s="655">
        <v>304</v>
      </c>
      <c r="AD116" s="655">
        <v>0</v>
      </c>
      <c r="AE116" s="655">
        <v>0</v>
      </c>
      <c r="AF116" s="655">
        <v>1243522916</v>
      </c>
      <c r="AG116" s="655">
        <v>5295981839</v>
      </c>
      <c r="AH116" s="655">
        <v>349977868</v>
      </c>
      <c r="AI116" s="655">
        <v>19227600</v>
      </c>
      <c r="AJ116" s="655">
        <v>7924277</v>
      </c>
      <c r="AK116" s="655">
        <v>417500</v>
      </c>
      <c r="AL116" s="655">
        <v>1026146</v>
      </c>
      <c r="AM116" s="655">
        <v>4917408448</v>
      </c>
      <c r="AN116" s="654">
        <v>470</v>
      </c>
    </row>
    <row r="117" spans="3:40" ht="19.5" customHeight="1">
      <c r="D117" s="272"/>
      <c r="E117" s="659">
        <f>SUM(E112:E116)</f>
        <v>26807.200000000001</v>
      </c>
      <c r="F117" s="659">
        <f t="shared" ref="F117:W117" si="250">SUM(F112:F116)</f>
        <v>8101997460</v>
      </c>
      <c r="G117" s="659">
        <f t="shared" si="250"/>
        <v>2949</v>
      </c>
      <c r="H117" s="659">
        <f t="shared" si="250"/>
        <v>880703400</v>
      </c>
      <c r="I117" s="659">
        <f t="shared" si="250"/>
        <v>4913</v>
      </c>
      <c r="J117" s="659">
        <f t="shared" si="250"/>
        <v>55577522</v>
      </c>
      <c r="K117" s="659">
        <f t="shared" si="250"/>
        <v>9038278382</v>
      </c>
      <c r="L117" s="659">
        <f t="shared" si="250"/>
        <v>57013800</v>
      </c>
      <c r="M117" s="659">
        <f t="shared" si="250"/>
        <v>26244000</v>
      </c>
      <c r="N117" s="659">
        <f t="shared" si="250"/>
        <v>220800000</v>
      </c>
      <c r="O117" s="659">
        <f t="shared" si="250"/>
        <v>489000000</v>
      </c>
      <c r="P117" s="659">
        <f t="shared" si="250"/>
        <v>7692000</v>
      </c>
      <c r="Q117" s="659">
        <f t="shared" si="250"/>
        <v>376400000</v>
      </c>
      <c r="R117" s="659">
        <f t="shared" si="250"/>
        <v>385782137</v>
      </c>
      <c r="S117" s="659">
        <f t="shared" si="250"/>
        <v>0</v>
      </c>
      <c r="T117" s="659">
        <f t="shared" si="250"/>
        <v>0</v>
      </c>
      <c r="U117" s="659">
        <f t="shared" si="250"/>
        <v>26900000</v>
      </c>
      <c r="V117" s="659">
        <f t="shared" si="250"/>
        <v>6062880</v>
      </c>
      <c r="W117" s="659">
        <f t="shared" si="250"/>
        <v>35958067.5</v>
      </c>
      <c r="X117" s="659"/>
      <c r="Y117" s="659">
        <f t="shared" ref="Y117:AN117" si="251">SUM(Y112:Y116)</f>
        <v>0</v>
      </c>
      <c r="Z117" s="659">
        <f t="shared" si="251"/>
        <v>10670131521</v>
      </c>
      <c r="AA117" s="659">
        <f t="shared" si="251"/>
        <v>68153.5</v>
      </c>
      <c r="AB117" s="659">
        <f t="shared" si="251"/>
        <v>2810</v>
      </c>
      <c r="AC117" s="659">
        <f t="shared" si="251"/>
        <v>661</v>
      </c>
      <c r="AD117" s="659">
        <f t="shared" si="251"/>
        <v>31</v>
      </c>
      <c r="AE117" s="659">
        <f t="shared" si="251"/>
        <v>5</v>
      </c>
      <c r="AF117" s="659">
        <f t="shared" si="251"/>
        <v>3631070993</v>
      </c>
      <c r="AG117" s="659">
        <f t="shared" si="251"/>
        <v>14301202514</v>
      </c>
      <c r="AH117" s="659">
        <f t="shared" si="251"/>
        <v>928773454</v>
      </c>
      <c r="AI117" s="659">
        <f t="shared" si="251"/>
        <v>52258500</v>
      </c>
      <c r="AJ117" s="659">
        <f t="shared" si="251"/>
        <v>21319140</v>
      </c>
      <c r="AK117" s="659">
        <f t="shared" si="251"/>
        <v>2042500</v>
      </c>
      <c r="AL117" s="659">
        <f t="shared" si="251"/>
        <v>3431319</v>
      </c>
      <c r="AM117" s="659">
        <f t="shared" si="251"/>
        <v>13293377601</v>
      </c>
      <c r="AN117" s="659">
        <f t="shared" si="251"/>
        <v>1267</v>
      </c>
    </row>
    <row r="118" spans="3:40" ht="19.5" customHeight="1">
      <c r="D118" s="665"/>
      <c r="E118" s="665"/>
      <c r="F118" s="666"/>
      <c r="G118" s="667"/>
      <c r="H118" s="666"/>
      <c r="I118" s="667"/>
      <c r="J118" s="666"/>
      <c r="K118" s="666"/>
      <c r="L118" s="666"/>
      <c r="M118" s="666"/>
      <c r="N118" s="666"/>
      <c r="O118" s="666"/>
      <c r="P118" s="666"/>
      <c r="Q118" s="666"/>
      <c r="R118" s="666"/>
      <c r="S118" s="668"/>
      <c r="T118" s="666"/>
      <c r="U118" s="666"/>
      <c r="V118" s="666"/>
      <c r="W118" s="666"/>
      <c r="X118" s="669"/>
      <c r="Y118" s="669"/>
      <c r="Z118" s="669"/>
      <c r="AA118" s="657"/>
      <c r="AB118" s="657"/>
      <c r="AC118" s="657"/>
      <c r="AD118" s="670"/>
      <c r="AE118" s="670"/>
      <c r="AF118" s="671"/>
      <c r="AG118" s="672"/>
      <c r="AH118" s="671"/>
      <c r="AI118" s="673"/>
      <c r="AJ118" s="671"/>
      <c r="AK118" s="657"/>
      <c r="AL118" s="657"/>
      <c r="AM118" s="669"/>
      <c r="AN118" s="675"/>
    </row>
    <row r="119" spans="3:40" ht="21.75" customHeight="1">
      <c r="C119" s="1605" t="str">
        <f>C126&amp;" Vs "&amp;C140</f>
        <v>Aug Vs Jul</v>
      </c>
      <c r="D119" s="654" t="s">
        <v>216</v>
      </c>
      <c r="E119" s="657">
        <f>+E126/E140</f>
        <v>0.98298226482236128</v>
      </c>
      <c r="F119" s="657">
        <f t="shared" ref="F119" si="252">+F126/F140</f>
        <v>0.98033002476449804</v>
      </c>
      <c r="G119" s="657">
        <f>+G126/G140</f>
        <v>1.5368421052631578</v>
      </c>
      <c r="H119" s="657">
        <f t="shared" ref="H119" si="253">+H126/H140</f>
        <v>1.5734571705963964</v>
      </c>
      <c r="I119" s="657"/>
      <c r="J119" s="657"/>
      <c r="K119" s="657">
        <f t="shared" ref="K119:L119" si="254">+K126/K140</f>
        <v>0.98764709234916881</v>
      </c>
      <c r="L119" s="657">
        <f t="shared" si="254"/>
        <v>0.99845205255895197</v>
      </c>
      <c r="M119" s="657"/>
      <c r="N119" s="657">
        <f t="shared" ref="N119:R119" si="255">+N126/N140</f>
        <v>0.99239543726235746</v>
      </c>
      <c r="O119" s="657">
        <f t="shared" si="255"/>
        <v>1.0042194092827004</v>
      </c>
      <c r="P119" s="657">
        <f t="shared" si="255"/>
        <v>0.72979063372401642</v>
      </c>
      <c r="Q119" s="657">
        <f t="shared" si="255"/>
        <v>0.99947117927022744</v>
      </c>
      <c r="R119" s="657">
        <f t="shared" si="255"/>
        <v>1.1637358844062735</v>
      </c>
      <c r="S119" s="657"/>
      <c r="T119" s="657"/>
      <c r="U119" s="657">
        <f t="shared" ref="U119" si="256">+U126/U140</f>
        <v>0.9152542372881356</v>
      </c>
      <c r="V119" s="657">
        <f t="shared" ref="U119:W120" si="257">+V126/V140</f>
        <v>1.0283311111111111</v>
      </c>
      <c r="W119" s="657">
        <f t="shared" ref="W119" si="258">+W126/W140</f>
        <v>0.96883709435450416</v>
      </c>
      <c r="X119" s="657"/>
      <c r="Y119" s="657"/>
      <c r="Z119" s="657">
        <f t="shared" ref="Z119" si="259">+Z126/Z140</f>
        <v>0.99785924833826845</v>
      </c>
      <c r="AA119" s="657">
        <f>+AA126/AA140</f>
        <v>1.4313078505313679</v>
      </c>
      <c r="AB119" s="657"/>
      <c r="AC119" s="657"/>
      <c r="AD119" s="657" t="e">
        <f t="shared" ref="AD119:AF119" si="260">+AD126/AD140</f>
        <v>#DIV/0!</v>
      </c>
      <c r="AE119" s="657" t="e">
        <f t="shared" si="260"/>
        <v>#DIV/0!</v>
      </c>
      <c r="AF119" s="657">
        <f t="shared" si="260"/>
        <v>1.4157889651914377</v>
      </c>
      <c r="AG119" s="657">
        <f>+AG126/AG140</f>
        <v>1.0824097288462255</v>
      </c>
      <c r="AH119" s="657">
        <f t="shared" ref="AH119:AM119" si="261">+AH126/AH140</f>
        <v>0.97098840822631916</v>
      </c>
      <c r="AI119" s="657">
        <f t="shared" si="261"/>
        <v>0.96666666666666667</v>
      </c>
      <c r="AJ119" s="657">
        <f t="shared" si="261"/>
        <v>1.1271040733366517</v>
      </c>
      <c r="AK119" s="657">
        <f t="shared" si="261"/>
        <v>4.9705882352941178</v>
      </c>
      <c r="AL119" s="657">
        <f t="shared" si="261"/>
        <v>0</v>
      </c>
      <c r="AM119" s="657">
        <f t="shared" si="261"/>
        <v>1.090577173831681</v>
      </c>
      <c r="AN119" s="503">
        <f>+AN126/AN140</f>
        <v>0.97101449275362317</v>
      </c>
    </row>
    <row r="120" spans="3:40" ht="21.75" customHeight="1">
      <c r="C120" s="1605"/>
      <c r="D120" s="654" t="s">
        <v>217</v>
      </c>
      <c r="E120" s="657">
        <f t="shared" ref="E120:R120" si="262">+E127/E141</f>
        <v>1.0541276158685324</v>
      </c>
      <c r="F120" s="657">
        <f t="shared" si="262"/>
        <v>1.045791339664303</v>
      </c>
      <c r="G120" s="657">
        <f t="shared" si="262"/>
        <v>1.0389610389610389</v>
      </c>
      <c r="H120" s="657">
        <f t="shared" si="262"/>
        <v>1.0431449634691121</v>
      </c>
      <c r="I120" s="657">
        <f t="shared" si="262"/>
        <v>1.0246305418719213</v>
      </c>
      <c r="J120" s="657">
        <f t="shared" si="262"/>
        <v>1.0421496594553004</v>
      </c>
      <c r="K120" s="657">
        <f t="shared" si="262"/>
        <v>1.045699255416862</v>
      </c>
      <c r="L120" s="657">
        <f t="shared" si="262"/>
        <v>0.92222199999999999</v>
      </c>
      <c r="M120" s="657">
        <f t="shared" si="262"/>
        <v>1.0144927536231885</v>
      </c>
      <c r="N120" s="657">
        <f t="shared" si="262"/>
        <v>1.0533333333333332</v>
      </c>
      <c r="O120" s="657">
        <f t="shared" si="262"/>
        <v>1.0158730158730158</v>
      </c>
      <c r="P120" s="657">
        <f t="shared" si="262"/>
        <v>0.46628307112681966</v>
      </c>
      <c r="Q120" s="657">
        <f t="shared" si="262"/>
        <v>1.0565853658536586</v>
      </c>
      <c r="R120" s="657">
        <f t="shared" si="262"/>
        <v>1.0377723877453817</v>
      </c>
      <c r="S120" s="657"/>
      <c r="T120" s="657"/>
      <c r="U120" s="657">
        <f t="shared" si="257"/>
        <v>1.08</v>
      </c>
      <c r="V120" s="657">
        <f t="shared" si="257"/>
        <v>10.031505426519953</v>
      </c>
      <c r="W120" s="657">
        <f t="shared" si="257"/>
        <v>1.0439226682166423</v>
      </c>
      <c r="X120" s="657"/>
      <c r="Y120" s="657"/>
      <c r="Z120" s="657">
        <f t="shared" ref="Z120:AA120" si="263">+Z127/Z141</f>
        <v>1.045046611634314</v>
      </c>
      <c r="AA120" s="657">
        <f t="shared" si="263"/>
        <v>1.6222056631892698</v>
      </c>
      <c r="AB120" s="657"/>
      <c r="AC120" s="657">
        <f t="shared" ref="AC120:AK120" si="264">+AC127/AC141</f>
        <v>2.375</v>
      </c>
      <c r="AD120" s="657" t="e">
        <f t="shared" si="264"/>
        <v>#DIV/0!</v>
      </c>
      <c r="AE120" s="657" t="e">
        <f t="shared" si="264"/>
        <v>#DIV/0!</v>
      </c>
      <c r="AF120" s="657">
        <f t="shared" si="264"/>
        <v>1.6227043460552086</v>
      </c>
      <c r="AG120" s="657">
        <f t="shared" si="264"/>
        <v>1.1348959344364338</v>
      </c>
      <c r="AH120" s="657">
        <f t="shared" si="264"/>
        <v>1.0223026372873019</v>
      </c>
      <c r="AI120" s="657">
        <f t="shared" si="264"/>
        <v>1.0071942446043165</v>
      </c>
      <c r="AJ120" s="657">
        <f t="shared" si="264"/>
        <v>1.084043968867765</v>
      </c>
      <c r="AK120" s="657">
        <f t="shared" si="264"/>
        <v>1.2967032967032968</v>
      </c>
      <c r="AL120" s="657">
        <f t="shared" ref="AL120:AN120" si="265">+AL127/AL141</f>
        <v>0.56806247146056665</v>
      </c>
      <c r="AM120" s="657">
        <f t="shared" si="265"/>
        <v>1.1442225355867368</v>
      </c>
      <c r="AN120" s="503">
        <f t="shared" si="265"/>
        <v>1.0779220779220779</v>
      </c>
    </row>
    <row r="121" spans="3:40" ht="21.75" customHeight="1">
      <c r="C121" s="1605"/>
      <c r="D121" s="654" t="s">
        <v>218</v>
      </c>
      <c r="E121" s="657">
        <f t="shared" ref="E121:H121" si="266">+E128/E142</f>
        <v>0.98828538601905902</v>
      </c>
      <c r="F121" s="657">
        <f t="shared" si="266"/>
        <v>0.99266114379964676</v>
      </c>
      <c r="G121" s="657">
        <f t="shared" si="266"/>
        <v>0.98809523809523814</v>
      </c>
      <c r="H121" s="657">
        <f t="shared" si="266"/>
        <v>1.0031862421195203</v>
      </c>
      <c r="I121" s="657"/>
      <c r="J121" s="657"/>
      <c r="K121" s="657">
        <f t="shared" ref="K121:L121" si="267">+K128/K142</f>
        <v>0.9928454463880777</v>
      </c>
      <c r="L121" s="657">
        <f t="shared" si="267"/>
        <v>1.0893626520084234</v>
      </c>
      <c r="M121" s="657"/>
      <c r="N121" s="657">
        <f t="shared" ref="N121:R121" si="268">+N128/N142</f>
        <v>0.97660818713450293</v>
      </c>
      <c r="O121" s="657">
        <f t="shared" si="268"/>
        <v>1.0208333333333333</v>
      </c>
      <c r="P121" s="657">
        <f t="shared" si="268"/>
        <v>0.53807846798298598</v>
      </c>
      <c r="Q121" s="657">
        <f t="shared" si="268"/>
        <v>1.0415860735009672</v>
      </c>
      <c r="R121" s="657">
        <f t="shared" si="268"/>
        <v>0.92058965580572905</v>
      </c>
      <c r="S121" s="657"/>
      <c r="T121" s="657"/>
      <c r="U121" s="657">
        <f t="shared" ref="U121:W121" si="269">+U128/U142</f>
        <v>0.94444444444444442</v>
      </c>
      <c r="V121" s="657">
        <f t="shared" si="269"/>
        <v>0</v>
      </c>
      <c r="W121" s="657">
        <f t="shared" si="269"/>
        <v>0.98213196677751791</v>
      </c>
      <c r="X121" s="657"/>
      <c r="Y121" s="657"/>
      <c r="Z121" s="657">
        <f t="shared" ref="Z121:AA121" si="270">+Z128/Z142</f>
        <v>0.99169212168798693</v>
      </c>
      <c r="AA121" s="657">
        <f t="shared" si="270"/>
        <v>0.97336416184971097</v>
      </c>
      <c r="AB121" s="657"/>
      <c r="AC121" s="657"/>
      <c r="AD121" s="657" t="e">
        <f t="shared" ref="AD121:AK121" si="271">+AD128/AD142</f>
        <v>#DIV/0!</v>
      </c>
      <c r="AE121" s="657" t="e">
        <f t="shared" si="271"/>
        <v>#DIV/0!</v>
      </c>
      <c r="AF121" s="657">
        <f t="shared" si="271"/>
        <v>0.97628332096334236</v>
      </c>
      <c r="AG121" s="657">
        <f t="shared" si="271"/>
        <v>0.98753242562359367</v>
      </c>
      <c r="AH121" s="657">
        <f t="shared" si="271"/>
        <v>0.97707732082388921</v>
      </c>
      <c r="AI121" s="657">
        <f t="shared" si="271"/>
        <v>0.97093023255813948</v>
      </c>
      <c r="AJ121" s="657">
        <f t="shared" si="271"/>
        <v>1.0497542579584829</v>
      </c>
      <c r="AK121" s="657">
        <f t="shared" si="271"/>
        <v>1.0687022900763359</v>
      </c>
      <c r="AL121" s="657"/>
      <c r="AM121" s="657">
        <f t="shared" ref="AM121:AN121" si="272">+AM128/AM142</f>
        <v>0.98854540298221849</v>
      </c>
      <c r="AN121" s="503">
        <f t="shared" si="272"/>
        <v>0.98285714285714287</v>
      </c>
    </row>
    <row r="122" spans="3:40" ht="21.75" customHeight="1">
      <c r="C122" s="1605"/>
      <c r="D122" s="654" t="s">
        <v>220</v>
      </c>
      <c r="E122" s="657">
        <f t="shared" ref="E122:H122" si="273">+E129/E143</f>
        <v>1.027724594077132</v>
      </c>
      <c r="F122" s="657">
        <f t="shared" si="273"/>
        <v>1.0277890291172109</v>
      </c>
      <c r="G122" s="657">
        <f t="shared" si="273"/>
        <v>1.2777777777777777</v>
      </c>
      <c r="H122" s="657">
        <f t="shared" si="273"/>
        <v>1.2537850121450316</v>
      </c>
      <c r="I122" s="657"/>
      <c r="J122" s="657"/>
      <c r="K122" s="657">
        <f t="shared" ref="K122:R122" si="274">+K129/K143</f>
        <v>1.029500064467604</v>
      </c>
      <c r="L122" s="657">
        <f t="shared" si="274"/>
        <v>1.0680066540336819</v>
      </c>
      <c r="M122" s="657">
        <f t="shared" si="274"/>
        <v>1.1725352112676057</v>
      </c>
      <c r="N122" s="657">
        <f t="shared" si="274"/>
        <v>1.0434782608695652</v>
      </c>
      <c r="O122" s="657">
        <f t="shared" si="274"/>
        <v>1.0602409638554218</v>
      </c>
      <c r="P122" s="657">
        <f t="shared" si="274"/>
        <v>0.87638585600704999</v>
      </c>
      <c r="Q122" s="657">
        <f t="shared" si="274"/>
        <v>1.0297029702970297</v>
      </c>
      <c r="R122" s="657">
        <f t="shared" si="274"/>
        <v>1.2442583358255801</v>
      </c>
      <c r="S122" s="657"/>
      <c r="T122" s="657"/>
      <c r="U122" s="657">
        <f t="shared" ref="U122:W122" si="275">+U129/U143</f>
        <v>1.0294117647058822</v>
      </c>
      <c r="V122" s="657">
        <f t="shared" si="275"/>
        <v>1.9419420000000001</v>
      </c>
      <c r="W122" s="657">
        <f t="shared" si="275"/>
        <v>1.0171074860550988</v>
      </c>
      <c r="X122" s="657"/>
      <c r="Y122" s="657"/>
      <c r="Z122" s="657">
        <f t="shared" ref="Z122:AB122" si="276">+Z129/Z143</f>
        <v>1.0336224607769313</v>
      </c>
      <c r="AA122" s="657">
        <f t="shared" si="276"/>
        <v>1.1763383297644541</v>
      </c>
      <c r="AB122" s="657">
        <f t="shared" si="276"/>
        <v>1.375</v>
      </c>
      <c r="AC122" s="657"/>
      <c r="AD122" s="657" t="e">
        <f t="shared" ref="AD122:AK122" si="277">+AD129/AD143</f>
        <v>#DIV/0!</v>
      </c>
      <c r="AE122" s="657" t="e">
        <f t="shared" si="277"/>
        <v>#DIV/0!</v>
      </c>
      <c r="AF122" s="657">
        <f t="shared" si="277"/>
        <v>1.169313230688489</v>
      </c>
      <c r="AG122" s="657">
        <f t="shared" si="277"/>
        <v>1.0514788779324615</v>
      </c>
      <c r="AH122" s="657">
        <f t="shared" si="277"/>
        <v>1.0155141457424199</v>
      </c>
      <c r="AI122" s="657">
        <f t="shared" si="277"/>
        <v>1</v>
      </c>
      <c r="AJ122" s="657">
        <f t="shared" si="277"/>
        <v>1.4688175655019342</v>
      </c>
      <c r="AK122" s="657">
        <f t="shared" si="277"/>
        <v>3.85</v>
      </c>
      <c r="AL122" s="657"/>
      <c r="AM122" s="657">
        <f t="shared" ref="AM122:AN122" si="278">+AM129/AM143</f>
        <v>1.0534305624175195</v>
      </c>
      <c r="AN122" s="503">
        <f t="shared" si="278"/>
        <v>1.0126582278481013</v>
      </c>
    </row>
    <row r="123" spans="3:40" s="653" customFormat="1" ht="21.75" customHeight="1">
      <c r="C123" s="1605"/>
      <c r="D123" s="656" t="s">
        <v>221</v>
      </c>
      <c r="E123" s="657">
        <f t="shared" ref="E123:R123" si="279">+E130/E144</f>
        <v>1.0176636140272504</v>
      </c>
      <c r="F123" s="657">
        <f t="shared" si="279"/>
        <v>1.0171242055077807</v>
      </c>
      <c r="G123" s="657">
        <f t="shared" si="279"/>
        <v>0.95111111111111113</v>
      </c>
      <c r="H123" s="657">
        <f t="shared" si="279"/>
        <v>0.91058497192191878</v>
      </c>
      <c r="I123" s="657">
        <f t="shared" si="279"/>
        <v>0.78509301763711037</v>
      </c>
      <c r="J123" s="657">
        <f t="shared" si="279"/>
        <v>0.7947323822202077</v>
      </c>
      <c r="K123" s="657">
        <f t="shared" si="279"/>
        <v>1.0119750321491907</v>
      </c>
      <c r="L123" s="657">
        <f t="shared" si="279"/>
        <v>0.98314855372911836</v>
      </c>
      <c r="M123" s="657">
        <f t="shared" si="279"/>
        <v>0.80155210643015518</v>
      </c>
      <c r="N123" s="657">
        <f t="shared" si="279"/>
        <v>1.0024813895781637</v>
      </c>
      <c r="O123" s="657">
        <f t="shared" si="279"/>
        <v>1.0642201834862386</v>
      </c>
      <c r="P123" s="657">
        <f t="shared" si="279"/>
        <v>1</v>
      </c>
      <c r="Q123" s="657">
        <f t="shared" si="279"/>
        <v>1.0402234636871508</v>
      </c>
      <c r="R123" s="657">
        <f t="shared" si="279"/>
        <v>1.119870210650014</v>
      </c>
      <c r="S123" s="657"/>
      <c r="T123" s="657"/>
      <c r="U123" s="657">
        <f t="shared" ref="U123:W123" si="280">+U130/U144</f>
        <v>1.0101010101010102</v>
      </c>
      <c r="V123" s="657">
        <f t="shared" si="280"/>
        <v>6.5668308498681869</v>
      </c>
      <c r="W123" s="657">
        <f t="shared" si="280"/>
        <v>0.97714108407076028</v>
      </c>
      <c r="X123" s="657"/>
      <c r="Y123" s="657"/>
      <c r="Z123" s="657">
        <f t="shared" ref="Z123:AN123" si="281">+Z130/Z144</f>
        <v>1.0185972666493039</v>
      </c>
      <c r="AA123" s="657">
        <f t="shared" si="281"/>
        <v>1.0419886003799874</v>
      </c>
      <c r="AB123" s="657">
        <f t="shared" si="281"/>
        <v>1.2389349930843707</v>
      </c>
      <c r="AC123" s="657">
        <f t="shared" si="281"/>
        <v>0.49613899613899615</v>
      </c>
      <c r="AD123" s="657" t="e">
        <f t="shared" si="281"/>
        <v>#DIV/0!</v>
      </c>
      <c r="AE123" s="657" t="e">
        <f t="shared" si="281"/>
        <v>#DIV/0!</v>
      </c>
      <c r="AF123" s="657">
        <f t="shared" si="281"/>
        <v>1.0112188128325879</v>
      </c>
      <c r="AG123" s="657">
        <f t="shared" si="281"/>
        <v>1.016681603750093</v>
      </c>
      <c r="AH123" s="657">
        <f t="shared" si="281"/>
        <v>0.99339485373488579</v>
      </c>
      <c r="AI123" s="657">
        <f t="shared" si="281"/>
        <v>0.97080291970802923</v>
      </c>
      <c r="AJ123" s="657">
        <f t="shared" si="281"/>
        <v>0.86530260951241511</v>
      </c>
      <c r="AK123" s="657">
        <f t="shared" si="281"/>
        <v>1.2867965367965368</v>
      </c>
      <c r="AL123" s="657">
        <f t="shared" si="281"/>
        <v>0.91732113319594333</v>
      </c>
      <c r="AM123" s="657">
        <f t="shared" si="281"/>
        <v>1.0187651132458131</v>
      </c>
      <c r="AN123" s="503">
        <f t="shared" si="281"/>
        <v>1.0110864745011086</v>
      </c>
    </row>
    <row r="124" spans="3:40" s="492" customFormat="1" ht="21.75" customHeight="1">
      <c r="D124" s="676" t="s">
        <v>79</v>
      </c>
      <c r="E124" s="677">
        <f>+E131/E145</f>
        <v>1.0114494311330153</v>
      </c>
      <c r="F124" s="677">
        <f t="shared" ref="F124:AN124" si="282">+F131/F145</f>
        <v>1.0121221036731283</v>
      </c>
      <c r="G124" s="677">
        <f t="shared" si="282"/>
        <v>1.1005802707930368</v>
      </c>
      <c r="H124" s="677">
        <f t="shared" si="282"/>
        <v>1.0802115920898447</v>
      </c>
      <c r="I124" s="677">
        <f t="shared" si="282"/>
        <v>0.84299716039204908</v>
      </c>
      <c r="J124" s="677">
        <f t="shared" si="282"/>
        <v>0.84456160354939402</v>
      </c>
      <c r="K124" s="677">
        <f t="shared" si="282"/>
        <v>1.0120170134578208</v>
      </c>
      <c r="L124" s="677">
        <f t="shared" si="282"/>
        <v>1.0297572734189784</v>
      </c>
      <c r="M124" s="677">
        <f t="shared" si="282"/>
        <v>0.85548441567578981</v>
      </c>
      <c r="N124" s="677">
        <f t="shared" si="282"/>
        <v>1.0064874884151993</v>
      </c>
      <c r="O124" s="677">
        <f t="shared" si="282"/>
        <v>1.034896401308615</v>
      </c>
      <c r="P124" s="677">
        <f t="shared" si="282"/>
        <v>0.84396217562295195</v>
      </c>
      <c r="Q124" s="677">
        <f t="shared" si="282"/>
        <v>1.031190411332062</v>
      </c>
      <c r="R124" s="677">
        <f t="shared" si="282"/>
        <v>1.0925724895295652</v>
      </c>
      <c r="S124" s="677" t="e">
        <f t="shared" si="282"/>
        <v>#DIV/0!</v>
      </c>
      <c r="T124" s="677" t="e">
        <f t="shared" si="282"/>
        <v>#DIV/0!</v>
      </c>
      <c r="U124" s="677">
        <f t="shared" si="282"/>
        <v>0.98523985239852396</v>
      </c>
      <c r="V124" s="677">
        <f t="shared" si="282"/>
        <v>2.6531286753829733</v>
      </c>
      <c r="W124" s="677">
        <f t="shared" si="282"/>
        <v>0.98890506957777591</v>
      </c>
      <c r="X124" s="677" t="e">
        <f t="shared" si="282"/>
        <v>#DIV/0!</v>
      </c>
      <c r="Y124" s="677" t="e">
        <f t="shared" si="282"/>
        <v>#DIV/0!</v>
      </c>
      <c r="Z124" s="677">
        <f t="shared" si="282"/>
        <v>1.0167281777778812</v>
      </c>
      <c r="AA124" s="677">
        <f t="shared" si="282"/>
        <v>1.170800882366182</v>
      </c>
      <c r="AB124" s="677">
        <f t="shared" si="282"/>
        <v>1.3029801324503312</v>
      </c>
      <c r="AC124" s="677">
        <f t="shared" si="282"/>
        <v>0.58052434456928836</v>
      </c>
      <c r="AD124" s="677" t="e">
        <f t="shared" si="282"/>
        <v>#DIV/0!</v>
      </c>
      <c r="AE124" s="677" t="e">
        <f t="shared" si="282"/>
        <v>#DIV/0!</v>
      </c>
      <c r="AF124" s="677">
        <f t="shared" si="282"/>
        <v>1.1428084489519099</v>
      </c>
      <c r="AG124" s="677">
        <f t="shared" si="282"/>
        <v>1.0442372267618671</v>
      </c>
      <c r="AH124" s="677">
        <f t="shared" si="282"/>
        <v>0.9943647588955945</v>
      </c>
      <c r="AI124" s="677">
        <f t="shared" si="282"/>
        <v>0.97808939526730942</v>
      </c>
      <c r="AJ124" s="677">
        <f t="shared" si="282"/>
        <v>1.0344753508587752</v>
      </c>
      <c r="AK124" s="677">
        <f t="shared" si="282"/>
        <v>2.0570549242424243</v>
      </c>
      <c r="AL124" s="677">
        <f t="shared" si="282"/>
        <v>0.76038695475192253</v>
      </c>
      <c r="AM124" s="677">
        <f t="shared" si="282"/>
        <v>1.0480374324533965</v>
      </c>
      <c r="AN124" s="677">
        <f t="shared" si="282"/>
        <v>1.0065897858319606</v>
      </c>
    </row>
    <row r="125" spans="3:40" ht="21.75" customHeight="1">
      <c r="J125" s="349"/>
    </row>
    <row r="126" spans="3:40" ht="19.5" customHeight="1">
      <c r="C126" s="1610" t="s">
        <v>70</v>
      </c>
      <c r="D126" s="654" t="s">
        <v>216</v>
      </c>
      <c r="E126" s="655">
        <v>6850.6000000000022</v>
      </c>
      <c r="F126" s="655">
        <v>1736616705</v>
      </c>
      <c r="G126" s="655">
        <v>146</v>
      </c>
      <c r="H126" s="655">
        <v>34815034</v>
      </c>
      <c r="I126" s="655">
        <v>0</v>
      </c>
      <c r="J126" s="655">
        <v>0</v>
      </c>
      <c r="K126" s="655">
        <v>1771431739</v>
      </c>
      <c r="L126" s="655">
        <v>2269814</v>
      </c>
      <c r="M126" s="655">
        <v>0</v>
      </c>
      <c r="N126" s="655">
        <v>52200000</v>
      </c>
      <c r="O126" s="655">
        <v>119000000</v>
      </c>
      <c r="P126" s="655">
        <v>1082000</v>
      </c>
      <c r="Q126" s="655">
        <v>94500000</v>
      </c>
      <c r="R126" s="655">
        <v>132009524</v>
      </c>
      <c r="S126" s="655">
        <v>0</v>
      </c>
      <c r="T126" s="655">
        <v>0</v>
      </c>
      <c r="U126" s="655">
        <v>5400000</v>
      </c>
      <c r="V126" s="655">
        <v>925498</v>
      </c>
      <c r="W126" s="655">
        <v>8767351.809122039</v>
      </c>
      <c r="X126" s="655"/>
      <c r="Y126" s="655">
        <v>0</v>
      </c>
      <c r="Z126" s="655">
        <v>2187585916</v>
      </c>
      <c r="AA126" s="655">
        <v>16700.5</v>
      </c>
      <c r="AB126" s="655">
        <v>0</v>
      </c>
      <c r="AC126" s="655">
        <v>3</v>
      </c>
      <c r="AD126" s="655">
        <v>0</v>
      </c>
      <c r="AE126" s="655">
        <v>0</v>
      </c>
      <c r="AF126" s="655">
        <v>787176078</v>
      </c>
      <c r="AG126" s="655">
        <v>2974761994</v>
      </c>
      <c r="AH126" s="655">
        <v>179190480</v>
      </c>
      <c r="AI126" s="655">
        <v>11510100</v>
      </c>
      <c r="AJ126" s="655">
        <v>1086889</v>
      </c>
      <c r="AK126" s="655">
        <v>1690000</v>
      </c>
      <c r="AL126" s="655">
        <v>0</v>
      </c>
      <c r="AM126" s="655">
        <v>2781284525</v>
      </c>
      <c r="AN126" s="654">
        <v>268</v>
      </c>
    </row>
    <row r="127" spans="3:40" ht="19.5" customHeight="1">
      <c r="C127" s="1610"/>
      <c r="D127" s="654" t="s">
        <v>217</v>
      </c>
      <c r="E127" s="655">
        <v>4105.300000000002</v>
      </c>
      <c r="F127" s="655">
        <v>1056072918</v>
      </c>
      <c r="G127" s="655">
        <v>80</v>
      </c>
      <c r="H127" s="655">
        <v>19925355</v>
      </c>
      <c r="I127" s="655">
        <v>1352</v>
      </c>
      <c r="J127" s="655">
        <v>12976809</v>
      </c>
      <c r="K127" s="655">
        <v>1088975082</v>
      </c>
      <c r="L127" s="655">
        <v>461111</v>
      </c>
      <c r="M127" s="655">
        <v>6300000</v>
      </c>
      <c r="N127" s="655">
        <v>31600000</v>
      </c>
      <c r="O127" s="655">
        <v>64000000</v>
      </c>
      <c r="P127" s="655">
        <v>200000</v>
      </c>
      <c r="Q127" s="655">
        <v>54150000</v>
      </c>
      <c r="R127" s="655">
        <v>65687966</v>
      </c>
      <c r="S127" s="655">
        <v>0</v>
      </c>
      <c r="T127" s="655">
        <v>0</v>
      </c>
      <c r="U127" s="655">
        <v>2700000</v>
      </c>
      <c r="V127" s="655">
        <v>1332846</v>
      </c>
      <c r="W127" s="655">
        <v>2991338.9477353818</v>
      </c>
      <c r="X127" s="655"/>
      <c r="Y127" s="655">
        <v>0</v>
      </c>
      <c r="Z127" s="655">
        <v>1318398344</v>
      </c>
      <c r="AA127" s="655">
        <v>7619.5</v>
      </c>
      <c r="AB127" s="655">
        <v>88</v>
      </c>
      <c r="AC127" s="655">
        <v>76</v>
      </c>
      <c r="AD127" s="655">
        <v>0</v>
      </c>
      <c r="AE127" s="655">
        <v>0</v>
      </c>
      <c r="AF127" s="655">
        <v>377064729</v>
      </c>
      <c r="AG127" s="655">
        <v>1695463073</v>
      </c>
      <c r="AH127" s="655">
        <v>106251530</v>
      </c>
      <c r="AI127" s="655">
        <v>6174000</v>
      </c>
      <c r="AJ127" s="655">
        <v>1211340</v>
      </c>
      <c r="AK127" s="655">
        <v>590000</v>
      </c>
      <c r="AL127" s="655">
        <v>417994</v>
      </c>
      <c r="AM127" s="655">
        <v>1580818209</v>
      </c>
      <c r="AN127" s="654">
        <v>166</v>
      </c>
    </row>
    <row r="128" spans="3:40" ht="19.5" customHeight="1">
      <c r="C128" s="1610"/>
      <c r="D128" s="654" t="s">
        <v>218</v>
      </c>
      <c r="E128" s="655">
        <v>4386.9000000000024</v>
      </c>
      <c r="F128" s="655">
        <v>1073018063</v>
      </c>
      <c r="G128" s="655">
        <v>83</v>
      </c>
      <c r="H128" s="655">
        <v>19327027</v>
      </c>
      <c r="I128" s="655">
        <v>0</v>
      </c>
      <c r="J128" s="655">
        <v>0</v>
      </c>
      <c r="K128" s="655">
        <v>1092345090</v>
      </c>
      <c r="L128" s="655">
        <v>663704</v>
      </c>
      <c r="M128" s="655">
        <v>0</v>
      </c>
      <c r="N128" s="655">
        <v>33400000</v>
      </c>
      <c r="O128" s="655">
        <v>73500000</v>
      </c>
      <c r="P128" s="655">
        <v>200000</v>
      </c>
      <c r="Q128" s="655">
        <v>53850000</v>
      </c>
      <c r="R128" s="655">
        <v>63077898</v>
      </c>
      <c r="S128" s="655">
        <v>0</v>
      </c>
      <c r="T128" s="655">
        <v>0</v>
      </c>
      <c r="U128" s="655">
        <v>5100000</v>
      </c>
      <c r="V128" s="655">
        <v>0</v>
      </c>
      <c r="W128" s="655">
        <v>6069922.5547743728</v>
      </c>
      <c r="X128" s="655"/>
      <c r="Y128" s="655">
        <v>0</v>
      </c>
      <c r="Z128" s="655">
        <v>1328206631</v>
      </c>
      <c r="AA128" s="655">
        <v>10524.5</v>
      </c>
      <c r="AB128" s="655">
        <v>0</v>
      </c>
      <c r="AC128" s="655">
        <v>0</v>
      </c>
      <c r="AD128" s="655">
        <v>0</v>
      </c>
      <c r="AE128" s="655">
        <v>0</v>
      </c>
      <c r="AF128" s="655">
        <v>483513153</v>
      </c>
      <c r="AG128" s="655">
        <v>1811719784</v>
      </c>
      <c r="AH128" s="655">
        <v>111276270</v>
      </c>
      <c r="AI128" s="655">
        <v>7364700</v>
      </c>
      <c r="AJ128" s="655">
        <v>1604478</v>
      </c>
      <c r="AK128" s="655">
        <v>700000</v>
      </c>
      <c r="AL128" s="655">
        <v>0</v>
      </c>
      <c r="AM128" s="655">
        <v>1690774336</v>
      </c>
      <c r="AN128" s="654">
        <v>172</v>
      </c>
    </row>
    <row r="129" spans="3:40" ht="19.5" customHeight="1">
      <c r="C129" s="1610"/>
      <c r="D129" s="654" t="s">
        <v>220</v>
      </c>
      <c r="E129" s="655">
        <v>4133.2000000000035</v>
      </c>
      <c r="F129" s="655">
        <v>1742811032</v>
      </c>
      <c r="G129" s="655">
        <v>46</v>
      </c>
      <c r="H129" s="655">
        <v>16219156</v>
      </c>
      <c r="I129" s="655">
        <v>0</v>
      </c>
      <c r="J129" s="655">
        <v>0</v>
      </c>
      <c r="K129" s="655">
        <v>1759030188</v>
      </c>
      <c r="L129" s="655">
        <v>31277959</v>
      </c>
      <c r="M129" s="655">
        <v>666000</v>
      </c>
      <c r="N129" s="655">
        <v>19200000</v>
      </c>
      <c r="O129" s="655">
        <v>44000000</v>
      </c>
      <c r="P129" s="655">
        <v>3246000</v>
      </c>
      <c r="Q129" s="655">
        <v>36400000</v>
      </c>
      <c r="R129" s="655">
        <v>21867223.100000001</v>
      </c>
      <c r="S129" s="655">
        <v>0</v>
      </c>
      <c r="T129" s="655">
        <v>0</v>
      </c>
      <c r="U129" s="655">
        <v>3500000</v>
      </c>
      <c r="V129" s="655">
        <v>3883884</v>
      </c>
      <c r="W129" s="655">
        <v>6865480.4444938628</v>
      </c>
      <c r="X129" s="655"/>
      <c r="Y129" s="655">
        <v>0</v>
      </c>
      <c r="Z129" s="655">
        <v>1929936735</v>
      </c>
      <c r="AA129" s="655">
        <v>5493.5</v>
      </c>
      <c r="AB129" s="655">
        <v>88</v>
      </c>
      <c r="AC129" s="655">
        <v>27</v>
      </c>
      <c r="AD129" s="655">
        <v>0</v>
      </c>
      <c r="AE129" s="655">
        <v>0</v>
      </c>
      <c r="AF129" s="655">
        <v>330852485</v>
      </c>
      <c r="AG129" s="655">
        <v>2260789220</v>
      </c>
      <c r="AH129" s="655">
        <v>178519740</v>
      </c>
      <c r="AI129" s="655">
        <v>6570900</v>
      </c>
      <c r="AJ129" s="655">
        <v>5981667</v>
      </c>
      <c r="AK129" s="655">
        <v>770000</v>
      </c>
      <c r="AL129" s="655">
        <v>569231</v>
      </c>
      <c r="AM129" s="655">
        <v>2068377682</v>
      </c>
      <c r="AN129" s="654">
        <v>160</v>
      </c>
    </row>
    <row r="130" spans="3:40" ht="19.5" customHeight="1">
      <c r="C130" s="1610"/>
      <c r="D130" s="654" t="s">
        <v>221</v>
      </c>
      <c r="E130" s="655">
        <v>11390.199999999997</v>
      </c>
      <c r="F130" s="655">
        <v>3413720220</v>
      </c>
      <c r="G130" s="655">
        <v>214</v>
      </c>
      <c r="H130" s="655">
        <v>58873763</v>
      </c>
      <c r="I130" s="655">
        <v>3249.5</v>
      </c>
      <c r="J130" s="655">
        <v>39240571</v>
      </c>
      <c r="K130" s="655">
        <v>3511834554</v>
      </c>
      <c r="L130" s="655">
        <v>21759440</v>
      </c>
      <c r="M130" s="655">
        <v>17352000</v>
      </c>
      <c r="N130" s="655">
        <v>80800000</v>
      </c>
      <c r="O130" s="655">
        <v>174000000</v>
      </c>
      <c r="P130" s="655">
        <v>2082000</v>
      </c>
      <c r="Q130" s="655">
        <v>139650000</v>
      </c>
      <c r="R130" s="655">
        <v>185203767</v>
      </c>
      <c r="S130" s="655">
        <v>0</v>
      </c>
      <c r="T130" s="655">
        <v>0</v>
      </c>
      <c r="U130" s="655">
        <v>10000000</v>
      </c>
      <c r="V130" s="655">
        <v>3803712</v>
      </c>
      <c r="W130" s="655">
        <v>10345865.625230063</v>
      </c>
      <c r="X130" s="655"/>
      <c r="Y130" s="655">
        <v>0</v>
      </c>
      <c r="Z130" s="655">
        <v>4156831352</v>
      </c>
      <c r="AA130" s="655">
        <v>24679.5</v>
      </c>
      <c r="AB130" s="655">
        <v>1791.5</v>
      </c>
      <c r="AC130" s="655">
        <v>514</v>
      </c>
      <c r="AD130" s="655">
        <v>0</v>
      </c>
      <c r="AE130" s="655">
        <v>0</v>
      </c>
      <c r="AF130" s="655">
        <v>1447136671</v>
      </c>
      <c r="AG130" s="655">
        <v>5603968023</v>
      </c>
      <c r="AH130" s="655">
        <v>347003863</v>
      </c>
      <c r="AI130" s="655">
        <v>17595900</v>
      </c>
      <c r="AJ130" s="655">
        <v>9907046</v>
      </c>
      <c r="AK130" s="655">
        <v>594500</v>
      </c>
      <c r="AL130" s="655">
        <v>1082527</v>
      </c>
      <c r="AM130" s="655">
        <v>5227784187</v>
      </c>
      <c r="AN130" s="654">
        <v>456</v>
      </c>
    </row>
    <row r="131" spans="3:40" ht="19.5" customHeight="1">
      <c r="D131" s="272"/>
      <c r="E131" s="659">
        <f>SUM(E126:E130)</f>
        <v>30866.200000000008</v>
      </c>
      <c r="F131" s="659">
        <f t="shared" ref="F131:W131" si="283">SUM(F126:F130)</f>
        <v>9022238938</v>
      </c>
      <c r="G131" s="659">
        <f t="shared" si="283"/>
        <v>569</v>
      </c>
      <c r="H131" s="659">
        <f t="shared" si="283"/>
        <v>149160335</v>
      </c>
      <c r="I131" s="659">
        <f t="shared" si="283"/>
        <v>4601.5</v>
      </c>
      <c r="J131" s="659">
        <f t="shared" si="283"/>
        <v>52217380</v>
      </c>
      <c r="K131" s="659">
        <f t="shared" si="283"/>
        <v>9223616653</v>
      </c>
      <c r="L131" s="659">
        <f t="shared" si="283"/>
        <v>56432028</v>
      </c>
      <c r="M131" s="659">
        <f t="shared" si="283"/>
        <v>24318000</v>
      </c>
      <c r="N131" s="659">
        <f t="shared" si="283"/>
        <v>217200000</v>
      </c>
      <c r="O131" s="659">
        <f t="shared" si="283"/>
        <v>474500000</v>
      </c>
      <c r="P131" s="659">
        <f t="shared" si="283"/>
        <v>6810000</v>
      </c>
      <c r="Q131" s="659">
        <f t="shared" si="283"/>
        <v>378550000</v>
      </c>
      <c r="R131" s="659">
        <f t="shared" si="283"/>
        <v>467846378.10000002</v>
      </c>
      <c r="S131" s="659">
        <f t="shared" si="283"/>
        <v>0</v>
      </c>
      <c r="T131" s="659">
        <f t="shared" si="283"/>
        <v>0</v>
      </c>
      <c r="U131" s="659">
        <f t="shared" si="283"/>
        <v>26700000</v>
      </c>
      <c r="V131" s="659">
        <f t="shared" si="283"/>
        <v>9945940</v>
      </c>
      <c r="W131" s="659">
        <f t="shared" si="283"/>
        <v>35039959.381355718</v>
      </c>
      <c r="X131" s="659"/>
      <c r="Y131" s="659">
        <f t="shared" ref="Y131:AN131" si="284">SUM(Y126:Y130)</f>
        <v>0</v>
      </c>
      <c r="Z131" s="659">
        <f t="shared" si="284"/>
        <v>10920958978</v>
      </c>
      <c r="AA131" s="659">
        <f t="shared" si="284"/>
        <v>65017.5</v>
      </c>
      <c r="AB131" s="659">
        <f t="shared" si="284"/>
        <v>1967.5</v>
      </c>
      <c r="AC131" s="659">
        <f t="shared" si="284"/>
        <v>620</v>
      </c>
      <c r="AD131" s="659">
        <f t="shared" si="284"/>
        <v>0</v>
      </c>
      <c r="AE131" s="659">
        <f t="shared" si="284"/>
        <v>0</v>
      </c>
      <c r="AF131" s="659">
        <f t="shared" si="284"/>
        <v>3425743116</v>
      </c>
      <c r="AG131" s="659">
        <f t="shared" si="284"/>
        <v>14346702094</v>
      </c>
      <c r="AH131" s="659">
        <f t="shared" si="284"/>
        <v>922241883</v>
      </c>
      <c r="AI131" s="659">
        <f t="shared" si="284"/>
        <v>49215600</v>
      </c>
      <c r="AJ131" s="659">
        <f t="shared" si="284"/>
        <v>19791420</v>
      </c>
      <c r="AK131" s="659">
        <f t="shared" si="284"/>
        <v>4344500</v>
      </c>
      <c r="AL131" s="659">
        <f t="shared" si="284"/>
        <v>2069752</v>
      </c>
      <c r="AM131" s="659">
        <f t="shared" si="284"/>
        <v>13349038939</v>
      </c>
      <c r="AN131" s="659">
        <f t="shared" si="284"/>
        <v>1222</v>
      </c>
    </row>
    <row r="132" spans="3:40" ht="19.5" customHeight="1">
      <c r="D132" s="665"/>
      <c r="E132" s="665"/>
      <c r="F132" s="666"/>
      <c r="G132" s="667"/>
      <c r="H132" s="666"/>
      <c r="I132" s="667"/>
      <c r="J132" s="666"/>
      <c r="K132" s="666"/>
      <c r="L132" s="666"/>
      <c r="M132" s="666"/>
      <c r="N132" s="666"/>
      <c r="O132" s="666"/>
      <c r="P132" s="666"/>
      <c r="Q132" s="666"/>
      <c r="R132" s="666"/>
      <c r="S132" s="668"/>
      <c r="T132" s="666"/>
      <c r="U132" s="666"/>
      <c r="V132" s="666"/>
      <c r="W132" s="666"/>
      <c r="X132" s="669"/>
      <c r="Y132" s="669"/>
      <c r="Z132" s="669"/>
      <c r="AA132" s="657"/>
      <c r="AB132" s="657"/>
      <c r="AC132" s="657"/>
      <c r="AD132" s="670"/>
      <c r="AE132" s="670"/>
      <c r="AF132" s="671"/>
      <c r="AG132" s="672"/>
      <c r="AH132" s="671"/>
      <c r="AI132" s="673"/>
      <c r="AJ132" s="671"/>
      <c r="AK132" s="657"/>
      <c r="AL132" s="657"/>
      <c r="AM132" s="669"/>
      <c r="AN132" s="675"/>
    </row>
    <row r="133" spans="3:40" ht="21.75" customHeight="1">
      <c r="C133" s="1605" t="str">
        <f>C140&amp;" Vs "&amp;C154</f>
        <v>Jul Vs Jun</v>
      </c>
      <c r="D133" s="654" t="s">
        <v>216</v>
      </c>
      <c r="E133" s="657">
        <f>+E140/E154</f>
        <v>1.0742173651679328</v>
      </c>
      <c r="F133" s="657">
        <f t="shared" ref="F133" si="285">+F140/F154</f>
        <v>1.0855340017902981</v>
      </c>
      <c r="G133" s="657">
        <f>+G140/G154</f>
        <v>0.81896551724137934</v>
      </c>
      <c r="H133" s="657">
        <f t="shared" ref="H133" si="286">+H140/H154</f>
        <v>0.78904482121155062</v>
      </c>
      <c r="I133" s="657"/>
      <c r="J133" s="657"/>
      <c r="K133" s="657">
        <f t="shared" ref="K133:L133" si="287">+K140/K154</f>
        <v>1.0805252287518119</v>
      </c>
      <c r="L133" s="657">
        <f t="shared" si="287"/>
        <v>1.0023514109347442</v>
      </c>
      <c r="M133" s="657"/>
      <c r="N133" s="657">
        <f t="shared" ref="N133:R133" si="288">+N140/N154</f>
        <v>0.98872180451127822</v>
      </c>
      <c r="O133" s="657">
        <f t="shared" si="288"/>
        <v>1.0085106382978724</v>
      </c>
      <c r="P133" s="657">
        <f t="shared" si="288"/>
        <v>1.4366443798449613</v>
      </c>
      <c r="Q133" s="657">
        <f t="shared" si="288"/>
        <v>1.0227149810708491</v>
      </c>
      <c r="R133" s="657">
        <f t="shared" si="288"/>
        <v>1.2832354420641328</v>
      </c>
      <c r="S133" s="657"/>
      <c r="T133" s="657"/>
      <c r="U133" s="657">
        <f t="shared" ref="U133:W133" si="289">+U140/U154</f>
        <v>1.0535714285714286</v>
      </c>
      <c r="V133" s="657"/>
      <c r="W133" s="657">
        <f t="shared" si="289"/>
        <v>1.022746256394198</v>
      </c>
      <c r="X133" s="657"/>
      <c r="Y133" s="657"/>
      <c r="Z133" s="657">
        <f t="shared" ref="Z133" si="290">+Z140/Z154</f>
        <v>1.0803562290289974</v>
      </c>
      <c r="AA133" s="657">
        <f>+AA140/AA154</f>
        <v>5.4574368568755842</v>
      </c>
      <c r="AB133" s="657"/>
      <c r="AC133" s="657"/>
      <c r="AD133" s="657" t="e">
        <f t="shared" ref="AD133:AF133" si="291">+AD140/AD154</f>
        <v>#DIV/0!</v>
      </c>
      <c r="AE133" s="657" t="e">
        <f t="shared" si="291"/>
        <v>#DIV/0!</v>
      </c>
      <c r="AF133" s="657">
        <f t="shared" si="291"/>
        <v>5.6250666764815636</v>
      </c>
      <c r="AG133" s="657">
        <f>+AG140/AG154</f>
        <v>1.2914462522323156</v>
      </c>
      <c r="AH133" s="657">
        <f t="shared" ref="AH133:AM133" si="292">+AH140/AH154</f>
        <v>1.076883069245359</v>
      </c>
      <c r="AI133" s="657">
        <f t="shared" si="292"/>
        <v>1.0600961538461537</v>
      </c>
      <c r="AJ133" s="657">
        <f t="shared" si="292"/>
        <v>0.31773143864809938</v>
      </c>
      <c r="AK133" s="657">
        <f t="shared" si="292"/>
        <v>1.1544991511035654</v>
      </c>
      <c r="AL133" s="657">
        <f t="shared" si="292"/>
        <v>3.7496645367412142</v>
      </c>
      <c r="AM133" s="657">
        <f t="shared" si="292"/>
        <v>1.3131806533277544</v>
      </c>
      <c r="AN133" s="503">
        <f>+AN140/AN154</f>
        <v>0.989247311827957</v>
      </c>
    </row>
    <row r="134" spans="3:40" ht="21.75" customHeight="1">
      <c r="C134" s="1605"/>
      <c r="D134" s="654" t="s">
        <v>217</v>
      </c>
      <c r="E134" s="657">
        <f t="shared" ref="E134:R134" si="293">+E141/E155</f>
        <v>1.0961776626885844</v>
      </c>
      <c r="F134" s="657">
        <f t="shared" si="293"/>
        <v>1.099795612964743</v>
      </c>
      <c r="G134" s="657">
        <f t="shared" si="293"/>
        <v>1.1846153846153846</v>
      </c>
      <c r="H134" s="657">
        <f t="shared" si="293"/>
        <v>1.165934982872239</v>
      </c>
      <c r="I134" s="657">
        <f t="shared" si="293"/>
        <v>1.215568862275449</v>
      </c>
      <c r="J134" s="657">
        <f t="shared" si="293"/>
        <v>1.2397903182961016</v>
      </c>
      <c r="K134" s="657">
        <f t="shared" si="293"/>
        <v>1.102431151382506</v>
      </c>
      <c r="L134" s="657">
        <f t="shared" si="293"/>
        <v>1</v>
      </c>
      <c r="M134" s="657">
        <f t="shared" si="293"/>
        <v>1.2395209580838322</v>
      </c>
      <c r="N134" s="657">
        <f t="shared" si="293"/>
        <v>1.0135135135135136</v>
      </c>
      <c r="O134" s="657">
        <f t="shared" si="293"/>
        <v>1.0413223140495869</v>
      </c>
      <c r="P134" s="657">
        <f t="shared" si="293"/>
        <v>2.1446200000000002</v>
      </c>
      <c r="Q134" s="657">
        <f t="shared" si="293"/>
        <v>0.98747591522157996</v>
      </c>
      <c r="R134" s="657">
        <f t="shared" si="293"/>
        <v>1.162179589952401</v>
      </c>
      <c r="S134" s="657"/>
      <c r="T134" s="657"/>
      <c r="U134" s="657">
        <f t="shared" ref="U134:W134" si="294">+U141/U155</f>
        <v>0.96153846153846156</v>
      </c>
      <c r="V134" s="657">
        <f t="shared" si="294"/>
        <v>0.15768648320191408</v>
      </c>
      <c r="W134" s="657">
        <f t="shared" si="294"/>
        <v>1.0462946989484327</v>
      </c>
      <c r="X134" s="657"/>
      <c r="Y134" s="657"/>
      <c r="Z134" s="657">
        <f t="shared" ref="Z134:AA134" si="295">+Z141/Z155</f>
        <v>1.0941802384726367</v>
      </c>
      <c r="AA134" s="657">
        <f t="shared" si="295"/>
        <v>1.4374904361132363</v>
      </c>
      <c r="AB134" s="657"/>
      <c r="AC134" s="657">
        <f t="shared" ref="AC134:AJ134" si="296">+AC141/AC155</f>
        <v>0.59259259259259256</v>
      </c>
      <c r="AD134" s="657" t="e">
        <f t="shared" si="296"/>
        <v>#DIV/0!</v>
      </c>
      <c r="AE134" s="657" t="e">
        <f t="shared" si="296"/>
        <v>#DIV/0!</v>
      </c>
      <c r="AF134" s="657">
        <f t="shared" si="296"/>
        <v>1.4427931984222195</v>
      </c>
      <c r="AG134" s="657">
        <f t="shared" si="296"/>
        <v>1.1369078813080888</v>
      </c>
      <c r="AH134" s="657">
        <f t="shared" si="296"/>
        <v>1.0966914663362108</v>
      </c>
      <c r="AI134" s="657">
        <f t="shared" si="296"/>
        <v>1.0450593289689034</v>
      </c>
      <c r="AJ134" s="657">
        <f t="shared" si="296"/>
        <v>1.823060984761967</v>
      </c>
      <c r="AK134" s="657"/>
      <c r="AL134" s="657">
        <f t="shared" ref="AL134:AN134" si="297">+AL141/AL155</f>
        <v>0.95254270638615168</v>
      </c>
      <c r="AM134" s="657">
        <f t="shared" si="297"/>
        <v>1.1405856600021251</v>
      </c>
      <c r="AN134" s="503">
        <f t="shared" si="297"/>
        <v>1.0198675496688743</v>
      </c>
    </row>
    <row r="135" spans="3:40" ht="21.75" customHeight="1">
      <c r="C135" s="1605"/>
      <c r="D135" s="654" t="s">
        <v>218</v>
      </c>
      <c r="E135" s="657">
        <f t="shared" ref="E135:H135" si="298">+E142/E156</f>
        <v>1.048418715604998</v>
      </c>
      <c r="F135" s="657">
        <f t="shared" si="298"/>
        <v>1.060385279858953</v>
      </c>
      <c r="G135" s="657">
        <f t="shared" si="298"/>
        <v>1.05</v>
      </c>
      <c r="H135" s="657">
        <f t="shared" si="298"/>
        <v>1.0329992171665718</v>
      </c>
      <c r="I135" s="657"/>
      <c r="J135" s="657"/>
      <c r="K135" s="657">
        <f t="shared" ref="K135:L135" si="299">+K142/K156</f>
        <v>1.0598932437192161</v>
      </c>
      <c r="L135" s="657">
        <f t="shared" si="299"/>
        <v>0.91042887029288699</v>
      </c>
      <c r="M135" s="657"/>
      <c r="N135" s="657">
        <f t="shared" ref="N135:R135" si="300">+N142/N156</f>
        <v>0.98275862068965514</v>
      </c>
      <c r="O135" s="657">
        <f t="shared" si="300"/>
        <v>0.92307692307692313</v>
      </c>
      <c r="P135" s="657">
        <f t="shared" si="300"/>
        <v>1.858465</v>
      </c>
      <c r="Q135" s="657">
        <f t="shared" si="300"/>
        <v>0.82720000000000005</v>
      </c>
      <c r="R135" s="657">
        <f t="shared" si="300"/>
        <v>0.9977721591856199</v>
      </c>
      <c r="S135" s="657"/>
      <c r="T135" s="657"/>
      <c r="U135" s="657">
        <f t="shared" ref="U135:W135" si="301">+U142/U156</f>
        <v>0.98181818181818181</v>
      </c>
      <c r="V135" s="657">
        <f t="shared" si="301"/>
        <v>0.38983911455956183</v>
      </c>
      <c r="W135" s="657">
        <f t="shared" si="301"/>
        <v>1.01236527148422</v>
      </c>
      <c r="X135" s="657"/>
      <c r="Y135" s="657"/>
      <c r="Z135" s="657">
        <f t="shared" ref="Z135:AA135" si="302">+Z142/Z156</f>
        <v>1.0343611396275803</v>
      </c>
      <c r="AA135" s="657">
        <f t="shared" si="302"/>
        <v>2.8699402786994028</v>
      </c>
      <c r="AB135" s="657"/>
      <c r="AC135" s="657"/>
      <c r="AD135" s="657" t="e">
        <f t="shared" ref="AD135:AJ135" si="303">+AD142/AD156</f>
        <v>#DIV/0!</v>
      </c>
      <c r="AE135" s="657" t="e">
        <f t="shared" si="303"/>
        <v>#DIV/0!</v>
      </c>
      <c r="AF135" s="657">
        <f t="shared" si="303"/>
        <v>2.9231831264523831</v>
      </c>
      <c r="AG135" s="657">
        <f t="shared" si="303"/>
        <v>1.2529094491750945</v>
      </c>
      <c r="AH135" s="657">
        <f t="shared" si="303"/>
        <v>1.0616624064762352</v>
      </c>
      <c r="AI135" s="657">
        <f t="shared" si="303"/>
        <v>1.0789144287664998</v>
      </c>
      <c r="AJ135" s="657">
        <f t="shared" si="303"/>
        <v>2.1077924907672236</v>
      </c>
      <c r="AK135" s="657"/>
      <c r="AL135" s="657"/>
      <c r="AM135" s="657">
        <f t="shared" ref="AM135:AN135" si="304">+AM142/AM156</f>
        <v>1.2684614797380032</v>
      </c>
      <c r="AN135" s="503">
        <f t="shared" si="304"/>
        <v>0.97222222222222221</v>
      </c>
    </row>
    <row r="136" spans="3:40" ht="21.75" customHeight="1">
      <c r="C136" s="1605"/>
      <c r="D136" s="654" t="s">
        <v>220</v>
      </c>
      <c r="E136" s="657">
        <f t="shared" ref="E136:H136" si="305">+E143/E157</f>
        <v>1.1022281908624993</v>
      </c>
      <c r="F136" s="657">
        <f t="shared" si="305"/>
        <v>1.0714617742311572</v>
      </c>
      <c r="G136" s="657">
        <f t="shared" si="305"/>
        <v>0.76595744680851063</v>
      </c>
      <c r="H136" s="657">
        <f t="shared" si="305"/>
        <v>0.81810186941893703</v>
      </c>
      <c r="I136" s="657"/>
      <c r="J136" s="657"/>
      <c r="K136" s="657">
        <f t="shared" ref="K136:R136" si="306">+K143/K157</f>
        <v>1.0689553859897722</v>
      </c>
      <c r="L136" s="657">
        <f t="shared" si="306"/>
        <v>1.0194480569208706</v>
      </c>
      <c r="M136" s="657">
        <f t="shared" si="306"/>
        <v>0.73575129533678751</v>
      </c>
      <c r="N136" s="657">
        <f t="shared" si="306"/>
        <v>0.989247311827957</v>
      </c>
      <c r="O136" s="657">
        <f t="shared" si="306"/>
        <v>1.0375000000000001</v>
      </c>
      <c r="P136" s="657">
        <f t="shared" si="306"/>
        <v>1.1963333333333332</v>
      </c>
      <c r="Q136" s="657">
        <f t="shared" si="306"/>
        <v>1.0216763005780347</v>
      </c>
      <c r="R136" s="657">
        <f t="shared" si="306"/>
        <v>1.0206999138290069</v>
      </c>
      <c r="S136" s="657"/>
      <c r="T136" s="657"/>
      <c r="U136" s="657">
        <f t="shared" ref="U136:W136" si="307">+U143/U157</f>
        <v>1.0303030303030303</v>
      </c>
      <c r="V136" s="657">
        <f t="shared" si="307"/>
        <v>0.58823529411764708</v>
      </c>
      <c r="W136" s="657">
        <f t="shared" si="307"/>
        <v>0.98797595062993893</v>
      </c>
      <c r="X136" s="657"/>
      <c r="Y136" s="657"/>
      <c r="Z136" s="657">
        <f t="shared" ref="Z136:AA136" si="308">+Z143/Z157</f>
        <v>1.0639365205823332</v>
      </c>
      <c r="AA136" s="657">
        <f t="shared" si="308"/>
        <v>1.7635951661631419</v>
      </c>
      <c r="AB136" s="657"/>
      <c r="AC136" s="657"/>
      <c r="AD136" s="657" t="e">
        <f t="shared" ref="AD136:AK136" si="309">+AD143/AD157</f>
        <v>#DIV/0!</v>
      </c>
      <c r="AE136" s="657" t="e">
        <f t="shared" si="309"/>
        <v>#DIV/0!</v>
      </c>
      <c r="AF136" s="657">
        <f t="shared" si="309"/>
        <v>1.7215330763094736</v>
      </c>
      <c r="AG136" s="657">
        <f t="shared" si="309"/>
        <v>1.1202487392844898</v>
      </c>
      <c r="AH136" s="657">
        <f t="shared" si="309"/>
        <v>1.0405386295411521</v>
      </c>
      <c r="AI136" s="657">
        <f t="shared" si="309"/>
        <v>1.0530288461538462</v>
      </c>
      <c r="AJ136" s="657">
        <f t="shared" si="309"/>
        <v>1.2255844601010035</v>
      </c>
      <c r="AK136" s="657">
        <f t="shared" si="309"/>
        <v>0.24539877300613497</v>
      </c>
      <c r="AL136" s="657"/>
      <c r="AM136" s="657">
        <f t="shared" ref="AM136:AN136" si="310">+AM143/AM157</f>
        <v>1.1285149957406739</v>
      </c>
      <c r="AN136" s="503">
        <f t="shared" si="310"/>
        <v>1.025974025974026</v>
      </c>
    </row>
    <row r="137" spans="3:40" s="653" customFormat="1" ht="21.75" customHeight="1">
      <c r="C137" s="1605"/>
      <c r="D137" s="656" t="s">
        <v>221</v>
      </c>
      <c r="E137" s="657">
        <f t="shared" ref="E137:R137" si="311">+E144/E158</f>
        <v>1.082855235533712</v>
      </c>
      <c r="F137" s="657">
        <f t="shared" si="311"/>
        <v>1.0688979892869861</v>
      </c>
      <c r="G137" s="657">
        <f t="shared" si="311"/>
        <v>0.99557522123893805</v>
      </c>
      <c r="H137" s="657">
        <f t="shared" si="311"/>
        <v>1.045726431445313</v>
      </c>
      <c r="I137" s="657">
        <f t="shared" si="311"/>
        <v>1.3494392279603549</v>
      </c>
      <c r="J137" s="657">
        <f t="shared" si="311"/>
        <v>1.3878191188987825</v>
      </c>
      <c r="K137" s="657">
        <f t="shared" si="311"/>
        <v>1.071960378631226</v>
      </c>
      <c r="L137" s="657">
        <f t="shared" si="311"/>
        <v>0.99327727962229939</v>
      </c>
      <c r="M137" s="657">
        <f t="shared" si="311"/>
        <v>1.2758132956152759</v>
      </c>
      <c r="N137" s="657">
        <f t="shared" si="311"/>
        <v>0.99752475247524752</v>
      </c>
      <c r="O137" s="657">
        <f t="shared" si="311"/>
        <v>1.015527950310559</v>
      </c>
      <c r="P137" s="657">
        <f t="shared" si="311"/>
        <v>1.0246062992125984</v>
      </c>
      <c r="Q137" s="657">
        <f t="shared" si="311"/>
        <v>1.104029605263158</v>
      </c>
      <c r="R137" s="657">
        <f t="shared" si="311"/>
        <v>1.5503659815015978</v>
      </c>
      <c r="S137" s="657"/>
      <c r="T137" s="657"/>
      <c r="U137" s="657">
        <f t="shared" ref="U137:W137" si="312">+U144/U158</f>
        <v>1.010204081632653</v>
      </c>
      <c r="V137" s="657">
        <f t="shared" si="312"/>
        <v>1.4837771789249339</v>
      </c>
      <c r="W137" s="657">
        <f t="shared" si="312"/>
        <v>1.0136642988350508</v>
      </c>
      <c r="X137" s="657"/>
      <c r="Y137" s="657"/>
      <c r="Z137" s="657">
        <f t="shared" ref="Z137:AN137" si="313">+Z144/Z158</f>
        <v>1.0826753224631029</v>
      </c>
      <c r="AA137" s="657">
        <f t="shared" si="313"/>
        <v>1.9200680961452719</v>
      </c>
      <c r="AB137" s="657">
        <f t="shared" si="313"/>
        <v>3.5441176470588234</v>
      </c>
      <c r="AC137" s="657">
        <f t="shared" si="313"/>
        <v>6.166666666666667</v>
      </c>
      <c r="AD137" s="657" t="e">
        <f t="shared" si="313"/>
        <v>#DIV/0!</v>
      </c>
      <c r="AE137" s="657" t="e">
        <f t="shared" si="313"/>
        <v>#DIV/0!</v>
      </c>
      <c r="AF137" s="657">
        <f t="shared" si="313"/>
        <v>1.9710375352451954</v>
      </c>
      <c r="AG137" s="657">
        <f t="shared" si="313"/>
        <v>1.2261564550669777</v>
      </c>
      <c r="AH137" s="657">
        <f t="shared" si="313"/>
        <v>1.0259147844375058</v>
      </c>
      <c r="AI137" s="657">
        <f t="shared" si="313"/>
        <v>1.054962516297262</v>
      </c>
      <c r="AJ137" s="657">
        <f t="shared" si="313"/>
        <v>1.9313419768830591</v>
      </c>
      <c r="AK137" s="657">
        <f t="shared" si="313"/>
        <v>3.0295081967213116</v>
      </c>
      <c r="AL137" s="657">
        <f t="shared" si="313"/>
        <v>0.35308334871714009</v>
      </c>
      <c r="AM137" s="657">
        <f t="shared" si="313"/>
        <v>1.2430118425002519</v>
      </c>
      <c r="AN137" s="503">
        <f t="shared" si="313"/>
        <v>1.0157657657657657</v>
      </c>
    </row>
    <row r="138" spans="3:40" s="492" customFormat="1" ht="21.75" customHeight="1">
      <c r="D138" s="676" t="s">
        <v>79</v>
      </c>
      <c r="E138" s="677">
        <f>+E145/E159</f>
        <v>1.0798890272902275</v>
      </c>
      <c r="F138" s="677">
        <f t="shared" ref="F138:AN138" si="314">+F145/F159</f>
        <v>1.0750361806997932</v>
      </c>
      <c r="G138" s="677">
        <f t="shared" si="314"/>
        <v>0.96816479400749067</v>
      </c>
      <c r="H138" s="677">
        <f t="shared" si="314"/>
        <v>0.98130413240478143</v>
      </c>
      <c r="I138" s="677">
        <f t="shared" si="314"/>
        <v>1.3144460230693285</v>
      </c>
      <c r="J138" s="677">
        <f t="shared" si="314"/>
        <v>1.3552305535940701</v>
      </c>
      <c r="K138" s="677">
        <f t="shared" si="314"/>
        <v>1.0749882227029333</v>
      </c>
      <c r="L138" s="677">
        <f t="shared" si="314"/>
        <v>1.0065070802799052</v>
      </c>
      <c r="M138" s="677">
        <f t="shared" si="314"/>
        <v>1.2494945054945055</v>
      </c>
      <c r="N138" s="677">
        <f t="shared" si="314"/>
        <v>0.99447004608294931</v>
      </c>
      <c r="O138" s="677">
        <f t="shared" si="314"/>
        <v>1.0032822757111597</v>
      </c>
      <c r="P138" s="677">
        <f t="shared" si="314"/>
        <v>1.230042987804878</v>
      </c>
      <c r="Q138" s="677">
        <f t="shared" si="314"/>
        <v>1.0111554882247624</v>
      </c>
      <c r="R138" s="677">
        <f t="shared" si="314"/>
        <v>1.2766118398317268</v>
      </c>
      <c r="S138" s="677" t="e">
        <f t="shared" si="314"/>
        <v>#DIV/0!</v>
      </c>
      <c r="T138" s="677" t="e">
        <f t="shared" si="314"/>
        <v>#DIV/0!</v>
      </c>
      <c r="U138" s="677">
        <f t="shared" si="314"/>
        <v>1.0111940298507462</v>
      </c>
      <c r="V138" s="677">
        <f t="shared" si="314"/>
        <v>0.75222934256266438</v>
      </c>
      <c r="W138" s="677">
        <f t="shared" si="314"/>
        <v>1.0132721081029061</v>
      </c>
      <c r="X138" s="677" t="e">
        <f t="shared" si="314"/>
        <v>#DIV/0!</v>
      </c>
      <c r="Y138" s="677" t="e">
        <f t="shared" si="314"/>
        <v>#DIV/0!</v>
      </c>
      <c r="Z138" s="677">
        <f t="shared" si="314"/>
        <v>1.0739878620436007</v>
      </c>
      <c r="AA138" s="677">
        <f t="shared" si="314"/>
        <v>2.2988636598845029</v>
      </c>
      <c r="AB138" s="677">
        <f t="shared" si="314"/>
        <v>3.0109670987038881</v>
      </c>
      <c r="AC138" s="677">
        <f t="shared" si="314"/>
        <v>4.7892376681614346</v>
      </c>
      <c r="AD138" s="677" t="e">
        <f t="shared" si="314"/>
        <v>#DIV/0!</v>
      </c>
      <c r="AE138" s="677" t="e">
        <f t="shared" si="314"/>
        <v>#DIV/0!</v>
      </c>
      <c r="AF138" s="677">
        <f t="shared" si="314"/>
        <v>2.2714072168087052</v>
      </c>
      <c r="AG138" s="677">
        <f t="shared" si="314"/>
        <v>1.2135753389760284</v>
      </c>
      <c r="AH138" s="677">
        <f t="shared" si="314"/>
        <v>1.0505479783841123</v>
      </c>
      <c r="AI138" s="677">
        <f t="shared" si="314"/>
        <v>1.0582412174439733</v>
      </c>
      <c r="AJ138" s="677">
        <f t="shared" si="314"/>
        <v>1.4042685357517797</v>
      </c>
      <c r="AK138" s="677">
        <f t="shared" si="314"/>
        <v>0.73871983210912906</v>
      </c>
      <c r="AL138" s="677">
        <f t="shared" si="314"/>
        <v>0.63356440904847278</v>
      </c>
      <c r="AM138" s="677">
        <f t="shared" si="314"/>
        <v>1.2282876727635434</v>
      </c>
      <c r="AN138" s="677">
        <f t="shared" si="314"/>
        <v>1.0049668874172186</v>
      </c>
    </row>
    <row r="139" spans="3:40" ht="21.75" customHeight="1">
      <c r="J139" s="349"/>
    </row>
    <row r="140" spans="3:40" ht="19.5" customHeight="1">
      <c r="C140" s="1610" t="s">
        <v>69</v>
      </c>
      <c r="D140" s="654" t="s">
        <v>216</v>
      </c>
      <c r="E140" s="655">
        <v>6969.2000000000016</v>
      </c>
      <c r="F140" s="655">
        <v>1771461305</v>
      </c>
      <c r="G140" s="655">
        <v>95</v>
      </c>
      <c r="H140" s="655">
        <v>22126458</v>
      </c>
      <c r="I140" s="655">
        <v>0</v>
      </c>
      <c r="J140" s="655">
        <v>0</v>
      </c>
      <c r="K140" s="655">
        <v>1793587763</v>
      </c>
      <c r="L140" s="655">
        <v>2273333</v>
      </c>
      <c r="M140" s="655">
        <v>0</v>
      </c>
      <c r="N140" s="655">
        <v>52600000</v>
      </c>
      <c r="O140" s="655">
        <v>118500000</v>
      </c>
      <c r="P140" s="655">
        <v>1482617</v>
      </c>
      <c r="Q140" s="655">
        <v>94550000</v>
      </c>
      <c r="R140" s="655">
        <v>113435983</v>
      </c>
      <c r="S140" s="655">
        <v>0</v>
      </c>
      <c r="T140" s="655">
        <v>0</v>
      </c>
      <c r="U140" s="655">
        <v>5900000</v>
      </c>
      <c r="V140" s="655">
        <v>900000</v>
      </c>
      <c r="W140" s="655">
        <v>9049356.0374702215</v>
      </c>
      <c r="X140" s="655"/>
      <c r="Y140" s="655">
        <v>0</v>
      </c>
      <c r="Z140" s="655">
        <v>2192279041</v>
      </c>
      <c r="AA140" s="655">
        <v>11668</v>
      </c>
      <c r="AB140" s="655">
        <v>0</v>
      </c>
      <c r="AC140" s="655">
        <v>0</v>
      </c>
      <c r="AD140" s="655">
        <v>0</v>
      </c>
      <c r="AE140" s="655">
        <v>0</v>
      </c>
      <c r="AF140" s="655">
        <v>555998173</v>
      </c>
      <c r="AG140" s="655">
        <v>2748277214</v>
      </c>
      <c r="AH140" s="655">
        <v>184544407</v>
      </c>
      <c r="AI140" s="655">
        <v>11907000</v>
      </c>
      <c r="AJ140" s="655">
        <v>964320</v>
      </c>
      <c r="AK140" s="655">
        <v>340000</v>
      </c>
      <c r="AL140" s="655">
        <v>234729</v>
      </c>
      <c r="AM140" s="655">
        <v>2550286758</v>
      </c>
      <c r="AN140" s="654">
        <v>276</v>
      </c>
    </row>
    <row r="141" spans="3:40" ht="19.5" customHeight="1">
      <c r="C141" s="1610"/>
      <c r="D141" s="654" t="s">
        <v>217</v>
      </c>
      <c r="E141" s="655">
        <v>3894.5000000000023</v>
      </c>
      <c r="F141" s="655">
        <v>1009831386</v>
      </c>
      <c r="G141" s="655">
        <v>77</v>
      </c>
      <c r="H141" s="655">
        <v>19101233</v>
      </c>
      <c r="I141" s="655">
        <v>1319.5</v>
      </c>
      <c r="J141" s="655">
        <v>12451963</v>
      </c>
      <c r="K141" s="655">
        <v>1041384582</v>
      </c>
      <c r="L141" s="655">
        <v>500000</v>
      </c>
      <c r="M141" s="655">
        <v>6210000</v>
      </c>
      <c r="N141" s="655">
        <v>30000000</v>
      </c>
      <c r="O141" s="655">
        <v>63000000</v>
      </c>
      <c r="P141" s="655">
        <v>428924</v>
      </c>
      <c r="Q141" s="655">
        <v>51250000</v>
      </c>
      <c r="R141" s="655">
        <v>63297084</v>
      </c>
      <c r="S141" s="655">
        <v>0</v>
      </c>
      <c r="T141" s="655">
        <v>0</v>
      </c>
      <c r="U141" s="655">
        <v>2500000</v>
      </c>
      <c r="V141" s="655">
        <v>132866</v>
      </c>
      <c r="W141" s="655">
        <v>2865479.4447998307</v>
      </c>
      <c r="X141" s="655"/>
      <c r="Y141" s="655">
        <v>0</v>
      </c>
      <c r="Z141" s="655">
        <v>1261568938</v>
      </c>
      <c r="AA141" s="655">
        <v>4697</v>
      </c>
      <c r="AB141" s="655">
        <v>0</v>
      </c>
      <c r="AC141" s="655">
        <v>32</v>
      </c>
      <c r="AD141" s="655">
        <v>0</v>
      </c>
      <c r="AE141" s="655">
        <v>0</v>
      </c>
      <c r="AF141" s="655">
        <v>232368102</v>
      </c>
      <c r="AG141" s="655">
        <v>1493937040</v>
      </c>
      <c r="AH141" s="655">
        <v>103933538</v>
      </c>
      <c r="AI141" s="655">
        <v>6129900</v>
      </c>
      <c r="AJ141" s="655">
        <v>1117427</v>
      </c>
      <c r="AK141" s="655">
        <v>455000</v>
      </c>
      <c r="AL141" s="655">
        <v>735824</v>
      </c>
      <c r="AM141" s="655">
        <v>1381565351</v>
      </c>
      <c r="AN141" s="654">
        <v>154</v>
      </c>
    </row>
    <row r="142" spans="3:40" ht="19.5" customHeight="1">
      <c r="C142" s="1610"/>
      <c r="D142" s="654" t="s">
        <v>218</v>
      </c>
      <c r="E142" s="655">
        <v>4438.9000000000015</v>
      </c>
      <c r="F142" s="655">
        <v>1080951007</v>
      </c>
      <c r="G142" s="655">
        <v>84</v>
      </c>
      <c r="H142" s="655">
        <v>19265642</v>
      </c>
      <c r="I142" s="655">
        <v>0</v>
      </c>
      <c r="J142" s="655">
        <v>0</v>
      </c>
      <c r="K142" s="655">
        <v>1100216649</v>
      </c>
      <c r="L142" s="655">
        <v>609259</v>
      </c>
      <c r="M142" s="655">
        <v>0</v>
      </c>
      <c r="N142" s="655">
        <v>34200000</v>
      </c>
      <c r="O142" s="655">
        <v>72000000</v>
      </c>
      <c r="P142" s="655">
        <v>371693</v>
      </c>
      <c r="Q142" s="655">
        <v>51700000</v>
      </c>
      <c r="R142" s="655">
        <v>68519016.700000003</v>
      </c>
      <c r="S142" s="655">
        <v>0</v>
      </c>
      <c r="T142" s="655">
        <v>0</v>
      </c>
      <c r="U142" s="655">
        <v>5400000</v>
      </c>
      <c r="V142" s="655">
        <v>136662</v>
      </c>
      <c r="W142" s="655">
        <v>6180353.3130995119</v>
      </c>
      <c r="X142" s="655"/>
      <c r="Y142" s="655">
        <v>0</v>
      </c>
      <c r="Z142" s="655">
        <v>1339333652</v>
      </c>
      <c r="AA142" s="655">
        <v>10812.5</v>
      </c>
      <c r="AB142" s="655">
        <v>0</v>
      </c>
      <c r="AC142" s="655">
        <v>0</v>
      </c>
      <c r="AD142" s="655">
        <v>0</v>
      </c>
      <c r="AE142" s="655">
        <v>0</v>
      </c>
      <c r="AF142" s="655">
        <v>495259053</v>
      </c>
      <c r="AG142" s="655">
        <v>1834592705</v>
      </c>
      <c r="AH142" s="655">
        <v>113886862</v>
      </c>
      <c r="AI142" s="655">
        <v>7585200</v>
      </c>
      <c r="AJ142" s="655">
        <v>1528432</v>
      </c>
      <c r="AK142" s="655">
        <v>655000</v>
      </c>
      <c r="AL142" s="655">
        <v>571323</v>
      </c>
      <c r="AM142" s="655">
        <v>1710365888</v>
      </c>
      <c r="AN142" s="654">
        <v>175</v>
      </c>
    </row>
    <row r="143" spans="3:40" ht="19.5" customHeight="1">
      <c r="C143" s="1610"/>
      <c r="D143" s="654" t="s">
        <v>220</v>
      </c>
      <c r="E143" s="655">
        <v>4021.7000000000012</v>
      </c>
      <c r="F143" s="655">
        <v>1695689468</v>
      </c>
      <c r="G143" s="655">
        <v>36</v>
      </c>
      <c r="H143" s="655">
        <v>12936154</v>
      </c>
      <c r="I143" s="655">
        <v>0</v>
      </c>
      <c r="J143" s="655">
        <v>0</v>
      </c>
      <c r="K143" s="655">
        <v>1708625622</v>
      </c>
      <c r="L143" s="655">
        <v>29286296</v>
      </c>
      <c r="M143" s="655">
        <v>568000</v>
      </c>
      <c r="N143" s="655">
        <v>18400000</v>
      </c>
      <c r="O143" s="655">
        <v>41500000</v>
      </c>
      <c r="P143" s="655">
        <v>3703848</v>
      </c>
      <c r="Q143" s="655">
        <v>35350000</v>
      </c>
      <c r="R143" s="655">
        <v>17574504</v>
      </c>
      <c r="S143" s="655">
        <v>0</v>
      </c>
      <c r="T143" s="655">
        <v>0</v>
      </c>
      <c r="U143" s="655">
        <v>3400000</v>
      </c>
      <c r="V143" s="655">
        <v>2000000</v>
      </c>
      <c r="W143" s="655">
        <v>6750004.8309760904</v>
      </c>
      <c r="X143" s="655"/>
      <c r="Y143" s="655">
        <v>0</v>
      </c>
      <c r="Z143" s="655">
        <v>1867158279</v>
      </c>
      <c r="AA143" s="655">
        <v>4670</v>
      </c>
      <c r="AB143" s="655">
        <v>64</v>
      </c>
      <c r="AC143" s="655">
        <v>0</v>
      </c>
      <c r="AD143" s="655">
        <v>0</v>
      </c>
      <c r="AE143" s="655">
        <v>0</v>
      </c>
      <c r="AF143" s="655">
        <v>282945986</v>
      </c>
      <c r="AG143" s="655">
        <v>2150104265</v>
      </c>
      <c r="AH143" s="655">
        <v>175792470</v>
      </c>
      <c r="AI143" s="655">
        <v>6570900</v>
      </c>
      <c r="AJ143" s="655">
        <v>4072437</v>
      </c>
      <c r="AK143" s="655">
        <v>200000</v>
      </c>
      <c r="AL143" s="655">
        <v>0</v>
      </c>
      <c r="AM143" s="655">
        <v>1963468458</v>
      </c>
      <c r="AN143" s="654">
        <v>158</v>
      </c>
    </row>
    <row r="144" spans="3:40" ht="19.5" customHeight="1">
      <c r="C144" s="1610"/>
      <c r="D144" s="654" t="s">
        <v>221</v>
      </c>
      <c r="E144" s="655">
        <v>11192.499999999998</v>
      </c>
      <c r="F144" s="655">
        <v>3356247154</v>
      </c>
      <c r="G144" s="655">
        <v>225</v>
      </c>
      <c r="H144" s="655">
        <v>64654881</v>
      </c>
      <c r="I144" s="655">
        <v>4139</v>
      </c>
      <c r="J144" s="655">
        <v>49375830</v>
      </c>
      <c r="K144" s="655">
        <v>3470277865</v>
      </c>
      <c r="L144" s="655">
        <v>22132403</v>
      </c>
      <c r="M144" s="655">
        <v>21648000</v>
      </c>
      <c r="N144" s="655">
        <v>80600000</v>
      </c>
      <c r="O144" s="655">
        <v>163500000</v>
      </c>
      <c r="P144" s="655">
        <v>2082000</v>
      </c>
      <c r="Q144" s="655">
        <v>134250000</v>
      </c>
      <c r="R144" s="655">
        <v>165379671</v>
      </c>
      <c r="S144" s="655">
        <v>0</v>
      </c>
      <c r="T144" s="655">
        <v>0</v>
      </c>
      <c r="U144" s="655">
        <v>9900000</v>
      </c>
      <c r="V144" s="655">
        <v>579231</v>
      </c>
      <c r="W144" s="655">
        <v>10587893.390102161</v>
      </c>
      <c r="X144" s="655"/>
      <c r="Y144" s="655">
        <v>0</v>
      </c>
      <c r="Z144" s="655">
        <v>4080937077</v>
      </c>
      <c r="AA144" s="655">
        <v>23685</v>
      </c>
      <c r="AB144" s="655">
        <v>1446</v>
      </c>
      <c r="AC144" s="655">
        <v>1036</v>
      </c>
      <c r="AD144" s="655">
        <v>0</v>
      </c>
      <c r="AE144" s="655">
        <v>0</v>
      </c>
      <c r="AF144" s="655">
        <v>1431081634</v>
      </c>
      <c r="AG144" s="655">
        <v>5512018711</v>
      </c>
      <c r="AH144" s="655">
        <v>349311114</v>
      </c>
      <c r="AI144" s="655">
        <v>18125100</v>
      </c>
      <c r="AJ144" s="655">
        <v>11449227</v>
      </c>
      <c r="AK144" s="655">
        <v>462000</v>
      </c>
      <c r="AL144" s="655">
        <v>1180096</v>
      </c>
      <c r="AM144" s="655">
        <v>5131491174</v>
      </c>
      <c r="AN144" s="654">
        <v>451</v>
      </c>
    </row>
    <row r="145" spans="3:40" ht="19.5" customHeight="1">
      <c r="D145" s="272"/>
      <c r="E145" s="659">
        <f>SUM(E140:E144)</f>
        <v>30516.800000000003</v>
      </c>
      <c r="F145" s="659">
        <f t="shared" ref="F145:W145" si="315">SUM(F140:F144)</f>
        <v>8914180320</v>
      </c>
      <c r="G145" s="659">
        <f t="shared" si="315"/>
        <v>517</v>
      </c>
      <c r="H145" s="659">
        <f t="shared" si="315"/>
        <v>138084368</v>
      </c>
      <c r="I145" s="659">
        <f t="shared" si="315"/>
        <v>5458.5</v>
      </c>
      <c r="J145" s="659">
        <f t="shared" si="315"/>
        <v>61827793</v>
      </c>
      <c r="K145" s="659">
        <f t="shared" si="315"/>
        <v>9114092481</v>
      </c>
      <c r="L145" s="659">
        <f t="shared" si="315"/>
        <v>54801291</v>
      </c>
      <c r="M145" s="659">
        <f t="shared" si="315"/>
        <v>28426000</v>
      </c>
      <c r="N145" s="659">
        <f t="shared" si="315"/>
        <v>215800000</v>
      </c>
      <c r="O145" s="659">
        <f t="shared" si="315"/>
        <v>458500000</v>
      </c>
      <c r="P145" s="659">
        <f t="shared" si="315"/>
        <v>8069082</v>
      </c>
      <c r="Q145" s="659">
        <f t="shared" si="315"/>
        <v>367100000</v>
      </c>
      <c r="R145" s="659">
        <f t="shared" si="315"/>
        <v>428206258.69999999</v>
      </c>
      <c r="S145" s="659">
        <f t="shared" si="315"/>
        <v>0</v>
      </c>
      <c r="T145" s="659">
        <f t="shared" si="315"/>
        <v>0</v>
      </c>
      <c r="U145" s="659">
        <f t="shared" si="315"/>
        <v>27100000</v>
      </c>
      <c r="V145" s="659">
        <f t="shared" si="315"/>
        <v>3748759</v>
      </c>
      <c r="W145" s="659">
        <f t="shared" si="315"/>
        <v>35433087.01644782</v>
      </c>
      <c r="X145" s="659"/>
      <c r="Y145" s="659">
        <f t="shared" ref="Y145:AN145" si="316">SUM(Y140:Y144)</f>
        <v>0</v>
      </c>
      <c r="Z145" s="659">
        <f t="shared" si="316"/>
        <v>10741276987</v>
      </c>
      <c r="AA145" s="659">
        <f t="shared" si="316"/>
        <v>55532.5</v>
      </c>
      <c r="AB145" s="659">
        <f t="shared" si="316"/>
        <v>1510</v>
      </c>
      <c r="AC145" s="659">
        <f t="shared" si="316"/>
        <v>1068</v>
      </c>
      <c r="AD145" s="659">
        <f t="shared" si="316"/>
        <v>0</v>
      </c>
      <c r="AE145" s="659">
        <f t="shared" si="316"/>
        <v>0</v>
      </c>
      <c r="AF145" s="659">
        <f t="shared" si="316"/>
        <v>2997652948</v>
      </c>
      <c r="AG145" s="659">
        <f t="shared" si="316"/>
        <v>13738929935</v>
      </c>
      <c r="AH145" s="659">
        <f t="shared" si="316"/>
        <v>927468391</v>
      </c>
      <c r="AI145" s="659">
        <f t="shared" si="316"/>
        <v>50318100</v>
      </c>
      <c r="AJ145" s="659">
        <f t="shared" si="316"/>
        <v>19131843</v>
      </c>
      <c r="AK145" s="659">
        <f t="shared" si="316"/>
        <v>2112000</v>
      </c>
      <c r="AL145" s="659">
        <f t="shared" si="316"/>
        <v>2721972</v>
      </c>
      <c r="AM145" s="659">
        <f t="shared" si="316"/>
        <v>12737177629</v>
      </c>
      <c r="AN145" s="659">
        <f t="shared" si="316"/>
        <v>1214</v>
      </c>
    </row>
    <row r="146" spans="3:40" ht="19.5" customHeight="1">
      <c r="D146" s="665"/>
      <c r="E146" s="665"/>
      <c r="F146" s="666"/>
      <c r="G146" s="667"/>
      <c r="H146" s="666"/>
      <c r="I146" s="667"/>
      <c r="J146" s="666"/>
      <c r="K146" s="666"/>
      <c r="L146" s="666"/>
      <c r="M146" s="666"/>
      <c r="N146" s="666"/>
      <c r="O146" s="666"/>
      <c r="P146" s="666"/>
      <c r="Q146" s="666"/>
      <c r="R146" s="666"/>
      <c r="S146" s="668"/>
      <c r="T146" s="666"/>
      <c r="U146" s="666"/>
      <c r="V146" s="666"/>
      <c r="W146" s="666"/>
      <c r="X146" s="669"/>
      <c r="Y146" s="669"/>
      <c r="Z146" s="669"/>
      <c r="AA146" s="657"/>
      <c r="AB146" s="657"/>
      <c r="AC146" s="657"/>
      <c r="AD146" s="670"/>
      <c r="AE146" s="670"/>
      <c r="AF146" s="671"/>
      <c r="AG146" s="672"/>
      <c r="AH146" s="671"/>
      <c r="AI146" s="673"/>
      <c r="AJ146" s="671"/>
      <c r="AK146" s="657"/>
      <c r="AL146" s="657"/>
      <c r="AM146" s="669"/>
      <c r="AN146" s="675"/>
    </row>
    <row r="147" spans="3:40" ht="21.75" customHeight="1">
      <c r="C147" s="1605" t="str">
        <f>C154&amp;" Vs "&amp;C168</f>
        <v>Jun Vs May</v>
      </c>
      <c r="D147" s="654" t="s">
        <v>216</v>
      </c>
      <c r="E147" s="657">
        <f>+E154/E168</f>
        <v>0.96313836104513073</v>
      </c>
      <c r="F147" s="657">
        <f t="shared" ref="F147" si="317">+F154/F168</f>
        <v>1.0161500108741646</v>
      </c>
      <c r="G147" s="657">
        <f>+G154/G168</f>
        <v>0.39590443686006827</v>
      </c>
      <c r="H147" s="657">
        <f t="shared" ref="H147" si="318">+H154/H168</f>
        <v>0.40844496072744885</v>
      </c>
      <c r="I147" s="657"/>
      <c r="J147" s="657"/>
      <c r="K147" s="657">
        <f t="shared" ref="K147:L147" si="319">+K154/K168</f>
        <v>0.99123514809079716</v>
      </c>
      <c r="L147" s="657">
        <f t="shared" si="319"/>
        <v>1.8461252939514976</v>
      </c>
      <c r="M147" s="657"/>
      <c r="N147" s="657">
        <f t="shared" ref="N147:R147" si="320">+N154/N168</f>
        <v>1.0075757575757576</v>
      </c>
      <c r="O147" s="657">
        <f t="shared" si="320"/>
        <v>1.0217391304347827</v>
      </c>
      <c r="P147" s="657">
        <f t="shared" si="320"/>
        <v>1</v>
      </c>
      <c r="Q147" s="657">
        <f t="shared" si="320"/>
        <v>1.0005411255411256</v>
      </c>
      <c r="R147" s="657">
        <f t="shared" si="320"/>
        <v>0.79814673872579944</v>
      </c>
      <c r="S147" s="657"/>
      <c r="T147" s="657"/>
      <c r="U147" s="657">
        <f t="shared" ref="U147:W147" si="321">+U154/U168</f>
        <v>0.98245614035087714</v>
      </c>
      <c r="V147" s="657">
        <f t="shared" si="321"/>
        <v>0</v>
      </c>
      <c r="W147" s="657">
        <f t="shared" si="321"/>
        <v>1.0289287808911027</v>
      </c>
      <c r="X147" s="657"/>
      <c r="Y147" s="657"/>
      <c r="Z147" s="657">
        <f t="shared" ref="Z147" si="322">+Z154/Z168</f>
        <v>0.98381866397268714</v>
      </c>
      <c r="AA147" s="657">
        <f>+AA154/AA168</f>
        <v>0.21020548618621571</v>
      </c>
      <c r="AB147" s="657"/>
      <c r="AC147" s="657"/>
      <c r="AD147" s="657" t="e">
        <f t="shared" ref="AD147:AF147" si="323">+AD154/AD168</f>
        <v>#DIV/0!</v>
      </c>
      <c r="AE147" s="657" t="e">
        <f t="shared" si="323"/>
        <v>#DIV/0!</v>
      </c>
      <c r="AF147" s="657">
        <f t="shared" si="323"/>
        <v>0.22269851135464588</v>
      </c>
      <c r="AG147" s="657">
        <f>+AG154/AG168</f>
        <v>0.849038821470671</v>
      </c>
      <c r="AH147" s="657">
        <f t="shared" ref="AH147:AN148" si="324">+AH154/AH168</f>
        <v>0.99991361495674314</v>
      </c>
      <c r="AI147" s="657">
        <f t="shared" si="324"/>
        <v>0.98540145985401462</v>
      </c>
      <c r="AJ147" s="657">
        <f t="shared" si="324"/>
        <v>4.4421520686268625</v>
      </c>
      <c r="AK147" s="657">
        <f t="shared" si="324"/>
        <v>0.56634615384615383</v>
      </c>
      <c r="AL147" s="657">
        <f t="shared" si="324"/>
        <v>0.64197227007957991</v>
      </c>
      <c r="AM147" s="657">
        <f t="shared" si="324"/>
        <v>0.83625026236372968</v>
      </c>
      <c r="AN147" s="503">
        <f>+AN154/AN168</f>
        <v>1.0035971223021583</v>
      </c>
    </row>
    <row r="148" spans="3:40" ht="21.75" customHeight="1">
      <c r="C148" s="1605"/>
      <c r="D148" s="654" t="s">
        <v>217</v>
      </c>
      <c r="E148" s="657">
        <f t="shared" ref="E148:R148" si="325">+E155/E169</f>
        <v>0.95037851429794229</v>
      </c>
      <c r="F148" s="657">
        <f t="shared" si="325"/>
        <v>0.98438527631328199</v>
      </c>
      <c r="G148" s="657">
        <f t="shared" si="325"/>
        <v>0.43333333333333335</v>
      </c>
      <c r="H148" s="657">
        <f t="shared" si="325"/>
        <v>0.43229310297558327</v>
      </c>
      <c r="I148" s="657">
        <f t="shared" si="325"/>
        <v>0.85204081632653061</v>
      </c>
      <c r="J148" s="657">
        <f t="shared" si="325"/>
        <v>0.87531735209024242</v>
      </c>
      <c r="K148" s="657">
        <f t="shared" si="325"/>
        <v>0.96180764159222831</v>
      </c>
      <c r="L148" s="657">
        <f t="shared" si="325"/>
        <v>1.0384625769241154</v>
      </c>
      <c r="M148" s="657">
        <f t="shared" si="325"/>
        <v>0.85204081632653061</v>
      </c>
      <c r="N148" s="657">
        <f t="shared" si="325"/>
        <v>1</v>
      </c>
      <c r="O148" s="657">
        <f t="shared" si="325"/>
        <v>1</v>
      </c>
      <c r="P148" s="657">
        <f t="shared" si="325"/>
        <v>1</v>
      </c>
      <c r="Q148" s="657">
        <f t="shared" si="325"/>
        <v>1.0548780487804879</v>
      </c>
      <c r="R148" s="657">
        <f t="shared" si="325"/>
        <v>1.0582206856794567</v>
      </c>
      <c r="S148" s="657"/>
      <c r="T148" s="657"/>
      <c r="U148" s="657">
        <f t="shared" ref="U148:W148" si="326">+U155/U169</f>
        <v>1.04</v>
      </c>
      <c r="V148" s="657">
        <f t="shared" si="326"/>
        <v>1.2611012911906583</v>
      </c>
      <c r="W148" s="657">
        <f t="shared" si="326"/>
        <v>0.99282465166202183</v>
      </c>
      <c r="X148" s="657"/>
      <c r="Y148" s="657"/>
      <c r="Z148" s="657">
        <f t="shared" ref="Z148:AA148" si="327">+Z155/Z169</f>
        <v>0.97265848040797198</v>
      </c>
      <c r="AA148" s="657">
        <f t="shared" si="327"/>
        <v>0.66977554576201703</v>
      </c>
      <c r="AB148" s="657"/>
      <c r="AC148" s="657">
        <f t="shared" ref="AC148:AJ148" si="328">+AC155/AC169</f>
        <v>0.9642857142857143</v>
      </c>
      <c r="AD148" s="657" t="e">
        <f t="shared" si="328"/>
        <v>#DIV/0!</v>
      </c>
      <c r="AE148" s="657" t="e">
        <f t="shared" si="328"/>
        <v>#DIV/0!</v>
      </c>
      <c r="AF148" s="657">
        <f t="shared" si="328"/>
        <v>0.70163501519002169</v>
      </c>
      <c r="AG148" s="657">
        <f t="shared" si="328"/>
        <v>0.92869093197554242</v>
      </c>
      <c r="AH148" s="657">
        <f t="shared" si="328"/>
        <v>1.0082498857514581</v>
      </c>
      <c r="AI148" s="657">
        <f t="shared" si="328"/>
        <v>1.0444444444444445</v>
      </c>
      <c r="AJ148" s="657">
        <f t="shared" si="328"/>
        <v>1.000587678344053</v>
      </c>
      <c r="AK148" s="657"/>
      <c r="AL148" s="657">
        <f t="shared" si="324"/>
        <v>0.85922442405744748</v>
      </c>
      <c r="AM148" s="657">
        <f t="shared" si="324"/>
        <v>0.92195725530844108</v>
      </c>
      <c r="AN148" s="503">
        <f t="shared" si="324"/>
        <v>0.94968553459119498</v>
      </c>
    </row>
    <row r="149" spans="3:40" ht="21.75" customHeight="1">
      <c r="C149" s="1605"/>
      <c r="D149" s="654" t="s">
        <v>218</v>
      </c>
      <c r="E149" s="657">
        <f t="shared" ref="E149:H149" si="329">+E156/E170</f>
        <v>0.92149479824141334</v>
      </c>
      <c r="F149" s="657">
        <f t="shared" si="329"/>
        <v>0.96273902957930346</v>
      </c>
      <c r="G149" s="657">
        <f t="shared" si="329"/>
        <v>0.4020100502512563</v>
      </c>
      <c r="H149" s="657">
        <f t="shared" si="329"/>
        <v>0.39380225662954238</v>
      </c>
      <c r="I149" s="657"/>
      <c r="J149" s="657"/>
      <c r="K149" s="657">
        <f t="shared" ref="K149:L149" si="330">+K156/K170</f>
        <v>0.93838153237705524</v>
      </c>
      <c r="L149" s="657">
        <f t="shared" si="330"/>
        <v>1.0283661241569226</v>
      </c>
      <c r="M149" s="657"/>
      <c r="N149" s="657">
        <f t="shared" ref="N149:R149" si="331">+N156/N170</f>
        <v>0.95081967213114749</v>
      </c>
      <c r="O149" s="657">
        <f t="shared" si="331"/>
        <v>1.0331125827814569</v>
      </c>
      <c r="P149" s="657">
        <f t="shared" si="331"/>
        <v>1</v>
      </c>
      <c r="Q149" s="657">
        <f t="shared" si="331"/>
        <v>1.1322463768115942</v>
      </c>
      <c r="R149" s="657">
        <f t="shared" si="331"/>
        <v>1.0001386200841045</v>
      </c>
      <c r="S149" s="657"/>
      <c r="T149" s="657"/>
      <c r="U149" s="657">
        <f t="shared" ref="U149:W149" si="332">+U156/U170</f>
        <v>0.96491228070175439</v>
      </c>
      <c r="V149" s="657">
        <f t="shared" si="332"/>
        <v>0.89600458021510654</v>
      </c>
      <c r="W149" s="657">
        <f t="shared" si="332"/>
        <v>0.99864252897357397</v>
      </c>
      <c r="X149" s="657"/>
      <c r="Y149" s="657"/>
      <c r="Z149" s="657">
        <f t="shared" ref="Z149:AA149" si="333">+Z156/Z170</f>
        <v>0.95544369556147601</v>
      </c>
      <c r="AA149" s="657">
        <f t="shared" si="333"/>
        <v>0.31283733289047577</v>
      </c>
      <c r="AB149" s="657"/>
      <c r="AC149" s="657"/>
      <c r="AD149" s="657" t="e">
        <f t="shared" ref="AD149:AJ149" si="334">+AD156/AD170</f>
        <v>#DIV/0!</v>
      </c>
      <c r="AE149" s="657" t="e">
        <f t="shared" si="334"/>
        <v>#DIV/0!</v>
      </c>
      <c r="AF149" s="657">
        <f t="shared" si="334"/>
        <v>0.33023463796878427</v>
      </c>
      <c r="AG149" s="657">
        <f t="shared" si="334"/>
        <v>0.78375575147929843</v>
      </c>
      <c r="AH149" s="657">
        <f t="shared" si="334"/>
        <v>0.94449281076273228</v>
      </c>
      <c r="AI149" s="657">
        <f t="shared" si="334"/>
        <v>0.93888888888888888</v>
      </c>
      <c r="AJ149" s="657">
        <f t="shared" si="334"/>
        <v>0.48901372357284956</v>
      </c>
      <c r="AK149" s="657"/>
      <c r="AL149" s="657"/>
      <c r="AM149" s="657">
        <f t="shared" ref="AM149:AN149" si="335">+AM156/AM170</f>
        <v>0.77249545785514917</v>
      </c>
      <c r="AN149" s="503">
        <f t="shared" si="335"/>
        <v>0.95744680851063835</v>
      </c>
    </row>
    <row r="150" spans="3:40" ht="21.75" customHeight="1">
      <c r="C150" s="1605"/>
      <c r="D150" s="654" t="s">
        <v>220</v>
      </c>
      <c r="E150" s="657">
        <f t="shared" ref="E150:H150" si="336">+E157/E171</f>
        <v>0.94931702874983692</v>
      </c>
      <c r="F150" s="657">
        <f t="shared" si="336"/>
        <v>0.9954875108993243</v>
      </c>
      <c r="G150" s="657">
        <f t="shared" si="336"/>
        <v>0.29375000000000001</v>
      </c>
      <c r="H150" s="657">
        <f t="shared" si="336"/>
        <v>0.2411580233686462</v>
      </c>
      <c r="I150" s="657"/>
      <c r="J150" s="657"/>
      <c r="K150" s="657">
        <f t="shared" ref="K150:R150" si="337">+K157/K171</f>
        <v>0.96560818700823048</v>
      </c>
      <c r="L150" s="657">
        <f t="shared" si="337"/>
        <v>0.98666293262713556</v>
      </c>
      <c r="M150" s="657">
        <f t="shared" si="337"/>
        <v>1.3591549295774648</v>
      </c>
      <c r="N150" s="657">
        <f t="shared" si="337"/>
        <v>0.97894736842105268</v>
      </c>
      <c r="O150" s="657">
        <f t="shared" si="337"/>
        <v>1</v>
      </c>
      <c r="P150" s="657">
        <f t="shared" si="337"/>
        <v>1</v>
      </c>
      <c r="Q150" s="657">
        <f t="shared" si="337"/>
        <v>0.99140401146131807</v>
      </c>
      <c r="R150" s="657">
        <f t="shared" si="337"/>
        <v>0.82688842732107914</v>
      </c>
      <c r="S150" s="657"/>
      <c r="T150" s="657"/>
      <c r="U150" s="657">
        <f t="shared" ref="U150:W150" si="338">+U157/U171</f>
        <v>0.97058823529411764</v>
      </c>
      <c r="V150" s="657">
        <f t="shared" si="338"/>
        <v>1.2363636363636363</v>
      </c>
      <c r="W150" s="657">
        <f t="shared" si="338"/>
        <v>1.0400662234306168</v>
      </c>
      <c r="X150" s="657"/>
      <c r="Y150" s="657"/>
      <c r="Z150" s="657">
        <f t="shared" ref="Z150:AA150" si="339">+Z157/Z171</f>
        <v>0.96661863393638103</v>
      </c>
      <c r="AA150" s="657">
        <f t="shared" si="339"/>
        <v>0.8573741298364902</v>
      </c>
      <c r="AB150" s="657"/>
      <c r="AC150" s="657"/>
      <c r="AD150" s="657" t="e">
        <f t="shared" ref="AD150:AK150" si="340">+AD157/AD171</f>
        <v>#DIV/0!</v>
      </c>
      <c r="AE150" s="657">
        <f t="shared" si="340"/>
        <v>0</v>
      </c>
      <c r="AF150" s="657">
        <f t="shared" si="340"/>
        <v>0.91000791255210567</v>
      </c>
      <c r="AG150" s="657">
        <f t="shared" si="340"/>
        <v>0.96149657734846916</v>
      </c>
      <c r="AH150" s="657">
        <f t="shared" si="340"/>
        <v>0.990887850905809</v>
      </c>
      <c r="AI150" s="657">
        <f t="shared" si="340"/>
        <v>1.0067114093959733</v>
      </c>
      <c r="AJ150" s="657">
        <f t="shared" si="340"/>
        <v>0.77832661509917367</v>
      </c>
      <c r="AK150" s="657">
        <f t="shared" si="340"/>
        <v>0.56993006993006989</v>
      </c>
      <c r="AL150" s="657"/>
      <c r="AM150" s="657">
        <f t="shared" ref="AM150:AN150" si="341">+AM157/AM171</f>
        <v>0.95925352030900413</v>
      </c>
      <c r="AN150" s="503">
        <f t="shared" si="341"/>
        <v>1</v>
      </c>
    </row>
    <row r="151" spans="3:40" s="653" customFormat="1" ht="21.75" customHeight="1">
      <c r="C151" s="1605"/>
      <c r="D151" s="656" t="s">
        <v>221</v>
      </c>
      <c r="E151" s="657">
        <f t="shared" ref="E151:R151" si="342">+E158/E172</f>
        <v>0.94436729100045635</v>
      </c>
      <c r="F151" s="657">
        <f t="shared" si="342"/>
        <v>0.98698625603644041</v>
      </c>
      <c r="G151" s="657">
        <f t="shared" si="342"/>
        <v>0.48497854077253216</v>
      </c>
      <c r="H151" s="657">
        <f t="shared" si="342"/>
        <v>0.44657114429939149</v>
      </c>
      <c r="I151" s="657">
        <f t="shared" si="342"/>
        <v>0.8638539965076325</v>
      </c>
      <c r="J151" s="657">
        <f t="shared" si="342"/>
        <v>0.87646085324341128</v>
      </c>
      <c r="K151" s="657">
        <f t="shared" si="342"/>
        <v>0.96338550666915035</v>
      </c>
      <c r="L151" s="657">
        <f t="shared" si="342"/>
        <v>0.97167023651903595</v>
      </c>
      <c r="M151" s="657">
        <f t="shared" si="342"/>
        <v>0.85189276031730088</v>
      </c>
      <c r="N151" s="657">
        <f t="shared" si="342"/>
        <v>0.99019607843137258</v>
      </c>
      <c r="O151" s="657">
        <f t="shared" si="342"/>
        <v>1</v>
      </c>
      <c r="P151" s="657">
        <f t="shared" si="342"/>
        <v>0.70949720670391059</v>
      </c>
      <c r="Q151" s="657">
        <f t="shared" si="342"/>
        <v>1.0424346335190742</v>
      </c>
      <c r="R151" s="657">
        <f t="shared" si="342"/>
        <v>0.90803100895713762</v>
      </c>
      <c r="S151" s="657"/>
      <c r="T151" s="657"/>
      <c r="U151" s="657">
        <f t="shared" ref="U151:W151" si="343">+U158/U172</f>
        <v>1.0888888888888888</v>
      </c>
      <c r="V151" s="657">
        <f t="shared" si="343"/>
        <v>0.17344740808143999</v>
      </c>
      <c r="W151" s="657">
        <f t="shared" si="343"/>
        <v>1.0226637059497148</v>
      </c>
      <c r="X151" s="657"/>
      <c r="Y151" s="657"/>
      <c r="Z151" s="657">
        <f t="shared" ref="Z151:AN151" si="344">+Z158/Z172</f>
        <v>0.96543460007967485</v>
      </c>
      <c r="AA151" s="657">
        <f t="shared" si="344"/>
        <v>0.55004124584754643</v>
      </c>
      <c r="AB151" s="657">
        <f t="shared" si="344"/>
        <v>2.2857142857142856</v>
      </c>
      <c r="AC151" s="657">
        <f t="shared" si="344"/>
        <v>0.20338983050847459</v>
      </c>
      <c r="AD151" s="657" t="e">
        <f t="shared" si="344"/>
        <v>#DIV/0!</v>
      </c>
      <c r="AE151" s="657" t="e">
        <f t="shared" si="344"/>
        <v>#DIV/0!</v>
      </c>
      <c r="AF151" s="657">
        <f t="shared" si="344"/>
        <v>0.61620863323556474</v>
      </c>
      <c r="AG151" s="657">
        <f t="shared" si="344"/>
        <v>0.88447488445499201</v>
      </c>
      <c r="AH151" s="657">
        <f t="shared" si="344"/>
        <v>1.0028415509344877</v>
      </c>
      <c r="AI151" s="657">
        <f t="shared" si="344"/>
        <v>1.0073170731707317</v>
      </c>
      <c r="AJ151" s="657">
        <f t="shared" si="344"/>
        <v>0.84229329314807988</v>
      </c>
      <c r="AK151" s="657">
        <f t="shared" si="344"/>
        <v>0.32972972972972975</v>
      </c>
      <c r="AL151" s="657">
        <f t="shared" si="344"/>
        <v>1.3269699033038673</v>
      </c>
      <c r="AM151" s="657">
        <f t="shared" si="344"/>
        <v>0.87538982832698731</v>
      </c>
      <c r="AN151" s="503">
        <f t="shared" si="344"/>
        <v>0.98886414253897548</v>
      </c>
    </row>
    <row r="152" spans="3:40" s="492" customFormat="1" ht="21.75" customHeight="1">
      <c r="D152" s="676" t="s">
        <v>79</v>
      </c>
      <c r="E152" s="677">
        <f>+E159/E173</f>
        <v>0.9464722313396341</v>
      </c>
      <c r="F152" s="677">
        <f t="shared" ref="F152:AN152" si="345">+F159/F173</f>
        <v>0.99083994717650892</v>
      </c>
      <c r="G152" s="677">
        <f t="shared" si="345"/>
        <v>0.42113564668769715</v>
      </c>
      <c r="H152" s="677">
        <f t="shared" si="345"/>
        <v>0.39313503172093067</v>
      </c>
      <c r="I152" s="677">
        <f t="shared" si="345"/>
        <v>0.86073456866890508</v>
      </c>
      <c r="J152" s="677">
        <f t="shared" si="345"/>
        <v>0.87620885487564837</v>
      </c>
      <c r="K152" s="677">
        <f t="shared" si="345"/>
        <v>0.96578986907170083</v>
      </c>
      <c r="L152" s="677">
        <f t="shared" si="345"/>
        <v>1.000707315744469</v>
      </c>
      <c r="M152" s="677">
        <f t="shared" si="345"/>
        <v>0.86285367518774181</v>
      </c>
      <c r="N152" s="677">
        <f t="shared" si="345"/>
        <v>0.98816029143897999</v>
      </c>
      <c r="O152" s="677">
        <f t="shared" si="345"/>
        <v>1.0110619469026549</v>
      </c>
      <c r="P152" s="677">
        <f t="shared" si="345"/>
        <v>0.88744588744588748</v>
      </c>
      <c r="Q152" s="677">
        <f t="shared" si="345"/>
        <v>1.0421989378498637</v>
      </c>
      <c r="R152" s="677">
        <f t="shared" si="345"/>
        <v>0.90855770140887115</v>
      </c>
      <c r="S152" s="677" t="e">
        <f t="shared" si="345"/>
        <v>#DIV/0!</v>
      </c>
      <c r="T152" s="677" t="e">
        <f t="shared" si="345"/>
        <v>#DIV/0!</v>
      </c>
      <c r="U152" s="677">
        <f t="shared" si="345"/>
        <v>1.0190114068441065</v>
      </c>
      <c r="V152" s="677">
        <f t="shared" si="345"/>
        <v>0.76199874649832211</v>
      </c>
      <c r="W152" s="677">
        <f t="shared" si="345"/>
        <v>1.0208839209824858</v>
      </c>
      <c r="X152" s="677" t="e">
        <f t="shared" si="345"/>
        <v>#DIV/0!</v>
      </c>
      <c r="Y152" s="677" t="e">
        <f t="shared" si="345"/>
        <v>#DIV/0!</v>
      </c>
      <c r="Z152" s="677">
        <f t="shared" si="345"/>
        <v>0.96883396495853136</v>
      </c>
      <c r="AA152" s="677">
        <f t="shared" si="345"/>
        <v>0.45918357648624247</v>
      </c>
      <c r="AB152" s="677">
        <f t="shared" si="345"/>
        <v>2.2951945080091534</v>
      </c>
      <c r="AC152" s="677">
        <f t="shared" si="345"/>
        <v>0.25283446712018143</v>
      </c>
      <c r="AD152" s="677" t="e">
        <f t="shared" si="345"/>
        <v>#DIV/0!</v>
      </c>
      <c r="AE152" s="677">
        <f t="shared" si="345"/>
        <v>0</v>
      </c>
      <c r="AF152" s="677">
        <f t="shared" si="345"/>
        <v>0.51849862844147032</v>
      </c>
      <c r="AG152" s="677">
        <f t="shared" si="345"/>
        <v>0.87975962277694852</v>
      </c>
      <c r="AH152" s="677">
        <f t="shared" si="345"/>
        <v>0.99310160680595172</v>
      </c>
      <c r="AI152" s="677">
        <f t="shared" si="345"/>
        <v>0.99564459930313587</v>
      </c>
      <c r="AJ152" s="677">
        <f t="shared" si="345"/>
        <v>0.96720876441568515</v>
      </c>
      <c r="AK152" s="677">
        <f t="shared" si="345"/>
        <v>1.185077720207254</v>
      </c>
      <c r="AL152" s="677">
        <f t="shared" si="345"/>
        <v>1.1449326343734851</v>
      </c>
      <c r="AM152" s="677">
        <f t="shared" si="345"/>
        <v>0.87058719888928027</v>
      </c>
      <c r="AN152" s="677">
        <f t="shared" si="345"/>
        <v>0.98371335504885993</v>
      </c>
    </row>
    <row r="153" spans="3:40" ht="21.75" customHeight="1">
      <c r="J153" s="349"/>
    </row>
    <row r="154" spans="3:40" ht="19.5" customHeight="1">
      <c r="C154" s="1610" t="s">
        <v>68</v>
      </c>
      <c r="D154" s="654" t="s">
        <v>216</v>
      </c>
      <c r="E154" s="655">
        <v>6487.7000000000035</v>
      </c>
      <c r="F154" s="655">
        <v>1631880072</v>
      </c>
      <c r="G154" s="655">
        <v>116</v>
      </c>
      <c r="H154" s="655">
        <v>28042080</v>
      </c>
      <c r="I154" s="655">
        <v>0</v>
      </c>
      <c r="J154" s="655">
        <v>0</v>
      </c>
      <c r="K154" s="655">
        <v>1659922152</v>
      </c>
      <c r="L154" s="655">
        <v>2268000</v>
      </c>
      <c r="M154" s="655">
        <v>0</v>
      </c>
      <c r="N154" s="655">
        <v>53200000</v>
      </c>
      <c r="O154" s="655">
        <v>117500000</v>
      </c>
      <c r="P154" s="655">
        <v>1032000</v>
      </c>
      <c r="Q154" s="655">
        <v>92450000</v>
      </c>
      <c r="R154" s="655">
        <v>88398418</v>
      </c>
      <c r="S154" s="655">
        <v>0</v>
      </c>
      <c r="T154" s="655">
        <v>0</v>
      </c>
      <c r="U154" s="655">
        <v>5600000</v>
      </c>
      <c r="V154" s="655">
        <v>0</v>
      </c>
      <c r="W154" s="655">
        <v>8848095</v>
      </c>
      <c r="X154" s="655"/>
      <c r="Y154" s="655">
        <v>0</v>
      </c>
      <c r="Z154" s="655">
        <v>2029218680</v>
      </c>
      <c r="AA154" s="655">
        <v>2138</v>
      </c>
      <c r="AB154" s="655">
        <v>0</v>
      </c>
      <c r="AC154" s="655">
        <v>0</v>
      </c>
      <c r="AD154" s="655">
        <v>0</v>
      </c>
      <c r="AE154" s="655">
        <v>0</v>
      </c>
      <c r="AF154" s="655">
        <v>98842948</v>
      </c>
      <c r="AG154" s="655">
        <v>2128061628</v>
      </c>
      <c r="AH154" s="655">
        <v>171369030</v>
      </c>
      <c r="AI154" s="655">
        <v>11232000</v>
      </c>
      <c r="AJ154" s="655">
        <v>3035016</v>
      </c>
      <c r="AK154" s="655">
        <v>294500</v>
      </c>
      <c r="AL154" s="655">
        <v>62600</v>
      </c>
      <c r="AM154" s="655">
        <v>1942068482</v>
      </c>
      <c r="AN154" s="654">
        <v>279</v>
      </c>
    </row>
    <row r="155" spans="3:40" ht="19.5" customHeight="1">
      <c r="C155" s="1610"/>
      <c r="D155" s="654" t="s">
        <v>217</v>
      </c>
      <c r="E155" s="655">
        <v>3552.7999999999997</v>
      </c>
      <c r="F155" s="655">
        <v>918199140</v>
      </c>
      <c r="G155" s="655">
        <v>65</v>
      </c>
      <c r="H155" s="655">
        <v>16382760</v>
      </c>
      <c r="I155" s="655">
        <v>1085.5</v>
      </c>
      <c r="J155" s="655">
        <v>10043604</v>
      </c>
      <c r="K155" s="655">
        <v>944625504</v>
      </c>
      <c r="L155" s="655">
        <v>500000</v>
      </c>
      <c r="M155" s="655">
        <v>5010000</v>
      </c>
      <c r="N155" s="655">
        <v>29600000</v>
      </c>
      <c r="O155" s="655">
        <v>60500000</v>
      </c>
      <c r="P155" s="655">
        <v>200000</v>
      </c>
      <c r="Q155" s="655">
        <v>51900000</v>
      </c>
      <c r="R155" s="655">
        <v>54464116</v>
      </c>
      <c r="S155" s="655">
        <v>0</v>
      </c>
      <c r="T155" s="655">
        <v>0</v>
      </c>
      <c r="U155" s="655">
        <v>2600000</v>
      </c>
      <c r="V155" s="655">
        <v>842596</v>
      </c>
      <c r="W155" s="655">
        <v>2738692.5</v>
      </c>
      <c r="X155" s="655"/>
      <c r="Y155" s="655">
        <v>0</v>
      </c>
      <c r="Z155" s="655">
        <v>1152980920</v>
      </c>
      <c r="AA155" s="655">
        <v>3267.5</v>
      </c>
      <c r="AB155" s="655">
        <v>0</v>
      </c>
      <c r="AC155" s="655">
        <v>54</v>
      </c>
      <c r="AD155" s="655">
        <v>0</v>
      </c>
      <c r="AE155" s="655">
        <v>0</v>
      </c>
      <c r="AF155" s="655">
        <v>161054337</v>
      </c>
      <c r="AG155" s="655">
        <v>1314035257</v>
      </c>
      <c r="AH155" s="655">
        <v>94770080</v>
      </c>
      <c r="AI155" s="655">
        <v>5865600</v>
      </c>
      <c r="AJ155" s="655">
        <v>612940</v>
      </c>
      <c r="AK155" s="655">
        <v>737000</v>
      </c>
      <c r="AL155" s="655">
        <v>772484</v>
      </c>
      <c r="AM155" s="655">
        <v>1211277153</v>
      </c>
      <c r="AN155" s="654">
        <v>151</v>
      </c>
    </row>
    <row r="156" spans="3:40" ht="19.5" customHeight="1">
      <c r="C156" s="1610"/>
      <c r="D156" s="654" t="s">
        <v>218</v>
      </c>
      <c r="E156" s="655">
        <v>4233.9000000000005</v>
      </c>
      <c r="F156" s="655">
        <v>1019394580</v>
      </c>
      <c r="G156" s="655">
        <v>80</v>
      </c>
      <c r="H156" s="655">
        <v>18650200</v>
      </c>
      <c r="I156" s="655">
        <v>0</v>
      </c>
      <c r="J156" s="655">
        <v>0</v>
      </c>
      <c r="K156" s="655">
        <v>1038044780</v>
      </c>
      <c r="L156" s="655">
        <v>669200</v>
      </c>
      <c r="M156" s="655">
        <v>0</v>
      </c>
      <c r="N156" s="655">
        <v>34800000</v>
      </c>
      <c r="O156" s="655">
        <v>78000000</v>
      </c>
      <c r="P156" s="655">
        <v>200000</v>
      </c>
      <c r="Q156" s="655">
        <v>62500000</v>
      </c>
      <c r="R156" s="655">
        <v>68672007</v>
      </c>
      <c r="S156" s="655">
        <v>0</v>
      </c>
      <c r="T156" s="655">
        <v>0</v>
      </c>
      <c r="U156" s="655">
        <v>5500000</v>
      </c>
      <c r="V156" s="655">
        <v>350560</v>
      </c>
      <c r="W156" s="655">
        <v>6104865</v>
      </c>
      <c r="X156" s="655"/>
      <c r="Y156" s="655">
        <v>0</v>
      </c>
      <c r="Z156" s="655">
        <v>1294841425</v>
      </c>
      <c r="AA156" s="655">
        <v>3767.5</v>
      </c>
      <c r="AB156" s="655">
        <v>0</v>
      </c>
      <c r="AC156" s="655">
        <v>0</v>
      </c>
      <c r="AD156" s="655">
        <v>0</v>
      </c>
      <c r="AE156" s="655">
        <v>0</v>
      </c>
      <c r="AF156" s="655">
        <v>169424573</v>
      </c>
      <c r="AG156" s="655">
        <v>1464265998</v>
      </c>
      <c r="AH156" s="655">
        <v>107272200</v>
      </c>
      <c r="AI156" s="655">
        <v>7030400</v>
      </c>
      <c r="AJ156" s="655">
        <v>725134</v>
      </c>
      <c r="AK156" s="655">
        <v>860000</v>
      </c>
      <c r="AL156" s="655">
        <v>0</v>
      </c>
      <c r="AM156" s="655">
        <v>1348378264</v>
      </c>
      <c r="AN156" s="654">
        <v>180</v>
      </c>
    </row>
    <row r="157" spans="3:40" ht="19.5" customHeight="1">
      <c r="C157" s="1610"/>
      <c r="D157" s="654" t="s">
        <v>220</v>
      </c>
      <c r="E157" s="655">
        <v>3648.7</v>
      </c>
      <c r="F157" s="655">
        <v>1582594460</v>
      </c>
      <c r="G157" s="655">
        <v>47</v>
      </c>
      <c r="H157" s="655">
        <v>15812400</v>
      </c>
      <c r="I157" s="655">
        <v>0</v>
      </c>
      <c r="J157" s="655">
        <v>0</v>
      </c>
      <c r="K157" s="655">
        <v>1598406860</v>
      </c>
      <c r="L157" s="655">
        <v>28727600</v>
      </c>
      <c r="M157" s="655">
        <v>772000</v>
      </c>
      <c r="N157" s="655">
        <v>18600000</v>
      </c>
      <c r="O157" s="655">
        <v>40000000</v>
      </c>
      <c r="P157" s="655">
        <v>3096000</v>
      </c>
      <c r="Q157" s="655">
        <v>34600000</v>
      </c>
      <c r="R157" s="655">
        <v>17218091</v>
      </c>
      <c r="S157" s="655">
        <v>0</v>
      </c>
      <c r="T157" s="655">
        <v>0</v>
      </c>
      <c r="U157" s="655">
        <v>3300000</v>
      </c>
      <c r="V157" s="655">
        <v>3400000</v>
      </c>
      <c r="W157" s="655">
        <v>6832155</v>
      </c>
      <c r="X157" s="655"/>
      <c r="Y157" s="655">
        <v>0</v>
      </c>
      <c r="Z157" s="655">
        <v>1754952709</v>
      </c>
      <c r="AA157" s="655">
        <v>2648</v>
      </c>
      <c r="AB157" s="655">
        <v>93.5</v>
      </c>
      <c r="AC157" s="655">
        <v>1</v>
      </c>
      <c r="AD157" s="655">
        <v>0</v>
      </c>
      <c r="AE157" s="655">
        <v>0</v>
      </c>
      <c r="AF157" s="655">
        <v>164356985</v>
      </c>
      <c r="AG157" s="655">
        <v>1919309694</v>
      </c>
      <c r="AH157" s="655">
        <v>168943723</v>
      </c>
      <c r="AI157" s="655">
        <v>6240000</v>
      </c>
      <c r="AJ157" s="655">
        <v>3322853</v>
      </c>
      <c r="AK157" s="655">
        <v>815000</v>
      </c>
      <c r="AL157" s="655">
        <v>118940</v>
      </c>
      <c r="AM157" s="655">
        <v>1739869178</v>
      </c>
      <c r="AN157" s="654">
        <v>154</v>
      </c>
    </row>
    <row r="158" spans="3:40" ht="19.5" customHeight="1">
      <c r="C158" s="1610"/>
      <c r="D158" s="654" t="s">
        <v>221</v>
      </c>
      <c r="E158" s="655">
        <v>10336.099999999999</v>
      </c>
      <c r="F158" s="655">
        <v>3139913432</v>
      </c>
      <c r="G158" s="655">
        <v>226</v>
      </c>
      <c r="H158" s="655">
        <v>61827720</v>
      </c>
      <c r="I158" s="655">
        <v>3067.2</v>
      </c>
      <c r="J158" s="655">
        <v>35578001</v>
      </c>
      <c r="K158" s="655">
        <v>3237319153</v>
      </c>
      <c r="L158" s="655">
        <v>22282200</v>
      </c>
      <c r="M158" s="655">
        <v>16968000</v>
      </c>
      <c r="N158" s="655">
        <v>80800000</v>
      </c>
      <c r="O158" s="655">
        <v>161000000</v>
      </c>
      <c r="P158" s="655">
        <v>2032000</v>
      </c>
      <c r="Q158" s="655">
        <v>121600000</v>
      </c>
      <c r="R158" s="655">
        <v>106671375</v>
      </c>
      <c r="S158" s="655">
        <v>0</v>
      </c>
      <c r="T158" s="655">
        <v>0</v>
      </c>
      <c r="U158" s="655">
        <v>9800000</v>
      </c>
      <c r="V158" s="655">
        <v>390376</v>
      </c>
      <c r="W158" s="655">
        <v>10445167.5</v>
      </c>
      <c r="X158" s="655"/>
      <c r="Y158" s="655">
        <v>0</v>
      </c>
      <c r="Z158" s="655">
        <v>3769308298</v>
      </c>
      <c r="AA158" s="655">
        <v>12335.5</v>
      </c>
      <c r="AB158" s="655">
        <v>408</v>
      </c>
      <c r="AC158" s="655">
        <v>168</v>
      </c>
      <c r="AD158" s="655">
        <v>0</v>
      </c>
      <c r="AE158" s="655">
        <v>0</v>
      </c>
      <c r="AF158" s="655">
        <v>726054988</v>
      </c>
      <c r="AG158" s="655">
        <v>4495363286</v>
      </c>
      <c r="AH158" s="655">
        <v>340487455</v>
      </c>
      <c r="AI158" s="655">
        <v>17180800</v>
      </c>
      <c r="AJ158" s="655">
        <v>5928120</v>
      </c>
      <c r="AK158" s="655">
        <v>152500</v>
      </c>
      <c r="AL158" s="655">
        <v>3342259</v>
      </c>
      <c r="AM158" s="655">
        <v>4128272152</v>
      </c>
      <c r="AN158" s="654">
        <v>444</v>
      </c>
    </row>
    <row r="159" spans="3:40" ht="19.5" customHeight="1">
      <c r="D159" s="272"/>
      <c r="E159" s="659">
        <f>SUM(E154:E158)</f>
        <v>28259.200000000004</v>
      </c>
      <c r="F159" s="659">
        <f t="shared" ref="F159:W159" si="346">SUM(F154:F158)</f>
        <v>8291981684</v>
      </c>
      <c r="G159" s="659">
        <f t="shared" si="346"/>
        <v>534</v>
      </c>
      <c r="H159" s="659">
        <f t="shared" si="346"/>
        <v>140715160</v>
      </c>
      <c r="I159" s="659">
        <f t="shared" si="346"/>
        <v>4152.7</v>
      </c>
      <c r="J159" s="659">
        <f t="shared" si="346"/>
        <v>45621605</v>
      </c>
      <c r="K159" s="659">
        <f t="shared" si="346"/>
        <v>8478318449</v>
      </c>
      <c r="L159" s="659">
        <f t="shared" si="346"/>
        <v>54447000</v>
      </c>
      <c r="M159" s="659">
        <f t="shared" si="346"/>
        <v>22750000</v>
      </c>
      <c r="N159" s="659">
        <f t="shared" si="346"/>
        <v>217000000</v>
      </c>
      <c r="O159" s="659">
        <f t="shared" si="346"/>
        <v>457000000</v>
      </c>
      <c r="P159" s="659">
        <f t="shared" si="346"/>
        <v>6560000</v>
      </c>
      <c r="Q159" s="659">
        <f t="shared" si="346"/>
        <v>363050000</v>
      </c>
      <c r="R159" s="659">
        <f t="shared" si="346"/>
        <v>335424007</v>
      </c>
      <c r="S159" s="659">
        <f t="shared" si="346"/>
        <v>0</v>
      </c>
      <c r="T159" s="659">
        <f t="shared" si="346"/>
        <v>0</v>
      </c>
      <c r="U159" s="659">
        <f t="shared" si="346"/>
        <v>26800000</v>
      </c>
      <c r="V159" s="659">
        <f t="shared" si="346"/>
        <v>4983532</v>
      </c>
      <c r="W159" s="659">
        <f t="shared" si="346"/>
        <v>34968975</v>
      </c>
      <c r="X159" s="659"/>
      <c r="Y159" s="659">
        <f t="shared" ref="Y159:AN159" si="347">SUM(Y154:Y158)</f>
        <v>0</v>
      </c>
      <c r="Z159" s="659">
        <f t="shared" si="347"/>
        <v>10001302032</v>
      </c>
      <c r="AA159" s="659">
        <f t="shared" si="347"/>
        <v>24156.5</v>
      </c>
      <c r="AB159" s="659">
        <f t="shared" si="347"/>
        <v>501.5</v>
      </c>
      <c r="AC159" s="659">
        <f t="shared" si="347"/>
        <v>223</v>
      </c>
      <c r="AD159" s="659">
        <f t="shared" si="347"/>
        <v>0</v>
      </c>
      <c r="AE159" s="659">
        <f t="shared" si="347"/>
        <v>0</v>
      </c>
      <c r="AF159" s="659">
        <f t="shared" si="347"/>
        <v>1319733831</v>
      </c>
      <c r="AG159" s="659">
        <f t="shared" si="347"/>
        <v>11321035863</v>
      </c>
      <c r="AH159" s="659">
        <f t="shared" si="347"/>
        <v>882842488</v>
      </c>
      <c r="AI159" s="659">
        <f t="shared" si="347"/>
        <v>47548800</v>
      </c>
      <c r="AJ159" s="659">
        <f t="shared" si="347"/>
        <v>13624063</v>
      </c>
      <c r="AK159" s="659">
        <f t="shared" si="347"/>
        <v>2859000</v>
      </c>
      <c r="AL159" s="659">
        <f t="shared" si="347"/>
        <v>4296283</v>
      </c>
      <c r="AM159" s="659">
        <f t="shared" si="347"/>
        <v>10369865229</v>
      </c>
      <c r="AN159" s="659">
        <f t="shared" si="347"/>
        <v>1208</v>
      </c>
    </row>
    <row r="160" spans="3:40" ht="19.5" customHeight="1">
      <c r="D160" s="665"/>
      <c r="E160" s="665"/>
      <c r="F160" s="666"/>
      <c r="G160" s="667"/>
      <c r="H160" s="666"/>
      <c r="I160" s="667"/>
      <c r="J160" s="666"/>
      <c r="K160" s="666"/>
      <c r="L160" s="666"/>
      <c r="M160" s="666"/>
      <c r="N160" s="666"/>
      <c r="O160" s="666"/>
      <c r="P160" s="666"/>
      <c r="Q160" s="666"/>
      <c r="R160" s="666"/>
      <c r="S160" s="668"/>
      <c r="T160" s="666"/>
      <c r="U160" s="666"/>
      <c r="V160" s="666"/>
      <c r="W160" s="666"/>
      <c r="X160" s="669"/>
      <c r="Y160" s="669"/>
      <c r="Z160" s="669"/>
      <c r="AA160" s="657"/>
      <c r="AB160" s="657"/>
      <c r="AC160" s="657"/>
      <c r="AD160" s="670"/>
      <c r="AE160" s="670"/>
      <c r="AF160" s="671"/>
      <c r="AG160" s="672"/>
      <c r="AH160" s="671"/>
      <c r="AI160" s="673"/>
      <c r="AJ160" s="671"/>
      <c r="AK160" s="657"/>
      <c r="AL160" s="657"/>
      <c r="AM160" s="669"/>
      <c r="AN160" s="675"/>
    </row>
    <row r="161" spans="3:40" ht="21.75" customHeight="1">
      <c r="C161" s="1605" t="str">
        <f>C168&amp;" Vs "&amp;C182</f>
        <v>May Vs Apr</v>
      </c>
      <c r="D161" s="654" t="s">
        <v>216</v>
      </c>
      <c r="E161" s="657">
        <f>+E168/E182</f>
        <v>1.0788993176794694</v>
      </c>
      <c r="F161" s="657">
        <f t="shared" ref="F161:H161" si="348">+F168/F182</f>
        <v>1.0930145690543478</v>
      </c>
      <c r="G161" s="657">
        <f>+G168/G182</f>
        <v>0.33069977426636571</v>
      </c>
      <c r="H161" s="657">
        <f t="shared" si="348"/>
        <v>0.32757175642333014</v>
      </c>
      <c r="I161" s="657"/>
      <c r="J161" s="657"/>
      <c r="K161" s="657">
        <f t="shared" ref="K161:L161" si="349">+K168/K182</f>
        <v>0.99745679039942148</v>
      </c>
      <c r="L161" s="657">
        <f t="shared" si="349"/>
        <v>1.6083333551527401</v>
      </c>
      <c r="M161" s="657"/>
      <c r="N161" s="657">
        <f t="shared" ref="N161:R161" si="350">+N168/N182</f>
        <v>0.93950177935943058</v>
      </c>
      <c r="O161" s="657">
        <f t="shared" si="350"/>
        <v>0.90551181102362199</v>
      </c>
      <c r="P161" s="657">
        <f t="shared" si="350"/>
        <v>1</v>
      </c>
      <c r="Q161" s="657">
        <f t="shared" si="350"/>
        <v>0.92169576059850378</v>
      </c>
      <c r="R161" s="657">
        <f t="shared" si="350"/>
        <v>1.0779741237959541</v>
      </c>
      <c r="S161" s="657"/>
      <c r="T161" s="657"/>
      <c r="U161" s="657">
        <f t="shared" ref="U161:W163" si="351">+U168/U182</f>
        <v>1</v>
      </c>
      <c r="V161" s="657">
        <f t="shared" si="351"/>
        <v>0.9725675174606262</v>
      </c>
      <c r="W161" s="657">
        <f t="shared" si="351"/>
        <v>0.93026158675607695</v>
      </c>
      <c r="X161" s="657"/>
      <c r="Y161" s="657"/>
      <c r="Z161" s="657">
        <f t="shared" ref="Z161" si="352">+Z168/Z182</f>
        <v>0.990538364048966</v>
      </c>
      <c r="AA161" s="657">
        <f>+AA168/AA182</f>
        <v>1.9045033236588333</v>
      </c>
      <c r="AB161" s="657"/>
      <c r="AC161" s="657"/>
      <c r="AD161" s="657" t="e">
        <f t="shared" ref="AD161:AF161" si="353">+AD168/AD182</f>
        <v>#DIV/0!</v>
      </c>
      <c r="AE161" s="657" t="e">
        <f t="shared" si="353"/>
        <v>#DIV/0!</v>
      </c>
      <c r="AF161" s="657">
        <f t="shared" si="353"/>
        <v>1.9172328142004289</v>
      </c>
      <c r="AG161" s="657">
        <f>+AG168/AG182</f>
        <v>1.0832565102386218</v>
      </c>
      <c r="AH161" s="657">
        <f t="shared" ref="AH161:AK161" si="354">+AH168/AH182</f>
        <v>0.95226222058802412</v>
      </c>
      <c r="AI161" s="657">
        <f t="shared" si="354"/>
        <v>1</v>
      </c>
      <c r="AJ161" s="657">
        <f t="shared" si="354"/>
        <v>6.470787123414814</v>
      </c>
      <c r="AK161" s="657">
        <f t="shared" si="354"/>
        <v>4.333333333333333</v>
      </c>
      <c r="AL161" s="657">
        <f t="shared" ref="AL161" si="355">+AL168/AL182</f>
        <v>0.1041138598532976</v>
      </c>
      <c r="AM161" s="657">
        <f t="shared" ref="AM161" si="356">+AM168/AM182</f>
        <v>1.0947982001788554</v>
      </c>
      <c r="AN161" s="503">
        <f>+AN168/AN182</f>
        <v>0.97202797202797198</v>
      </c>
    </row>
    <row r="162" spans="3:40" ht="21.75" customHeight="1">
      <c r="C162" s="1605"/>
      <c r="D162" s="654" t="s">
        <v>217</v>
      </c>
      <c r="E162" s="657">
        <f t="shared" ref="E162:R162" si="357">+E169/E183</f>
        <v>1.1980194846814514</v>
      </c>
      <c r="F162" s="657">
        <f t="shared" si="357"/>
        <v>1.165499313276614</v>
      </c>
      <c r="G162" s="657">
        <f t="shared" si="357"/>
        <v>0.33482142857142855</v>
      </c>
      <c r="H162" s="657">
        <f t="shared" si="357"/>
        <v>0.33337247582396279</v>
      </c>
      <c r="I162" s="657">
        <f t="shared" si="357"/>
        <v>1.4881439084219132</v>
      </c>
      <c r="J162" s="657">
        <f t="shared" si="357"/>
        <v>1.4681444104534684</v>
      </c>
      <c r="K162" s="657">
        <f t="shared" si="357"/>
        <v>1.0654460777377752</v>
      </c>
      <c r="L162" s="657">
        <f t="shared" si="357"/>
        <v>0.48333992535290726</v>
      </c>
      <c r="M162" s="657">
        <f t="shared" si="357"/>
        <v>1.4961832061068703</v>
      </c>
      <c r="N162" s="657">
        <f t="shared" si="357"/>
        <v>1.0422535211267605</v>
      </c>
      <c r="O162" s="657">
        <f t="shared" si="357"/>
        <v>1.0803571428571428</v>
      </c>
      <c r="P162" s="657">
        <f t="shared" si="357"/>
        <v>1</v>
      </c>
      <c r="Q162" s="657">
        <f t="shared" si="357"/>
        <v>1.0501600853788686</v>
      </c>
      <c r="R162" s="657">
        <f t="shared" si="357"/>
        <v>1.0823336690887913</v>
      </c>
      <c r="S162" s="657"/>
      <c r="T162" s="657"/>
      <c r="U162" s="657">
        <f t="shared" ref="U162:V162" si="358">+U169/U183</f>
        <v>1.1363636363636365</v>
      </c>
      <c r="V162" s="657">
        <f t="shared" si="358"/>
        <v>2.1850590951605411</v>
      </c>
      <c r="W162" s="657">
        <f t="shared" si="351"/>
        <v>0.98859207533054205</v>
      </c>
      <c r="X162" s="657"/>
      <c r="Y162" s="657"/>
      <c r="Z162" s="657">
        <f t="shared" ref="Z162:AA162" si="359">+Z169/Z183</f>
        <v>1.0669284951527447</v>
      </c>
      <c r="AA162" s="657">
        <f t="shared" si="359"/>
        <v>1.833677880097726</v>
      </c>
      <c r="AB162" s="657"/>
      <c r="AC162" s="657">
        <f t="shared" ref="AC162:AK162" si="360">+AC169/AC183</f>
        <v>2.5454545454545454</v>
      </c>
      <c r="AD162" s="657" t="e">
        <f t="shared" si="360"/>
        <v>#DIV/0!</v>
      </c>
      <c r="AE162" s="657" t="e">
        <f t="shared" si="360"/>
        <v>#DIV/0!</v>
      </c>
      <c r="AF162" s="657">
        <f t="shared" si="360"/>
        <v>1.823023705779431</v>
      </c>
      <c r="AG162" s="657">
        <f t="shared" si="360"/>
        <v>1.1438938456320564</v>
      </c>
      <c r="AH162" s="657">
        <f t="shared" si="360"/>
        <v>0.98690518362581714</v>
      </c>
      <c r="AI162" s="657">
        <f t="shared" si="360"/>
        <v>1.0150375939849625</v>
      </c>
      <c r="AJ162" s="657">
        <f t="shared" si="360"/>
        <v>1.4847580705755745</v>
      </c>
      <c r="AK162" s="657">
        <f t="shared" si="360"/>
        <v>0</v>
      </c>
      <c r="AL162" s="657">
        <f t="shared" ref="AL162" si="361">+AL169/AL183</f>
        <v>1.5344813166819424</v>
      </c>
      <c r="AM162" s="657">
        <f t="shared" ref="AM162:AN162" si="362">+AM169/AM183</f>
        <v>1.1575075833781521</v>
      </c>
      <c r="AN162" s="503">
        <f t="shared" si="362"/>
        <v>1.0671140939597314</v>
      </c>
    </row>
    <row r="163" spans="3:40" ht="21.75" customHeight="1">
      <c r="C163" s="1605"/>
      <c r="D163" s="654" t="s">
        <v>218</v>
      </c>
      <c r="E163" s="657">
        <f t="shared" ref="E163:H163" si="363">+E170/E184</f>
        <v>1.0667254829123329</v>
      </c>
      <c r="F163" s="657">
        <f t="shared" si="363"/>
        <v>1.0740109354380096</v>
      </c>
      <c r="G163" s="657">
        <f t="shared" si="363"/>
        <v>0.32622950819672131</v>
      </c>
      <c r="H163" s="657">
        <f t="shared" si="363"/>
        <v>0.34215806374984176</v>
      </c>
      <c r="I163" s="657"/>
      <c r="J163" s="657"/>
      <c r="K163" s="657">
        <f t="shared" ref="K163:L163" si="364">+K170/K184</f>
        <v>0.98391157129599716</v>
      </c>
      <c r="L163" s="657">
        <f t="shared" si="364"/>
        <v>0.97855789473684207</v>
      </c>
      <c r="M163" s="657"/>
      <c r="N163" s="657">
        <f t="shared" ref="N163:R163" si="365">+N170/N184</f>
        <v>0.95811518324607325</v>
      </c>
      <c r="O163" s="657">
        <f t="shared" si="365"/>
        <v>0.92073170731707321</v>
      </c>
      <c r="P163" s="657">
        <f t="shared" si="365"/>
        <v>1</v>
      </c>
      <c r="Q163" s="657">
        <f t="shared" si="365"/>
        <v>0.971830985915493</v>
      </c>
      <c r="R163" s="657">
        <f t="shared" si="365"/>
        <v>1.2020703256377303</v>
      </c>
      <c r="S163" s="657"/>
      <c r="T163" s="657"/>
      <c r="U163" s="657">
        <f t="shared" ref="U163:V163" si="366">+U170/U184</f>
        <v>1.0555555555555556</v>
      </c>
      <c r="V163" s="657">
        <f t="shared" si="366"/>
        <v>0.23205845352490437</v>
      </c>
      <c r="W163" s="657">
        <f t="shared" si="351"/>
        <v>0.95464034205235859</v>
      </c>
      <c r="X163" s="657"/>
      <c r="Y163" s="657"/>
      <c r="Z163" s="657">
        <f t="shared" ref="Z163:AA163" si="367">+Z170/Z184</f>
        <v>0.98721904134515914</v>
      </c>
      <c r="AA163" s="657">
        <f t="shared" si="367"/>
        <v>1.8458119396122308</v>
      </c>
      <c r="AB163" s="657"/>
      <c r="AC163" s="657"/>
      <c r="AD163" s="657" t="e">
        <f t="shared" ref="AD163:AK163" si="368">+AD170/AD184</f>
        <v>#DIV/0!</v>
      </c>
      <c r="AE163" s="657" t="e">
        <f t="shared" si="368"/>
        <v>#DIV/0!</v>
      </c>
      <c r="AF163" s="657">
        <f t="shared" si="368"/>
        <v>1.8582169686296792</v>
      </c>
      <c r="AG163" s="657">
        <f t="shared" si="368"/>
        <v>1.133063328745658</v>
      </c>
      <c r="AH163" s="657">
        <f t="shared" si="368"/>
        <v>0.99917426154352007</v>
      </c>
      <c r="AI163" s="657">
        <f t="shared" si="368"/>
        <v>1.005586592178771</v>
      </c>
      <c r="AJ163" s="657">
        <f t="shared" si="368"/>
        <v>2.075657894736842</v>
      </c>
      <c r="AK163" s="657">
        <f t="shared" si="368"/>
        <v>0</v>
      </c>
      <c r="AL163" s="657"/>
      <c r="AM163" s="657">
        <f t="shared" ref="AM163:AN163" si="369">+AM170/AM184</f>
        <v>1.1435756712883811</v>
      </c>
      <c r="AN163" s="503">
        <f t="shared" si="369"/>
        <v>0.91707317073170735</v>
      </c>
    </row>
    <row r="164" spans="3:40" ht="21.75" customHeight="1">
      <c r="C164" s="1605"/>
      <c r="D164" s="654" t="s">
        <v>220</v>
      </c>
      <c r="E164" s="657">
        <f t="shared" ref="E164:H164" si="370">+E171/E185</f>
        <v>1.131839330938218</v>
      </c>
      <c r="F164" s="657">
        <f t="shared" si="370"/>
        <v>1.1360334438342157</v>
      </c>
      <c r="G164" s="657">
        <f t="shared" si="370"/>
        <v>0.34934497816593885</v>
      </c>
      <c r="H164" s="657">
        <f t="shared" si="370"/>
        <v>0.34727842119438307</v>
      </c>
      <c r="I164" s="657"/>
      <c r="J164" s="657"/>
      <c r="K164" s="657">
        <f t="shared" ref="K164:R164" si="371">+K171/K185</f>
        <v>1.042265898168022</v>
      </c>
      <c r="L164" s="657">
        <f t="shared" si="371"/>
        <v>1.0257017617838888</v>
      </c>
      <c r="M164" s="657">
        <f t="shared" si="371"/>
        <v>1.0716981132075472</v>
      </c>
      <c r="N164" s="657">
        <f t="shared" si="371"/>
        <v>1</v>
      </c>
      <c r="O164" s="657">
        <f t="shared" si="371"/>
        <v>0.93023255813953487</v>
      </c>
      <c r="P164" s="657">
        <f t="shared" si="371"/>
        <v>1</v>
      </c>
      <c r="Q164" s="657">
        <f t="shared" si="371"/>
        <v>0.96275862068965512</v>
      </c>
      <c r="R164" s="657">
        <f t="shared" si="371"/>
        <v>1.1761984907785112</v>
      </c>
      <c r="S164" s="657"/>
      <c r="T164" s="657"/>
      <c r="U164" s="657">
        <f t="shared" ref="U164:W164" si="372">+U171/U185</f>
        <v>1</v>
      </c>
      <c r="V164" s="657">
        <f t="shared" si="372"/>
        <v>1.3716901117603224</v>
      </c>
      <c r="W164" s="657">
        <f t="shared" si="372"/>
        <v>1.0303635566932874</v>
      </c>
      <c r="X164" s="657"/>
      <c r="Y164" s="657"/>
      <c r="Z164" s="657">
        <f t="shared" ref="Z164:AA164" si="373">+Z171/Z185</f>
        <v>1.0386753287462618</v>
      </c>
      <c r="AA164" s="657">
        <f t="shared" si="373"/>
        <v>1.2453629032258065</v>
      </c>
      <c r="AB164" s="657"/>
      <c r="AC164" s="657"/>
      <c r="AD164" s="657" t="e">
        <f t="shared" ref="AD164:AK164" si="374">+AD171/AD185</f>
        <v>#DIV/0!</v>
      </c>
      <c r="AE164" s="657" t="e">
        <f t="shared" si="374"/>
        <v>#DIV/0!</v>
      </c>
      <c r="AF164" s="657">
        <f t="shared" si="374"/>
        <v>1.2860564939744885</v>
      </c>
      <c r="AG164" s="657">
        <f t="shared" si="374"/>
        <v>1.0570727582742057</v>
      </c>
      <c r="AH164" s="657">
        <f t="shared" si="374"/>
        <v>1.022555898551984</v>
      </c>
      <c r="AI164" s="657">
        <f t="shared" si="374"/>
        <v>1.0275862068965518</v>
      </c>
      <c r="AJ164" s="657">
        <f t="shared" si="374"/>
        <v>1.3751157544970722</v>
      </c>
      <c r="AK164" s="657">
        <f t="shared" si="374"/>
        <v>1.5476190476190477</v>
      </c>
      <c r="AL164" s="657"/>
      <c r="AM164" s="657">
        <f t="shared" ref="AM164:AN164" si="375">+AM171/AM185</f>
        <v>1.0596974486206534</v>
      </c>
      <c r="AN164" s="503">
        <f t="shared" si="375"/>
        <v>1.013157894736842</v>
      </c>
    </row>
    <row r="165" spans="3:40" s="653" customFormat="1" ht="21.75" customHeight="1">
      <c r="C165" s="1605"/>
      <c r="D165" s="656" t="s">
        <v>221</v>
      </c>
      <c r="E165" s="657">
        <f t="shared" ref="E165:R165" si="376">+E172/E186</f>
        <v>1.1276878535293708</v>
      </c>
      <c r="F165" s="657">
        <f t="shared" si="376"/>
        <v>1.1171878205238219</v>
      </c>
      <c r="G165" s="657">
        <f t="shared" si="376"/>
        <v>0.33719247467438496</v>
      </c>
      <c r="H165" s="657">
        <f t="shared" si="376"/>
        <v>0.34493150457703836</v>
      </c>
      <c r="I165" s="657">
        <f t="shared" si="376"/>
        <v>1.140388630158985</v>
      </c>
      <c r="J165" s="657">
        <f t="shared" si="376"/>
        <v>1.1327572752657484</v>
      </c>
      <c r="K165" s="657">
        <f t="shared" si="376"/>
        <v>1.0229932003329858</v>
      </c>
      <c r="L165" s="657">
        <f t="shared" si="376"/>
        <v>0.98473614897866257</v>
      </c>
      <c r="M165" s="657">
        <f t="shared" si="376"/>
        <v>1.151262932778452</v>
      </c>
      <c r="N165" s="657">
        <f t="shared" si="376"/>
        <v>0.99755501222493892</v>
      </c>
      <c r="O165" s="657">
        <f t="shared" si="376"/>
        <v>0.97575757575757571</v>
      </c>
      <c r="P165" s="657">
        <f t="shared" si="376"/>
        <v>1</v>
      </c>
      <c r="Q165" s="657">
        <f t="shared" si="376"/>
        <v>0.99573196756295346</v>
      </c>
      <c r="R165" s="657">
        <f t="shared" si="376"/>
        <v>1.2589358605239962</v>
      </c>
      <c r="S165" s="657"/>
      <c r="T165" s="657"/>
      <c r="U165" s="657">
        <f t="shared" ref="U165:W165" si="377">+U172/U186</f>
        <v>0.94736842105263153</v>
      </c>
      <c r="V165" s="657">
        <f t="shared" si="377"/>
        <v>2.2617661305072243</v>
      </c>
      <c r="W165" s="657">
        <f t="shared" si="377"/>
        <v>0.98207534552087361</v>
      </c>
      <c r="X165" s="657"/>
      <c r="Y165" s="657"/>
      <c r="Z165" s="657">
        <f t="shared" ref="Z165:AK165" si="378">+Z172/Z186</f>
        <v>1.0256989774561309</v>
      </c>
      <c r="AA165" s="657">
        <f t="shared" si="378"/>
        <v>1.2822836559078303</v>
      </c>
      <c r="AB165" s="657">
        <f t="shared" si="378"/>
        <v>0.8602409638554217</v>
      </c>
      <c r="AC165" s="657">
        <f t="shared" si="378"/>
        <v>2.908450704225352</v>
      </c>
      <c r="AD165" s="657" t="e">
        <f t="shared" si="378"/>
        <v>#DIV/0!</v>
      </c>
      <c r="AE165" s="657" t="e">
        <f t="shared" si="378"/>
        <v>#DIV/0!</v>
      </c>
      <c r="AF165" s="657">
        <f t="shared" si="378"/>
        <v>1.2941379361425451</v>
      </c>
      <c r="AG165" s="657">
        <f t="shared" si="378"/>
        <v>1.0775133298372996</v>
      </c>
      <c r="AH165" s="657">
        <f t="shared" si="378"/>
        <v>1.0055339886133772</v>
      </c>
      <c r="AI165" s="657">
        <f t="shared" si="378"/>
        <v>0.99033816425120769</v>
      </c>
      <c r="AJ165" s="657">
        <f t="shared" si="378"/>
        <v>1.3250318546644115</v>
      </c>
      <c r="AK165" s="657">
        <f t="shared" si="378"/>
        <v>0.29458598726114649</v>
      </c>
      <c r="AL165" s="657">
        <f t="shared" ref="AL165" si="379">+AL172/AL186</f>
        <v>1.6058164036225808</v>
      </c>
      <c r="AM165" s="657">
        <f t="shared" ref="AM165:AN165" si="380">+AM172/AM186</f>
        <v>1.0832307751785275</v>
      </c>
      <c r="AN165" s="503">
        <f t="shared" si="380"/>
        <v>0.98034934497816595</v>
      </c>
    </row>
    <row r="166" spans="3:40" s="492" customFormat="1" ht="21.75" customHeight="1">
      <c r="D166" s="676" t="s">
        <v>79</v>
      </c>
      <c r="E166" s="677">
        <f t="shared" ref="E166:R166" si="381">+E173/E187</f>
        <v>1.1152264450462235</v>
      </c>
      <c r="F166" s="677">
        <f t="shared" si="381"/>
        <v>1.1154487079051503</v>
      </c>
      <c r="G166" s="677">
        <f t="shared" si="381"/>
        <v>0.33509513742071884</v>
      </c>
      <c r="H166" s="677">
        <f t="shared" si="381"/>
        <v>0.34027960253236134</v>
      </c>
      <c r="I166" s="677">
        <f t="shared" si="381"/>
        <v>1.2153869407496978</v>
      </c>
      <c r="J166" s="677">
        <f t="shared" si="381"/>
        <v>1.1928066946668754</v>
      </c>
      <c r="K166" s="677">
        <f t="shared" si="381"/>
        <v>1.0210079543640622</v>
      </c>
      <c r="L166" s="677">
        <f t="shared" si="381"/>
        <v>1.005727795425579</v>
      </c>
      <c r="M166" s="677">
        <f t="shared" si="381"/>
        <v>1.2116171131841367</v>
      </c>
      <c r="N166" s="677">
        <f t="shared" si="381"/>
        <v>0.98211091234347048</v>
      </c>
      <c r="O166" s="677">
        <f t="shared" si="381"/>
        <v>0.95560253699788589</v>
      </c>
      <c r="P166" s="677">
        <f t="shared" si="381"/>
        <v>1</v>
      </c>
      <c r="Q166" s="677">
        <f t="shared" si="381"/>
        <v>0.97495102155051783</v>
      </c>
      <c r="R166" s="677">
        <f t="shared" si="381"/>
        <v>1.1593751710428239</v>
      </c>
      <c r="S166" s="677"/>
      <c r="T166" s="677"/>
      <c r="U166" s="677">
        <f t="shared" ref="U166:W166" si="382">+U173/U187</f>
        <v>1.0038167938931297</v>
      </c>
      <c r="V166" s="677">
        <f t="shared" si="382"/>
        <v>1.1923062899413224</v>
      </c>
      <c r="W166" s="677">
        <f t="shared" si="382"/>
        <v>0.97274339778884955</v>
      </c>
      <c r="X166" s="677"/>
      <c r="Y166" s="677"/>
      <c r="Z166" s="677">
        <f t="shared" ref="Z166:AA166" si="383">+Z173/Z187</f>
        <v>1.0200125404639793</v>
      </c>
      <c r="AA166" s="677">
        <f t="shared" si="383"/>
        <v>1.5250760979852152</v>
      </c>
      <c r="AB166" s="677"/>
      <c r="AC166" s="677">
        <f t="shared" ref="AC166:AK166" si="384">+AC173/AC187</f>
        <v>2.8823529411764706</v>
      </c>
      <c r="AD166" s="677" t="e">
        <f t="shared" si="384"/>
        <v>#DIV/0!</v>
      </c>
      <c r="AE166" s="677" t="e">
        <f t="shared" si="384"/>
        <v>#DIV/0!</v>
      </c>
      <c r="AF166" s="677">
        <f t="shared" si="384"/>
        <v>1.5110955073264782</v>
      </c>
      <c r="AG166" s="677">
        <f t="shared" si="384"/>
        <v>1.0900837164919304</v>
      </c>
      <c r="AH166" s="677">
        <f t="shared" si="384"/>
        <v>0.99518268658318565</v>
      </c>
      <c r="AI166" s="677">
        <f t="shared" si="384"/>
        <v>1.0026200873362445</v>
      </c>
      <c r="AJ166" s="677">
        <f t="shared" si="384"/>
        <v>1.4598632309584767</v>
      </c>
      <c r="AK166" s="677">
        <f t="shared" si="384"/>
        <v>0.70008705745792221</v>
      </c>
      <c r="AL166" s="677"/>
      <c r="AM166" s="677">
        <f t="shared" ref="AM166:AN166" si="385">+AM173/AM187</f>
        <v>1.0980422010959676</v>
      </c>
      <c r="AN166" s="677">
        <f t="shared" si="385"/>
        <v>0.98240000000000005</v>
      </c>
    </row>
    <row r="167" spans="3:40" ht="21.75" customHeight="1">
      <c r="J167" s="349"/>
    </row>
    <row r="168" spans="3:40" ht="19.5" customHeight="1">
      <c r="C168" s="1610" t="s">
        <v>67</v>
      </c>
      <c r="D168" s="654" t="s">
        <v>216</v>
      </c>
      <c r="E168" s="655">
        <v>6736.0000000000027</v>
      </c>
      <c r="F168" s="655">
        <v>1605944058</v>
      </c>
      <c r="G168" s="655">
        <v>293</v>
      </c>
      <c r="H168" s="655">
        <v>68655713</v>
      </c>
      <c r="I168" s="655">
        <v>0</v>
      </c>
      <c r="J168" s="655">
        <v>0</v>
      </c>
      <c r="K168" s="655">
        <v>1674599771</v>
      </c>
      <c r="L168" s="655">
        <v>1228519</v>
      </c>
      <c r="M168" s="655">
        <v>0</v>
      </c>
      <c r="N168" s="655">
        <v>52800000</v>
      </c>
      <c r="O168" s="655">
        <v>115000000</v>
      </c>
      <c r="P168" s="655">
        <v>1032000</v>
      </c>
      <c r="Q168" s="655">
        <v>92400000</v>
      </c>
      <c r="R168" s="655">
        <v>110754594</v>
      </c>
      <c r="S168" s="655">
        <v>0</v>
      </c>
      <c r="T168" s="655">
        <v>0</v>
      </c>
      <c r="U168" s="655">
        <v>5700000</v>
      </c>
      <c r="V168" s="655">
        <v>480000</v>
      </c>
      <c r="W168" s="655">
        <v>8599326.9547160659</v>
      </c>
      <c r="X168" s="655"/>
      <c r="Y168" s="655">
        <v>0</v>
      </c>
      <c r="Z168" s="655">
        <v>2062594210</v>
      </c>
      <c r="AA168" s="655">
        <v>10171</v>
      </c>
      <c r="AB168" s="655">
        <v>0</v>
      </c>
      <c r="AC168" s="655">
        <v>0</v>
      </c>
      <c r="AD168" s="655">
        <v>0</v>
      </c>
      <c r="AE168" s="655">
        <v>0</v>
      </c>
      <c r="AF168" s="655">
        <v>443841979</v>
      </c>
      <c r="AG168" s="655">
        <v>2506436189</v>
      </c>
      <c r="AH168" s="655">
        <v>171383835</v>
      </c>
      <c r="AI168" s="655">
        <v>11398400</v>
      </c>
      <c r="AJ168" s="655">
        <v>683231</v>
      </c>
      <c r="AK168" s="655">
        <v>520000</v>
      </c>
      <c r="AL168" s="655">
        <v>97512</v>
      </c>
      <c r="AM168" s="655">
        <v>2322353211</v>
      </c>
      <c r="AN168" s="654">
        <v>278</v>
      </c>
    </row>
    <row r="169" spans="3:40" ht="19.5" customHeight="1">
      <c r="C169" s="1610"/>
      <c r="D169" s="654" t="s">
        <v>217</v>
      </c>
      <c r="E169" s="655">
        <v>3738.300000000002</v>
      </c>
      <c r="F169" s="655">
        <v>932763992</v>
      </c>
      <c r="G169" s="655">
        <v>150</v>
      </c>
      <c r="H169" s="655">
        <v>37897343</v>
      </c>
      <c r="I169" s="655">
        <v>1274</v>
      </c>
      <c r="J169" s="655">
        <v>11474243</v>
      </c>
      <c r="K169" s="655">
        <v>982135578</v>
      </c>
      <c r="L169" s="655">
        <v>481481</v>
      </c>
      <c r="M169" s="655">
        <v>5880000</v>
      </c>
      <c r="N169" s="655">
        <v>29600000</v>
      </c>
      <c r="O169" s="655">
        <v>60500000</v>
      </c>
      <c r="P169" s="655">
        <v>200000</v>
      </c>
      <c r="Q169" s="655">
        <v>49200000</v>
      </c>
      <c r="R169" s="655">
        <v>51467635</v>
      </c>
      <c r="S169" s="655">
        <v>0</v>
      </c>
      <c r="T169" s="655">
        <v>0</v>
      </c>
      <c r="U169" s="655">
        <v>2500000</v>
      </c>
      <c r="V169" s="655">
        <v>668143</v>
      </c>
      <c r="W169" s="655">
        <v>2758485.5950296326</v>
      </c>
      <c r="X169" s="655"/>
      <c r="Y169" s="655">
        <v>0</v>
      </c>
      <c r="Z169" s="655">
        <v>1185391320</v>
      </c>
      <c r="AA169" s="655">
        <v>4878.5</v>
      </c>
      <c r="AB169" s="655">
        <v>0</v>
      </c>
      <c r="AC169" s="655">
        <v>56</v>
      </c>
      <c r="AD169" s="655">
        <v>0</v>
      </c>
      <c r="AE169" s="655">
        <v>0</v>
      </c>
      <c r="AF169" s="655">
        <v>229541476</v>
      </c>
      <c r="AG169" s="655">
        <v>1414932796</v>
      </c>
      <c r="AH169" s="655">
        <v>93994635</v>
      </c>
      <c r="AI169" s="655">
        <v>5616000</v>
      </c>
      <c r="AJ169" s="655">
        <v>612580</v>
      </c>
      <c r="AK169" s="655">
        <v>0</v>
      </c>
      <c r="AL169" s="655">
        <v>899048</v>
      </c>
      <c r="AM169" s="655">
        <v>1313810533</v>
      </c>
      <c r="AN169" s="654">
        <v>159</v>
      </c>
    </row>
    <row r="170" spans="3:40" ht="19.5" customHeight="1">
      <c r="C170" s="1610"/>
      <c r="D170" s="654" t="s">
        <v>218</v>
      </c>
      <c r="E170" s="655">
        <v>4594.6000000000031</v>
      </c>
      <c r="F170" s="655">
        <v>1058848295</v>
      </c>
      <c r="G170" s="655">
        <v>199</v>
      </c>
      <c r="H170" s="655">
        <v>47359302</v>
      </c>
      <c r="I170" s="655">
        <v>0</v>
      </c>
      <c r="J170" s="655">
        <v>0</v>
      </c>
      <c r="K170" s="655">
        <v>1106207597</v>
      </c>
      <c r="L170" s="655">
        <v>650741</v>
      </c>
      <c r="M170" s="655">
        <v>0</v>
      </c>
      <c r="N170" s="655">
        <v>36600000</v>
      </c>
      <c r="O170" s="655">
        <v>75500000</v>
      </c>
      <c r="P170" s="655">
        <v>200000</v>
      </c>
      <c r="Q170" s="655">
        <v>55200000</v>
      </c>
      <c r="R170" s="655">
        <v>68662489</v>
      </c>
      <c r="S170" s="655">
        <v>0</v>
      </c>
      <c r="T170" s="655">
        <v>0</v>
      </c>
      <c r="U170" s="655">
        <v>5700000</v>
      </c>
      <c r="V170" s="655">
        <v>391248</v>
      </c>
      <c r="W170" s="655">
        <v>6113163.4422526648</v>
      </c>
      <c r="X170" s="655"/>
      <c r="Y170" s="655">
        <v>0</v>
      </c>
      <c r="Z170" s="655">
        <v>1355225254</v>
      </c>
      <c r="AA170" s="655">
        <v>12043</v>
      </c>
      <c r="AB170" s="655">
        <v>0</v>
      </c>
      <c r="AC170" s="655">
        <v>0</v>
      </c>
      <c r="AD170" s="655">
        <v>0</v>
      </c>
      <c r="AE170" s="655">
        <v>0</v>
      </c>
      <c r="AF170" s="655">
        <v>513043011</v>
      </c>
      <c r="AG170" s="655">
        <v>1868268265</v>
      </c>
      <c r="AH170" s="655">
        <v>113576513</v>
      </c>
      <c r="AI170" s="655">
        <v>7488000</v>
      </c>
      <c r="AJ170" s="655">
        <v>1482850</v>
      </c>
      <c r="AK170" s="655">
        <v>0</v>
      </c>
      <c r="AL170" s="655">
        <v>237158</v>
      </c>
      <c r="AM170" s="655">
        <v>1745483744</v>
      </c>
      <c r="AN170" s="654">
        <v>188</v>
      </c>
    </row>
    <row r="171" spans="3:40" ht="19.5" customHeight="1">
      <c r="C171" s="1610"/>
      <c r="D171" s="654" t="s">
        <v>220</v>
      </c>
      <c r="E171" s="655">
        <v>3843.5000000000018</v>
      </c>
      <c r="F171" s="655">
        <v>1589768272</v>
      </c>
      <c r="G171" s="655">
        <v>160</v>
      </c>
      <c r="H171" s="655">
        <v>65568625</v>
      </c>
      <c r="I171" s="655">
        <v>0</v>
      </c>
      <c r="J171" s="655">
        <v>0</v>
      </c>
      <c r="K171" s="655">
        <v>1655336897</v>
      </c>
      <c r="L171" s="655">
        <v>29115921</v>
      </c>
      <c r="M171" s="655">
        <v>568000</v>
      </c>
      <c r="N171" s="655">
        <v>19000000</v>
      </c>
      <c r="O171" s="655">
        <v>40000000</v>
      </c>
      <c r="P171" s="655">
        <v>3096000</v>
      </c>
      <c r="Q171" s="655">
        <v>34900000</v>
      </c>
      <c r="R171" s="655">
        <v>20822750</v>
      </c>
      <c r="S171" s="655">
        <v>0</v>
      </c>
      <c r="T171" s="655">
        <v>0</v>
      </c>
      <c r="U171" s="655">
        <v>3400000</v>
      </c>
      <c r="V171" s="655">
        <v>2750000</v>
      </c>
      <c r="W171" s="655">
        <v>6568961.5200313013</v>
      </c>
      <c r="X171" s="655"/>
      <c r="Y171" s="655">
        <v>0</v>
      </c>
      <c r="Z171" s="655">
        <v>1815558533</v>
      </c>
      <c r="AA171" s="655">
        <v>3088.5</v>
      </c>
      <c r="AB171" s="655">
        <v>40</v>
      </c>
      <c r="AC171" s="655">
        <v>0</v>
      </c>
      <c r="AD171" s="655">
        <v>0</v>
      </c>
      <c r="AE171" s="655">
        <v>4.5</v>
      </c>
      <c r="AF171" s="655">
        <v>180610501</v>
      </c>
      <c r="AG171" s="655">
        <v>1996169034</v>
      </c>
      <c r="AH171" s="655">
        <v>170497320</v>
      </c>
      <c r="AI171" s="655">
        <v>6198400</v>
      </c>
      <c r="AJ171" s="655">
        <v>4269227</v>
      </c>
      <c r="AK171" s="655">
        <v>1430000</v>
      </c>
      <c r="AL171" s="655">
        <v>0</v>
      </c>
      <c r="AM171" s="655">
        <v>1813774087</v>
      </c>
      <c r="AN171" s="654">
        <v>154</v>
      </c>
    </row>
    <row r="172" spans="3:40" ht="19.5" customHeight="1">
      <c r="C172" s="1610"/>
      <c r="D172" s="654" t="s">
        <v>221</v>
      </c>
      <c r="E172" s="655">
        <v>10945.000000000004</v>
      </c>
      <c r="F172" s="655">
        <v>3181314241</v>
      </c>
      <c r="G172" s="655">
        <v>466</v>
      </c>
      <c r="H172" s="655">
        <v>138449877</v>
      </c>
      <c r="I172" s="655">
        <v>3550.6</v>
      </c>
      <c r="J172" s="655">
        <v>40592801</v>
      </c>
      <c r="K172" s="655">
        <v>3360356919</v>
      </c>
      <c r="L172" s="655">
        <v>22931854</v>
      </c>
      <c r="M172" s="655">
        <v>19918000</v>
      </c>
      <c r="N172" s="655">
        <v>81600000</v>
      </c>
      <c r="O172" s="655">
        <v>161000000</v>
      </c>
      <c r="P172" s="655">
        <v>2864000</v>
      </c>
      <c r="Q172" s="655">
        <v>116650000</v>
      </c>
      <c r="R172" s="655">
        <v>117475476</v>
      </c>
      <c r="S172" s="655">
        <v>0</v>
      </c>
      <c r="T172" s="655">
        <v>0</v>
      </c>
      <c r="U172" s="655">
        <v>9000000</v>
      </c>
      <c r="V172" s="655">
        <v>2250688</v>
      </c>
      <c r="W172" s="655">
        <v>10213687.490062933</v>
      </c>
      <c r="X172" s="655"/>
      <c r="Y172" s="655">
        <v>0</v>
      </c>
      <c r="Z172" s="655">
        <v>3904260628</v>
      </c>
      <c r="AA172" s="655">
        <v>22426.5</v>
      </c>
      <c r="AB172" s="655">
        <v>178.5</v>
      </c>
      <c r="AC172" s="655">
        <v>826</v>
      </c>
      <c r="AD172" s="655">
        <v>0</v>
      </c>
      <c r="AE172" s="655">
        <v>0</v>
      </c>
      <c r="AF172" s="655">
        <v>1178261629</v>
      </c>
      <c r="AG172" s="655">
        <v>5082522257</v>
      </c>
      <c r="AH172" s="655">
        <v>339522684</v>
      </c>
      <c r="AI172" s="655">
        <v>17056000</v>
      </c>
      <c r="AJ172" s="655">
        <v>7038071</v>
      </c>
      <c r="AK172" s="655">
        <v>462500</v>
      </c>
      <c r="AL172" s="655">
        <v>2518715</v>
      </c>
      <c r="AM172" s="655">
        <v>4715924287</v>
      </c>
      <c r="AN172" s="654">
        <v>449</v>
      </c>
    </row>
    <row r="173" spans="3:40" ht="19.5" customHeight="1">
      <c r="D173" s="272"/>
      <c r="E173" s="659">
        <f>SUM(E168:E172)</f>
        <v>29857.400000000012</v>
      </c>
      <c r="F173" s="659">
        <f t="shared" ref="F173:W173" si="386">SUM(F168:F172)</f>
        <v>8368638858</v>
      </c>
      <c r="G173" s="659">
        <f t="shared" si="386"/>
        <v>1268</v>
      </c>
      <c r="H173" s="659">
        <f t="shared" si="386"/>
        <v>357930860</v>
      </c>
      <c r="I173" s="659">
        <f t="shared" si="386"/>
        <v>4824.6000000000004</v>
      </c>
      <c r="J173" s="659">
        <f t="shared" si="386"/>
        <v>52067044</v>
      </c>
      <c r="K173" s="659">
        <f t="shared" si="386"/>
        <v>8778636762</v>
      </c>
      <c r="L173" s="659">
        <f t="shared" si="386"/>
        <v>54408516</v>
      </c>
      <c r="M173" s="659">
        <f t="shared" si="386"/>
        <v>26366000</v>
      </c>
      <c r="N173" s="659">
        <f t="shared" si="386"/>
        <v>219600000</v>
      </c>
      <c r="O173" s="659">
        <f t="shared" si="386"/>
        <v>452000000</v>
      </c>
      <c r="P173" s="659">
        <f t="shared" si="386"/>
        <v>7392000</v>
      </c>
      <c r="Q173" s="659">
        <f t="shared" si="386"/>
        <v>348350000</v>
      </c>
      <c r="R173" s="659">
        <f t="shared" si="386"/>
        <v>369182944</v>
      </c>
      <c r="S173" s="659">
        <f t="shared" si="386"/>
        <v>0</v>
      </c>
      <c r="T173" s="659">
        <f t="shared" si="386"/>
        <v>0</v>
      </c>
      <c r="U173" s="659">
        <f t="shared" si="386"/>
        <v>26300000</v>
      </c>
      <c r="V173" s="659">
        <f t="shared" si="386"/>
        <v>6540079</v>
      </c>
      <c r="W173" s="659">
        <f t="shared" si="386"/>
        <v>34253625.0020926</v>
      </c>
      <c r="X173" s="659"/>
      <c r="Y173" s="659">
        <f t="shared" ref="Y173:AN173" si="387">SUM(Y168:Y172)</f>
        <v>0</v>
      </c>
      <c r="Z173" s="659">
        <f t="shared" si="387"/>
        <v>10323029945</v>
      </c>
      <c r="AA173" s="659">
        <f t="shared" si="387"/>
        <v>52607.5</v>
      </c>
      <c r="AB173" s="659">
        <f t="shared" si="387"/>
        <v>218.5</v>
      </c>
      <c r="AC173" s="659">
        <f t="shared" si="387"/>
        <v>882</v>
      </c>
      <c r="AD173" s="659">
        <f t="shared" si="387"/>
        <v>0</v>
      </c>
      <c r="AE173" s="659">
        <f t="shared" si="387"/>
        <v>4.5</v>
      </c>
      <c r="AF173" s="659">
        <f t="shared" si="387"/>
        <v>2545298596</v>
      </c>
      <c r="AG173" s="659">
        <f t="shared" si="387"/>
        <v>12868328541</v>
      </c>
      <c r="AH173" s="659">
        <f t="shared" si="387"/>
        <v>888974987</v>
      </c>
      <c r="AI173" s="659">
        <f t="shared" si="387"/>
        <v>47756800</v>
      </c>
      <c r="AJ173" s="659">
        <f t="shared" si="387"/>
        <v>14085959</v>
      </c>
      <c r="AK173" s="659">
        <f t="shared" si="387"/>
        <v>2412500</v>
      </c>
      <c r="AL173" s="659">
        <f t="shared" si="387"/>
        <v>3752433</v>
      </c>
      <c r="AM173" s="659">
        <f t="shared" si="387"/>
        <v>11911345862</v>
      </c>
      <c r="AN173" s="659">
        <f t="shared" si="387"/>
        <v>1228</v>
      </c>
    </row>
    <row r="174" spans="3:40" ht="19.5" customHeight="1">
      <c r="D174" s="665"/>
      <c r="E174" s="665"/>
      <c r="F174" s="666"/>
      <c r="G174" s="667"/>
      <c r="H174" s="666"/>
      <c r="I174" s="667"/>
      <c r="J174" s="666"/>
      <c r="K174" s="666"/>
      <c r="L174" s="666"/>
      <c r="M174" s="666"/>
      <c r="N174" s="666"/>
      <c r="O174" s="666"/>
      <c r="P174" s="666"/>
      <c r="Q174" s="666"/>
      <c r="R174" s="666"/>
      <c r="S174" s="668"/>
      <c r="T174" s="666"/>
      <c r="U174" s="666"/>
      <c r="V174" s="666"/>
      <c r="W174" s="666"/>
      <c r="X174" s="669"/>
      <c r="Y174" s="669"/>
      <c r="Z174" s="669"/>
      <c r="AA174" s="657"/>
      <c r="AB174" s="657"/>
      <c r="AC174" s="657"/>
      <c r="AD174" s="670"/>
      <c r="AE174" s="670"/>
      <c r="AF174" s="671"/>
      <c r="AG174" s="672"/>
      <c r="AH174" s="671"/>
      <c r="AI174" s="673"/>
      <c r="AJ174" s="671"/>
      <c r="AK174" s="657"/>
      <c r="AL174" s="657"/>
      <c r="AM174" s="669"/>
      <c r="AN174" s="675"/>
    </row>
    <row r="175" spans="3:40" ht="21.75" customHeight="1">
      <c r="C175" s="1605" t="str">
        <f>C182&amp;" Vs "&amp;C196</f>
        <v>Apr Vs Mar</v>
      </c>
      <c r="D175" s="654" t="s">
        <v>216</v>
      </c>
      <c r="E175" s="657">
        <f>+E182/E196</f>
        <v>0.90074155293302949</v>
      </c>
      <c r="F175" s="657">
        <f t="shared" ref="F175:H175" si="388">+F182/F196</f>
        <v>0.90263348463340054</v>
      </c>
      <c r="G175" s="657">
        <f t="shared" si="388"/>
        <v>147.66666666666666</v>
      </c>
      <c r="H175" s="657">
        <f t="shared" si="388"/>
        <v>125.01914329104984</v>
      </c>
      <c r="I175" s="657"/>
      <c r="J175" s="657"/>
      <c r="K175" s="657">
        <f t="shared" ref="K175:L175" si="389">+K182/K196</f>
        <v>1.0303312187576827</v>
      </c>
      <c r="L175" s="657">
        <f t="shared" si="389"/>
        <v>0.90499005968925572</v>
      </c>
      <c r="M175" s="657"/>
      <c r="N175" s="657">
        <f t="shared" ref="N175:R175" si="390">+N182/N196</f>
        <v>1.0218181818181817</v>
      </c>
      <c r="O175" s="657">
        <f t="shared" si="390"/>
        <v>1.0672268907563025</v>
      </c>
      <c r="P175" s="657">
        <f t="shared" si="390"/>
        <v>1</v>
      </c>
      <c r="Q175" s="657">
        <f t="shared" si="390"/>
        <v>1.0361757105943152</v>
      </c>
      <c r="R175" s="657">
        <f t="shared" si="390"/>
        <v>0.79818258736025161</v>
      </c>
      <c r="S175" s="657"/>
      <c r="T175" s="657"/>
      <c r="U175" s="657">
        <f t="shared" ref="U175:V175" si="391">+U182/U196</f>
        <v>1.0961538461538463</v>
      </c>
      <c r="V175" s="657">
        <f t="shared" si="391"/>
        <v>1.0274998438573482</v>
      </c>
      <c r="W175" s="657">
        <f t="shared" ref="W175" si="392">+W182/W196</f>
        <v>1.0150527751340395</v>
      </c>
      <c r="X175" s="657"/>
      <c r="Y175" s="657"/>
      <c r="Z175" s="657">
        <f t="shared" ref="Z175" si="393">+Z182/Z196</f>
        <v>1.0179484173620872</v>
      </c>
      <c r="AA175" s="657">
        <f>+AA182/AA196</f>
        <v>0.48587544921075376</v>
      </c>
      <c r="AB175" s="657"/>
      <c r="AC175" s="657"/>
      <c r="AD175" s="657" t="e">
        <f t="shared" ref="AD175:AF175" si="394">+AD182/AD196</f>
        <v>#DIV/0!</v>
      </c>
      <c r="AE175" s="657" t="e">
        <f t="shared" si="394"/>
        <v>#DIV/0!</v>
      </c>
      <c r="AF175" s="657">
        <f t="shared" si="394"/>
        <v>0.48722139882284921</v>
      </c>
      <c r="AG175" s="657">
        <f>+AG182/AG196</f>
        <v>0.91790868942597226</v>
      </c>
      <c r="AH175" s="657">
        <f t="shared" ref="AH175:AI175" si="395">+AH182/AH196</f>
        <v>1.0593528861206971</v>
      </c>
      <c r="AI175" s="657">
        <f t="shared" si="395"/>
        <v>1.0418250950570342</v>
      </c>
      <c r="AJ175" s="657">
        <f t="shared" ref="AC175:AK176" si="396">+AJ182/AJ196</f>
        <v>0.46927346989568935</v>
      </c>
      <c r="AK175" s="657">
        <f t="shared" ref="AK175" si="397">+AK182/AK196</f>
        <v>3.0808729139922979E-2</v>
      </c>
      <c r="AL175" s="657"/>
      <c r="AM175" s="657">
        <f t="shared" ref="AM175" si="398">+AM182/AM196</f>
        <v>0.90816187618952537</v>
      </c>
      <c r="AN175" s="503">
        <f>+AN182/AN196</f>
        <v>1.010600706713781</v>
      </c>
    </row>
    <row r="176" spans="3:40" ht="21.75" customHeight="1">
      <c r="C176" s="1605"/>
      <c r="D176" s="654" t="s">
        <v>217</v>
      </c>
      <c r="E176" s="657">
        <f t="shared" ref="E176:R176" si="399">+E183/E197</f>
        <v>0.88479314940312448</v>
      </c>
      <c r="F176" s="657">
        <f t="shared" si="399"/>
        <v>0.88790298197549999</v>
      </c>
      <c r="G176" s="657">
        <f t="shared" si="399"/>
        <v>149.33333333333334</v>
      </c>
      <c r="H176" s="657">
        <f t="shared" si="399"/>
        <v>137.83093205491477</v>
      </c>
      <c r="I176" s="657">
        <f t="shared" si="399"/>
        <v>0.84972704714640201</v>
      </c>
      <c r="J176" s="657">
        <f t="shared" si="399"/>
        <v>0.83993134796255087</v>
      </c>
      <c r="K176" s="657">
        <f t="shared" si="399"/>
        <v>1.0113284412554708</v>
      </c>
      <c r="L176" s="657">
        <f t="shared" si="399"/>
        <v>1.0360006572803155</v>
      </c>
      <c r="M176" s="657">
        <f t="shared" si="399"/>
        <v>0.84516129032258069</v>
      </c>
      <c r="N176" s="657">
        <f t="shared" si="399"/>
        <v>1.0142857142857142</v>
      </c>
      <c r="O176" s="657">
        <f t="shared" si="399"/>
        <v>0.99115044247787609</v>
      </c>
      <c r="P176" s="657">
        <f t="shared" si="399"/>
        <v>1</v>
      </c>
      <c r="Q176" s="657">
        <f t="shared" si="399"/>
        <v>1.0229257641921397</v>
      </c>
      <c r="R176" s="657">
        <f t="shared" si="399"/>
        <v>0.86501309358172285</v>
      </c>
      <c r="S176" s="657"/>
      <c r="T176" s="657"/>
      <c r="U176" s="657">
        <f t="shared" ref="U176:V176" si="400">+U183/U197</f>
        <v>1.0476190476190477</v>
      </c>
      <c r="V176" s="657">
        <f t="shared" si="400"/>
        <v>0.34051457257780726</v>
      </c>
      <c r="W176" s="657">
        <f t="shared" ref="W176" si="401">+W183/W197</f>
        <v>1.0194524556034048</v>
      </c>
      <c r="X176" s="657"/>
      <c r="Y176" s="657"/>
      <c r="Z176" s="657">
        <f t="shared" ref="Z176:AA176" si="402">+Z183/Z197</f>
        <v>1.0024638234870251</v>
      </c>
      <c r="AA176" s="657">
        <f t="shared" si="402"/>
        <v>0.84393338620142744</v>
      </c>
      <c r="AB176" s="657"/>
      <c r="AC176" s="657">
        <f t="shared" si="396"/>
        <v>0.45833333333333331</v>
      </c>
      <c r="AD176" s="657" t="e">
        <f t="shared" si="396"/>
        <v>#DIV/0!</v>
      </c>
      <c r="AE176" s="657" t="e">
        <f t="shared" si="396"/>
        <v>#DIV/0!</v>
      </c>
      <c r="AF176" s="657">
        <f t="shared" si="396"/>
        <v>0.82027384536926373</v>
      </c>
      <c r="AG176" s="657">
        <f t="shared" si="396"/>
        <v>0.9803000646959894</v>
      </c>
      <c r="AH176" s="657">
        <f t="shared" si="396"/>
        <v>1.0737608509201457</v>
      </c>
      <c r="AI176" s="657">
        <f t="shared" si="396"/>
        <v>1.1083333333333334</v>
      </c>
      <c r="AJ176" s="657">
        <f t="shared" si="396"/>
        <v>1.2076001311275801</v>
      </c>
      <c r="AK176" s="657">
        <f t="shared" si="396"/>
        <v>0.1078740157480315</v>
      </c>
      <c r="AL176" s="657"/>
      <c r="AM176" s="657">
        <f t="shared" ref="AM176:AN176" si="403">+AM183/AM197</f>
        <v>0.9730264860628709</v>
      </c>
      <c r="AN176" s="503">
        <f t="shared" si="403"/>
        <v>1.0205479452054795</v>
      </c>
    </row>
    <row r="177" spans="3:40" ht="21.75" customHeight="1">
      <c r="C177" s="1605"/>
      <c r="D177" s="654" t="s">
        <v>218</v>
      </c>
      <c r="E177" s="657">
        <f t="shared" ref="E177:H177" si="404">+E184/E198</f>
        <v>0.90326098353780049</v>
      </c>
      <c r="F177" s="657">
        <f t="shared" si="404"/>
        <v>0.89717281608149824</v>
      </c>
      <c r="G177" s="657">
        <f t="shared" si="404"/>
        <v>67.777777777777771</v>
      </c>
      <c r="H177" s="657">
        <f t="shared" si="404"/>
        <v>74.237819938309244</v>
      </c>
      <c r="I177" s="657"/>
      <c r="J177" s="657"/>
      <c r="K177" s="657">
        <f t="shared" ref="K177:L177" si="405">+K184/K198</f>
        <v>1.0213989206642473</v>
      </c>
      <c r="L177" s="657">
        <f t="shared" si="405"/>
        <v>1.033472062064271</v>
      </c>
      <c r="M177" s="657"/>
      <c r="N177" s="657">
        <f t="shared" ref="N177:R177" si="406">+N184/N198</f>
        <v>1.0213903743315509</v>
      </c>
      <c r="O177" s="657">
        <f t="shared" si="406"/>
        <v>1.0186335403726707</v>
      </c>
      <c r="P177" s="657">
        <f t="shared" si="406"/>
        <v>1</v>
      </c>
      <c r="Q177" s="657">
        <f t="shared" si="406"/>
        <v>0.85865457294028724</v>
      </c>
      <c r="R177" s="657">
        <f t="shared" si="406"/>
        <v>0.64813034883024556</v>
      </c>
      <c r="S177" s="657"/>
      <c r="T177" s="657"/>
      <c r="U177" s="657">
        <f t="shared" ref="U177:V177" si="407">+U184/U198</f>
        <v>1.0188679245283019</v>
      </c>
      <c r="V177" s="657">
        <f t="shared" si="407"/>
        <v>4.70759922042095</v>
      </c>
      <c r="W177" s="657">
        <f t="shared" ref="W177" si="408">+W184/W198</f>
        <v>1.0196648254021825</v>
      </c>
      <c r="X177" s="657"/>
      <c r="Y177" s="657"/>
      <c r="Z177" s="657">
        <f t="shared" ref="Z177:AA177" si="409">+Z184/Z198</f>
        <v>0.99066685940438071</v>
      </c>
      <c r="AA177" s="657">
        <f t="shared" si="409"/>
        <v>1.0786080343858488</v>
      </c>
      <c r="AB177" s="657"/>
      <c r="AC177" s="657"/>
      <c r="AD177" s="657" t="e">
        <f t="shared" ref="AD177:AK177" si="410">+AD184/AD198</f>
        <v>#DIV/0!</v>
      </c>
      <c r="AE177" s="657" t="e">
        <f t="shared" si="410"/>
        <v>#DIV/0!</v>
      </c>
      <c r="AF177" s="657">
        <f t="shared" si="410"/>
        <v>1.0678935708353385</v>
      </c>
      <c r="AG177" s="657">
        <f t="shared" si="410"/>
        <v>1.0028099859519739</v>
      </c>
      <c r="AH177" s="657">
        <f t="shared" si="410"/>
        <v>1.0112240427664425</v>
      </c>
      <c r="AI177" s="657">
        <f t="shared" si="410"/>
        <v>1.0228571428571429</v>
      </c>
      <c r="AJ177" s="657">
        <f t="shared" si="410"/>
        <v>1.1288650671251232</v>
      </c>
      <c r="AK177" s="657">
        <f t="shared" si="410"/>
        <v>0.22204472843450479</v>
      </c>
      <c r="AL177" s="657"/>
      <c r="AM177" s="657">
        <f t="shared" ref="AM177:AN177" si="411">+AM184/AM198</f>
        <v>1.0036465660267488</v>
      </c>
      <c r="AN177" s="503">
        <f t="shared" si="411"/>
        <v>1.0301507537688441</v>
      </c>
    </row>
    <row r="178" spans="3:40" ht="21.75" customHeight="1">
      <c r="C178" s="1605"/>
      <c r="D178" s="654" t="s">
        <v>220</v>
      </c>
      <c r="E178" s="657">
        <f t="shared" ref="E178:H178" si="412">+E185/E199</f>
        <v>0.89584762306758869</v>
      </c>
      <c r="F178" s="657">
        <f t="shared" si="412"/>
        <v>0.898282806516562</v>
      </c>
      <c r="G178" s="657">
        <f t="shared" si="412"/>
        <v>45.8</v>
      </c>
      <c r="H178" s="657">
        <f t="shared" si="412"/>
        <v>55.069863185106257</v>
      </c>
      <c r="I178" s="657"/>
      <c r="J178" s="657"/>
      <c r="K178" s="657">
        <f t="shared" ref="K178:R178" si="413">+K185/K199</f>
        <v>1.0172401981384418</v>
      </c>
      <c r="L178" s="657">
        <f t="shared" si="413"/>
        <v>1.0135474375618596</v>
      </c>
      <c r="M178" s="657">
        <f t="shared" si="413"/>
        <v>0.46247818499127402</v>
      </c>
      <c r="N178" s="657">
        <f t="shared" si="413"/>
        <v>1.0106382978723405</v>
      </c>
      <c r="O178" s="657">
        <f t="shared" si="413"/>
        <v>1.075</v>
      </c>
      <c r="P178" s="657">
        <f t="shared" si="413"/>
        <v>0.98285714285714287</v>
      </c>
      <c r="Q178" s="657">
        <f t="shared" si="413"/>
        <v>1.0446685878962536</v>
      </c>
      <c r="R178" s="657">
        <f t="shared" si="413"/>
        <v>0.98911396106573024</v>
      </c>
      <c r="S178" s="657"/>
      <c r="T178" s="657"/>
      <c r="U178" s="657">
        <f t="shared" ref="U178:W178" si="414">+U185/U199</f>
        <v>1.0303030303030303</v>
      </c>
      <c r="V178" s="657">
        <f t="shared" si="414"/>
        <v>1.1436034220953089</v>
      </c>
      <c r="W178" s="657">
        <f t="shared" si="414"/>
        <v>1.0327577207800454</v>
      </c>
      <c r="X178" s="657"/>
      <c r="Y178" s="657"/>
      <c r="Z178" s="657">
        <f t="shared" ref="Z178:AB178" si="415">+Z185/Z199</f>
        <v>1.0187150404671041</v>
      </c>
      <c r="AA178" s="657">
        <f t="shared" si="415"/>
        <v>1.3132115435530844</v>
      </c>
      <c r="AB178" s="657">
        <f t="shared" si="415"/>
        <v>0</v>
      </c>
      <c r="AC178" s="657"/>
      <c r="AD178" s="657" t="e">
        <f t="shared" ref="AD178:AK178" si="416">+AD185/AD199</f>
        <v>#DIV/0!</v>
      </c>
      <c r="AE178" s="657" t="e">
        <f t="shared" si="416"/>
        <v>#DIV/0!</v>
      </c>
      <c r="AF178" s="657">
        <f t="shared" si="416"/>
        <v>1.1565095211799938</v>
      </c>
      <c r="AG178" s="657">
        <f t="shared" si="416"/>
        <v>1.0278223729985891</v>
      </c>
      <c r="AH178" s="657">
        <f t="shared" si="416"/>
        <v>1.0123337789482341</v>
      </c>
      <c r="AI178" s="657">
        <f t="shared" si="416"/>
        <v>0.99315068493150682</v>
      </c>
      <c r="AJ178" s="657">
        <f t="shared" si="416"/>
        <v>1.030140414374705</v>
      </c>
      <c r="AK178" s="657">
        <f t="shared" si="416"/>
        <v>0.40939299955693398</v>
      </c>
      <c r="AL178" s="657"/>
      <c r="AM178" s="657">
        <f t="shared" ref="AM178:AN178" si="417">+AM185/AM199</f>
        <v>1.0303207920066957</v>
      </c>
      <c r="AN178" s="503">
        <f t="shared" si="417"/>
        <v>0.96815286624203822</v>
      </c>
    </row>
    <row r="179" spans="3:40" s="653" customFormat="1" ht="21.75" customHeight="1">
      <c r="C179" s="1605"/>
      <c r="D179" s="656" t="s">
        <v>221</v>
      </c>
      <c r="E179" s="657">
        <f t="shared" ref="E179:R179" si="418">+E186/E200</f>
        <v>0.88529808814944455</v>
      </c>
      <c r="F179" s="657">
        <f t="shared" si="418"/>
        <v>0.89738224562161717</v>
      </c>
      <c r="G179" s="657">
        <f t="shared" si="418"/>
        <v>57.583333333333336</v>
      </c>
      <c r="H179" s="657">
        <f t="shared" si="418"/>
        <v>54.440533099467331</v>
      </c>
      <c r="I179" s="657">
        <f t="shared" si="418"/>
        <v>1.1549447288374508</v>
      </c>
      <c r="J179" s="657">
        <f t="shared" si="418"/>
        <v>1.1712828575812109</v>
      </c>
      <c r="K179" s="657">
        <f t="shared" si="418"/>
        <v>1.0229260921370824</v>
      </c>
      <c r="L179" s="657">
        <f t="shared" si="418"/>
        <v>1.026298580847081</v>
      </c>
      <c r="M179" s="657">
        <f t="shared" si="418"/>
        <v>1.0864732479276564</v>
      </c>
      <c r="N179" s="657">
        <f t="shared" si="418"/>
        <v>1.0148883374689825</v>
      </c>
      <c r="O179" s="657">
        <f t="shared" si="418"/>
        <v>1.0248447204968945</v>
      </c>
      <c r="P179" s="657">
        <f t="shared" si="418"/>
        <v>0.64650112866817155</v>
      </c>
      <c r="Q179" s="657">
        <f t="shared" si="418"/>
        <v>0.95632653061224493</v>
      </c>
      <c r="R179" s="657">
        <f t="shared" si="418"/>
        <v>0.96812651499974844</v>
      </c>
      <c r="S179" s="657"/>
      <c r="T179" s="657"/>
      <c r="U179" s="657">
        <f t="shared" ref="U179:W179" si="419">+U186/U200</f>
        <v>1.043956043956044</v>
      </c>
      <c r="V179" s="657">
        <f t="shared" si="419"/>
        <v>0.44312327583711658</v>
      </c>
      <c r="W179" s="657">
        <f t="shared" si="419"/>
        <v>1.0223671277475981</v>
      </c>
      <c r="X179" s="657"/>
      <c r="Y179" s="657"/>
      <c r="Z179" s="657">
        <f t="shared" ref="Z179:AC179" si="420">+Z186/Z200</f>
        <v>1.0187843133286685</v>
      </c>
      <c r="AA179" s="657">
        <f t="shared" si="420"/>
        <v>2.6002824858757063</v>
      </c>
      <c r="AB179" s="657">
        <f t="shared" si="420"/>
        <v>0.46839729119638829</v>
      </c>
      <c r="AC179" s="657">
        <f t="shared" si="420"/>
        <v>2.6296296296296298</v>
      </c>
      <c r="AD179" s="657" t="e">
        <f t="shared" ref="AD179:AK179" si="421">+AD186/AD200</f>
        <v>#DIV/0!</v>
      </c>
      <c r="AE179" s="657" t="e">
        <f t="shared" si="421"/>
        <v>#DIV/0!</v>
      </c>
      <c r="AF179" s="657">
        <f t="shared" si="421"/>
        <v>2.0184264321378209</v>
      </c>
      <c r="AG179" s="657">
        <f t="shared" si="421"/>
        <v>1.1264693965234911</v>
      </c>
      <c r="AH179" s="657">
        <f t="shared" si="421"/>
        <v>1.069037821632332</v>
      </c>
      <c r="AI179" s="657">
        <f t="shared" si="421"/>
        <v>1.1040000000000001</v>
      </c>
      <c r="AJ179" s="657">
        <f t="shared" si="421"/>
        <v>0.91967207352772362</v>
      </c>
      <c r="AK179" s="657">
        <f t="shared" si="421"/>
        <v>0.4120734908136483</v>
      </c>
      <c r="AL179" s="657"/>
      <c r="AM179" s="657">
        <f t="shared" ref="AM179:AN179" si="422">+AM186/AM200</f>
        <v>1.1318870576441837</v>
      </c>
      <c r="AN179" s="503">
        <f t="shared" si="422"/>
        <v>0.99349240780911063</v>
      </c>
    </row>
    <row r="180" spans="3:40" s="492" customFormat="1" ht="21.75" customHeight="1">
      <c r="D180" s="676" t="s">
        <v>79</v>
      </c>
      <c r="E180" s="677">
        <f t="shared" ref="E180:R180" si="423">+E187/E201</f>
        <v>0.89300009339435082</v>
      </c>
      <c r="F180" s="677">
        <f t="shared" si="423"/>
        <v>0.89752298727753266</v>
      </c>
      <c r="G180" s="677">
        <f t="shared" si="423"/>
        <v>72.769230769230774</v>
      </c>
      <c r="H180" s="677">
        <f t="shared" si="423"/>
        <v>69.3523791269985</v>
      </c>
      <c r="I180" s="677">
        <f t="shared" si="423"/>
        <v>1.0719088380633488</v>
      </c>
      <c r="J180" s="677">
        <f t="shared" si="423"/>
        <v>1.0940096850896002</v>
      </c>
      <c r="K180" s="677">
        <f t="shared" si="423"/>
        <v>1.0218489625926634</v>
      </c>
      <c r="L180" s="677">
        <f t="shared" si="423"/>
        <v>1.0179148834836573</v>
      </c>
      <c r="M180" s="677">
        <f t="shared" si="423"/>
        <v>1.0018876611418048</v>
      </c>
      <c r="N180" s="677">
        <f t="shared" si="423"/>
        <v>1.0172884440400365</v>
      </c>
      <c r="O180" s="677">
        <f t="shared" si="423"/>
        <v>1.0350109409190371</v>
      </c>
      <c r="P180" s="677">
        <f t="shared" si="423"/>
        <v>0.82023968042609852</v>
      </c>
      <c r="Q180" s="677">
        <f t="shared" si="423"/>
        <v>0.97649631046734076</v>
      </c>
      <c r="R180" s="677">
        <f t="shared" si="423"/>
        <v>0.82472206695018357</v>
      </c>
      <c r="S180" s="677"/>
      <c r="T180" s="677"/>
      <c r="U180" s="677">
        <f t="shared" ref="U180:W180" si="424">+U187/U201</f>
        <v>1.048</v>
      </c>
      <c r="V180" s="677">
        <f t="shared" si="424"/>
        <v>0.95641663671998489</v>
      </c>
      <c r="W180" s="677">
        <f t="shared" si="424"/>
        <v>1.0215717437108807</v>
      </c>
      <c r="X180" s="677"/>
      <c r="Y180" s="677"/>
      <c r="Z180" s="677">
        <f t="shared" ref="Z180:AA180" si="425">+Z187/Z201</f>
        <v>1.0128914912064233</v>
      </c>
      <c r="AA180" s="677">
        <f t="shared" si="425"/>
        <v>1.1974312245075067</v>
      </c>
      <c r="AB180" s="677"/>
      <c r="AC180" s="677">
        <f t="shared" ref="AC180:AK180" si="426">+AC187/AC201</f>
        <v>1.9615384615384615</v>
      </c>
      <c r="AD180" s="677" t="e">
        <f t="shared" si="426"/>
        <v>#DIV/0!</v>
      </c>
      <c r="AE180" s="677" t="e">
        <f t="shared" si="426"/>
        <v>#DIV/0!</v>
      </c>
      <c r="AF180" s="677">
        <f t="shared" si="426"/>
        <v>1.1539444953031919</v>
      </c>
      <c r="AG180" s="677">
        <f t="shared" si="426"/>
        <v>1.0308713562784642</v>
      </c>
      <c r="AH180" s="677">
        <f t="shared" si="426"/>
        <v>1.0489983597213124</v>
      </c>
      <c r="AI180" s="677">
        <f t="shared" si="426"/>
        <v>1.0611677479147359</v>
      </c>
      <c r="AJ180" s="677">
        <f t="shared" si="426"/>
        <v>0.96595837081676406</v>
      </c>
      <c r="AK180" s="677">
        <f t="shared" si="426"/>
        <v>0.23993872719676926</v>
      </c>
      <c r="AL180" s="677"/>
      <c r="AM180" s="677">
        <f t="shared" ref="AM180:AN180" si="427">+AM187/AM201</f>
        <v>1.0301231351163009</v>
      </c>
      <c r="AN180" s="677">
        <f t="shared" si="427"/>
        <v>1.0032102728731942</v>
      </c>
    </row>
    <row r="181" spans="3:40" ht="21.75" customHeight="1">
      <c r="J181" s="349"/>
    </row>
    <row r="182" spans="3:40" ht="19.5" customHeight="1">
      <c r="C182" s="1610" t="s">
        <v>66</v>
      </c>
      <c r="D182" s="654" t="s">
        <v>216</v>
      </c>
      <c r="E182" s="655">
        <v>6243.4000000000024</v>
      </c>
      <c r="F182" s="655">
        <v>1469279645</v>
      </c>
      <c r="G182" s="655">
        <v>886</v>
      </c>
      <c r="H182" s="655">
        <v>209589843</v>
      </c>
      <c r="I182" s="655">
        <v>0</v>
      </c>
      <c r="J182" s="655">
        <v>0</v>
      </c>
      <c r="K182" s="655">
        <v>1678869488</v>
      </c>
      <c r="L182" s="655">
        <v>763846</v>
      </c>
      <c r="M182" s="655">
        <v>0</v>
      </c>
      <c r="N182" s="655">
        <v>56200000</v>
      </c>
      <c r="O182" s="655">
        <v>127000000</v>
      </c>
      <c r="P182" s="655">
        <v>1032000</v>
      </c>
      <c r="Q182" s="655">
        <v>100250000</v>
      </c>
      <c r="R182" s="655">
        <v>102743277</v>
      </c>
      <c r="S182" s="655">
        <v>0</v>
      </c>
      <c r="T182" s="655">
        <v>0</v>
      </c>
      <c r="U182" s="655">
        <v>5700000</v>
      </c>
      <c r="V182" s="655">
        <v>493539</v>
      </c>
      <c r="W182" s="655">
        <v>9243988.0106227454</v>
      </c>
      <c r="X182" s="655"/>
      <c r="Y182" s="655">
        <v>0</v>
      </c>
      <c r="Z182" s="655">
        <v>2082296138</v>
      </c>
      <c r="AA182" s="655">
        <v>5340.5</v>
      </c>
      <c r="AB182" s="655">
        <v>0</v>
      </c>
      <c r="AC182" s="655">
        <v>0</v>
      </c>
      <c r="AD182" s="655">
        <v>0</v>
      </c>
      <c r="AE182" s="655">
        <v>0</v>
      </c>
      <c r="AF182" s="655">
        <v>231501347</v>
      </c>
      <c r="AG182" s="655">
        <v>2313797485</v>
      </c>
      <c r="AH182" s="655">
        <v>179975464</v>
      </c>
      <c r="AI182" s="655">
        <v>11398400</v>
      </c>
      <c r="AJ182" s="655">
        <v>105587</v>
      </c>
      <c r="AK182" s="655">
        <v>120000</v>
      </c>
      <c r="AL182" s="655">
        <v>936590</v>
      </c>
      <c r="AM182" s="655">
        <v>2121261444</v>
      </c>
      <c r="AN182" s="654">
        <v>286</v>
      </c>
    </row>
    <row r="183" spans="3:40" ht="19.5" customHeight="1">
      <c r="C183" s="1610"/>
      <c r="D183" s="654" t="s">
        <v>217</v>
      </c>
      <c r="E183" s="655">
        <v>3120.400000000001</v>
      </c>
      <c r="F183" s="655">
        <v>800312777</v>
      </c>
      <c r="G183" s="655">
        <v>448</v>
      </c>
      <c r="H183" s="655">
        <v>113678680</v>
      </c>
      <c r="I183" s="655">
        <v>856.1</v>
      </c>
      <c r="J183" s="655">
        <v>7815473</v>
      </c>
      <c r="K183" s="655">
        <v>921806930</v>
      </c>
      <c r="L183" s="655">
        <v>996154</v>
      </c>
      <c r="M183" s="655">
        <v>3930000</v>
      </c>
      <c r="N183" s="655">
        <v>28400000</v>
      </c>
      <c r="O183" s="655">
        <v>56000000</v>
      </c>
      <c r="P183" s="655">
        <v>200000</v>
      </c>
      <c r="Q183" s="655">
        <v>46850000</v>
      </c>
      <c r="R183" s="655">
        <v>47552466</v>
      </c>
      <c r="S183" s="655">
        <v>0</v>
      </c>
      <c r="T183" s="655">
        <v>0</v>
      </c>
      <c r="U183" s="655">
        <v>2200000</v>
      </c>
      <c r="V183" s="655">
        <v>305778</v>
      </c>
      <c r="W183" s="655">
        <v>2790317.324875698</v>
      </c>
      <c r="X183" s="655"/>
      <c r="Y183" s="655">
        <v>0</v>
      </c>
      <c r="Z183" s="655">
        <v>1111031644</v>
      </c>
      <c r="AA183" s="655">
        <v>2660.5</v>
      </c>
      <c r="AB183" s="655">
        <v>0</v>
      </c>
      <c r="AC183" s="655">
        <v>22</v>
      </c>
      <c r="AD183" s="655">
        <v>0</v>
      </c>
      <c r="AE183" s="655">
        <v>0</v>
      </c>
      <c r="AF183" s="655">
        <v>125912502</v>
      </c>
      <c r="AG183" s="655">
        <v>1236944146</v>
      </c>
      <c r="AH183" s="655">
        <v>95241809</v>
      </c>
      <c r="AI183" s="655">
        <v>5532800</v>
      </c>
      <c r="AJ183" s="655">
        <v>412579</v>
      </c>
      <c r="AK183" s="655">
        <v>137000</v>
      </c>
      <c r="AL183" s="655">
        <v>585897</v>
      </c>
      <c r="AM183" s="655">
        <v>1135034061</v>
      </c>
      <c r="AN183" s="654">
        <v>149</v>
      </c>
    </row>
    <row r="184" spans="3:40" ht="19.5" customHeight="1">
      <c r="C184" s="1610"/>
      <c r="D184" s="654" t="s">
        <v>218</v>
      </c>
      <c r="E184" s="655">
        <v>4307.2000000000025</v>
      </c>
      <c r="F184" s="655">
        <v>985882229</v>
      </c>
      <c r="G184" s="655">
        <v>610</v>
      </c>
      <c r="H184" s="655">
        <v>138413520</v>
      </c>
      <c r="I184" s="655">
        <v>0</v>
      </c>
      <c r="J184" s="655">
        <v>0</v>
      </c>
      <c r="K184" s="655">
        <v>1124295749</v>
      </c>
      <c r="L184" s="655">
        <v>665000</v>
      </c>
      <c r="M184" s="655">
        <v>0</v>
      </c>
      <c r="N184" s="655">
        <v>38200000</v>
      </c>
      <c r="O184" s="655">
        <v>82000000</v>
      </c>
      <c r="P184" s="655">
        <v>200000</v>
      </c>
      <c r="Q184" s="655">
        <v>56800000</v>
      </c>
      <c r="R184" s="655">
        <v>57120193</v>
      </c>
      <c r="S184" s="655">
        <v>0</v>
      </c>
      <c r="T184" s="655">
        <v>0</v>
      </c>
      <c r="U184" s="655">
        <v>5400000</v>
      </c>
      <c r="V184" s="655">
        <v>1685989</v>
      </c>
      <c r="W184" s="655">
        <v>6403629.9043366639</v>
      </c>
      <c r="X184" s="655"/>
      <c r="Y184" s="655">
        <v>0</v>
      </c>
      <c r="Z184" s="655">
        <v>1372770578</v>
      </c>
      <c r="AA184" s="655">
        <v>6524.5</v>
      </c>
      <c r="AB184" s="655">
        <v>0</v>
      </c>
      <c r="AC184" s="655">
        <v>0</v>
      </c>
      <c r="AD184" s="655">
        <v>0</v>
      </c>
      <c r="AE184" s="655">
        <v>0</v>
      </c>
      <c r="AF184" s="655">
        <v>276094245</v>
      </c>
      <c r="AG184" s="655">
        <v>1648864823</v>
      </c>
      <c r="AH184" s="655">
        <v>113670375</v>
      </c>
      <c r="AI184" s="655">
        <v>7446400</v>
      </c>
      <c r="AJ184" s="655">
        <v>714400</v>
      </c>
      <c r="AK184" s="655">
        <v>695000</v>
      </c>
      <c r="AL184" s="655">
        <v>0</v>
      </c>
      <c r="AM184" s="655">
        <v>1526338648</v>
      </c>
      <c r="AN184" s="654">
        <v>205</v>
      </c>
    </row>
    <row r="185" spans="3:40" ht="19.5" customHeight="1">
      <c r="C185" s="1610"/>
      <c r="D185" s="654" t="s">
        <v>220</v>
      </c>
      <c r="E185" s="655">
        <v>3395.8000000000011</v>
      </c>
      <c r="F185" s="655">
        <v>1399402703</v>
      </c>
      <c r="G185" s="655">
        <v>458</v>
      </c>
      <c r="H185" s="655">
        <v>188807081</v>
      </c>
      <c r="I185" s="655">
        <v>0</v>
      </c>
      <c r="J185" s="655">
        <v>0</v>
      </c>
      <c r="K185" s="655">
        <v>1588209784</v>
      </c>
      <c r="L185" s="655">
        <v>28386342</v>
      </c>
      <c r="M185" s="655">
        <v>530000</v>
      </c>
      <c r="N185" s="655">
        <v>19000000</v>
      </c>
      <c r="O185" s="655">
        <v>43000000</v>
      </c>
      <c r="P185" s="655">
        <v>3096000</v>
      </c>
      <c r="Q185" s="655">
        <v>36250000</v>
      </c>
      <c r="R185" s="655">
        <v>17703432</v>
      </c>
      <c r="S185" s="655">
        <v>0</v>
      </c>
      <c r="T185" s="655">
        <v>0</v>
      </c>
      <c r="U185" s="655">
        <v>3400000</v>
      </c>
      <c r="V185" s="655">
        <v>2004826</v>
      </c>
      <c r="W185" s="655">
        <v>6375382.2399472846</v>
      </c>
      <c r="X185" s="655"/>
      <c r="Y185" s="655">
        <v>0</v>
      </c>
      <c r="Z185" s="655">
        <v>1747955769</v>
      </c>
      <c r="AA185" s="655">
        <v>2480</v>
      </c>
      <c r="AB185" s="655">
        <v>0</v>
      </c>
      <c r="AC185" s="655">
        <v>0</v>
      </c>
      <c r="AD185" s="655">
        <v>0</v>
      </c>
      <c r="AE185" s="655">
        <v>0</v>
      </c>
      <c r="AF185" s="655">
        <v>140437455</v>
      </c>
      <c r="AG185" s="655">
        <v>1888393224</v>
      </c>
      <c r="AH185" s="655">
        <v>166736430</v>
      </c>
      <c r="AI185" s="655">
        <v>6032000</v>
      </c>
      <c r="AJ185" s="655">
        <v>3104631</v>
      </c>
      <c r="AK185" s="655">
        <v>924000</v>
      </c>
      <c r="AL185" s="655">
        <v>0</v>
      </c>
      <c r="AM185" s="655">
        <v>1711596163</v>
      </c>
      <c r="AN185" s="654">
        <v>152</v>
      </c>
    </row>
    <row r="186" spans="3:40" ht="19.5" customHeight="1">
      <c r="C186" s="1610"/>
      <c r="D186" s="654" t="s">
        <v>221</v>
      </c>
      <c r="E186" s="655">
        <v>9705.6999999999898</v>
      </c>
      <c r="F186" s="655">
        <v>2847609133</v>
      </c>
      <c r="G186" s="655">
        <v>1382</v>
      </c>
      <c r="H186" s="655">
        <v>401383681</v>
      </c>
      <c r="I186" s="655">
        <v>3113.5</v>
      </c>
      <c r="J186" s="655">
        <v>35835392</v>
      </c>
      <c r="K186" s="655">
        <v>3284828206</v>
      </c>
      <c r="L186" s="655">
        <v>23287308</v>
      </c>
      <c r="M186" s="655">
        <v>17301000</v>
      </c>
      <c r="N186" s="655">
        <v>81800000</v>
      </c>
      <c r="O186" s="655">
        <v>165000000</v>
      </c>
      <c r="P186" s="655">
        <v>2864000</v>
      </c>
      <c r="Q186" s="655">
        <v>117150000</v>
      </c>
      <c r="R186" s="655">
        <v>93313313</v>
      </c>
      <c r="S186" s="655">
        <v>0</v>
      </c>
      <c r="T186" s="655">
        <v>0</v>
      </c>
      <c r="U186" s="655">
        <v>9500000</v>
      </c>
      <c r="V186" s="655">
        <v>995102</v>
      </c>
      <c r="W186" s="655">
        <v>10400105.792947885</v>
      </c>
      <c r="X186" s="655"/>
      <c r="Y186" s="655">
        <v>0</v>
      </c>
      <c r="Z186" s="655">
        <v>3806439037</v>
      </c>
      <c r="AA186" s="655">
        <v>17489.5</v>
      </c>
      <c r="AB186" s="655">
        <v>207.5</v>
      </c>
      <c r="AC186" s="655">
        <v>284</v>
      </c>
      <c r="AD186" s="655">
        <v>0</v>
      </c>
      <c r="AE186" s="655">
        <v>0</v>
      </c>
      <c r="AF186" s="655">
        <v>910460621</v>
      </c>
      <c r="AG186" s="655">
        <v>4716899658</v>
      </c>
      <c r="AH186" s="655">
        <v>337654110</v>
      </c>
      <c r="AI186" s="655">
        <v>17222400</v>
      </c>
      <c r="AJ186" s="655">
        <v>5311624</v>
      </c>
      <c r="AK186" s="655">
        <v>1570000</v>
      </c>
      <c r="AL186" s="655">
        <v>1568495</v>
      </c>
      <c r="AM186" s="655">
        <v>4353573029</v>
      </c>
      <c r="AN186" s="654">
        <v>458</v>
      </c>
    </row>
    <row r="187" spans="3:40" ht="19.5" customHeight="1">
      <c r="D187" s="272"/>
      <c r="E187" s="659">
        <f>SUM(E182:E186)</f>
        <v>26772.499999999996</v>
      </c>
      <c r="F187" s="659">
        <f t="shared" ref="F187:W187" si="428">SUM(F182:F186)</f>
        <v>7502486487</v>
      </c>
      <c r="G187" s="659">
        <f t="shared" si="428"/>
        <v>3784</v>
      </c>
      <c r="H187" s="659">
        <f t="shared" si="428"/>
        <v>1051872805</v>
      </c>
      <c r="I187" s="659">
        <f t="shared" si="428"/>
        <v>3969.6</v>
      </c>
      <c r="J187" s="659">
        <f t="shared" si="428"/>
        <v>43650865</v>
      </c>
      <c r="K187" s="659">
        <f t="shared" si="428"/>
        <v>8598010157</v>
      </c>
      <c r="L187" s="659">
        <f t="shared" si="428"/>
        <v>54098650</v>
      </c>
      <c r="M187" s="659">
        <f t="shared" si="428"/>
        <v>21761000</v>
      </c>
      <c r="N187" s="659">
        <f t="shared" si="428"/>
        <v>223600000</v>
      </c>
      <c r="O187" s="659">
        <f t="shared" si="428"/>
        <v>473000000</v>
      </c>
      <c r="P187" s="659">
        <f t="shared" si="428"/>
        <v>7392000</v>
      </c>
      <c r="Q187" s="659">
        <f t="shared" si="428"/>
        <v>357300000</v>
      </c>
      <c r="R187" s="659">
        <f t="shared" si="428"/>
        <v>318432681</v>
      </c>
      <c r="S187" s="659">
        <f t="shared" si="428"/>
        <v>0</v>
      </c>
      <c r="T187" s="659">
        <f t="shared" si="428"/>
        <v>0</v>
      </c>
      <c r="U187" s="659">
        <f t="shared" si="428"/>
        <v>26200000</v>
      </c>
      <c r="V187" s="659">
        <f t="shared" si="428"/>
        <v>5485234</v>
      </c>
      <c r="W187" s="659">
        <f t="shared" si="428"/>
        <v>35213423.272730276</v>
      </c>
      <c r="X187" s="659"/>
      <c r="Y187" s="659">
        <f t="shared" ref="Y187:AN187" si="429">SUM(Y182:Y186)</f>
        <v>0</v>
      </c>
      <c r="Z187" s="659">
        <f t="shared" si="429"/>
        <v>10120493166</v>
      </c>
      <c r="AA187" s="659">
        <f t="shared" si="429"/>
        <v>34495</v>
      </c>
      <c r="AB187" s="659">
        <f t="shared" si="429"/>
        <v>207.5</v>
      </c>
      <c r="AC187" s="659">
        <f t="shared" si="429"/>
        <v>306</v>
      </c>
      <c r="AD187" s="659">
        <f t="shared" si="429"/>
        <v>0</v>
      </c>
      <c r="AE187" s="659">
        <f t="shared" si="429"/>
        <v>0</v>
      </c>
      <c r="AF187" s="659">
        <f t="shared" si="429"/>
        <v>1684406170</v>
      </c>
      <c r="AG187" s="659">
        <f t="shared" si="429"/>
        <v>11804899336</v>
      </c>
      <c r="AH187" s="659">
        <f t="shared" si="429"/>
        <v>893278188</v>
      </c>
      <c r="AI187" s="659">
        <f t="shared" si="429"/>
        <v>47632000</v>
      </c>
      <c r="AJ187" s="659">
        <f t="shared" si="429"/>
        <v>9648821</v>
      </c>
      <c r="AK187" s="659">
        <f t="shared" si="429"/>
        <v>3446000</v>
      </c>
      <c r="AL187" s="659">
        <f t="shared" si="429"/>
        <v>3090982</v>
      </c>
      <c r="AM187" s="659">
        <f t="shared" si="429"/>
        <v>10847803345</v>
      </c>
      <c r="AN187" s="659">
        <f t="shared" si="429"/>
        <v>1250</v>
      </c>
    </row>
    <row r="188" spans="3:40" ht="19.5" customHeight="1">
      <c r="D188" s="665"/>
      <c r="E188" s="665"/>
      <c r="F188" s="666"/>
      <c r="G188" s="667"/>
      <c r="H188" s="666"/>
      <c r="I188" s="667"/>
      <c r="J188" s="666"/>
      <c r="K188" s="666"/>
      <c r="L188" s="666"/>
      <c r="M188" s="666"/>
      <c r="N188" s="666"/>
      <c r="O188" s="666"/>
      <c r="P188" s="666"/>
      <c r="Q188" s="666"/>
      <c r="R188" s="666"/>
      <c r="S188" s="668"/>
      <c r="T188" s="666"/>
      <c r="U188" s="666"/>
      <c r="V188" s="666"/>
      <c r="W188" s="666"/>
      <c r="X188" s="669"/>
      <c r="Y188" s="669"/>
      <c r="Z188" s="669"/>
      <c r="AA188" s="657"/>
      <c r="AB188" s="657"/>
      <c r="AC188" s="657"/>
      <c r="AD188" s="670"/>
      <c r="AE188" s="670"/>
      <c r="AF188" s="671"/>
      <c r="AG188" s="672"/>
      <c r="AH188" s="671"/>
      <c r="AI188" s="673"/>
      <c r="AJ188" s="671"/>
      <c r="AK188" s="657"/>
      <c r="AL188" s="657"/>
      <c r="AM188" s="669"/>
      <c r="AN188" s="675"/>
    </row>
    <row r="189" spans="3:40" ht="21.75" customHeight="1">
      <c r="C189" s="1605" t="str">
        <f>C196&amp;" Vs "&amp;C210</f>
        <v>Mar Vs Feb</v>
      </c>
      <c r="D189" s="654" t="s">
        <v>216</v>
      </c>
      <c r="E189" s="657">
        <f>+E196/E210</f>
        <v>1.763759892109213</v>
      </c>
      <c r="F189" s="657">
        <f t="shared" ref="F189:H189" si="430">+F196/F210</f>
        <v>1.6863246960641429</v>
      </c>
      <c r="G189" s="657">
        <f t="shared" si="430"/>
        <v>2.7522935779816515E-3</v>
      </c>
      <c r="H189" s="657">
        <f t="shared" si="430"/>
        <v>3.1284511246294946E-3</v>
      </c>
      <c r="I189" s="657"/>
      <c r="J189" s="657"/>
      <c r="K189" s="657">
        <f t="shared" ref="K189:L189" si="431">+K196/K210</f>
        <v>1.0854634268208134</v>
      </c>
      <c r="L189" s="657">
        <f t="shared" si="431"/>
        <v>1.1203052827183435</v>
      </c>
      <c r="M189" s="657"/>
      <c r="N189" s="657">
        <f t="shared" ref="N189:R189" si="432">+N196/N210</f>
        <v>1.0223048327137547</v>
      </c>
      <c r="O189" s="657">
        <f t="shared" si="432"/>
        <v>0.9916666666666667</v>
      </c>
      <c r="P189" s="657">
        <f t="shared" si="432"/>
        <v>1</v>
      </c>
      <c r="Q189" s="657">
        <f t="shared" si="432"/>
        <v>1.0125588697017269</v>
      </c>
      <c r="R189" s="657">
        <f t="shared" si="432"/>
        <v>2.2068605841905136</v>
      </c>
      <c r="S189" s="657"/>
      <c r="T189" s="657"/>
      <c r="U189" s="657">
        <f t="shared" ref="U189:W191" si="433">+U196/U210</f>
        <v>1.0833333333333333</v>
      </c>
      <c r="V189" s="657"/>
      <c r="W189" s="657">
        <f t="shared" si="433"/>
        <v>0.97090752453566531</v>
      </c>
      <c r="X189" s="657"/>
      <c r="Y189" s="657"/>
      <c r="Z189" s="657">
        <f t="shared" ref="Z189" si="434">+Z196/Z210</f>
        <v>1.108838791436934</v>
      </c>
      <c r="AA189" s="657">
        <f>+AA196/AA210</f>
        <v>7.5986864846180433</v>
      </c>
      <c r="AB189" s="657"/>
      <c r="AC189" s="657"/>
      <c r="AD189" s="657" t="e">
        <f t="shared" ref="AD189:AF189" si="435">+AD196/AD210</f>
        <v>#DIV/0!</v>
      </c>
      <c r="AE189" s="657" t="e">
        <f t="shared" si="435"/>
        <v>#DIV/0!</v>
      </c>
      <c r="AF189" s="657">
        <f t="shared" si="435"/>
        <v>7.1832873562884751</v>
      </c>
      <c r="AG189" s="657">
        <f>+AG196/AG210</f>
        <v>1.3191020085935161</v>
      </c>
      <c r="AH189" s="657">
        <f t="shared" ref="AH189:AI189" si="436">+AH196/AH210</f>
        <v>0.97186780342300283</v>
      </c>
      <c r="AI189" s="657">
        <f t="shared" si="436"/>
        <v>0.96336996336996339</v>
      </c>
      <c r="AJ189" s="657"/>
      <c r="AK189" s="657"/>
      <c r="AL189" s="657"/>
      <c r="AM189" s="657">
        <f t="shared" ref="AM189" si="437">+AM196/AM210</f>
        <v>1.3542485399222337</v>
      </c>
      <c r="AN189" s="503">
        <f>+AN196/AN210</f>
        <v>1</v>
      </c>
    </row>
    <row r="190" spans="3:40" ht="21.75" customHeight="1">
      <c r="C190" s="1605"/>
      <c r="D190" s="654" t="s">
        <v>217</v>
      </c>
      <c r="E190" s="657">
        <f t="shared" ref="E190:R190" si="438">+E197/E211</f>
        <v>1.9546084354043136</v>
      </c>
      <c r="F190" s="657">
        <f t="shared" si="438"/>
        <v>1.8213103998576561</v>
      </c>
      <c r="G190" s="657">
        <f t="shared" si="438"/>
        <v>3.003003003003003E-3</v>
      </c>
      <c r="H190" s="657">
        <f t="shared" si="438"/>
        <v>2.9668585700614301E-3</v>
      </c>
      <c r="I190" s="657">
        <f t="shared" si="438"/>
        <v>4.3055555555555554</v>
      </c>
      <c r="J190" s="657">
        <f t="shared" si="438"/>
        <v>4.1387923308046606</v>
      </c>
      <c r="K190" s="657">
        <f t="shared" si="438"/>
        <v>1.1759014431241608</v>
      </c>
      <c r="L190" s="657">
        <f t="shared" si="438"/>
        <v>1.0926568181818181</v>
      </c>
      <c r="M190" s="657">
        <f t="shared" si="438"/>
        <v>4.3055555555555554</v>
      </c>
      <c r="N190" s="657">
        <f t="shared" si="438"/>
        <v>1.1570247933884297</v>
      </c>
      <c r="O190" s="657">
        <f t="shared" si="438"/>
        <v>1.1188118811881189</v>
      </c>
      <c r="P190" s="657">
        <f t="shared" si="438"/>
        <v>1</v>
      </c>
      <c r="Q190" s="657">
        <f t="shared" si="438"/>
        <v>1.0528735632183908</v>
      </c>
      <c r="R190" s="657">
        <f t="shared" si="438"/>
        <v>2.0047878416894549</v>
      </c>
      <c r="S190" s="657"/>
      <c r="T190" s="657"/>
      <c r="U190" s="657">
        <f t="shared" si="433"/>
        <v>0.91304347826086951</v>
      </c>
      <c r="V190" s="657"/>
      <c r="W190" s="657">
        <f t="shared" si="433"/>
        <v>1.0336842758664375</v>
      </c>
      <c r="X190" s="657"/>
      <c r="Y190" s="657"/>
      <c r="Z190" s="657">
        <f t="shared" ref="Z190:AA190" si="439">+Z197/Z211</f>
        <v>1.19446635988951</v>
      </c>
      <c r="AA190" s="657">
        <f t="shared" si="439"/>
        <v>1.8653846153846154</v>
      </c>
      <c r="AB190" s="657"/>
      <c r="AC190" s="657">
        <f t="shared" ref="AC190" si="440">+AC197/AC211</f>
        <v>12</v>
      </c>
      <c r="AD190" s="657" t="e">
        <f t="shared" ref="AD190:AN190" si="441">+AD197/AD211</f>
        <v>#DIV/0!</v>
      </c>
      <c r="AE190" s="657" t="e">
        <f t="shared" si="441"/>
        <v>#DIV/0!</v>
      </c>
      <c r="AF190" s="657">
        <f t="shared" si="441"/>
        <v>1.7630814704407911</v>
      </c>
      <c r="AG190" s="657">
        <f t="shared" si="441"/>
        <v>1.2432440623944232</v>
      </c>
      <c r="AH190" s="657">
        <f t="shared" si="441"/>
        <v>0.98538638932534528</v>
      </c>
      <c r="AI190" s="657">
        <f t="shared" si="441"/>
        <v>0.96</v>
      </c>
      <c r="AJ190" s="657">
        <f t="shared" si="441"/>
        <v>8.6494177215189865</v>
      </c>
      <c r="AK190" s="657"/>
      <c r="AL190" s="657"/>
      <c r="AM190" s="657">
        <f t="shared" si="441"/>
        <v>1.2683848721644979</v>
      </c>
      <c r="AN190" s="503">
        <f t="shared" si="441"/>
        <v>1.0579710144927537</v>
      </c>
    </row>
    <row r="191" spans="3:40" ht="21.75" customHeight="1">
      <c r="C191" s="1605"/>
      <c r="D191" s="654" t="s">
        <v>218</v>
      </c>
      <c r="E191" s="657">
        <f t="shared" ref="E191:H191" si="442">+E198/E212</f>
        <v>1.7894401080756519</v>
      </c>
      <c r="F191" s="657">
        <f t="shared" si="442"/>
        <v>1.6931611741859898</v>
      </c>
      <c r="G191" s="657">
        <f t="shared" si="442"/>
        <v>6.1559507523939808E-3</v>
      </c>
      <c r="H191" s="657">
        <f t="shared" si="442"/>
        <v>5.2345262818863578E-3</v>
      </c>
      <c r="I191" s="657"/>
      <c r="J191" s="657"/>
      <c r="K191" s="657">
        <f t="shared" ref="K191:L191" si="443">+K198/K212</f>
        <v>1.0950532531374528</v>
      </c>
      <c r="L191" s="657">
        <f t="shared" si="443"/>
        <v>1.0259279336734695</v>
      </c>
      <c r="M191" s="657"/>
      <c r="N191" s="657">
        <f t="shared" ref="N191:R191" si="444">+N198/N212</f>
        <v>1.0274725274725274</v>
      </c>
      <c r="O191" s="657">
        <f t="shared" si="444"/>
        <v>1.0062500000000001</v>
      </c>
      <c r="P191" s="657">
        <f t="shared" si="444"/>
        <v>1</v>
      </c>
      <c r="Q191" s="657">
        <f t="shared" si="444"/>
        <v>1.0475059382422802</v>
      </c>
      <c r="R191" s="657">
        <f t="shared" si="444"/>
        <v>2.0405561927852141</v>
      </c>
      <c r="S191" s="657"/>
      <c r="T191" s="657"/>
      <c r="U191" s="657">
        <f t="shared" si="433"/>
        <v>0.9464285714285714</v>
      </c>
      <c r="V191" s="657"/>
      <c r="W191" s="657">
        <f t="shared" si="433"/>
        <v>0.98082047514901094</v>
      </c>
      <c r="X191" s="657"/>
      <c r="Y191" s="657"/>
      <c r="Z191" s="657">
        <f t="shared" ref="Z191:AA191" si="445">+Z198/Z212</f>
        <v>1.1167951962851836</v>
      </c>
      <c r="AA191" s="657">
        <f t="shared" si="445"/>
        <v>2.9886363636363638</v>
      </c>
      <c r="AB191" s="657"/>
      <c r="AC191" s="657"/>
      <c r="AD191" s="657" t="e">
        <f t="shared" ref="AD191:AJ191" si="446">+AD198/AD212</f>
        <v>#DIV/0!</v>
      </c>
      <c r="AE191" s="657" t="e">
        <f t="shared" si="446"/>
        <v>#DIV/0!</v>
      </c>
      <c r="AF191" s="657">
        <f t="shared" si="446"/>
        <v>2.8439760932667522</v>
      </c>
      <c r="AG191" s="657">
        <f t="shared" si="446"/>
        <v>1.2347014444897131</v>
      </c>
      <c r="AH191" s="657">
        <f t="shared" si="446"/>
        <v>0.97585785073342546</v>
      </c>
      <c r="AI191" s="657">
        <f t="shared" si="446"/>
        <v>0.97765363128491622</v>
      </c>
      <c r="AJ191" s="657">
        <f t="shared" si="446"/>
        <v>1.9483636587543487</v>
      </c>
      <c r="AK191" s="657"/>
      <c r="AL191" s="657"/>
      <c r="AM191" s="657">
        <f t="shared" ref="AM191:AN191" si="447">+AM198/AM212</f>
        <v>1.2604651077557063</v>
      </c>
      <c r="AN191" s="503">
        <f t="shared" si="447"/>
        <v>1.0585106382978724</v>
      </c>
    </row>
    <row r="192" spans="3:40" ht="21.75" customHeight="1">
      <c r="C192" s="1605"/>
      <c r="D192" s="654" t="s">
        <v>220</v>
      </c>
      <c r="E192" s="657">
        <f t="shared" ref="E192:H192" si="448">+E199/E213</f>
        <v>1.7732971556886226</v>
      </c>
      <c r="F192" s="657">
        <f t="shared" si="448"/>
        <v>1.6799474588296464</v>
      </c>
      <c r="G192" s="657">
        <f t="shared" si="448"/>
        <v>8.4889643463497456E-3</v>
      </c>
      <c r="H192" s="657">
        <f t="shared" si="448"/>
        <v>6.7134748888894287E-3</v>
      </c>
      <c r="I192" s="657"/>
      <c r="J192" s="657"/>
      <c r="K192" s="657">
        <f t="shared" ref="K192:R192" si="449">+K199/K213</f>
        <v>1.0857249903042288</v>
      </c>
      <c r="L192" s="657">
        <f t="shared" si="449"/>
        <v>1.0439903380201887</v>
      </c>
      <c r="M192" s="657">
        <f t="shared" si="449"/>
        <v>3.0972972972972972</v>
      </c>
      <c r="N192" s="657">
        <f t="shared" si="449"/>
        <v>1.0329670329670331</v>
      </c>
      <c r="O192" s="657">
        <f t="shared" si="449"/>
        <v>1</v>
      </c>
      <c r="P192" s="657">
        <f t="shared" si="449"/>
        <v>1.0174418604651163</v>
      </c>
      <c r="Q192" s="657">
        <f t="shared" si="449"/>
        <v>1.0266272189349113</v>
      </c>
      <c r="R192" s="657">
        <f t="shared" si="449"/>
        <v>1.9954060318359284</v>
      </c>
      <c r="S192" s="657"/>
      <c r="T192" s="657"/>
      <c r="U192" s="657">
        <f t="shared" ref="U192:W192" si="450">+U199/U213</f>
        <v>0.91666666666666663</v>
      </c>
      <c r="V192" s="657">
        <f t="shared" si="450"/>
        <v>1.2090193103448277</v>
      </c>
      <c r="W192" s="657">
        <f t="shared" si="450"/>
        <v>0.95464194135585623</v>
      </c>
      <c r="X192" s="657"/>
      <c r="Y192" s="657"/>
      <c r="Z192" s="657">
        <f t="shared" ref="Z192:AJ192" si="451">+Z199/Z213</f>
        <v>1.0854290328536662</v>
      </c>
      <c r="AA192" s="657">
        <f t="shared" si="451"/>
        <v>2.7369565217391303</v>
      </c>
      <c r="AB192" s="657">
        <f t="shared" si="451"/>
        <v>10.4375</v>
      </c>
      <c r="AC192" s="657"/>
      <c r="AD192" s="657" t="e">
        <f t="shared" si="451"/>
        <v>#DIV/0!</v>
      </c>
      <c r="AE192" s="657" t="e">
        <f t="shared" si="451"/>
        <v>#DIV/0!</v>
      </c>
      <c r="AF192" s="657">
        <f t="shared" si="451"/>
        <v>2.6218318243729155</v>
      </c>
      <c r="AG192" s="657">
        <f t="shared" si="451"/>
        <v>1.129162726890657</v>
      </c>
      <c r="AH192" s="657">
        <f t="shared" si="451"/>
        <v>0.983025684572023</v>
      </c>
      <c r="AI192" s="657">
        <f t="shared" si="451"/>
        <v>1</v>
      </c>
      <c r="AJ192" s="657">
        <f t="shared" si="451"/>
        <v>1.6064118014842468</v>
      </c>
      <c r="AK192" s="657"/>
      <c r="AL192" s="657"/>
      <c r="AM192" s="657">
        <f t="shared" ref="AM192:AN192" si="452">+AM199/AM213</f>
        <v>1.1443990241507012</v>
      </c>
      <c r="AN192" s="503">
        <f t="shared" si="452"/>
        <v>1.0397350993377483</v>
      </c>
    </row>
    <row r="193" spans="3:40" s="653" customFormat="1" ht="21.75" customHeight="1">
      <c r="C193" s="1605"/>
      <c r="D193" s="656" t="s">
        <v>221</v>
      </c>
      <c r="E193" s="657">
        <f t="shared" ref="E193:R193" si="453">+E200/E214</f>
        <v>1.9221207286498252</v>
      </c>
      <c r="F193" s="657">
        <f t="shared" si="453"/>
        <v>1.7892336557995714</v>
      </c>
      <c r="G193" s="657">
        <f t="shared" si="453"/>
        <v>7.6287349014621739E-3</v>
      </c>
      <c r="H193" s="657">
        <f t="shared" si="453"/>
        <v>7.4451389670923069E-3</v>
      </c>
      <c r="I193" s="657">
        <f t="shared" si="453"/>
        <v>6.2839160839160844</v>
      </c>
      <c r="J193" s="657">
        <f t="shared" si="453"/>
        <v>6.0413553016630264</v>
      </c>
      <c r="K193" s="657">
        <f t="shared" si="453"/>
        <v>1.1597504832769563</v>
      </c>
      <c r="L193" s="657">
        <f t="shared" si="453"/>
        <v>1.0763418590972051</v>
      </c>
      <c r="M193" s="657">
        <f t="shared" si="453"/>
        <v>4.7690925426774484</v>
      </c>
      <c r="N193" s="657">
        <f t="shared" si="453"/>
        <v>1.1288515406162465</v>
      </c>
      <c r="O193" s="657">
        <f t="shared" si="453"/>
        <v>1.1141868512110726</v>
      </c>
      <c r="P193" s="657">
        <f t="shared" si="453"/>
        <v>1.5467877094972067</v>
      </c>
      <c r="Q193" s="657">
        <f t="shared" si="453"/>
        <v>1.1106074342701722</v>
      </c>
      <c r="R193" s="657">
        <f t="shared" si="453"/>
        <v>1.6807182426743104</v>
      </c>
      <c r="S193" s="657"/>
      <c r="T193" s="657"/>
      <c r="U193" s="657">
        <f t="shared" ref="U193:W193" si="454">+U200/U214</f>
        <v>1.0224719101123596</v>
      </c>
      <c r="V193" s="657">
        <f t="shared" si="454"/>
        <v>4.3013289049271766</v>
      </c>
      <c r="W193" s="657">
        <f t="shared" si="454"/>
        <v>1.0284927062385461</v>
      </c>
      <c r="X193" s="657"/>
      <c r="Y193" s="657"/>
      <c r="Z193" s="657">
        <f t="shared" ref="Z193:AK193" si="455">+Z200/Z214</f>
        <v>1.1679366017959187</v>
      </c>
      <c r="AA193" s="657">
        <f t="shared" si="455"/>
        <v>1.3832390745501286</v>
      </c>
      <c r="AB193" s="657"/>
      <c r="AC193" s="657"/>
      <c r="AD193" s="657" t="e">
        <f t="shared" si="455"/>
        <v>#DIV/0!</v>
      </c>
      <c r="AE193" s="657" t="e">
        <f t="shared" si="455"/>
        <v>#DIV/0!</v>
      </c>
      <c r="AF193" s="657">
        <f t="shared" si="455"/>
        <v>1.7495572334017584</v>
      </c>
      <c r="AG193" s="657">
        <f t="shared" si="455"/>
        <v>1.2113156459174728</v>
      </c>
      <c r="AH193" s="657">
        <f t="shared" si="455"/>
        <v>0.98288718507542183</v>
      </c>
      <c r="AI193" s="657">
        <f t="shared" si="455"/>
        <v>0.9765625</v>
      </c>
      <c r="AJ193" s="657">
        <f t="shared" si="455"/>
        <v>4.6440906791933658</v>
      </c>
      <c r="AK193" s="657">
        <f t="shared" si="455"/>
        <v>37.170731707317074</v>
      </c>
      <c r="AL193" s="657"/>
      <c r="AM193" s="657">
        <f t="shared" ref="AM193:AN193" si="456">+AM200/AM214</f>
        <v>1.2335824141826495</v>
      </c>
      <c r="AN193" s="503">
        <f t="shared" si="456"/>
        <v>1.0720930232558139</v>
      </c>
    </row>
    <row r="194" spans="3:40" s="492" customFormat="1" ht="21.75" customHeight="1">
      <c r="D194" s="676" t="s">
        <v>79</v>
      </c>
      <c r="E194" s="677">
        <f t="shared" ref="E194:R194" si="457">+E201/E215</f>
        <v>1.846049641940112</v>
      </c>
      <c r="F194" s="677">
        <f t="shared" si="457"/>
        <v>1.7378498801270816</v>
      </c>
      <c r="G194" s="677">
        <f t="shared" si="457"/>
        <v>5.8003346346904633E-3</v>
      </c>
      <c r="H194" s="677">
        <f t="shared" si="457"/>
        <v>5.6783417010113453E-3</v>
      </c>
      <c r="I194" s="677">
        <f t="shared" si="457"/>
        <v>5.5856711915535451</v>
      </c>
      <c r="J194" s="677">
        <f t="shared" si="457"/>
        <v>5.456413731328996</v>
      </c>
      <c r="K194" s="677">
        <f t="shared" si="457"/>
        <v>1.123630460524061</v>
      </c>
      <c r="L194" s="677">
        <f t="shared" si="457"/>
        <v>1.0593585629258142</v>
      </c>
      <c r="M194" s="677">
        <f t="shared" si="457"/>
        <v>4.535393610357068</v>
      </c>
      <c r="N194" s="677">
        <f t="shared" si="457"/>
        <v>1.0774509803921568</v>
      </c>
      <c r="O194" s="677">
        <f t="shared" si="457"/>
        <v>1.0505747126436782</v>
      </c>
      <c r="P194" s="677">
        <f t="shared" si="457"/>
        <v>1.2191558441558441</v>
      </c>
      <c r="Q194" s="677">
        <f t="shared" si="457"/>
        <v>1.0565983251516027</v>
      </c>
      <c r="R194" s="677">
        <f t="shared" si="457"/>
        <v>1.9774517774056461</v>
      </c>
      <c r="S194" s="677"/>
      <c r="T194" s="677"/>
      <c r="U194" s="677">
        <f t="shared" ref="U194:W194" si="458">+U201/U215</f>
        <v>0.99206349206349209</v>
      </c>
      <c r="V194" s="677">
        <f t="shared" si="458"/>
        <v>2.8762338301920667</v>
      </c>
      <c r="W194" s="677">
        <f t="shared" si="458"/>
        <v>0.99085926256674117</v>
      </c>
      <c r="X194" s="677"/>
      <c r="Y194" s="677"/>
      <c r="Z194" s="677">
        <f t="shared" ref="Z194:AA194" si="459">+Z201/Z215</f>
        <v>1.1362884354837177</v>
      </c>
      <c r="AA194" s="677">
        <f t="shared" si="459"/>
        <v>2.6890226827219266</v>
      </c>
      <c r="AB194" s="677"/>
      <c r="AC194" s="677">
        <f t="shared" ref="AC194:AK194" si="460">+AC201/AC215</f>
        <v>39</v>
      </c>
      <c r="AD194" s="677" t="e">
        <f t="shared" si="460"/>
        <v>#DIV/0!</v>
      </c>
      <c r="AE194" s="677" t="e">
        <f t="shared" si="460"/>
        <v>#DIV/0!</v>
      </c>
      <c r="AF194" s="677">
        <f t="shared" si="460"/>
        <v>2.6624320607033245</v>
      </c>
      <c r="AG194" s="677">
        <f t="shared" si="460"/>
        <v>1.2258581476872605</v>
      </c>
      <c r="AH194" s="677">
        <f t="shared" si="460"/>
        <v>0.98002402559604496</v>
      </c>
      <c r="AI194" s="677">
        <f t="shared" si="460"/>
        <v>0.97470641373080402</v>
      </c>
      <c r="AJ194" s="677">
        <f t="shared" si="460"/>
        <v>2.8670248704811927</v>
      </c>
      <c r="AK194" s="677">
        <f t="shared" si="460"/>
        <v>140.11707317073171</v>
      </c>
      <c r="AL194" s="677">
        <f>+AL201/AL215</f>
        <v>0</v>
      </c>
      <c r="AM194" s="677">
        <f t="shared" ref="AM194:AN194" si="461">+AM201/AM215</f>
        <v>1.2505769312839403</v>
      </c>
      <c r="AN194" s="677">
        <f t="shared" si="461"/>
        <v>1.0470588235294118</v>
      </c>
    </row>
    <row r="195" spans="3:40" ht="21.75" customHeight="1"/>
    <row r="196" spans="3:40" ht="19.5" customHeight="1">
      <c r="C196" s="1610" t="s">
        <v>65</v>
      </c>
      <c r="D196" s="654" t="s">
        <v>216</v>
      </c>
      <c r="E196" s="655">
        <v>6931.4000000000024</v>
      </c>
      <c r="F196" s="655">
        <v>1627769931</v>
      </c>
      <c r="G196" s="655">
        <v>6</v>
      </c>
      <c r="H196" s="655">
        <v>1676462</v>
      </c>
      <c r="I196" s="655">
        <v>0</v>
      </c>
      <c r="J196" s="655">
        <v>0</v>
      </c>
      <c r="K196" s="655">
        <v>1629446393</v>
      </c>
      <c r="L196" s="655">
        <v>844038</v>
      </c>
      <c r="M196" s="655">
        <v>0</v>
      </c>
      <c r="N196" s="655">
        <v>55000000</v>
      </c>
      <c r="O196" s="655">
        <v>119000000</v>
      </c>
      <c r="P196" s="655">
        <v>1032000</v>
      </c>
      <c r="Q196" s="655">
        <v>96750000</v>
      </c>
      <c r="R196" s="655">
        <v>128721521.40000001</v>
      </c>
      <c r="S196" s="655">
        <v>0</v>
      </c>
      <c r="T196" s="655">
        <v>0</v>
      </c>
      <c r="U196" s="655">
        <v>5200000</v>
      </c>
      <c r="V196" s="655">
        <v>480330</v>
      </c>
      <c r="W196" s="655">
        <v>9106903.8350267652</v>
      </c>
      <c r="X196" s="655"/>
      <c r="Y196" s="655">
        <v>0</v>
      </c>
      <c r="Z196" s="655">
        <v>2045581193</v>
      </c>
      <c r="AA196" s="655">
        <v>10991.5</v>
      </c>
      <c r="AB196" s="655">
        <v>0</v>
      </c>
      <c r="AC196" s="655">
        <v>0</v>
      </c>
      <c r="AD196" s="655">
        <v>0</v>
      </c>
      <c r="AE196" s="655">
        <v>0</v>
      </c>
      <c r="AF196" s="655">
        <v>475146099</v>
      </c>
      <c r="AG196" s="655">
        <v>2520727292</v>
      </c>
      <c r="AH196" s="655">
        <v>169891890</v>
      </c>
      <c r="AI196" s="655">
        <v>10940800</v>
      </c>
      <c r="AJ196" s="655">
        <v>225001</v>
      </c>
      <c r="AK196" s="655">
        <v>3895000</v>
      </c>
      <c r="AL196" s="655">
        <v>0</v>
      </c>
      <c r="AM196" s="655">
        <v>2335774601</v>
      </c>
      <c r="AN196" s="654">
        <v>283</v>
      </c>
    </row>
    <row r="197" spans="3:40" ht="19.5" customHeight="1">
      <c r="C197" s="1610"/>
      <c r="D197" s="654" t="s">
        <v>217</v>
      </c>
      <c r="E197" s="655">
        <v>3526.7000000000021</v>
      </c>
      <c r="F197" s="655">
        <v>901351604</v>
      </c>
      <c r="G197" s="655">
        <v>3</v>
      </c>
      <c r="H197" s="655">
        <v>824769</v>
      </c>
      <c r="I197" s="655">
        <v>1007.5</v>
      </c>
      <c r="J197" s="655">
        <v>9304895</v>
      </c>
      <c r="K197" s="655">
        <v>911481268</v>
      </c>
      <c r="L197" s="655">
        <v>961538</v>
      </c>
      <c r="M197" s="655">
        <v>4650000</v>
      </c>
      <c r="N197" s="655">
        <v>28000000</v>
      </c>
      <c r="O197" s="655">
        <v>56500000</v>
      </c>
      <c r="P197" s="655">
        <v>200000</v>
      </c>
      <c r="Q197" s="655">
        <v>45800000</v>
      </c>
      <c r="R197" s="655">
        <v>54973117</v>
      </c>
      <c r="S197" s="655">
        <v>0</v>
      </c>
      <c r="T197" s="655">
        <v>0</v>
      </c>
      <c r="U197" s="655">
        <v>2100000</v>
      </c>
      <c r="V197" s="655">
        <v>897988</v>
      </c>
      <c r="W197" s="655">
        <v>2737074.5045919125</v>
      </c>
      <c r="X197" s="655"/>
      <c r="Y197" s="655">
        <v>0</v>
      </c>
      <c r="Z197" s="655">
        <v>1108300986</v>
      </c>
      <c r="AA197" s="655">
        <v>3152.5</v>
      </c>
      <c r="AB197" s="655">
        <v>0</v>
      </c>
      <c r="AC197" s="655">
        <v>48</v>
      </c>
      <c r="AD197" s="655">
        <v>0</v>
      </c>
      <c r="AE197" s="655">
        <v>0</v>
      </c>
      <c r="AF197" s="655">
        <v>153500569</v>
      </c>
      <c r="AG197" s="655">
        <v>1261801555</v>
      </c>
      <c r="AH197" s="655">
        <v>88699275</v>
      </c>
      <c r="AI197" s="655">
        <v>4992000</v>
      </c>
      <c r="AJ197" s="655">
        <v>341652</v>
      </c>
      <c r="AK197" s="655">
        <v>1270000</v>
      </c>
      <c r="AL197" s="655">
        <v>0</v>
      </c>
      <c r="AM197" s="655">
        <v>1166498628</v>
      </c>
      <c r="AN197" s="654">
        <v>146</v>
      </c>
    </row>
    <row r="198" spans="3:40" ht="19.5" customHeight="1">
      <c r="C198" s="1610"/>
      <c r="D198" s="654" t="s">
        <v>218</v>
      </c>
      <c r="E198" s="655">
        <v>4768.5000000000009</v>
      </c>
      <c r="F198" s="655">
        <v>1098876617</v>
      </c>
      <c r="G198" s="655">
        <v>9</v>
      </c>
      <c r="H198" s="655">
        <v>1864461</v>
      </c>
      <c r="I198" s="655">
        <v>0</v>
      </c>
      <c r="J198" s="655">
        <v>0</v>
      </c>
      <c r="K198" s="655">
        <v>1100741078</v>
      </c>
      <c r="L198" s="655">
        <v>643462</v>
      </c>
      <c r="M198" s="655">
        <v>0</v>
      </c>
      <c r="N198" s="655">
        <v>37400000</v>
      </c>
      <c r="O198" s="655">
        <v>80500000</v>
      </c>
      <c r="P198" s="655">
        <v>200000</v>
      </c>
      <c r="Q198" s="655">
        <v>66150000</v>
      </c>
      <c r="R198" s="655">
        <v>88130718</v>
      </c>
      <c r="S198" s="655">
        <v>0</v>
      </c>
      <c r="T198" s="655">
        <v>0</v>
      </c>
      <c r="U198" s="655">
        <v>5300000</v>
      </c>
      <c r="V198" s="655">
        <v>358142</v>
      </c>
      <c r="W198" s="655">
        <v>6280132.20109942</v>
      </c>
      <c r="X198" s="655"/>
      <c r="Y198" s="655">
        <v>0</v>
      </c>
      <c r="Z198" s="655">
        <v>1385703544</v>
      </c>
      <c r="AA198" s="655">
        <v>6049</v>
      </c>
      <c r="AB198" s="655">
        <v>0</v>
      </c>
      <c r="AC198" s="655">
        <v>0</v>
      </c>
      <c r="AD198" s="655">
        <v>0</v>
      </c>
      <c r="AE198" s="655">
        <v>0</v>
      </c>
      <c r="AF198" s="655">
        <v>258540975</v>
      </c>
      <c r="AG198" s="655">
        <v>1644244519</v>
      </c>
      <c r="AH198" s="655">
        <v>112408695</v>
      </c>
      <c r="AI198" s="655">
        <v>7280000</v>
      </c>
      <c r="AJ198" s="655">
        <v>632848</v>
      </c>
      <c r="AK198" s="655">
        <v>3130000</v>
      </c>
      <c r="AL198" s="655">
        <v>0</v>
      </c>
      <c r="AM198" s="655">
        <v>1520792976</v>
      </c>
      <c r="AN198" s="654">
        <v>199</v>
      </c>
    </row>
    <row r="199" spans="3:40" ht="19.5" customHeight="1">
      <c r="C199" s="1610"/>
      <c r="D199" s="654" t="s">
        <v>220</v>
      </c>
      <c r="E199" s="655">
        <v>3790.5999999999995</v>
      </c>
      <c r="F199" s="655">
        <v>1557864286</v>
      </c>
      <c r="G199" s="655">
        <v>10</v>
      </c>
      <c r="H199" s="655">
        <v>3428501</v>
      </c>
      <c r="I199" s="655">
        <v>0</v>
      </c>
      <c r="J199" s="655">
        <v>0</v>
      </c>
      <c r="K199" s="655">
        <v>1561292787</v>
      </c>
      <c r="L199" s="655">
        <v>28006920</v>
      </c>
      <c r="M199" s="655">
        <v>1146000</v>
      </c>
      <c r="N199" s="655">
        <v>18800000</v>
      </c>
      <c r="O199" s="655">
        <v>40000000</v>
      </c>
      <c r="P199" s="655">
        <v>3150000</v>
      </c>
      <c r="Q199" s="655">
        <v>34700000</v>
      </c>
      <c r="R199" s="655">
        <v>17898273.300000001</v>
      </c>
      <c r="S199" s="655">
        <v>-1</v>
      </c>
      <c r="T199" s="655">
        <v>-376538</v>
      </c>
      <c r="U199" s="655">
        <v>3300000</v>
      </c>
      <c r="V199" s="655">
        <v>1753078</v>
      </c>
      <c r="W199" s="655">
        <v>6173163.4745194037</v>
      </c>
      <c r="X199" s="655"/>
      <c r="Y199" s="655">
        <v>0</v>
      </c>
      <c r="Z199" s="655">
        <v>1715843685</v>
      </c>
      <c r="AA199" s="655">
        <v>1888.5</v>
      </c>
      <c r="AB199" s="655">
        <v>83.5</v>
      </c>
      <c r="AC199" s="655">
        <v>0</v>
      </c>
      <c r="AD199" s="655">
        <v>0</v>
      </c>
      <c r="AE199" s="655">
        <v>0</v>
      </c>
      <c r="AF199" s="655">
        <v>121432165</v>
      </c>
      <c r="AG199" s="655">
        <v>1837275850</v>
      </c>
      <c r="AH199" s="655">
        <v>164704995</v>
      </c>
      <c r="AI199" s="655">
        <v>6073600</v>
      </c>
      <c r="AJ199" s="655">
        <v>3013794</v>
      </c>
      <c r="AK199" s="655">
        <v>2257000</v>
      </c>
      <c r="AL199" s="655">
        <v>0</v>
      </c>
      <c r="AM199" s="655">
        <v>1661226461</v>
      </c>
      <c r="AN199" s="654">
        <v>157</v>
      </c>
    </row>
    <row r="200" spans="3:40" ht="19.5" customHeight="1">
      <c r="C200" s="1610"/>
      <c r="D200" s="654" t="s">
        <v>221</v>
      </c>
      <c r="E200" s="655">
        <v>10963.199999999999</v>
      </c>
      <c r="F200" s="655">
        <v>3173239884</v>
      </c>
      <c r="G200" s="655">
        <v>24</v>
      </c>
      <c r="H200" s="655">
        <v>7372883</v>
      </c>
      <c r="I200" s="655">
        <v>2695.8</v>
      </c>
      <c r="J200" s="655">
        <v>30594994</v>
      </c>
      <c r="K200" s="655">
        <v>3211207761</v>
      </c>
      <c r="L200" s="655">
        <v>22690578</v>
      </c>
      <c r="M200" s="655">
        <v>15924000</v>
      </c>
      <c r="N200" s="655">
        <v>80600000</v>
      </c>
      <c r="O200" s="655">
        <v>161000000</v>
      </c>
      <c r="P200" s="655">
        <v>4430000</v>
      </c>
      <c r="Q200" s="655">
        <v>122500000</v>
      </c>
      <c r="R200" s="655">
        <v>96385453.299999997</v>
      </c>
      <c r="S200" s="655">
        <v>0</v>
      </c>
      <c r="T200" s="655">
        <v>0</v>
      </c>
      <c r="U200" s="655">
        <v>9100000</v>
      </c>
      <c r="V200" s="655">
        <v>2245655</v>
      </c>
      <c r="W200" s="655">
        <v>10172574.519155962</v>
      </c>
      <c r="X200" s="655"/>
      <c r="Y200" s="655">
        <v>0</v>
      </c>
      <c r="Z200" s="655">
        <v>3736256033</v>
      </c>
      <c r="AA200" s="655">
        <v>6726</v>
      </c>
      <c r="AB200" s="655">
        <v>443</v>
      </c>
      <c r="AC200" s="655">
        <v>108</v>
      </c>
      <c r="AD200" s="655">
        <v>0</v>
      </c>
      <c r="AE200" s="655">
        <v>0</v>
      </c>
      <c r="AF200" s="655">
        <v>451074464</v>
      </c>
      <c r="AG200" s="655">
        <v>4187330497</v>
      </c>
      <c r="AH200" s="655">
        <v>315848610</v>
      </c>
      <c r="AI200" s="655">
        <v>15600000</v>
      </c>
      <c r="AJ200" s="655">
        <v>5775563</v>
      </c>
      <c r="AK200" s="655">
        <v>3810000</v>
      </c>
      <c r="AL200" s="655">
        <v>0</v>
      </c>
      <c r="AM200" s="655">
        <v>3846296324</v>
      </c>
      <c r="AN200" s="654">
        <v>461</v>
      </c>
    </row>
    <row r="201" spans="3:40" ht="19.5" customHeight="1">
      <c r="D201" s="272"/>
      <c r="E201" s="659">
        <f>SUM(E196:E200)</f>
        <v>29980.400000000001</v>
      </c>
      <c r="F201" s="659">
        <f t="shared" ref="F201:W201" si="462">SUM(F196:F200)</f>
        <v>8359102322</v>
      </c>
      <c r="G201" s="659">
        <f t="shared" si="462"/>
        <v>52</v>
      </c>
      <c r="H201" s="659">
        <f t="shared" si="462"/>
        <v>15167076</v>
      </c>
      <c r="I201" s="659">
        <f t="shared" si="462"/>
        <v>3703.3</v>
      </c>
      <c r="J201" s="659">
        <f t="shared" si="462"/>
        <v>39899889</v>
      </c>
      <c r="K201" s="659">
        <f t="shared" si="462"/>
        <v>8414169287</v>
      </c>
      <c r="L201" s="659">
        <f t="shared" si="462"/>
        <v>53146536</v>
      </c>
      <c r="M201" s="659">
        <f t="shared" si="462"/>
        <v>21720000</v>
      </c>
      <c r="N201" s="659">
        <f t="shared" si="462"/>
        <v>219800000</v>
      </c>
      <c r="O201" s="659">
        <f t="shared" si="462"/>
        <v>457000000</v>
      </c>
      <c r="P201" s="659">
        <f t="shared" si="462"/>
        <v>9012000</v>
      </c>
      <c r="Q201" s="659">
        <f t="shared" si="462"/>
        <v>365900000</v>
      </c>
      <c r="R201" s="659">
        <f t="shared" si="462"/>
        <v>386109083</v>
      </c>
      <c r="S201" s="659">
        <f t="shared" si="462"/>
        <v>-1</v>
      </c>
      <c r="T201" s="659">
        <f t="shared" si="462"/>
        <v>-376538</v>
      </c>
      <c r="U201" s="659">
        <f t="shared" si="462"/>
        <v>25000000</v>
      </c>
      <c r="V201" s="659">
        <f t="shared" si="462"/>
        <v>5735193</v>
      </c>
      <c r="W201" s="659">
        <f t="shared" si="462"/>
        <v>34469848.534393467</v>
      </c>
      <c r="X201" s="659"/>
      <c r="Y201" s="659">
        <f t="shared" ref="Y201:AN201" si="463">SUM(Y196:Y200)</f>
        <v>0</v>
      </c>
      <c r="Z201" s="659">
        <f t="shared" si="463"/>
        <v>9991685441</v>
      </c>
      <c r="AA201" s="659">
        <f t="shared" si="463"/>
        <v>28807.5</v>
      </c>
      <c r="AB201" s="659">
        <f t="shared" si="463"/>
        <v>526.5</v>
      </c>
      <c r="AC201" s="659">
        <f t="shared" si="463"/>
        <v>156</v>
      </c>
      <c r="AD201" s="659">
        <f t="shared" si="463"/>
        <v>0</v>
      </c>
      <c r="AE201" s="659">
        <f t="shared" si="463"/>
        <v>0</v>
      </c>
      <c r="AF201" s="659">
        <f t="shared" si="463"/>
        <v>1459694272</v>
      </c>
      <c r="AG201" s="659">
        <f t="shared" si="463"/>
        <v>11451379713</v>
      </c>
      <c r="AH201" s="659">
        <f t="shared" si="463"/>
        <v>851553465</v>
      </c>
      <c r="AI201" s="659">
        <f t="shared" si="463"/>
        <v>44886400</v>
      </c>
      <c r="AJ201" s="659">
        <f t="shared" si="463"/>
        <v>9988858</v>
      </c>
      <c r="AK201" s="659">
        <f t="shared" si="463"/>
        <v>14362000</v>
      </c>
      <c r="AL201" s="659">
        <f t="shared" si="463"/>
        <v>0</v>
      </c>
      <c r="AM201" s="659">
        <f t="shared" si="463"/>
        <v>10530588990</v>
      </c>
      <c r="AN201" s="659">
        <f t="shared" si="463"/>
        <v>1246</v>
      </c>
    </row>
    <row r="202" spans="3:40" ht="19.5" customHeight="1">
      <c r="D202" s="665"/>
      <c r="E202" s="665"/>
      <c r="F202" s="666"/>
      <c r="G202" s="667"/>
      <c r="H202" s="666"/>
      <c r="I202" s="667"/>
      <c r="J202" s="666"/>
      <c r="K202" s="666"/>
      <c r="L202" s="666"/>
      <c r="M202" s="666"/>
      <c r="N202" s="666"/>
      <c r="O202" s="666"/>
      <c r="P202" s="666"/>
      <c r="Q202" s="666"/>
      <c r="R202" s="666"/>
      <c r="S202" s="668"/>
      <c r="T202" s="666"/>
      <c r="U202" s="666"/>
      <c r="V202" s="666"/>
      <c r="W202" s="666"/>
      <c r="X202" s="669"/>
      <c r="Y202" s="669"/>
      <c r="Z202" s="669"/>
      <c r="AA202" s="657"/>
      <c r="AB202" s="657"/>
      <c r="AC202" s="657"/>
      <c r="AD202" s="670"/>
      <c r="AE202" s="670"/>
      <c r="AF202" s="671"/>
      <c r="AG202" s="672"/>
      <c r="AH202" s="671"/>
      <c r="AI202" s="673"/>
      <c r="AJ202" s="671"/>
      <c r="AK202" s="657"/>
      <c r="AL202" s="657"/>
      <c r="AM202" s="669"/>
      <c r="AN202" s="675"/>
    </row>
    <row r="203" spans="3:40" ht="21.75" customHeight="1">
      <c r="C203" s="1605" t="str">
        <f>C210&amp;" Vs "&amp;C224</f>
        <v>Feb Vs Jan</v>
      </c>
      <c r="D203" s="654" t="s">
        <v>216</v>
      </c>
      <c r="E203" s="657">
        <f>+E210/E224</f>
        <v>0.57910170640417336</v>
      </c>
      <c r="F203" s="657">
        <f t="shared" ref="F203:H203" si="464">+F210/F224</f>
        <v>0.60495192991252933</v>
      </c>
      <c r="G203" s="657">
        <f t="shared" si="464"/>
        <v>3.7847222222222223</v>
      </c>
      <c r="H203" s="657">
        <f t="shared" si="464"/>
        <v>3.969907952394534</v>
      </c>
      <c r="I203" s="657"/>
      <c r="J203" s="657"/>
      <c r="K203" s="657">
        <f t="shared" ref="K203:L203" si="465">+K210/K224</f>
        <v>0.86741251842021794</v>
      </c>
      <c r="L203" s="657">
        <f t="shared" si="465"/>
        <v>0.89512942188469058</v>
      </c>
      <c r="M203" s="657"/>
      <c r="N203" s="657">
        <f t="shared" ref="N203:R203" si="466">+N210/N224</f>
        <v>0.96415770609318996</v>
      </c>
      <c r="O203" s="657">
        <f t="shared" si="466"/>
        <v>0.95238095238095233</v>
      </c>
      <c r="P203" s="657">
        <f t="shared" si="466"/>
        <v>0.61428571428571432</v>
      </c>
      <c r="Q203" s="657">
        <f t="shared" si="466"/>
        <v>0.98505154639175263</v>
      </c>
      <c r="R203" s="657">
        <f t="shared" si="466"/>
        <v>0.50301532938830174</v>
      </c>
      <c r="S203" s="657"/>
      <c r="T203" s="657"/>
      <c r="U203" s="657">
        <f t="shared" ref="U203:V203" si="467">+U210/U224</f>
        <v>0.97959183673469385</v>
      </c>
      <c r="V203" s="657">
        <f t="shared" si="467"/>
        <v>0</v>
      </c>
      <c r="W203" s="657">
        <f t="shared" ref="W203" si="468">+W210/W224</f>
        <v>1.0247311081275046</v>
      </c>
      <c r="X203" s="657"/>
      <c r="Y203" s="657"/>
      <c r="Z203" s="657">
        <f t="shared" ref="Z203" si="469">+Z210/Z224</f>
        <v>0.50926499686682614</v>
      </c>
      <c r="AA203" s="657">
        <f>+AA210/AA224</f>
        <v>0.15725390009240636</v>
      </c>
      <c r="AB203" s="657"/>
      <c r="AC203" s="657">
        <f t="shared" ref="AC203" si="470">+AC210/AC224</f>
        <v>0</v>
      </c>
      <c r="AD203" s="657" t="e">
        <f t="shared" ref="AD203:AF203" si="471">+AD210/AD224</f>
        <v>#DIV/0!</v>
      </c>
      <c r="AE203" s="657" t="e">
        <f t="shared" si="471"/>
        <v>#DIV/0!</v>
      </c>
      <c r="AF203" s="657">
        <f t="shared" si="471"/>
        <v>0.16552471858836798</v>
      </c>
      <c r="AG203" s="657">
        <f>+AG210/AG224</f>
        <v>0.47511264610096871</v>
      </c>
      <c r="AH203" s="657">
        <f t="shared" ref="AH203:AJ203" si="472">+AH210/AH224</f>
        <v>0.97529618798564055</v>
      </c>
      <c r="AI203" s="657">
        <f t="shared" si="472"/>
        <v>0.96808510638297873</v>
      </c>
      <c r="AJ203" s="657">
        <f t="shared" si="472"/>
        <v>0</v>
      </c>
      <c r="AK203" s="657"/>
      <c r="AL203" s="657">
        <f>+AL210/AL224</f>
        <v>0</v>
      </c>
      <c r="AM203" s="657">
        <f t="shared" ref="AM203" si="473">+AM210/AM224</f>
        <v>2.2340053703130183</v>
      </c>
      <c r="AN203" s="503">
        <f>+AN210/AN224</f>
        <v>0.99647887323943662</v>
      </c>
    </row>
    <row r="204" spans="3:40" ht="21.75" customHeight="1">
      <c r="C204" s="1605"/>
      <c r="D204" s="654" t="s">
        <v>217</v>
      </c>
      <c r="E204" s="657">
        <f t="shared" ref="E204:R204" si="474">+E211/E225</f>
        <v>0.590586232856535</v>
      </c>
      <c r="F204" s="657">
        <f t="shared" si="474"/>
        <v>0.6082640287824731</v>
      </c>
      <c r="G204" s="657">
        <f t="shared" si="474"/>
        <v>3.8871595330739299</v>
      </c>
      <c r="H204" s="657">
        <f t="shared" si="474"/>
        <v>4.0754762721270854</v>
      </c>
      <c r="I204" s="657">
        <f t="shared" si="474"/>
        <v>0.9</v>
      </c>
      <c r="J204" s="657">
        <f t="shared" si="474"/>
        <v>0.90040213849087325</v>
      </c>
      <c r="K204" s="657">
        <f t="shared" si="474"/>
        <v>0.87652940860488993</v>
      </c>
      <c r="L204" s="657">
        <f t="shared" si="474"/>
        <v>0.89660421342848207</v>
      </c>
      <c r="M204" s="657">
        <f t="shared" si="474"/>
        <v>0.9</v>
      </c>
      <c r="N204" s="657">
        <f t="shared" si="474"/>
        <v>0.952755905511811</v>
      </c>
      <c r="O204" s="657">
        <f t="shared" si="474"/>
        <v>0.91818181818181821</v>
      </c>
      <c r="P204" s="657">
        <f t="shared" si="474"/>
        <v>0.31645569620253167</v>
      </c>
      <c r="Q204" s="657">
        <f t="shared" si="474"/>
        <v>0.94874591057797164</v>
      </c>
      <c r="R204" s="657">
        <f t="shared" si="474"/>
        <v>0.55835205304615476</v>
      </c>
      <c r="S204" s="657"/>
      <c r="T204" s="657"/>
      <c r="U204" s="657">
        <f t="shared" ref="U204" si="475">+U211/U225</f>
        <v>0.92</v>
      </c>
      <c r="V204" s="657"/>
      <c r="W204" s="657">
        <f t="shared" ref="W204:W205" si="476">+W211/W225</f>
        <v>1.0213294452128068</v>
      </c>
      <c r="X204" s="657"/>
      <c r="Y204" s="657"/>
      <c r="Z204" s="657">
        <f t="shared" ref="Z204:AA204" si="477">+Z211/Z225</f>
        <v>0.51533576559146865</v>
      </c>
      <c r="AA204" s="657">
        <f t="shared" si="477"/>
        <v>0.57787656009574284</v>
      </c>
      <c r="AB204" s="657"/>
      <c r="AC204" s="657"/>
      <c r="AD204" s="657" t="e">
        <f t="shared" ref="AD204:AL204" si="478">+AD211/AD225</f>
        <v>#DIV/0!</v>
      </c>
      <c r="AE204" s="657" t="e">
        <f t="shared" si="478"/>
        <v>#DIV/0!</v>
      </c>
      <c r="AF204" s="657">
        <f t="shared" si="478"/>
        <v>0.60734834323771603</v>
      </c>
      <c r="AG204" s="657">
        <f t="shared" si="478"/>
        <v>0.52212129435981558</v>
      </c>
      <c r="AH204" s="657">
        <f t="shared" si="478"/>
        <v>0.97012832699619767</v>
      </c>
      <c r="AI204" s="657">
        <f t="shared" si="478"/>
        <v>0.9765625</v>
      </c>
      <c r="AJ204" s="657">
        <f t="shared" si="478"/>
        <v>1.6225294165610139E-3</v>
      </c>
      <c r="AK204" s="657">
        <f t="shared" si="478"/>
        <v>0</v>
      </c>
      <c r="AL204" s="657">
        <f t="shared" si="478"/>
        <v>0</v>
      </c>
      <c r="AM204" s="657">
        <f t="shared" ref="AM204:AN204" si="479">+AM211/AM225</f>
        <v>2.9615316113005914</v>
      </c>
      <c r="AN204" s="503">
        <f t="shared" si="479"/>
        <v>1.069767441860465</v>
      </c>
    </row>
    <row r="205" spans="3:40" ht="21.75" customHeight="1">
      <c r="C205" s="1605"/>
      <c r="D205" s="654" t="s">
        <v>218</v>
      </c>
      <c r="E205" s="657">
        <f t="shared" ref="E205:H205" si="480">+E212/E226</f>
        <v>0.57990947075208921</v>
      </c>
      <c r="F205" s="657">
        <f t="shared" si="480"/>
        <v>0.60170952053932647</v>
      </c>
      <c r="G205" s="657">
        <f t="shared" si="480"/>
        <v>4.177142857142857</v>
      </c>
      <c r="H205" s="657">
        <f t="shared" si="480"/>
        <v>4.3198180934358614</v>
      </c>
      <c r="I205" s="657"/>
      <c r="J205" s="657"/>
      <c r="K205" s="657">
        <f t="shared" ref="K205:L205" si="481">+K212/K226</f>
        <v>0.86575400673208125</v>
      </c>
      <c r="L205" s="657">
        <f t="shared" si="481"/>
        <v>0.94132337579694314</v>
      </c>
      <c r="M205" s="657"/>
      <c r="N205" s="657">
        <f t="shared" ref="N205:R205" si="482">+N212/N226</f>
        <v>0.978494623655914</v>
      </c>
      <c r="O205" s="657">
        <f t="shared" si="482"/>
        <v>0.94674556213017746</v>
      </c>
      <c r="P205" s="657">
        <f t="shared" si="482"/>
        <v>0.5524861878453039</v>
      </c>
      <c r="Q205" s="657">
        <f t="shared" si="482"/>
        <v>0.90994236311239196</v>
      </c>
      <c r="R205" s="657">
        <f t="shared" si="482"/>
        <v>0.47501997326046758</v>
      </c>
      <c r="S205" s="657"/>
      <c r="T205" s="657"/>
      <c r="U205" s="657">
        <f t="shared" ref="U205" si="483">+U212/U226</f>
        <v>0.98245614035087714</v>
      </c>
      <c r="V205" s="657"/>
      <c r="W205" s="657">
        <f t="shared" si="476"/>
        <v>1.0230448405046908</v>
      </c>
      <c r="X205" s="657"/>
      <c r="Y205" s="657"/>
      <c r="Z205" s="657">
        <f t="shared" ref="Z205:AA205" si="484">+Z212/Z226</f>
        <v>0.49348282376371688</v>
      </c>
      <c r="AA205" s="657">
        <f t="shared" si="484"/>
        <v>0.40166699742012302</v>
      </c>
      <c r="AB205" s="657"/>
      <c r="AC205" s="657"/>
      <c r="AD205" s="657" t="e">
        <f t="shared" ref="AD205:AJ205" si="485">+AD212/AD226</f>
        <v>#DIV/0!</v>
      </c>
      <c r="AE205" s="657" t="e">
        <f t="shared" si="485"/>
        <v>#DIV/0!</v>
      </c>
      <c r="AF205" s="657">
        <f t="shared" si="485"/>
        <v>0.41631329245533583</v>
      </c>
      <c r="AG205" s="657">
        <f t="shared" si="485"/>
        <v>0.48731636859508143</v>
      </c>
      <c r="AH205" s="657">
        <f t="shared" si="485"/>
        <v>0.9691903477106999</v>
      </c>
      <c r="AI205" s="657">
        <f t="shared" si="485"/>
        <v>0.9521276595744681</v>
      </c>
      <c r="AJ205" s="657">
        <f t="shared" si="485"/>
        <v>1.2134411668760486E-2</v>
      </c>
      <c r="AK205" s="657"/>
      <c r="AL205" s="657"/>
      <c r="AM205" s="657">
        <f t="shared" ref="AM205:AN205" si="486">+AM212/AM226</f>
        <v>2.5021536666871458</v>
      </c>
      <c r="AN205" s="503">
        <f t="shared" si="486"/>
        <v>0.96907216494845361</v>
      </c>
    </row>
    <row r="206" spans="3:40" ht="21.75" customHeight="1">
      <c r="C206" s="1605"/>
      <c r="D206" s="654" t="s">
        <v>220</v>
      </c>
      <c r="E206" s="657">
        <f t="shared" ref="E206:H206" si="487">+E213/E227</f>
        <v>0.58582038422538285</v>
      </c>
      <c r="F206" s="657">
        <f t="shared" si="487"/>
        <v>0.60827260573777675</v>
      </c>
      <c r="G206" s="657">
        <f t="shared" si="487"/>
        <v>4.2836363636363632</v>
      </c>
      <c r="H206" s="657">
        <f t="shared" si="487"/>
        <v>4.4651723719694081</v>
      </c>
      <c r="I206" s="657"/>
      <c r="J206" s="657"/>
      <c r="K206" s="657">
        <f t="shared" ref="K206:R206" si="488">+K213/K227</f>
        <v>0.87742881998770006</v>
      </c>
      <c r="L206" s="657">
        <f t="shared" si="488"/>
        <v>0.92305810980912162</v>
      </c>
      <c r="M206" s="657">
        <f t="shared" si="488"/>
        <v>0.49333333333333335</v>
      </c>
      <c r="N206" s="657">
        <f t="shared" si="488"/>
        <v>0.98913043478260865</v>
      </c>
      <c r="O206" s="657">
        <f t="shared" si="488"/>
        <v>0.96385542168674698</v>
      </c>
      <c r="P206" s="657">
        <f t="shared" si="488"/>
        <v>0.87755102040816324</v>
      </c>
      <c r="Q206" s="657">
        <f t="shared" si="488"/>
        <v>0.99411764705882355</v>
      </c>
      <c r="R206" s="657">
        <f t="shared" si="488"/>
        <v>0.5223423113787331</v>
      </c>
      <c r="S206" s="657"/>
      <c r="T206" s="657"/>
      <c r="U206" s="657">
        <f t="shared" ref="U206:W207" si="489">+U213/U227</f>
        <v>1</v>
      </c>
      <c r="V206" s="657">
        <f t="shared" si="489"/>
        <v>0.76315789473684215</v>
      </c>
      <c r="W206" s="657">
        <f t="shared" si="489"/>
        <v>1.0266212363684037</v>
      </c>
      <c r="X206" s="657"/>
      <c r="Y206" s="657"/>
      <c r="Z206" s="657">
        <f t="shared" ref="Z206:AB206" si="490">+Z213/Z227</f>
        <v>0.4954875208219981</v>
      </c>
      <c r="AA206" s="657">
        <f t="shared" si="490"/>
        <v>0.22883295194508008</v>
      </c>
      <c r="AB206" s="657">
        <f t="shared" si="490"/>
        <v>9.0909090909090912E-2</v>
      </c>
      <c r="AC206" s="657">
        <f t="shared" ref="AC206:AJ206" si="491">+AC213/AC227</f>
        <v>0</v>
      </c>
      <c r="AD206" s="657" t="e">
        <f t="shared" si="491"/>
        <v>#DIV/0!</v>
      </c>
      <c r="AE206" s="657" t="e">
        <f t="shared" si="491"/>
        <v>#DIV/0!</v>
      </c>
      <c r="AF206" s="657">
        <f t="shared" si="491"/>
        <v>0.26696748363733908</v>
      </c>
      <c r="AG206" s="657">
        <f t="shared" si="491"/>
        <v>0.48370183849474396</v>
      </c>
      <c r="AH206" s="657">
        <f t="shared" si="491"/>
        <v>0.98651879338069415</v>
      </c>
      <c r="AI206" s="657">
        <f t="shared" si="491"/>
        <v>0.98648648648648651</v>
      </c>
      <c r="AJ206" s="657">
        <f t="shared" si="491"/>
        <v>1.8345255334528878E-2</v>
      </c>
      <c r="AK206" s="657"/>
      <c r="AL206" s="657"/>
      <c r="AM206" s="657">
        <f t="shared" ref="AM206:AN206" si="492">+AM213/AM227</f>
        <v>5.1548675698433888</v>
      </c>
      <c r="AN206" s="503">
        <f t="shared" si="492"/>
        <v>1.0066666666666666</v>
      </c>
    </row>
    <row r="207" spans="3:40" s="653" customFormat="1" ht="21.75" customHeight="1">
      <c r="C207" s="1605"/>
      <c r="D207" s="656" t="s">
        <v>221</v>
      </c>
      <c r="E207" s="657">
        <f t="shared" ref="E207:R207" si="493">+E214/E228</f>
        <v>0.58353453920445209</v>
      </c>
      <c r="F207" s="657">
        <f t="shared" si="493"/>
        <v>0.60065422950655778</v>
      </c>
      <c r="G207" s="657">
        <f t="shared" si="493"/>
        <v>3.9423558897243107</v>
      </c>
      <c r="H207" s="657">
        <f t="shared" si="493"/>
        <v>4.1839579774489621</v>
      </c>
      <c r="I207" s="657">
        <f t="shared" si="493"/>
        <v>0.16751269035532995</v>
      </c>
      <c r="J207" s="657">
        <f t="shared" si="493"/>
        <v>0.15249107458110919</v>
      </c>
      <c r="K207" s="657">
        <f t="shared" si="493"/>
        <v>0.85922114483364698</v>
      </c>
      <c r="L207" s="657">
        <f t="shared" si="493"/>
        <v>0.91237954559766221</v>
      </c>
      <c r="M207" s="657">
        <f t="shared" si="493"/>
        <v>0.21460248087923389</v>
      </c>
      <c r="N207" s="657">
        <f t="shared" si="493"/>
        <v>0.95454545454545459</v>
      </c>
      <c r="O207" s="657">
        <f t="shared" si="493"/>
        <v>0.94136807817589574</v>
      </c>
      <c r="P207" s="657">
        <f t="shared" si="493"/>
        <v>1</v>
      </c>
      <c r="Q207" s="657">
        <f t="shared" si="493"/>
        <v>0.8813423891330403</v>
      </c>
      <c r="R207" s="657">
        <f t="shared" si="493"/>
        <v>0.44780856245050099</v>
      </c>
      <c r="S207" s="657"/>
      <c r="T207" s="657"/>
      <c r="U207" s="657">
        <f t="shared" ref="U207:V207" si="494">+U214/U228</f>
        <v>0.97802197802197799</v>
      </c>
      <c r="V207" s="657">
        <f t="shared" si="494"/>
        <v>2.61042</v>
      </c>
      <c r="W207" s="657">
        <f t="shared" si="489"/>
        <v>1.0083361987961825</v>
      </c>
      <c r="X207" s="657"/>
      <c r="Y207" s="657"/>
      <c r="Z207" s="657">
        <f t="shared" ref="Z207:AB207" si="495">+Z214/Z228</f>
        <v>0.49462774548695271</v>
      </c>
      <c r="AA207" s="657">
        <f t="shared" si="495"/>
        <v>0.75393441352042789</v>
      </c>
      <c r="AB207" s="657">
        <f t="shared" si="495"/>
        <v>0</v>
      </c>
      <c r="AC207" s="657">
        <f t="shared" ref="AC207:AN207" si="496">+AC214/AC228</f>
        <v>0</v>
      </c>
      <c r="AD207" s="657" t="e">
        <f t="shared" si="496"/>
        <v>#DIV/0!</v>
      </c>
      <c r="AE207" s="657" t="e">
        <f t="shared" si="496"/>
        <v>#DIV/0!</v>
      </c>
      <c r="AF207" s="657">
        <f t="shared" si="496"/>
        <v>0.64367236048414878</v>
      </c>
      <c r="AG207" s="657">
        <f t="shared" si="496"/>
        <v>0.50332006836467436</v>
      </c>
      <c r="AH207" s="657">
        <f t="shared" si="496"/>
        <v>0.96989678790053002</v>
      </c>
      <c r="AI207" s="657">
        <f t="shared" si="496"/>
        <v>0.96240601503759393</v>
      </c>
      <c r="AJ207" s="657">
        <f t="shared" si="496"/>
        <v>1.0702201162832365E-2</v>
      </c>
      <c r="AK207" s="657">
        <f t="shared" si="496"/>
        <v>0.78846153846153844</v>
      </c>
      <c r="AL207" s="657"/>
      <c r="AM207" s="657">
        <f t="shared" si="496"/>
        <v>3.4925457596637579</v>
      </c>
      <c r="AN207" s="503">
        <f t="shared" si="496"/>
        <v>1.0462287104622872</v>
      </c>
    </row>
    <row r="208" spans="3:40" s="492" customFormat="1" ht="21.75" customHeight="1">
      <c r="D208" s="676" t="s">
        <v>79</v>
      </c>
      <c r="E208" s="677">
        <f t="shared" ref="E208:R208" si="497">+E215/E229</f>
        <v>0.58292952569652323</v>
      </c>
      <c r="F208" s="677">
        <f t="shared" si="497"/>
        <v>0.60389359747624538</v>
      </c>
      <c r="G208" s="677">
        <f t="shared" si="497"/>
        <v>3.9738475177304964</v>
      </c>
      <c r="H208" s="677">
        <f t="shared" si="497"/>
        <v>4.1950651171311613</v>
      </c>
      <c r="I208" s="677">
        <f t="shared" si="497"/>
        <v>0.23502304147465439</v>
      </c>
      <c r="J208" s="677">
        <f t="shared" si="497"/>
        <v>0.20479046370236603</v>
      </c>
      <c r="K208" s="677">
        <f t="shared" si="497"/>
        <v>0.86696739678331203</v>
      </c>
      <c r="L208" s="677">
        <f t="shared" si="497"/>
        <v>0.91786150706161096</v>
      </c>
      <c r="M208" s="677">
        <f t="shared" si="497"/>
        <v>0.27351647724027645</v>
      </c>
      <c r="N208" s="677">
        <f t="shared" si="497"/>
        <v>0.96408317580340264</v>
      </c>
      <c r="O208" s="677">
        <f t="shared" si="497"/>
        <v>0.94462540716612375</v>
      </c>
      <c r="P208" s="677">
        <f t="shared" si="497"/>
        <v>0.81535407015221706</v>
      </c>
      <c r="Q208" s="677">
        <f t="shared" si="497"/>
        <v>0.93241787829833067</v>
      </c>
      <c r="R208" s="677">
        <f t="shared" si="497"/>
        <v>0.48665080268533528</v>
      </c>
      <c r="S208" s="677"/>
      <c r="T208" s="677"/>
      <c r="U208" s="677">
        <f t="shared" ref="U208:W208" si="498">+U215/U229</f>
        <v>0.97674418604651159</v>
      </c>
      <c r="V208" s="677">
        <f t="shared" si="498"/>
        <v>0.86906195506404449</v>
      </c>
      <c r="W208" s="677">
        <f t="shared" si="498"/>
        <v>1.0197978714392713</v>
      </c>
      <c r="X208" s="677"/>
      <c r="Y208" s="677"/>
      <c r="Z208" s="677">
        <f t="shared" ref="Z208:AA208" si="499">+Z215/Z229</f>
        <v>0.49975254560682297</v>
      </c>
      <c r="AA208" s="677">
        <f t="shared" si="499"/>
        <v>0.40233899680021634</v>
      </c>
      <c r="AB208" s="677"/>
      <c r="AC208" s="677">
        <f t="shared" ref="AC208:AK208" si="500">+AC215/AC229</f>
        <v>1.9801980198019802E-2</v>
      </c>
      <c r="AD208" s="677" t="e">
        <f t="shared" si="500"/>
        <v>#DIV/0!</v>
      </c>
      <c r="AE208" s="677" t="e">
        <f t="shared" si="500"/>
        <v>#DIV/0!</v>
      </c>
      <c r="AF208" s="677">
        <f t="shared" si="500"/>
        <v>0.41056571933510788</v>
      </c>
      <c r="AG208" s="677">
        <f t="shared" si="500"/>
        <v>0.49346129634731362</v>
      </c>
      <c r="AH208" s="677">
        <f t="shared" si="500"/>
        <v>0.97407639292775527</v>
      </c>
      <c r="AI208" s="677">
        <f t="shared" si="500"/>
        <v>0.96681222707423575</v>
      </c>
      <c r="AJ208" s="677">
        <f t="shared" si="500"/>
        <v>1.1489019991689508E-2</v>
      </c>
      <c r="AK208" s="677">
        <f t="shared" si="500"/>
        <v>0.51249999999999996</v>
      </c>
      <c r="AL208" s="677">
        <f>+AL215/AL229</f>
        <v>5.920874815577073</v>
      </c>
      <c r="AM208" s="677">
        <f t="shared" ref="AM208:AN208" si="501">+AM215/AM229</f>
        <v>3.0741612639788882</v>
      </c>
      <c r="AN208" s="677">
        <f t="shared" si="501"/>
        <v>1.0188356164383561</v>
      </c>
    </row>
    <row r="209" spans="3:40" ht="21.75" customHeight="1"/>
    <row r="210" spans="3:40" ht="19.5" customHeight="1">
      <c r="C210" s="1610" t="s">
        <v>64</v>
      </c>
      <c r="D210" s="654" t="s">
        <v>216</v>
      </c>
      <c r="E210" s="655">
        <v>3929.9000000000033</v>
      </c>
      <c r="F210" s="655">
        <v>965276696</v>
      </c>
      <c r="G210" s="655">
        <v>2180</v>
      </c>
      <c r="H210" s="655">
        <v>535876040</v>
      </c>
      <c r="I210" s="655">
        <v>0</v>
      </c>
      <c r="J210" s="655">
        <v>0</v>
      </c>
      <c r="K210" s="655">
        <v>1501152736</v>
      </c>
      <c r="L210" s="655">
        <v>753400</v>
      </c>
      <c r="M210" s="655">
        <v>0</v>
      </c>
      <c r="N210" s="655">
        <v>53800000</v>
      </c>
      <c r="O210" s="655">
        <v>120000000</v>
      </c>
      <c r="P210" s="655">
        <v>1032000</v>
      </c>
      <c r="Q210" s="655">
        <v>95550000</v>
      </c>
      <c r="R210" s="655">
        <v>58327890</v>
      </c>
      <c r="S210" s="655">
        <v>0</v>
      </c>
      <c r="T210" s="655">
        <v>0</v>
      </c>
      <c r="U210" s="655">
        <v>4800000</v>
      </c>
      <c r="V210" s="655">
        <v>0</v>
      </c>
      <c r="W210" s="655">
        <v>9379785</v>
      </c>
      <c r="X210" s="655"/>
      <c r="Y210" s="655">
        <v>0</v>
      </c>
      <c r="Z210" s="655">
        <v>1844795843</v>
      </c>
      <c r="AA210" s="655">
        <v>1446.5</v>
      </c>
      <c r="AB210" s="655">
        <v>0</v>
      </c>
      <c r="AC210" s="655">
        <v>0</v>
      </c>
      <c r="AD210" s="655">
        <v>0</v>
      </c>
      <c r="AE210" s="655">
        <v>0</v>
      </c>
      <c r="AF210" s="655">
        <v>66146052</v>
      </c>
      <c r="AG210" s="655">
        <v>1910941895</v>
      </c>
      <c r="AH210" s="655">
        <v>174809670</v>
      </c>
      <c r="AI210" s="655">
        <v>11356800</v>
      </c>
      <c r="AJ210" s="655">
        <v>0</v>
      </c>
      <c r="AK210" s="655">
        <v>0</v>
      </c>
      <c r="AL210" s="655">
        <v>0</v>
      </c>
      <c r="AM210" s="655">
        <v>1724775425</v>
      </c>
      <c r="AN210" s="654">
        <v>283</v>
      </c>
    </row>
    <row r="211" spans="3:40" ht="19.5" customHeight="1">
      <c r="C211" s="1610"/>
      <c r="D211" s="654" t="s">
        <v>217</v>
      </c>
      <c r="E211" s="655">
        <v>1804.2999999999995</v>
      </c>
      <c r="F211" s="655">
        <v>494891812</v>
      </c>
      <c r="G211" s="655">
        <v>999</v>
      </c>
      <c r="H211" s="655">
        <v>277994040</v>
      </c>
      <c r="I211" s="655">
        <v>234</v>
      </c>
      <c r="J211" s="655">
        <v>2248215</v>
      </c>
      <c r="K211" s="655">
        <v>775134067</v>
      </c>
      <c r="L211" s="655">
        <v>880000</v>
      </c>
      <c r="M211" s="655">
        <v>1080000</v>
      </c>
      <c r="N211" s="655">
        <v>24200000</v>
      </c>
      <c r="O211" s="655">
        <v>50500000</v>
      </c>
      <c r="P211" s="655">
        <v>200000</v>
      </c>
      <c r="Q211" s="655">
        <v>43500000</v>
      </c>
      <c r="R211" s="655">
        <v>27420915</v>
      </c>
      <c r="S211" s="655">
        <v>0</v>
      </c>
      <c r="T211" s="655">
        <v>0</v>
      </c>
      <c r="U211" s="655">
        <v>2300000</v>
      </c>
      <c r="V211" s="655">
        <v>0</v>
      </c>
      <c r="W211" s="655">
        <v>2647882.5</v>
      </c>
      <c r="X211" s="655"/>
      <c r="Y211" s="655">
        <v>0</v>
      </c>
      <c r="Z211" s="655">
        <v>927862871</v>
      </c>
      <c r="AA211" s="655">
        <v>1690</v>
      </c>
      <c r="AB211" s="655">
        <v>0</v>
      </c>
      <c r="AC211" s="655">
        <v>4</v>
      </c>
      <c r="AD211" s="655">
        <v>0</v>
      </c>
      <c r="AE211" s="655">
        <v>0</v>
      </c>
      <c r="AF211" s="655">
        <v>87063798</v>
      </c>
      <c r="AG211" s="655">
        <v>1014926669</v>
      </c>
      <c r="AH211" s="655">
        <v>90014715</v>
      </c>
      <c r="AI211" s="655">
        <v>5200000</v>
      </c>
      <c r="AJ211" s="655">
        <v>39500</v>
      </c>
      <c r="AK211" s="655">
        <v>0</v>
      </c>
      <c r="AL211" s="655">
        <v>0</v>
      </c>
      <c r="AM211" s="655">
        <v>919672454</v>
      </c>
      <c r="AN211" s="654">
        <v>138</v>
      </c>
    </row>
    <row r="212" spans="3:40" ht="19.5" customHeight="1">
      <c r="C212" s="1610"/>
      <c r="D212" s="654" t="s">
        <v>218</v>
      </c>
      <c r="E212" s="655">
        <v>2664.800000000002</v>
      </c>
      <c r="F212" s="655">
        <v>649008868</v>
      </c>
      <c r="G212" s="655">
        <v>1462</v>
      </c>
      <c r="H212" s="655">
        <v>356185240</v>
      </c>
      <c r="I212" s="655">
        <v>0</v>
      </c>
      <c r="J212" s="655">
        <v>0</v>
      </c>
      <c r="K212" s="655">
        <v>1005194108</v>
      </c>
      <c r="L212" s="655">
        <v>627200</v>
      </c>
      <c r="M212" s="655">
        <v>0</v>
      </c>
      <c r="N212" s="655">
        <v>36400000</v>
      </c>
      <c r="O212" s="655">
        <v>80000000</v>
      </c>
      <c r="P212" s="655">
        <v>200000</v>
      </c>
      <c r="Q212" s="655">
        <v>63150000</v>
      </c>
      <c r="R212" s="655">
        <v>43189557</v>
      </c>
      <c r="S212" s="655">
        <v>0</v>
      </c>
      <c r="T212" s="655">
        <v>0</v>
      </c>
      <c r="U212" s="655">
        <v>5600000</v>
      </c>
      <c r="V212" s="655">
        <v>21910</v>
      </c>
      <c r="W212" s="655">
        <v>6402937.5</v>
      </c>
      <c r="X212" s="655"/>
      <c r="Y212" s="655">
        <v>0</v>
      </c>
      <c r="Z212" s="655">
        <v>1240785731</v>
      </c>
      <c r="AA212" s="655">
        <v>2024</v>
      </c>
      <c r="AB212" s="655">
        <v>0</v>
      </c>
      <c r="AC212" s="655">
        <v>0</v>
      </c>
      <c r="AD212" s="655">
        <v>0</v>
      </c>
      <c r="AE212" s="655">
        <v>0</v>
      </c>
      <c r="AF212" s="655">
        <v>90908280</v>
      </c>
      <c r="AG212" s="655">
        <v>1331694011</v>
      </c>
      <c r="AH212" s="655">
        <v>115189620</v>
      </c>
      <c r="AI212" s="655">
        <v>7446400</v>
      </c>
      <c r="AJ212" s="655">
        <v>324810</v>
      </c>
      <c r="AK212" s="655">
        <v>0</v>
      </c>
      <c r="AL212" s="655">
        <v>2200000</v>
      </c>
      <c r="AM212" s="655">
        <v>1206533181</v>
      </c>
      <c r="AN212" s="654">
        <v>188</v>
      </c>
    </row>
    <row r="213" spans="3:40" ht="19.5" customHeight="1">
      <c r="C213" s="1610"/>
      <c r="D213" s="654" t="s">
        <v>220</v>
      </c>
      <c r="E213" s="655">
        <v>2137.6</v>
      </c>
      <c r="F213" s="655">
        <v>927329172</v>
      </c>
      <c r="G213" s="655">
        <v>1178</v>
      </c>
      <c r="H213" s="655">
        <v>510689480</v>
      </c>
      <c r="I213" s="655">
        <v>0</v>
      </c>
      <c r="J213" s="655">
        <v>0</v>
      </c>
      <c r="K213" s="655">
        <v>1438018652</v>
      </c>
      <c r="L213" s="655">
        <v>26826800</v>
      </c>
      <c r="M213" s="655">
        <v>370000</v>
      </c>
      <c r="N213" s="655">
        <v>18200000</v>
      </c>
      <c r="O213" s="655">
        <v>40000000</v>
      </c>
      <c r="P213" s="655">
        <v>3096000</v>
      </c>
      <c r="Q213" s="655">
        <v>33800000</v>
      </c>
      <c r="R213" s="655">
        <v>8969740</v>
      </c>
      <c r="S213" s="655">
        <v>0</v>
      </c>
      <c r="T213" s="655">
        <v>0</v>
      </c>
      <c r="U213" s="655">
        <v>3600000</v>
      </c>
      <c r="V213" s="655">
        <v>1450000</v>
      </c>
      <c r="W213" s="655">
        <v>6466470</v>
      </c>
      <c r="X213" s="655"/>
      <c r="Y213" s="655">
        <v>0</v>
      </c>
      <c r="Z213" s="655">
        <v>1580797669</v>
      </c>
      <c r="AA213" s="655">
        <v>690</v>
      </c>
      <c r="AB213" s="655">
        <v>8</v>
      </c>
      <c r="AC213" s="655">
        <v>0</v>
      </c>
      <c r="AD213" s="655">
        <v>0</v>
      </c>
      <c r="AE213" s="655">
        <v>0</v>
      </c>
      <c r="AF213" s="655">
        <v>46315772</v>
      </c>
      <c r="AG213" s="655">
        <v>1627113441</v>
      </c>
      <c r="AH213" s="655">
        <v>167549025</v>
      </c>
      <c r="AI213" s="655">
        <v>6073600</v>
      </c>
      <c r="AJ213" s="655">
        <v>1876103</v>
      </c>
      <c r="AK213" s="655">
        <v>0</v>
      </c>
      <c r="AL213" s="655">
        <v>0</v>
      </c>
      <c r="AM213" s="655">
        <v>1451614713</v>
      </c>
      <c r="AN213" s="654">
        <v>151</v>
      </c>
    </row>
    <row r="214" spans="3:40" ht="19.5" customHeight="1">
      <c r="C214" s="1610"/>
      <c r="D214" s="654" t="s">
        <v>221</v>
      </c>
      <c r="E214" s="655">
        <v>5703.6999999999953</v>
      </c>
      <c r="F214" s="655">
        <v>1773519000</v>
      </c>
      <c r="G214" s="655">
        <v>3146</v>
      </c>
      <c r="H214" s="655">
        <v>990294880</v>
      </c>
      <c r="I214" s="655">
        <v>429</v>
      </c>
      <c r="J214" s="655">
        <v>5064260</v>
      </c>
      <c r="K214" s="655">
        <v>2768878140</v>
      </c>
      <c r="L214" s="655">
        <v>21081200</v>
      </c>
      <c r="M214" s="655">
        <v>3339000</v>
      </c>
      <c r="N214" s="655">
        <v>71400000</v>
      </c>
      <c r="O214" s="655">
        <v>144500000</v>
      </c>
      <c r="P214" s="655">
        <v>2864000</v>
      </c>
      <c r="Q214" s="655">
        <v>110300000</v>
      </c>
      <c r="R214" s="655">
        <v>57347776</v>
      </c>
      <c r="S214" s="655">
        <v>0</v>
      </c>
      <c r="T214" s="655">
        <v>0</v>
      </c>
      <c r="U214" s="655">
        <v>8900000</v>
      </c>
      <c r="V214" s="655">
        <v>522084</v>
      </c>
      <c r="W214" s="655">
        <v>9890760</v>
      </c>
      <c r="X214" s="655"/>
      <c r="Y214" s="655">
        <v>0</v>
      </c>
      <c r="Z214" s="655">
        <v>3199022984</v>
      </c>
      <c r="AA214" s="655">
        <v>4862.5</v>
      </c>
      <c r="AB214" s="655">
        <v>0</v>
      </c>
      <c r="AC214" s="655">
        <v>0</v>
      </c>
      <c r="AD214" s="655">
        <v>0</v>
      </c>
      <c r="AE214" s="655">
        <v>0</v>
      </c>
      <c r="AF214" s="655">
        <v>257822068</v>
      </c>
      <c r="AG214" s="655">
        <v>3456845052</v>
      </c>
      <c r="AH214" s="655">
        <v>321347775</v>
      </c>
      <c r="AI214" s="655">
        <v>15974400</v>
      </c>
      <c r="AJ214" s="655">
        <v>1243637</v>
      </c>
      <c r="AK214" s="655">
        <v>102500</v>
      </c>
      <c r="AL214" s="655">
        <v>187800</v>
      </c>
      <c r="AM214" s="655">
        <v>3117988940</v>
      </c>
      <c r="AN214" s="654">
        <v>430</v>
      </c>
    </row>
    <row r="215" spans="3:40" ht="19.5" customHeight="1">
      <c r="D215" s="272"/>
      <c r="E215" s="659">
        <f>SUM(E210:E214)</f>
        <v>16240.3</v>
      </c>
      <c r="F215" s="659">
        <f t="shared" ref="F215:W215" si="502">SUM(F210:F214)</f>
        <v>4810025548</v>
      </c>
      <c r="G215" s="659">
        <f t="shared" si="502"/>
        <v>8965</v>
      </c>
      <c r="H215" s="659">
        <f t="shared" si="502"/>
        <v>2671039680</v>
      </c>
      <c r="I215" s="659">
        <f t="shared" si="502"/>
        <v>663</v>
      </c>
      <c r="J215" s="659">
        <f t="shared" si="502"/>
        <v>7312475</v>
      </c>
      <c r="K215" s="659">
        <f t="shared" si="502"/>
        <v>7488377703</v>
      </c>
      <c r="L215" s="659">
        <f t="shared" si="502"/>
        <v>50168600</v>
      </c>
      <c r="M215" s="659">
        <f t="shared" si="502"/>
        <v>4789000</v>
      </c>
      <c r="N215" s="659">
        <f t="shared" si="502"/>
        <v>204000000</v>
      </c>
      <c r="O215" s="659">
        <f t="shared" si="502"/>
        <v>435000000</v>
      </c>
      <c r="P215" s="659">
        <f t="shared" si="502"/>
        <v>7392000</v>
      </c>
      <c r="Q215" s="659">
        <f t="shared" si="502"/>
        <v>346300000</v>
      </c>
      <c r="R215" s="659">
        <f t="shared" si="502"/>
        <v>195255878</v>
      </c>
      <c r="S215" s="659">
        <f t="shared" si="502"/>
        <v>0</v>
      </c>
      <c r="T215" s="659">
        <f t="shared" si="502"/>
        <v>0</v>
      </c>
      <c r="U215" s="659">
        <f t="shared" si="502"/>
        <v>25200000</v>
      </c>
      <c r="V215" s="659">
        <f t="shared" si="502"/>
        <v>1993994</v>
      </c>
      <c r="W215" s="659">
        <f t="shared" si="502"/>
        <v>34787835</v>
      </c>
      <c r="X215" s="659"/>
      <c r="Y215" s="659">
        <f t="shared" ref="Y215:AN215" si="503">SUM(Y210:Y214)</f>
        <v>0</v>
      </c>
      <c r="Z215" s="659">
        <f t="shared" si="503"/>
        <v>8793265098</v>
      </c>
      <c r="AA215" s="659">
        <f t="shared" si="503"/>
        <v>10713</v>
      </c>
      <c r="AB215" s="659">
        <f t="shared" si="503"/>
        <v>8</v>
      </c>
      <c r="AC215" s="659">
        <f t="shared" si="503"/>
        <v>4</v>
      </c>
      <c r="AD215" s="659">
        <f t="shared" si="503"/>
        <v>0</v>
      </c>
      <c r="AE215" s="659">
        <f t="shared" si="503"/>
        <v>0</v>
      </c>
      <c r="AF215" s="659">
        <f t="shared" si="503"/>
        <v>548255970</v>
      </c>
      <c r="AG215" s="659">
        <f t="shared" si="503"/>
        <v>9341521068</v>
      </c>
      <c r="AH215" s="659">
        <f t="shared" si="503"/>
        <v>868910805</v>
      </c>
      <c r="AI215" s="659">
        <f t="shared" si="503"/>
        <v>46051200</v>
      </c>
      <c r="AJ215" s="659">
        <f t="shared" si="503"/>
        <v>3484050</v>
      </c>
      <c r="AK215" s="659">
        <f t="shared" si="503"/>
        <v>102500</v>
      </c>
      <c r="AL215" s="659">
        <f t="shared" si="503"/>
        <v>2387800</v>
      </c>
      <c r="AM215" s="659">
        <f t="shared" si="503"/>
        <v>8420584713</v>
      </c>
      <c r="AN215" s="659">
        <f t="shared" si="503"/>
        <v>1190</v>
      </c>
    </row>
    <row r="216" spans="3:40" ht="19.5" customHeight="1">
      <c r="D216" s="665"/>
      <c r="E216" s="665"/>
      <c r="F216" s="666"/>
      <c r="G216" s="667"/>
      <c r="H216" s="666"/>
      <c r="I216" s="667"/>
      <c r="J216" s="666"/>
      <c r="K216" s="666"/>
      <c r="L216" s="666"/>
      <c r="M216" s="666"/>
      <c r="N216" s="666"/>
      <c r="O216" s="666"/>
      <c r="P216" s="666"/>
      <c r="Q216" s="666"/>
      <c r="R216" s="666"/>
      <c r="S216" s="668"/>
      <c r="T216" s="666"/>
      <c r="U216" s="666"/>
      <c r="V216" s="666"/>
      <c r="W216" s="666"/>
      <c r="X216" s="669"/>
      <c r="Y216" s="669"/>
      <c r="Z216" s="669"/>
      <c r="AA216" s="657"/>
      <c r="AB216" s="657"/>
      <c r="AC216" s="657"/>
      <c r="AD216" s="670"/>
      <c r="AE216" s="670"/>
      <c r="AF216" s="671"/>
      <c r="AG216" s="672"/>
      <c r="AH216" s="671"/>
      <c r="AI216" s="673"/>
      <c r="AJ216" s="671"/>
      <c r="AK216" s="657"/>
      <c r="AL216" s="657"/>
      <c r="AM216" s="669"/>
      <c r="AN216" s="675"/>
    </row>
    <row r="217" spans="3:40" ht="21.75" customHeight="1">
      <c r="C217" s="1605" t="str">
        <f>C224&amp;" Vs "&amp;C238</f>
        <v>Jan Vs Dec</v>
      </c>
      <c r="D217" s="654" t="s">
        <v>216</v>
      </c>
      <c r="E217" s="657">
        <f>+E224/E238</f>
        <v>0.98121773832072967</v>
      </c>
      <c r="F217" s="657">
        <f t="shared" ref="F217:H217" si="504">+F224/F238</f>
        <v>0.98269050374675759</v>
      </c>
      <c r="G217" s="657">
        <f t="shared" si="504"/>
        <v>1.1925465838509317</v>
      </c>
      <c r="H217" s="657">
        <f t="shared" si="504"/>
        <v>1.2077406202490639</v>
      </c>
      <c r="I217" s="657"/>
      <c r="J217" s="657"/>
      <c r="K217" s="657">
        <f t="shared" ref="K217:R217" si="505">+K224/K238</f>
        <v>0.99718374308424118</v>
      </c>
      <c r="L217" s="657">
        <f t="shared" si="505"/>
        <v>0.99650846835540452</v>
      </c>
      <c r="M217" s="657"/>
      <c r="N217" s="657">
        <f t="shared" si="505"/>
        <v>0.96206896551724141</v>
      </c>
      <c r="O217" s="657">
        <f t="shared" si="505"/>
        <v>0.96923076923076923</v>
      </c>
      <c r="P217" s="657">
        <f t="shared" si="505"/>
        <v>1.1914893617021276</v>
      </c>
      <c r="Q217" s="657">
        <f t="shared" si="505"/>
        <v>0.97732997481108308</v>
      </c>
      <c r="R217" s="657">
        <f t="shared" si="505"/>
        <v>0.86394723211595714</v>
      </c>
      <c r="S217" s="657"/>
      <c r="T217" s="657"/>
      <c r="U217" s="657">
        <f t="shared" ref="U217:W217" si="506">+U224/U238</f>
        <v>0.89090909090909087</v>
      </c>
      <c r="V217" s="657"/>
      <c r="W217" s="657">
        <f t="shared" si="506"/>
        <v>0.96998433145074747</v>
      </c>
      <c r="X217" s="657"/>
      <c r="Y217" s="657"/>
      <c r="Z217" s="657">
        <f t="shared" ref="Z217" si="507">+Z224/Z238</f>
        <v>1.4523666053192181</v>
      </c>
      <c r="AA217" s="657">
        <f>+AA224/AA238</f>
        <v>1.8832019654007575</v>
      </c>
      <c r="AB217" s="657"/>
      <c r="AC217" s="657"/>
      <c r="AD217" s="657" t="e">
        <f t="shared" ref="AD217:AF217" si="508">+AD224/AD238</f>
        <v>#DIV/0!</v>
      </c>
      <c r="AE217" s="657" t="e">
        <f t="shared" si="508"/>
        <v>#DIV/0!</v>
      </c>
      <c r="AF217" s="657">
        <f t="shared" si="508"/>
        <v>1.893034249269582</v>
      </c>
      <c r="AG217" s="657">
        <f>+AG224/AG238</f>
        <v>1.4867525988041312</v>
      </c>
      <c r="AH217" s="657">
        <f t="shared" ref="AH217:AN218" si="509">+AH224/AH238</f>
        <v>0.96872706966735167</v>
      </c>
      <c r="AI217" s="657">
        <f t="shared" si="509"/>
        <v>0.97241379310344822</v>
      </c>
      <c r="AJ217" s="657">
        <f t="shared" si="509"/>
        <v>25.004502145983309</v>
      </c>
      <c r="AK217" s="657"/>
      <c r="AL217" s="657"/>
      <c r="AM217" s="657">
        <f t="shared" si="509"/>
        <v>0.30797875972374078</v>
      </c>
      <c r="AN217" s="503">
        <f>+AN224/AN238</f>
        <v>0.91025641025641024</v>
      </c>
    </row>
    <row r="218" spans="3:40" ht="21.75" customHeight="1">
      <c r="C218" s="1605"/>
      <c r="D218" s="654" t="s">
        <v>217</v>
      </c>
      <c r="E218" s="657">
        <f t="shared" ref="E218:R218" si="510">+E225/E239</f>
        <v>0.97935566597211032</v>
      </c>
      <c r="F218" s="657">
        <f t="shared" si="510"/>
        <v>0.96126989144420472</v>
      </c>
      <c r="G218" s="657">
        <f t="shared" si="510"/>
        <v>1.2415458937198067</v>
      </c>
      <c r="H218" s="657">
        <f t="shared" si="510"/>
        <v>1.2104808308896333</v>
      </c>
      <c r="I218" s="657">
        <f t="shared" si="510"/>
        <v>0.75471698113207553</v>
      </c>
      <c r="J218" s="657">
        <f t="shared" si="510"/>
        <v>0.68082383768647048</v>
      </c>
      <c r="K218" s="657">
        <f t="shared" si="510"/>
        <v>0.97562834137228283</v>
      </c>
      <c r="L218" s="657">
        <f t="shared" si="510"/>
        <v>0.39594254909641458</v>
      </c>
      <c r="M218" s="657">
        <f t="shared" si="510"/>
        <v>0.7100591715976331</v>
      </c>
      <c r="N218" s="657">
        <f t="shared" si="510"/>
        <v>0.95488721804511278</v>
      </c>
      <c r="O218" s="657">
        <f t="shared" si="510"/>
        <v>1.0377358490566038</v>
      </c>
      <c r="P218" s="657">
        <f t="shared" si="510"/>
        <v>1.7458563535911602</v>
      </c>
      <c r="Q218" s="657">
        <f t="shared" si="510"/>
        <v>1.0504009163802979</v>
      </c>
      <c r="R218" s="657">
        <f t="shared" si="510"/>
        <v>1.1467755661701204</v>
      </c>
      <c r="S218" s="657"/>
      <c r="T218" s="657"/>
      <c r="U218" s="657">
        <f t="shared" ref="U218:W218" si="511">+U225/U239</f>
        <v>1</v>
      </c>
      <c r="V218" s="657"/>
      <c r="W218" s="657">
        <f t="shared" si="511"/>
        <v>1.0443470783081603</v>
      </c>
      <c r="X218" s="657"/>
      <c r="Y218" s="657"/>
      <c r="Z218" s="657">
        <f t="shared" ref="Z218:AA218" si="512">+Z225/Z239</f>
        <v>1.4652431777426853</v>
      </c>
      <c r="AA218" s="657">
        <f t="shared" si="512"/>
        <v>1.7007851119511486</v>
      </c>
      <c r="AB218" s="657"/>
      <c r="AC218" s="657"/>
      <c r="AD218" s="657" t="e">
        <f t="shared" ref="AD218:AK218" si="513">+AD225/AD239</f>
        <v>#DIV/0!</v>
      </c>
      <c r="AE218" s="657" t="e">
        <f t="shared" si="513"/>
        <v>#DIV/0!</v>
      </c>
      <c r="AF218" s="657">
        <f t="shared" si="513"/>
        <v>1.6231743493969311</v>
      </c>
      <c r="AG218" s="657">
        <f t="shared" si="513"/>
        <v>1.4758326986840069</v>
      </c>
      <c r="AH218" s="657">
        <f t="shared" si="513"/>
        <v>0.95657689917882127</v>
      </c>
      <c r="AI218" s="657">
        <f t="shared" si="513"/>
        <v>0.98461538461538467</v>
      </c>
      <c r="AJ218" s="657">
        <f t="shared" si="513"/>
        <v>8.4822923685969158</v>
      </c>
      <c r="AK218" s="657">
        <f t="shared" si="513"/>
        <v>1</v>
      </c>
      <c r="AL218" s="657"/>
      <c r="AM218" s="657">
        <f t="shared" si="509"/>
        <v>0.25626805742739156</v>
      </c>
      <c r="AN218" s="503">
        <f t="shared" si="509"/>
        <v>0.92142857142857137</v>
      </c>
    </row>
    <row r="219" spans="3:40" ht="21.75" customHeight="1">
      <c r="C219" s="1605"/>
      <c r="D219" s="654" t="s">
        <v>218</v>
      </c>
      <c r="E219" s="657">
        <f t="shared" ref="E219:H219" si="514">+E226/E240</f>
        <v>0.99098555100280372</v>
      </c>
      <c r="F219" s="657">
        <f t="shared" si="514"/>
        <v>0.99396077622746415</v>
      </c>
      <c r="G219" s="657">
        <f t="shared" si="514"/>
        <v>1.3108614232209739</v>
      </c>
      <c r="H219" s="657">
        <f t="shared" si="514"/>
        <v>1.3295101996517245</v>
      </c>
      <c r="I219" s="657"/>
      <c r="J219" s="657"/>
      <c r="K219" s="657">
        <f t="shared" ref="K219:R219" si="515">+K226/K240</f>
        <v>1.0121010456252244</v>
      </c>
      <c r="L219" s="657">
        <f t="shared" si="515"/>
        <v>0.99390051985053363</v>
      </c>
      <c r="M219" s="657"/>
      <c r="N219" s="657">
        <f t="shared" si="515"/>
        <v>0.97382198952879584</v>
      </c>
      <c r="O219" s="657">
        <f t="shared" si="515"/>
        <v>0.97687861271676302</v>
      </c>
      <c r="P219" s="657">
        <f t="shared" si="515"/>
        <v>0.69083969465648853</v>
      </c>
      <c r="Q219" s="657">
        <f t="shared" si="515"/>
        <v>0.97677691766361718</v>
      </c>
      <c r="R219" s="657">
        <f t="shared" si="515"/>
        <v>0.94544666680448131</v>
      </c>
      <c r="S219" s="657"/>
      <c r="T219" s="657"/>
      <c r="U219" s="657">
        <f t="shared" ref="U219:V219" si="516">+U226/U240</f>
        <v>0.96610169491525422</v>
      </c>
      <c r="V219" s="657">
        <f t="shared" si="516"/>
        <v>0</v>
      </c>
      <c r="W219" s="657">
        <f t="shared" ref="W219" si="517">+W226/W240</f>
        <v>0.98328178422849022</v>
      </c>
      <c r="X219" s="657"/>
      <c r="Y219" s="657"/>
      <c r="Z219" s="657">
        <f t="shared" ref="Z219:AA219" si="518">+Z226/Z240</f>
        <v>1.4953094483430005</v>
      </c>
      <c r="AA219" s="657">
        <f t="shared" si="518"/>
        <v>3.4104906937394248</v>
      </c>
      <c r="AB219" s="657"/>
      <c r="AC219" s="657"/>
      <c r="AD219" s="657" t="e">
        <f t="shared" ref="AD219:AK219" si="519">+AD226/AD240</f>
        <v>#DIV/0!</v>
      </c>
      <c r="AE219" s="657" t="e">
        <f t="shared" si="519"/>
        <v>#DIV/0!</v>
      </c>
      <c r="AF219" s="657">
        <f t="shared" si="519"/>
        <v>3.4322471723952006</v>
      </c>
      <c r="AG219" s="657">
        <f t="shared" si="519"/>
        <v>1.5659245605243821</v>
      </c>
      <c r="AH219" s="657">
        <f t="shared" si="519"/>
        <v>0.96929957894069807</v>
      </c>
      <c r="AI219" s="657">
        <f t="shared" si="519"/>
        <v>0.96410256410256412</v>
      </c>
      <c r="AJ219" s="657">
        <f t="shared" si="519"/>
        <v>14.079750803067832</v>
      </c>
      <c r="AK219" s="657">
        <f t="shared" si="519"/>
        <v>0</v>
      </c>
      <c r="AL219" s="657"/>
      <c r="AM219" s="657">
        <f t="shared" ref="AM219:AN219" si="520">+AM226/AM240</f>
        <v>0.299054073532531</v>
      </c>
      <c r="AN219" s="503">
        <f t="shared" si="520"/>
        <v>0.97979797979797978</v>
      </c>
    </row>
    <row r="220" spans="3:40" ht="21.75" customHeight="1">
      <c r="C220" s="1605"/>
      <c r="D220" s="654" t="s">
        <v>220</v>
      </c>
      <c r="E220" s="657">
        <f t="shared" ref="E220:H220" si="521">+E227/E241</f>
        <v>1.0087915733598738</v>
      </c>
      <c r="F220" s="657">
        <f t="shared" si="521"/>
        <v>1.0276960256054848</v>
      </c>
      <c r="G220" s="657">
        <f t="shared" si="521"/>
        <v>1.403061224489796</v>
      </c>
      <c r="H220" s="657">
        <f t="shared" si="521"/>
        <v>1.5545842831633645</v>
      </c>
      <c r="I220" s="657"/>
      <c r="J220" s="657"/>
      <c r="K220" s="657">
        <f t="shared" ref="K220:R220" si="522">+K227/K241</f>
        <v>1.0525920729317302</v>
      </c>
      <c r="L220" s="657">
        <f t="shared" si="522"/>
        <v>0.98863942402139005</v>
      </c>
      <c r="M220" s="657">
        <f t="shared" si="522"/>
        <v>1.7361111111111112</v>
      </c>
      <c r="N220" s="657">
        <f t="shared" si="522"/>
        <v>1</v>
      </c>
      <c r="O220" s="657">
        <f t="shared" si="522"/>
        <v>0.95402298850574707</v>
      </c>
      <c r="P220" s="657">
        <f t="shared" si="522"/>
        <v>1</v>
      </c>
      <c r="Q220" s="657">
        <f t="shared" si="522"/>
        <v>0.96590909090909094</v>
      </c>
      <c r="R220" s="657">
        <f t="shared" si="522"/>
        <v>0.92110616101602727</v>
      </c>
      <c r="S220" s="657"/>
      <c r="T220" s="657"/>
      <c r="U220" s="657">
        <f t="shared" ref="U220:W220" si="523">+U227/U241</f>
        <v>1</v>
      </c>
      <c r="V220" s="657">
        <f t="shared" si="523"/>
        <v>0.74509803921568629</v>
      </c>
      <c r="W220" s="657">
        <f t="shared" si="523"/>
        <v>1.0098588875524201</v>
      </c>
      <c r="X220" s="657"/>
      <c r="Y220" s="657"/>
      <c r="Z220" s="657">
        <f t="shared" ref="Z220:AC220" si="524">+Z227/Z241</f>
        <v>1.5490001433976144</v>
      </c>
      <c r="AA220" s="657">
        <f t="shared" si="524"/>
        <v>3.4401597261836852</v>
      </c>
      <c r="AB220" s="657"/>
      <c r="AC220" s="657">
        <f t="shared" si="524"/>
        <v>0.65</v>
      </c>
      <c r="AD220" s="657" t="e">
        <f t="shared" ref="AD220:AK220" si="525">+AD227/AD241</f>
        <v>#DIV/0!</v>
      </c>
      <c r="AE220" s="657" t="e">
        <f t="shared" si="525"/>
        <v>#DIV/0!</v>
      </c>
      <c r="AF220" s="657">
        <f t="shared" si="525"/>
        <v>3.2295266801159199</v>
      </c>
      <c r="AG220" s="657">
        <f t="shared" si="525"/>
        <v>1.5917173548262358</v>
      </c>
      <c r="AH220" s="657">
        <f t="shared" si="525"/>
        <v>1.0155212021177946</v>
      </c>
      <c r="AI220" s="657">
        <f t="shared" si="525"/>
        <v>0.98666666666666669</v>
      </c>
      <c r="AJ220" s="657">
        <f t="shared" si="525"/>
        <v>9.5847571953824335</v>
      </c>
      <c r="AK220" s="657">
        <f t="shared" si="525"/>
        <v>0</v>
      </c>
      <c r="AL220" s="657"/>
      <c r="AM220" s="657">
        <f t="shared" ref="AM220:AN220" si="526">+AM227/AM241</f>
        <v>0.14598802357374091</v>
      </c>
      <c r="AN220" s="503">
        <f t="shared" si="526"/>
        <v>0.98684210526315785</v>
      </c>
    </row>
    <row r="221" spans="3:40" s="653" customFormat="1" ht="21.75" customHeight="1">
      <c r="C221" s="1605"/>
      <c r="D221" s="656" t="s">
        <v>221</v>
      </c>
      <c r="E221" s="657">
        <f t="shared" ref="E221:R221" si="527">+E228/E242</f>
        <v>0.98199646359106241</v>
      </c>
      <c r="F221" s="657">
        <f t="shared" si="527"/>
        <v>0.98887743530333883</v>
      </c>
      <c r="G221" s="657">
        <f t="shared" si="527"/>
        <v>1.2072617246596067</v>
      </c>
      <c r="H221" s="657">
        <f t="shared" si="527"/>
        <v>1.221342459296765</v>
      </c>
      <c r="I221" s="657">
        <f t="shared" si="527"/>
        <v>1.0914127423822715</v>
      </c>
      <c r="J221" s="657">
        <f t="shared" si="527"/>
        <v>1.0581218825862861</v>
      </c>
      <c r="K221" s="657">
        <f t="shared" si="527"/>
        <v>1.0035840845195436</v>
      </c>
      <c r="L221" s="657">
        <f t="shared" si="527"/>
        <v>0.96383560244983746</v>
      </c>
      <c r="M221" s="657">
        <f t="shared" si="527"/>
        <v>1.4406481481481481</v>
      </c>
      <c r="N221" s="657">
        <f t="shared" si="527"/>
        <v>0.97395833333333337</v>
      </c>
      <c r="O221" s="657">
        <f t="shared" si="527"/>
        <v>0.90029325513196479</v>
      </c>
      <c r="P221" s="657">
        <f t="shared" si="527"/>
        <v>0.64650112866817155</v>
      </c>
      <c r="Q221" s="657">
        <f t="shared" si="527"/>
        <v>0.94810606060606062</v>
      </c>
      <c r="R221" s="657">
        <f t="shared" si="527"/>
        <v>0.96499578636664507</v>
      </c>
      <c r="S221" s="657"/>
      <c r="T221" s="657"/>
      <c r="U221" s="657">
        <f t="shared" ref="U221:V221" si="528">+U228/U242</f>
        <v>0.96808510638297873</v>
      </c>
      <c r="V221" s="657">
        <f t="shared" si="528"/>
        <v>0.29885002510340208</v>
      </c>
      <c r="W221" s="657">
        <f t="shared" ref="W221" si="529">+W228/W242</f>
        <v>1.0003213845945005</v>
      </c>
      <c r="X221" s="657"/>
      <c r="Y221" s="657"/>
      <c r="Z221" s="657">
        <f t="shared" ref="Z221:AC221" si="530">+Z228/Z242</f>
        <v>1.4622442972414733</v>
      </c>
      <c r="AA221" s="657">
        <f t="shared" si="530"/>
        <v>1.1749863363089816</v>
      </c>
      <c r="AB221" s="657"/>
      <c r="AC221" s="657">
        <f t="shared" si="530"/>
        <v>1.8653846153846154</v>
      </c>
      <c r="AD221" s="657" t="e">
        <f t="shared" ref="AD221:AN221" si="531">+AD228/AD242</f>
        <v>#DIV/0!</v>
      </c>
      <c r="AE221" s="657" t="e">
        <f t="shared" si="531"/>
        <v>#DIV/0!</v>
      </c>
      <c r="AF221" s="657">
        <f t="shared" si="531"/>
        <v>1.2470299242954472</v>
      </c>
      <c r="AG221" s="657">
        <f t="shared" si="531"/>
        <v>1.4476734579147414</v>
      </c>
      <c r="AH221" s="657">
        <f t="shared" si="531"/>
        <v>0.9742341297052669</v>
      </c>
      <c r="AI221" s="657">
        <f t="shared" si="531"/>
        <v>0.96376811594202894</v>
      </c>
      <c r="AJ221" s="657">
        <f t="shared" si="531"/>
        <v>6.5457149520128253</v>
      </c>
      <c r="AK221" s="657">
        <f t="shared" si="531"/>
        <v>0.33333333333333331</v>
      </c>
      <c r="AL221" s="657">
        <f t="shared" si="531"/>
        <v>0</v>
      </c>
      <c r="AM221" s="657">
        <f t="shared" si="531"/>
        <v>0.20435856134776612</v>
      </c>
      <c r="AN221" s="503">
        <f t="shared" si="531"/>
        <v>0.93835616438356162</v>
      </c>
    </row>
    <row r="222" spans="3:40" s="492" customFormat="1" ht="21.75" customHeight="1">
      <c r="D222" s="676" t="s">
        <v>79</v>
      </c>
      <c r="E222" s="677">
        <f t="shared" ref="E222:R222" si="532">+E229/E243</f>
        <v>0.98642155838729884</v>
      </c>
      <c r="F222" s="677">
        <f t="shared" si="532"/>
        <v>0.99257714516452</v>
      </c>
      <c r="G222" s="677">
        <f t="shared" si="532"/>
        <v>1.2436604189636162</v>
      </c>
      <c r="H222" s="677">
        <f t="shared" si="532"/>
        <v>1.2798206982122311</v>
      </c>
      <c r="I222" s="677">
        <f t="shared" si="532"/>
        <v>1.0483091787439613</v>
      </c>
      <c r="J222" s="677">
        <f t="shared" si="532"/>
        <v>1.0186470592078163</v>
      </c>
      <c r="K222" s="677">
        <f t="shared" si="532"/>
        <v>1.0093838494439049</v>
      </c>
      <c r="L222" s="677">
        <f t="shared" si="532"/>
        <v>0.95283883217305654</v>
      </c>
      <c r="M222" s="677">
        <f t="shared" si="532"/>
        <v>1.3549760099055874</v>
      </c>
      <c r="N222" s="677">
        <f t="shared" si="532"/>
        <v>0.97064220183486238</v>
      </c>
      <c r="O222" s="677">
        <f t="shared" si="532"/>
        <v>0.95243019648397109</v>
      </c>
      <c r="P222" s="677">
        <f t="shared" si="532"/>
        <v>0.88414277355178472</v>
      </c>
      <c r="Q222" s="677">
        <f t="shared" si="532"/>
        <v>0.97441951987406528</v>
      </c>
      <c r="R222" s="677">
        <f t="shared" si="532"/>
        <v>0.94503167125205578</v>
      </c>
      <c r="S222" s="677"/>
      <c r="T222" s="677"/>
      <c r="U222" s="677">
        <f t="shared" ref="U222:W222" si="533">+U229/U243</f>
        <v>0.95910780669144979</v>
      </c>
      <c r="V222" s="677">
        <f t="shared" si="533"/>
        <v>0.65812326177193881</v>
      </c>
      <c r="W222" s="677">
        <f t="shared" si="533"/>
        <v>0.99373895241987165</v>
      </c>
      <c r="X222" s="677"/>
      <c r="Y222" s="677"/>
      <c r="Z222" s="677">
        <f t="shared" ref="Z222:AA222" si="534">+Z229/Z243</f>
        <v>1.4801908367255427</v>
      </c>
      <c r="AA222" s="677">
        <f t="shared" si="534"/>
        <v>1.8430677649338962</v>
      </c>
      <c r="AB222" s="677"/>
      <c r="AC222" s="677">
        <f t="shared" ref="AC222:AL222" si="535">+AC229/AC243</f>
        <v>1.7719298245614035</v>
      </c>
      <c r="AD222" s="677" t="e">
        <f t="shared" si="535"/>
        <v>#DIV/0!</v>
      </c>
      <c r="AE222" s="677" t="e">
        <f t="shared" si="535"/>
        <v>#DIV/0!</v>
      </c>
      <c r="AF222" s="677">
        <f t="shared" si="535"/>
        <v>1.8095498469072859</v>
      </c>
      <c r="AG222" s="677">
        <f t="shared" si="535"/>
        <v>1.499442353597694</v>
      </c>
      <c r="AH222" s="677">
        <f t="shared" si="535"/>
        <v>0.97814683986192885</v>
      </c>
      <c r="AI222" s="677">
        <f t="shared" si="535"/>
        <v>0.97116200169635281</v>
      </c>
      <c r="AJ222" s="677">
        <f t="shared" si="535"/>
        <v>8.7796804333800775</v>
      </c>
      <c r="AK222" s="677">
        <f t="shared" si="535"/>
        <v>0.24691358024691357</v>
      </c>
      <c r="AL222" s="677">
        <f t="shared" si="535"/>
        <v>2.0164249999999999</v>
      </c>
      <c r="AM222" s="677">
        <f t="shared" ref="AM222:AN222" si="536">+AM229/AM243</f>
        <v>0.23555404616824099</v>
      </c>
      <c r="AN222" s="677">
        <f t="shared" si="536"/>
        <v>0.9419354838709677</v>
      </c>
    </row>
    <row r="223" spans="3:40" ht="21.75" customHeight="1"/>
    <row r="224" spans="3:40" ht="19.5" customHeight="1">
      <c r="C224" s="1610" t="s">
        <v>63</v>
      </c>
      <c r="D224" s="654" t="s">
        <v>216</v>
      </c>
      <c r="E224" s="655">
        <v>6786.2000000000035</v>
      </c>
      <c r="F224" s="655">
        <v>1595625451</v>
      </c>
      <c r="G224" s="655">
        <v>576</v>
      </c>
      <c r="H224" s="655">
        <v>134984500</v>
      </c>
      <c r="I224" s="655">
        <v>0</v>
      </c>
      <c r="J224" s="655">
        <v>0</v>
      </c>
      <c r="K224" s="655">
        <v>1730609951</v>
      </c>
      <c r="L224" s="655">
        <v>841666</v>
      </c>
      <c r="M224" s="655">
        <v>0</v>
      </c>
      <c r="N224" s="655">
        <v>55800000</v>
      </c>
      <c r="O224" s="655">
        <v>126000000</v>
      </c>
      <c r="P224" s="655">
        <v>1680000</v>
      </c>
      <c r="Q224" s="655">
        <v>97000000</v>
      </c>
      <c r="R224" s="655">
        <v>115956486</v>
      </c>
      <c r="S224" s="655">
        <v>0</v>
      </c>
      <c r="T224" s="655">
        <v>0</v>
      </c>
      <c r="U224" s="655">
        <v>4900000</v>
      </c>
      <c r="V224" s="655">
        <v>194421</v>
      </c>
      <c r="W224" s="655">
        <v>9153411.0027553663</v>
      </c>
      <c r="X224" s="655"/>
      <c r="Y224" s="655">
        <v>1480331448</v>
      </c>
      <c r="Z224" s="655">
        <v>3622467388</v>
      </c>
      <c r="AA224" s="655">
        <v>9198.5</v>
      </c>
      <c r="AB224" s="655">
        <v>0</v>
      </c>
      <c r="AC224" s="655">
        <v>1.5</v>
      </c>
      <c r="AD224" s="655">
        <v>0</v>
      </c>
      <c r="AE224" s="655">
        <v>0</v>
      </c>
      <c r="AF224" s="655">
        <v>399614345</v>
      </c>
      <c r="AG224" s="655">
        <v>4022081733</v>
      </c>
      <c r="AH224" s="655">
        <v>179237520</v>
      </c>
      <c r="AI224" s="655">
        <v>11731200</v>
      </c>
      <c r="AJ224" s="655">
        <v>33667787</v>
      </c>
      <c r="AK224" s="655">
        <v>0</v>
      </c>
      <c r="AL224" s="655">
        <v>258825</v>
      </c>
      <c r="AM224" s="655">
        <v>772055183</v>
      </c>
      <c r="AN224" s="654">
        <v>284</v>
      </c>
    </row>
    <row r="225" spans="3:40" ht="19.5" customHeight="1">
      <c r="C225" s="1610"/>
      <c r="D225" s="654" t="s">
        <v>217</v>
      </c>
      <c r="E225" s="655">
        <v>3055.099999999999</v>
      </c>
      <c r="F225" s="655">
        <v>813613478</v>
      </c>
      <c r="G225" s="655">
        <v>257</v>
      </c>
      <c r="H225" s="655">
        <v>68211424</v>
      </c>
      <c r="I225" s="655">
        <v>260</v>
      </c>
      <c r="J225" s="655">
        <v>2496901</v>
      </c>
      <c r="K225" s="655">
        <v>884321803</v>
      </c>
      <c r="L225" s="655">
        <v>981481</v>
      </c>
      <c r="M225" s="655">
        <v>1200000</v>
      </c>
      <c r="N225" s="655">
        <v>25400000</v>
      </c>
      <c r="O225" s="655">
        <v>55000000</v>
      </c>
      <c r="P225" s="655">
        <v>632000</v>
      </c>
      <c r="Q225" s="655">
        <v>45850000</v>
      </c>
      <c r="R225" s="655">
        <v>49110440</v>
      </c>
      <c r="S225" s="655">
        <v>0</v>
      </c>
      <c r="T225" s="655">
        <v>0</v>
      </c>
      <c r="U225" s="655">
        <v>2500000</v>
      </c>
      <c r="V225" s="655">
        <v>0</v>
      </c>
      <c r="W225" s="655">
        <v>2592584.1190726468</v>
      </c>
      <c r="X225" s="655"/>
      <c r="Y225" s="655">
        <v>732913295</v>
      </c>
      <c r="Z225" s="655">
        <v>1800501601</v>
      </c>
      <c r="AA225" s="655">
        <v>2924.5</v>
      </c>
      <c r="AB225" s="655">
        <v>0</v>
      </c>
      <c r="AC225" s="655">
        <v>0</v>
      </c>
      <c r="AD225" s="655">
        <v>0</v>
      </c>
      <c r="AE225" s="655">
        <v>0</v>
      </c>
      <c r="AF225" s="655">
        <v>143350680</v>
      </c>
      <c r="AG225" s="655">
        <v>1943852281</v>
      </c>
      <c r="AH225" s="655">
        <v>92786400</v>
      </c>
      <c r="AI225" s="655">
        <v>5324800</v>
      </c>
      <c r="AJ225" s="655">
        <v>24344705</v>
      </c>
      <c r="AK225" s="655">
        <v>70000</v>
      </c>
      <c r="AL225" s="655">
        <v>144460</v>
      </c>
      <c r="AM225" s="655">
        <v>310539469</v>
      </c>
      <c r="AN225" s="654">
        <v>129</v>
      </c>
    </row>
    <row r="226" spans="3:40" ht="19.5" customHeight="1">
      <c r="C226" s="1610"/>
      <c r="D226" s="654" t="s">
        <v>218</v>
      </c>
      <c r="E226" s="655">
        <v>4595.2000000000025</v>
      </c>
      <c r="F226" s="655">
        <v>1078608275</v>
      </c>
      <c r="G226" s="655">
        <v>350</v>
      </c>
      <c r="H226" s="655">
        <v>82453759</v>
      </c>
      <c r="I226" s="655">
        <v>0</v>
      </c>
      <c r="J226" s="655">
        <v>0</v>
      </c>
      <c r="K226" s="655">
        <v>1161062034</v>
      </c>
      <c r="L226" s="655">
        <v>666296</v>
      </c>
      <c r="M226" s="655">
        <v>0</v>
      </c>
      <c r="N226" s="655">
        <v>37200000</v>
      </c>
      <c r="O226" s="655">
        <v>84500000</v>
      </c>
      <c r="P226" s="655">
        <v>362000</v>
      </c>
      <c r="Q226" s="655">
        <v>69400000</v>
      </c>
      <c r="R226" s="655">
        <v>90921560</v>
      </c>
      <c r="S226" s="655">
        <v>0</v>
      </c>
      <c r="T226" s="655">
        <v>0</v>
      </c>
      <c r="U226" s="655">
        <v>5700000</v>
      </c>
      <c r="V226" s="655">
        <v>0</v>
      </c>
      <c r="W226" s="655">
        <v>6258706.6045328854</v>
      </c>
      <c r="X226" s="655"/>
      <c r="Y226" s="655">
        <v>1058273706</v>
      </c>
      <c r="Z226" s="655">
        <v>2514344312</v>
      </c>
      <c r="AA226" s="655">
        <v>5039</v>
      </c>
      <c r="AB226" s="655">
        <v>0</v>
      </c>
      <c r="AC226" s="655">
        <v>0</v>
      </c>
      <c r="AD226" s="655">
        <v>0</v>
      </c>
      <c r="AE226" s="655">
        <v>0</v>
      </c>
      <c r="AF226" s="655">
        <v>218365067</v>
      </c>
      <c r="AG226" s="655">
        <v>2732709379</v>
      </c>
      <c r="AH226" s="655">
        <v>118851390</v>
      </c>
      <c r="AI226" s="655">
        <v>7820800</v>
      </c>
      <c r="AJ226" s="655">
        <v>26767676</v>
      </c>
      <c r="AK226" s="655">
        <v>0</v>
      </c>
      <c r="AL226" s="655">
        <v>0</v>
      </c>
      <c r="AM226" s="655">
        <v>482197875</v>
      </c>
      <c r="AN226" s="654">
        <v>194</v>
      </c>
    </row>
    <row r="227" spans="3:40" ht="19.5" customHeight="1">
      <c r="C227" s="1610"/>
      <c r="D227" s="654" t="s">
        <v>220</v>
      </c>
      <c r="E227" s="655">
        <v>3648.9000000000005</v>
      </c>
      <c r="F227" s="655">
        <v>1524528909</v>
      </c>
      <c r="G227" s="655">
        <v>275</v>
      </c>
      <c r="H227" s="655">
        <v>114371728</v>
      </c>
      <c r="I227" s="655">
        <v>0</v>
      </c>
      <c r="J227" s="655">
        <v>0</v>
      </c>
      <c r="K227" s="655">
        <v>1638900637</v>
      </c>
      <c r="L227" s="655">
        <v>29062959</v>
      </c>
      <c r="M227" s="655">
        <v>750000</v>
      </c>
      <c r="N227" s="655">
        <v>18400000</v>
      </c>
      <c r="O227" s="655">
        <v>41500000</v>
      </c>
      <c r="P227" s="655">
        <v>3528000</v>
      </c>
      <c r="Q227" s="655">
        <v>34000000</v>
      </c>
      <c r="R227" s="655">
        <v>17172149</v>
      </c>
      <c r="S227" s="655">
        <v>0</v>
      </c>
      <c r="T227" s="655">
        <v>0</v>
      </c>
      <c r="U227" s="655">
        <v>3600000</v>
      </c>
      <c r="V227" s="655">
        <v>1900000</v>
      </c>
      <c r="W227" s="655">
        <v>6298788.4634791464</v>
      </c>
      <c r="X227" s="655"/>
      <c r="Y227" s="655">
        <v>1395275926</v>
      </c>
      <c r="Z227" s="655">
        <v>3190388461</v>
      </c>
      <c r="AA227" s="655">
        <v>3015.3</v>
      </c>
      <c r="AB227" s="655">
        <v>88</v>
      </c>
      <c r="AC227" s="655">
        <v>6.5</v>
      </c>
      <c r="AD227" s="655">
        <v>0</v>
      </c>
      <c r="AE227" s="655">
        <v>0</v>
      </c>
      <c r="AF227" s="655">
        <v>173488439</v>
      </c>
      <c r="AG227" s="655">
        <v>3363876900</v>
      </c>
      <c r="AH227" s="655">
        <v>169838655</v>
      </c>
      <c r="AI227" s="655">
        <v>6156800</v>
      </c>
      <c r="AJ227" s="655">
        <v>102266388</v>
      </c>
      <c r="AK227" s="655">
        <v>0</v>
      </c>
      <c r="AL227" s="655">
        <v>0</v>
      </c>
      <c r="AM227" s="655">
        <v>281600777</v>
      </c>
      <c r="AN227" s="654">
        <v>150</v>
      </c>
    </row>
    <row r="228" spans="3:40" ht="19.5" customHeight="1">
      <c r="C228" s="1610"/>
      <c r="D228" s="654" t="s">
        <v>221</v>
      </c>
      <c r="E228" s="655">
        <v>9774.3999999999978</v>
      </c>
      <c r="F228" s="655">
        <v>2952645487</v>
      </c>
      <c r="G228" s="655">
        <v>798</v>
      </c>
      <c r="H228" s="655">
        <v>236688534</v>
      </c>
      <c r="I228" s="655">
        <v>2561</v>
      </c>
      <c r="J228" s="655">
        <v>33210206</v>
      </c>
      <c r="K228" s="655">
        <v>3222544227</v>
      </c>
      <c r="L228" s="655">
        <v>23105735</v>
      </c>
      <c r="M228" s="655">
        <v>15559000</v>
      </c>
      <c r="N228" s="655">
        <v>74800000</v>
      </c>
      <c r="O228" s="655">
        <v>153500000</v>
      </c>
      <c r="P228" s="655">
        <v>2864000</v>
      </c>
      <c r="Q228" s="655">
        <v>125150000</v>
      </c>
      <c r="R228" s="655">
        <v>128063152</v>
      </c>
      <c r="S228" s="655">
        <v>0</v>
      </c>
      <c r="T228" s="655">
        <v>0</v>
      </c>
      <c r="U228" s="655">
        <v>9100000</v>
      </c>
      <c r="V228" s="655">
        <v>200000</v>
      </c>
      <c r="W228" s="655">
        <v>9808990.3068125825</v>
      </c>
      <c r="X228" s="655"/>
      <c r="Y228" s="655">
        <v>2702841378</v>
      </c>
      <c r="Z228" s="655">
        <v>6467536472</v>
      </c>
      <c r="AA228" s="655">
        <v>6449.5</v>
      </c>
      <c r="AB228" s="655">
        <v>140.5</v>
      </c>
      <c r="AC228" s="655">
        <v>194</v>
      </c>
      <c r="AD228" s="655">
        <v>0</v>
      </c>
      <c r="AE228" s="655">
        <v>0</v>
      </c>
      <c r="AF228" s="655">
        <v>400548608</v>
      </c>
      <c r="AG228" s="655">
        <v>6868085080</v>
      </c>
      <c r="AH228" s="655">
        <v>331321620</v>
      </c>
      <c r="AI228" s="655">
        <v>16598400</v>
      </c>
      <c r="AJ228" s="655">
        <v>116203852</v>
      </c>
      <c r="AK228" s="655">
        <v>130000</v>
      </c>
      <c r="AL228" s="655">
        <v>0</v>
      </c>
      <c r="AM228" s="655">
        <v>892755358</v>
      </c>
      <c r="AN228" s="654">
        <v>411</v>
      </c>
    </row>
    <row r="229" spans="3:40" ht="19.5" customHeight="1">
      <c r="D229" s="272"/>
      <c r="E229" s="659">
        <f>SUM(E224:E228)</f>
        <v>27859.800000000003</v>
      </c>
      <c r="F229" s="659">
        <f t="shared" ref="F229:AN229" si="537">SUM(F224:F228)</f>
        <v>7965021600</v>
      </c>
      <c r="G229" s="659">
        <f t="shared" si="537"/>
        <v>2256</v>
      </c>
      <c r="H229" s="659">
        <f t="shared" si="537"/>
        <v>636709945</v>
      </c>
      <c r="I229" s="659">
        <f t="shared" si="537"/>
        <v>2821</v>
      </c>
      <c r="J229" s="659">
        <f t="shared" si="537"/>
        <v>35707107</v>
      </c>
      <c r="K229" s="659">
        <f t="shared" si="537"/>
        <v>8637438652</v>
      </c>
      <c r="L229" s="659">
        <f t="shared" si="537"/>
        <v>54658137</v>
      </c>
      <c r="M229" s="659">
        <f t="shared" si="537"/>
        <v>17509000</v>
      </c>
      <c r="N229" s="659">
        <f t="shared" si="537"/>
        <v>211600000</v>
      </c>
      <c r="O229" s="659">
        <f t="shared" si="537"/>
        <v>460500000</v>
      </c>
      <c r="P229" s="659">
        <f t="shared" si="537"/>
        <v>9066000</v>
      </c>
      <c r="Q229" s="659">
        <f t="shared" si="537"/>
        <v>371400000</v>
      </c>
      <c r="R229" s="659">
        <f t="shared" si="537"/>
        <v>401223787</v>
      </c>
      <c r="S229" s="659">
        <f t="shared" si="537"/>
        <v>0</v>
      </c>
      <c r="T229" s="659">
        <f t="shared" si="537"/>
        <v>0</v>
      </c>
      <c r="U229" s="659">
        <f t="shared" si="537"/>
        <v>25800000</v>
      </c>
      <c r="V229" s="659">
        <f t="shared" si="537"/>
        <v>2294421</v>
      </c>
      <c r="W229" s="659">
        <f t="shared" si="537"/>
        <v>34112480.496652626</v>
      </c>
      <c r="X229" s="659"/>
      <c r="Y229" s="659">
        <f t="shared" si="537"/>
        <v>7369635753</v>
      </c>
      <c r="Z229" s="659">
        <f t="shared" si="537"/>
        <v>17595238234</v>
      </c>
      <c r="AA229" s="659">
        <f t="shared" si="537"/>
        <v>26626.799999999999</v>
      </c>
      <c r="AB229" s="659">
        <f t="shared" si="537"/>
        <v>228.5</v>
      </c>
      <c r="AC229" s="659">
        <f t="shared" si="537"/>
        <v>202</v>
      </c>
      <c r="AD229" s="659">
        <f t="shared" si="537"/>
        <v>0</v>
      </c>
      <c r="AE229" s="659">
        <f t="shared" si="537"/>
        <v>0</v>
      </c>
      <c r="AF229" s="659">
        <f t="shared" si="537"/>
        <v>1335367139</v>
      </c>
      <c r="AG229" s="659">
        <f t="shared" si="537"/>
        <v>18930605373</v>
      </c>
      <c r="AH229" s="659">
        <f t="shared" si="537"/>
        <v>892035585</v>
      </c>
      <c r="AI229" s="659">
        <f t="shared" si="537"/>
        <v>47632000</v>
      </c>
      <c r="AJ229" s="659">
        <f t="shared" si="537"/>
        <v>303250408</v>
      </c>
      <c r="AK229" s="659">
        <f t="shared" si="537"/>
        <v>200000</v>
      </c>
      <c r="AL229" s="659">
        <f t="shared" si="537"/>
        <v>403285</v>
      </c>
      <c r="AM229" s="659">
        <f t="shared" si="537"/>
        <v>2739148662</v>
      </c>
      <c r="AN229" s="659">
        <f t="shared" si="537"/>
        <v>1168</v>
      </c>
    </row>
    <row r="230" spans="3:40" ht="19.5" customHeight="1">
      <c r="D230" s="665"/>
      <c r="E230" s="665"/>
      <c r="F230" s="666"/>
      <c r="G230" s="667"/>
      <c r="H230" s="666"/>
      <c r="I230" s="667"/>
      <c r="J230" s="666"/>
      <c r="K230" s="666"/>
      <c r="L230" s="666"/>
      <c r="M230" s="666"/>
      <c r="N230" s="666"/>
      <c r="O230" s="666"/>
      <c r="P230" s="666"/>
      <c r="Q230" s="666"/>
      <c r="R230" s="666"/>
      <c r="S230" s="668"/>
      <c r="T230" s="666"/>
      <c r="U230" s="666"/>
      <c r="V230" s="666"/>
      <c r="W230" s="666"/>
      <c r="X230" s="669"/>
      <c r="Y230" s="669"/>
      <c r="Z230" s="669"/>
      <c r="AA230" s="657"/>
      <c r="AB230" s="657"/>
      <c r="AC230" s="657"/>
      <c r="AD230" s="670"/>
      <c r="AE230" s="670"/>
      <c r="AF230" s="671"/>
      <c r="AG230" s="672"/>
      <c r="AH230" s="671"/>
      <c r="AI230" s="673"/>
      <c r="AJ230" s="671"/>
      <c r="AK230" s="657"/>
      <c r="AL230" s="657"/>
      <c r="AM230" s="669"/>
      <c r="AN230" s="675"/>
    </row>
    <row r="231" spans="3:40" ht="21.75" customHeight="1">
      <c r="C231" s="1605" t="str">
        <f>C238&amp;" Vs "&amp;C252</f>
        <v>Dec Vs Nov</v>
      </c>
      <c r="D231" s="654" t="s">
        <v>216</v>
      </c>
      <c r="E231" s="657">
        <f>+E238/E252</f>
        <v>0.96464237893327387</v>
      </c>
      <c r="F231" s="657">
        <f t="shared" ref="F231:H231" si="538">+F238/F252</f>
        <v>0.96258940661591386</v>
      </c>
      <c r="G231" s="657">
        <f t="shared" si="538"/>
        <v>2.6108108108108108</v>
      </c>
      <c r="H231" s="657">
        <f t="shared" si="538"/>
        <v>2.6380895143207637</v>
      </c>
      <c r="I231" s="657"/>
      <c r="J231" s="657"/>
      <c r="K231" s="657">
        <f t="shared" ref="K231:R231" si="539">+K238/K252</f>
        <v>1.0036399681591404</v>
      </c>
      <c r="L231" s="657">
        <f t="shared" si="539"/>
        <v>0.99682169883914706</v>
      </c>
      <c r="M231" s="657">
        <f t="shared" si="539"/>
        <v>0</v>
      </c>
      <c r="N231" s="984"/>
      <c r="O231" s="657">
        <f t="shared" si="539"/>
        <v>1.0196078431372548</v>
      </c>
      <c r="P231" s="657">
        <f t="shared" si="539"/>
        <v>1.3662790697674418</v>
      </c>
      <c r="Q231" s="657">
        <f t="shared" si="539"/>
        <v>0.94930655188904833</v>
      </c>
      <c r="R231" s="657">
        <f t="shared" si="539"/>
        <v>0.83964908214145462</v>
      </c>
      <c r="S231" s="657"/>
      <c r="T231" s="657"/>
      <c r="U231" s="657">
        <f t="shared" ref="U231:V231" si="540">+U238/U252</f>
        <v>0.96491228070175439</v>
      </c>
      <c r="V231" s="657">
        <f t="shared" si="540"/>
        <v>0</v>
      </c>
      <c r="W231" s="657">
        <f t="shared" ref="W231" si="541">+W238/W252</f>
        <v>0.99793023892330768</v>
      </c>
      <c r="X231" s="657"/>
      <c r="Y231" s="657"/>
      <c r="Z231" s="657">
        <f t="shared" ref="Z231:AA231" si="542">+Z238/Z252</f>
        <v>1.1353646274808558</v>
      </c>
      <c r="AA231" s="657">
        <f t="shared" si="542"/>
        <v>2.0587987355110644</v>
      </c>
      <c r="AB231" s="657"/>
      <c r="AC231" s="657"/>
      <c r="AD231" s="657" t="e">
        <f t="shared" ref="AD231:AF231" si="543">+AD238/AD252</f>
        <v>#DIV/0!</v>
      </c>
      <c r="AE231" s="657" t="e">
        <f t="shared" si="543"/>
        <v>#DIV/0!</v>
      </c>
      <c r="AF231" s="657">
        <f t="shared" si="543"/>
        <v>2.0312915038124211</v>
      </c>
      <c r="AG231" s="657">
        <f>+AG238/AG252</f>
        <v>1.1758330609272181</v>
      </c>
      <c r="AH231" s="657">
        <f t="shared" ref="AH231:AL231" si="544">+AH238/AH252</f>
        <v>0.99396501638622992</v>
      </c>
      <c r="AI231" s="657">
        <f t="shared" si="544"/>
        <v>0.99656357388316152</v>
      </c>
      <c r="AJ231" s="657">
        <f t="shared" si="544"/>
        <v>14.779634040591418</v>
      </c>
      <c r="AK231" s="657">
        <f t="shared" si="544"/>
        <v>0</v>
      </c>
      <c r="AL231" s="657">
        <f t="shared" si="544"/>
        <v>0</v>
      </c>
      <c r="AM231" s="657">
        <f t="shared" ref="AM231" si="545">+AM238/AM252</f>
        <v>1.1930122144027804</v>
      </c>
      <c r="AN231" s="503">
        <f>+AN238/AN252</f>
        <v>1.0684931506849316</v>
      </c>
    </row>
    <row r="232" spans="3:40" ht="21.75" customHeight="1">
      <c r="C232" s="1605"/>
      <c r="D232" s="654" t="s">
        <v>217</v>
      </c>
      <c r="E232" s="657">
        <f t="shared" ref="E232:R232" si="546">+E239/E253</f>
        <v>0.93580320983950838</v>
      </c>
      <c r="F232" s="657">
        <f t="shared" si="546"/>
        <v>0.9311619290653157</v>
      </c>
      <c r="G232" s="657">
        <f t="shared" si="546"/>
        <v>2.0495049504950495</v>
      </c>
      <c r="H232" s="657">
        <f t="shared" si="546"/>
        <v>2.1067191898213538</v>
      </c>
      <c r="I232" s="657">
        <f t="shared" si="546"/>
        <v>0.52475247524752477</v>
      </c>
      <c r="J232" s="657">
        <f t="shared" si="546"/>
        <v>0.60444120827920644</v>
      </c>
      <c r="K232" s="657">
        <f t="shared" si="546"/>
        <v>0.9624446678182671</v>
      </c>
      <c r="L232" s="657">
        <f t="shared" si="546"/>
        <v>1.0062452759571692</v>
      </c>
      <c r="M232" s="657">
        <f t="shared" si="546"/>
        <v>8.4499999999999993</v>
      </c>
      <c r="N232" s="657"/>
      <c r="O232" s="657">
        <f t="shared" si="546"/>
        <v>0.89830508474576276</v>
      </c>
      <c r="P232" s="657">
        <f t="shared" si="546"/>
        <v>1.81</v>
      </c>
      <c r="Q232" s="657">
        <f t="shared" si="546"/>
        <v>0.917981072555205</v>
      </c>
      <c r="R232" s="657">
        <f t="shared" si="546"/>
        <v>1.1054992909283645</v>
      </c>
      <c r="S232" s="657"/>
      <c r="T232" s="657"/>
      <c r="U232" s="657">
        <f t="shared" ref="U232:V232" si="547">+U239/U253</f>
        <v>0.8928571428571429</v>
      </c>
      <c r="V232" s="657">
        <f t="shared" si="547"/>
        <v>0</v>
      </c>
      <c r="W232" s="657">
        <f t="shared" ref="W232" si="548">+W239/W253</f>
        <v>0.90608287077762373</v>
      </c>
      <c r="X232" s="657"/>
      <c r="Y232" s="657"/>
      <c r="Z232" s="657">
        <f t="shared" ref="Z232:AA232" si="549">+Z239/Z253</f>
        <v>1.0914362073200539</v>
      </c>
      <c r="AA232" s="657">
        <f t="shared" si="549"/>
        <v>1.6032634032634032</v>
      </c>
      <c r="AB232" s="657"/>
      <c r="AC232" s="657"/>
      <c r="AD232" s="657" t="e">
        <f t="shared" ref="AD232:AK232" si="550">+AD239/AD253</f>
        <v>#DIV/0!</v>
      </c>
      <c r="AE232" s="657" t="e">
        <f t="shared" si="550"/>
        <v>#DIV/0!</v>
      </c>
      <c r="AF232" s="657">
        <f t="shared" si="550"/>
        <v>1.5752393345587192</v>
      </c>
      <c r="AG232" s="657">
        <f t="shared" si="550"/>
        <v>1.1143853234378251</v>
      </c>
      <c r="AH232" s="657">
        <f t="shared" si="550"/>
        <v>0.9568909439700356</v>
      </c>
      <c r="AI232" s="657">
        <f t="shared" si="550"/>
        <v>0.95588235294117652</v>
      </c>
      <c r="AJ232" s="657">
        <f t="shared" si="550"/>
        <v>6.4923541174660908</v>
      </c>
      <c r="AK232" s="657">
        <f t="shared" si="550"/>
        <v>0.71794871794871795</v>
      </c>
      <c r="AL232" s="657">
        <f t="shared" ref="AL232" si="551">+AL239/AL253</f>
        <v>0</v>
      </c>
      <c r="AM232" s="657">
        <f t="shared" ref="AM232:AN232" si="552">+AM239/AM253</f>
        <v>1.1280041403395433</v>
      </c>
      <c r="AN232" s="503">
        <f t="shared" si="552"/>
        <v>1.0218978102189782</v>
      </c>
    </row>
    <row r="233" spans="3:40" ht="21.75" customHeight="1">
      <c r="C233" s="1605"/>
      <c r="D233" s="654" t="s">
        <v>218</v>
      </c>
      <c r="E233" s="657">
        <f t="shared" ref="E233:H233" si="553">+E240/E254</f>
        <v>0.96401322217833341</v>
      </c>
      <c r="F233" s="657">
        <f t="shared" si="553"/>
        <v>0.96513092449284887</v>
      </c>
      <c r="G233" s="657">
        <f t="shared" si="553"/>
        <v>2.6969696969696968</v>
      </c>
      <c r="H233" s="657">
        <f t="shared" si="553"/>
        <v>2.8075978802138475</v>
      </c>
      <c r="I233" s="657"/>
      <c r="J233" s="657"/>
      <c r="K233" s="657">
        <f t="shared" ref="K233:R233" si="554">+K240/K254</f>
        <v>1.0006307215072521</v>
      </c>
      <c r="L233" s="657">
        <f t="shared" si="554"/>
        <v>1.0506333875065235</v>
      </c>
      <c r="M233" s="657"/>
      <c r="N233" s="657"/>
      <c r="O233" s="657">
        <f t="shared" si="554"/>
        <v>1.0116959064327486</v>
      </c>
      <c r="P233" s="657">
        <f t="shared" si="554"/>
        <v>2.62</v>
      </c>
      <c r="Q233" s="657">
        <f t="shared" si="554"/>
        <v>1.0319535221496006</v>
      </c>
      <c r="R233" s="657">
        <f t="shared" si="554"/>
        <v>1.1456320244581084</v>
      </c>
      <c r="S233" s="657"/>
      <c r="T233" s="657"/>
      <c r="U233" s="657">
        <f t="shared" ref="U233:W233" si="555">+U240/U254</f>
        <v>1</v>
      </c>
      <c r="V233" s="657"/>
      <c r="W233" s="657">
        <f t="shared" si="555"/>
        <v>1.0013012001291148</v>
      </c>
      <c r="X233" s="657"/>
      <c r="Y233" s="657"/>
      <c r="Z233" s="657">
        <f t="shared" ref="Z233:AA233" si="556">+Z240/Z254</f>
        <v>1.170752762002268</v>
      </c>
      <c r="AA233" s="657">
        <f t="shared" si="556"/>
        <v>16.885714285714286</v>
      </c>
      <c r="AB233" s="657"/>
      <c r="AC233" s="657"/>
      <c r="AD233" s="657" t="e">
        <f t="shared" ref="AD233:AN233" si="557">+AD240/AD254</f>
        <v>#DIV/0!</v>
      </c>
      <c r="AE233" s="657" t="e">
        <f t="shared" si="557"/>
        <v>#DIV/0!</v>
      </c>
      <c r="AF233" s="657">
        <f t="shared" si="557"/>
        <v>14.76391397695755</v>
      </c>
      <c r="AG233" s="657">
        <f t="shared" si="557"/>
        <v>1.2114152544338108</v>
      </c>
      <c r="AH233" s="657">
        <f t="shared" si="557"/>
        <v>0.99625477430962861</v>
      </c>
      <c r="AI233" s="657">
        <f t="shared" si="557"/>
        <v>1.0051546391752577</v>
      </c>
      <c r="AJ233" s="657">
        <f t="shared" si="557"/>
        <v>5.1139645358783721</v>
      </c>
      <c r="AK233" s="657">
        <f t="shared" si="557"/>
        <v>0.34146341463414637</v>
      </c>
      <c r="AL233" s="657"/>
      <c r="AM233" s="657">
        <f t="shared" si="557"/>
        <v>1.2319476271029435</v>
      </c>
      <c r="AN233" s="503">
        <f t="shared" si="557"/>
        <v>1.0206185567010309</v>
      </c>
    </row>
    <row r="234" spans="3:40" ht="21.75" customHeight="1">
      <c r="C234" s="1605"/>
      <c r="D234" s="654" t="s">
        <v>220</v>
      </c>
      <c r="E234" s="657">
        <f t="shared" ref="E234:H234" si="558">+E241/E255</f>
        <v>0.958324501907588</v>
      </c>
      <c r="F234" s="657">
        <f t="shared" si="558"/>
        <v>0.96566347531716046</v>
      </c>
      <c r="G234" s="657">
        <f t="shared" si="558"/>
        <v>2.0206185567010309</v>
      </c>
      <c r="H234" s="657">
        <f t="shared" si="558"/>
        <v>2.2445515167832739</v>
      </c>
      <c r="I234" s="657"/>
      <c r="J234" s="657"/>
      <c r="K234" s="657">
        <f t="shared" ref="K234:R234" si="559">+K241/K255</f>
        <v>0.99238081357211461</v>
      </c>
      <c r="L234" s="657">
        <f t="shared" si="559"/>
        <v>0.99080273730134938</v>
      </c>
      <c r="M234" s="657">
        <f t="shared" si="559"/>
        <v>0.24685714285714286</v>
      </c>
      <c r="N234" s="657"/>
      <c r="O234" s="657">
        <f t="shared" si="559"/>
        <v>0.98863636363636365</v>
      </c>
      <c r="P234" s="657">
        <f t="shared" si="559"/>
        <v>1.1395348837209303</v>
      </c>
      <c r="Q234" s="657">
        <f t="shared" si="559"/>
        <v>1.0085959885386819</v>
      </c>
      <c r="R234" s="657">
        <f t="shared" si="559"/>
        <v>0.89289758301741251</v>
      </c>
      <c r="S234" s="657"/>
      <c r="T234" s="657"/>
      <c r="U234" s="657">
        <f t="shared" ref="U234:W234" si="560">+U241/U255</f>
        <v>1</v>
      </c>
      <c r="V234" s="657">
        <f t="shared" si="560"/>
        <v>1.4571428571428571</v>
      </c>
      <c r="W234" s="657">
        <f t="shared" si="560"/>
        <v>0.99052767910176132</v>
      </c>
      <c r="X234" s="657"/>
      <c r="Y234" s="657"/>
      <c r="Z234" s="657">
        <f t="shared" ref="Z234:AN234" si="561">+Z241/Z255</f>
        <v>1.1884103482276245</v>
      </c>
      <c r="AA234" s="657">
        <f t="shared" si="561"/>
        <v>0.8898477157360406</v>
      </c>
      <c r="AB234" s="657"/>
      <c r="AC234" s="657"/>
      <c r="AD234" s="657" t="e">
        <f t="shared" si="561"/>
        <v>#DIV/0!</v>
      </c>
      <c r="AE234" s="657" t="e">
        <f t="shared" si="561"/>
        <v>#DIV/0!</v>
      </c>
      <c r="AF234" s="657">
        <f t="shared" si="561"/>
        <v>1.0059120770127394</v>
      </c>
      <c r="AG234" s="657">
        <f t="shared" si="561"/>
        <v>1.1829549750117543</v>
      </c>
      <c r="AH234" s="657">
        <f t="shared" si="561"/>
        <v>0.99191849871027282</v>
      </c>
      <c r="AI234" s="657">
        <f t="shared" si="561"/>
        <v>1</v>
      </c>
      <c r="AJ234" s="657">
        <f t="shared" si="561"/>
        <v>3.1587886596488404</v>
      </c>
      <c r="AK234" s="657">
        <f t="shared" si="561"/>
        <v>1.9858156028368794</v>
      </c>
      <c r="AL234" s="657"/>
      <c r="AM234" s="657">
        <f t="shared" si="561"/>
        <v>1.1994735401647805</v>
      </c>
      <c r="AN234" s="503">
        <f t="shared" si="561"/>
        <v>1</v>
      </c>
    </row>
    <row r="235" spans="3:40" s="653" customFormat="1" ht="21.75" customHeight="1">
      <c r="C235" s="1605"/>
      <c r="D235" s="656" t="s">
        <v>221</v>
      </c>
      <c r="E235" s="657">
        <f t="shared" ref="E235:R235" si="562">+E242/E256</f>
        <v>0.96879562399018981</v>
      </c>
      <c r="F235" s="657">
        <f t="shared" si="562"/>
        <v>0.96980352105061274</v>
      </c>
      <c r="G235" s="657">
        <f t="shared" si="562"/>
        <v>2.2951388888888888</v>
      </c>
      <c r="H235" s="657">
        <f t="shared" si="562"/>
        <v>2.339347707016437</v>
      </c>
      <c r="I235" s="657">
        <f t="shared" si="562"/>
        <v>0.87214272440066898</v>
      </c>
      <c r="J235" s="657">
        <f t="shared" si="562"/>
        <v>0.88808889062687413</v>
      </c>
      <c r="K235" s="657">
        <f t="shared" si="562"/>
        <v>1.0043878745489452</v>
      </c>
      <c r="L235" s="657">
        <f t="shared" si="562"/>
        <v>1.0363639892859697</v>
      </c>
      <c r="M235" s="657"/>
      <c r="N235" s="657"/>
      <c r="O235" s="657">
        <f t="shared" si="562"/>
        <v>1.0029411764705882</v>
      </c>
      <c r="P235" s="657">
        <f t="shared" si="562"/>
        <v>1.5467877094972067</v>
      </c>
      <c r="Q235" s="657">
        <f t="shared" si="562"/>
        <v>1.0053313023610053</v>
      </c>
      <c r="R235" s="657">
        <f t="shared" si="562"/>
        <v>1.062042531203822</v>
      </c>
      <c r="S235" s="657"/>
      <c r="T235" s="657"/>
      <c r="U235" s="657">
        <f t="shared" ref="U235:W235" si="563">+U242/U256</f>
        <v>1.0329670329670331</v>
      </c>
      <c r="V235" s="657"/>
      <c r="W235" s="657">
        <f t="shared" si="563"/>
        <v>1.0137893949404964</v>
      </c>
      <c r="X235" s="657"/>
      <c r="Y235" s="657"/>
      <c r="Z235" s="657">
        <f t="shared" ref="Z235:AN235" si="564">+Z242/Z256</f>
        <v>1.1762934847432076</v>
      </c>
      <c r="AA235" s="657">
        <f t="shared" si="564"/>
        <v>1.9537284214273003</v>
      </c>
      <c r="AB235" s="657"/>
      <c r="AC235" s="657">
        <f t="shared" si="564"/>
        <v>2.08</v>
      </c>
      <c r="AD235" s="657" t="e">
        <f t="shared" si="564"/>
        <v>#DIV/0!</v>
      </c>
      <c r="AE235" s="657" t="e">
        <f t="shared" si="564"/>
        <v>#DIV/0!</v>
      </c>
      <c r="AF235" s="657">
        <f t="shared" si="564"/>
        <v>2.0791854052953727</v>
      </c>
      <c r="AG235" s="657">
        <f t="shared" si="564"/>
        <v>1.2119247716773851</v>
      </c>
      <c r="AH235" s="657">
        <f t="shared" si="564"/>
        <v>1.0092342102327576</v>
      </c>
      <c r="AI235" s="657">
        <f t="shared" si="564"/>
        <v>1.0072992700729928</v>
      </c>
      <c r="AJ235" s="657">
        <f t="shared" si="564"/>
        <v>7.2346002514410994</v>
      </c>
      <c r="AK235" s="657">
        <f t="shared" si="564"/>
        <v>0.71232876712328763</v>
      </c>
      <c r="AL235" s="657">
        <f t="shared" si="564"/>
        <v>1</v>
      </c>
      <c r="AM235" s="657">
        <f t="shared" si="564"/>
        <v>1.2280426540977298</v>
      </c>
      <c r="AN235" s="503">
        <f t="shared" si="564"/>
        <v>1.0478468899521531</v>
      </c>
    </row>
    <row r="236" spans="3:40" s="492" customFormat="1" ht="21.75" customHeight="1">
      <c r="D236" s="676" t="s">
        <v>79</v>
      </c>
      <c r="E236" s="677">
        <f t="shared" ref="E236:R236" si="565">+E243/E257</f>
        <v>0.96190628639933551</v>
      </c>
      <c r="F236" s="677">
        <f t="shared" si="565"/>
        <v>0.96273630809397959</v>
      </c>
      <c r="G236" s="677">
        <f t="shared" si="565"/>
        <v>2.3558441558441556</v>
      </c>
      <c r="H236" s="677">
        <f t="shared" si="565"/>
        <v>2.4054451440788385</v>
      </c>
      <c r="I236" s="677">
        <f t="shared" si="565"/>
        <v>0.80400358530026894</v>
      </c>
      <c r="J236" s="677">
        <f t="shared" si="565"/>
        <v>0.8465264221645622</v>
      </c>
      <c r="K236" s="677">
        <f t="shared" si="565"/>
        <v>0.99693854214090571</v>
      </c>
      <c r="L236" s="677">
        <f t="shared" si="565"/>
        <v>1.0108065539374131</v>
      </c>
      <c r="M236" s="677">
        <f t="shared" si="565"/>
        <v>4.2731481481481479</v>
      </c>
      <c r="N236" s="677"/>
      <c r="O236" s="677">
        <f t="shared" si="565"/>
        <v>0.99485596707818935</v>
      </c>
      <c r="P236" s="677">
        <f t="shared" si="565"/>
        <v>1.3871753246753247</v>
      </c>
      <c r="Q236" s="677">
        <f t="shared" si="565"/>
        <v>0.98450213095699346</v>
      </c>
      <c r="R236" s="677">
        <f t="shared" si="565"/>
        <v>0.99111985884005738</v>
      </c>
      <c r="S236" s="677"/>
      <c r="T236" s="677"/>
      <c r="U236" s="677">
        <f t="shared" ref="U236:W236" si="566">+U243/U257</f>
        <v>0.99261992619926198</v>
      </c>
      <c r="V236" s="677">
        <f t="shared" si="566"/>
        <v>1.1528799348799348</v>
      </c>
      <c r="W236" s="677">
        <f t="shared" si="566"/>
        <v>0.99435481418617178</v>
      </c>
      <c r="X236" s="677"/>
      <c r="Y236" s="677"/>
      <c r="Z236" s="677">
        <f t="shared" ref="Z236:AA236" si="567">+Z243/Z257</f>
        <v>1.159476674757089</v>
      </c>
      <c r="AA236" s="677">
        <f t="shared" si="567"/>
        <v>1.9717483281015422</v>
      </c>
      <c r="AB236" s="677"/>
      <c r="AC236" s="677">
        <f t="shared" ref="AC236:AK236" si="568">+AC243/AC257</f>
        <v>2.2799999999999998</v>
      </c>
      <c r="AD236" s="677" t="e">
        <f t="shared" si="568"/>
        <v>#DIV/0!</v>
      </c>
      <c r="AE236" s="677" t="e">
        <f t="shared" si="568"/>
        <v>#DIV/0!</v>
      </c>
      <c r="AF236" s="677">
        <f t="shared" si="568"/>
        <v>1.9827663233895019</v>
      </c>
      <c r="AG236" s="677">
        <f t="shared" si="568"/>
        <v>1.188317590955275</v>
      </c>
      <c r="AH236" s="677">
        <f t="shared" si="568"/>
        <v>0.99541008241543194</v>
      </c>
      <c r="AI236" s="677">
        <f t="shared" si="568"/>
        <v>0.9974619289340102</v>
      </c>
      <c r="AJ236" s="677">
        <f t="shared" si="568"/>
        <v>5.1272493487404036</v>
      </c>
      <c r="AK236" s="677">
        <f t="shared" si="568"/>
        <v>0.64490445859872614</v>
      </c>
      <c r="AL236" s="677"/>
      <c r="AM236" s="677">
        <f t="shared" ref="AM236:AN236" si="569">+AM243/AM257</f>
        <v>1.2050465905815964</v>
      </c>
      <c r="AN236" s="677">
        <f t="shared" si="569"/>
        <v>1.0393964794635373</v>
      </c>
    </row>
    <row r="237" spans="3:40" ht="21.75" customHeight="1"/>
    <row r="238" spans="3:40" ht="19.5" customHeight="1">
      <c r="C238" s="1610" t="s">
        <v>74</v>
      </c>
      <c r="D238" s="654" t="s">
        <v>216</v>
      </c>
      <c r="E238" s="655">
        <v>6916.1000000000049</v>
      </c>
      <c r="F238" s="655">
        <v>1623731424</v>
      </c>
      <c r="G238" s="655">
        <v>483</v>
      </c>
      <c r="H238" s="655">
        <v>111766134</v>
      </c>
      <c r="I238" s="655">
        <v>0</v>
      </c>
      <c r="J238" s="655">
        <v>0</v>
      </c>
      <c r="K238" s="655">
        <v>1735497558</v>
      </c>
      <c r="L238" s="655">
        <v>844615</v>
      </c>
      <c r="M238" s="655">
        <v>0</v>
      </c>
      <c r="N238" s="655">
        <v>58000000</v>
      </c>
      <c r="O238" s="655">
        <v>130000000</v>
      </c>
      <c r="P238" s="655">
        <v>1410000</v>
      </c>
      <c r="Q238" s="655">
        <v>99250000</v>
      </c>
      <c r="R238" s="655">
        <v>134217093</v>
      </c>
      <c r="S238" s="655">
        <v>1317</v>
      </c>
      <c r="T238" s="655">
        <v>320026582</v>
      </c>
      <c r="U238" s="655">
        <v>5500000</v>
      </c>
      <c r="V238" s="655">
        <v>0</v>
      </c>
      <c r="W238" s="655">
        <v>9436658.6201090049</v>
      </c>
      <c r="X238" s="655"/>
      <c r="Y238" s="655">
        <v>0</v>
      </c>
      <c r="Z238" s="655">
        <v>2494182512</v>
      </c>
      <c r="AA238" s="655">
        <v>4884.5</v>
      </c>
      <c r="AB238" s="655">
        <v>0</v>
      </c>
      <c r="AC238" s="655">
        <v>0</v>
      </c>
      <c r="AD238" s="655">
        <v>0</v>
      </c>
      <c r="AE238" s="655">
        <v>0</v>
      </c>
      <c r="AF238" s="655">
        <v>211097261</v>
      </c>
      <c r="AG238" s="655">
        <v>2705279773</v>
      </c>
      <c r="AH238" s="655">
        <v>185023755</v>
      </c>
      <c r="AI238" s="655">
        <v>12064000</v>
      </c>
      <c r="AJ238" s="655">
        <v>1346469</v>
      </c>
      <c r="AK238" s="655">
        <v>0</v>
      </c>
      <c r="AL238" s="655">
        <v>0</v>
      </c>
      <c r="AM238" s="655">
        <v>2506845549</v>
      </c>
      <c r="AN238" s="654">
        <v>312</v>
      </c>
    </row>
    <row r="239" spans="3:40" ht="19.5" customHeight="1">
      <c r="C239" s="1610"/>
      <c r="D239" s="654" t="s">
        <v>217</v>
      </c>
      <c r="E239" s="655">
        <v>3119.5000000000009</v>
      </c>
      <c r="F239" s="655">
        <v>846394426</v>
      </c>
      <c r="G239" s="655">
        <v>207</v>
      </c>
      <c r="H239" s="655">
        <v>56350685</v>
      </c>
      <c r="I239" s="655">
        <v>344.5</v>
      </c>
      <c r="J239" s="655">
        <v>3667470</v>
      </c>
      <c r="K239" s="655">
        <v>906412581</v>
      </c>
      <c r="L239" s="655">
        <v>2478847</v>
      </c>
      <c r="M239" s="655">
        <v>1690000</v>
      </c>
      <c r="N239" s="655">
        <v>26600000</v>
      </c>
      <c r="O239" s="655">
        <v>53000000</v>
      </c>
      <c r="P239" s="655">
        <v>362000</v>
      </c>
      <c r="Q239" s="655">
        <v>43650000</v>
      </c>
      <c r="R239" s="655">
        <v>42824805</v>
      </c>
      <c r="S239" s="655">
        <v>494</v>
      </c>
      <c r="T239" s="655">
        <v>146806636</v>
      </c>
      <c r="U239" s="655">
        <v>2500000</v>
      </c>
      <c r="V239" s="655">
        <v>0</v>
      </c>
      <c r="W239" s="655">
        <v>2482492.8157721539</v>
      </c>
      <c r="X239" s="655"/>
      <c r="Y239" s="655">
        <v>0</v>
      </c>
      <c r="Z239" s="655">
        <v>1228807360</v>
      </c>
      <c r="AA239" s="655">
        <v>1719.5</v>
      </c>
      <c r="AB239" s="655">
        <v>0</v>
      </c>
      <c r="AC239" s="655">
        <v>0</v>
      </c>
      <c r="AD239" s="655">
        <v>0</v>
      </c>
      <c r="AE239" s="655">
        <v>0</v>
      </c>
      <c r="AF239" s="655">
        <v>88315023</v>
      </c>
      <c r="AG239" s="655">
        <v>1317122383</v>
      </c>
      <c r="AH239" s="655">
        <v>96998370</v>
      </c>
      <c r="AI239" s="655">
        <v>5408000</v>
      </c>
      <c r="AJ239" s="655">
        <v>2870062</v>
      </c>
      <c r="AK239" s="655">
        <v>70000</v>
      </c>
      <c r="AL239" s="655">
        <v>0</v>
      </c>
      <c r="AM239" s="655">
        <v>1211775951</v>
      </c>
      <c r="AN239" s="654">
        <v>140</v>
      </c>
    </row>
    <row r="240" spans="3:40" ht="19.5" customHeight="1">
      <c r="C240" s="1610"/>
      <c r="D240" s="654" t="s">
        <v>218</v>
      </c>
      <c r="E240" s="655">
        <v>4637.0000000000018</v>
      </c>
      <c r="F240" s="655">
        <v>1085161810</v>
      </c>
      <c r="G240" s="655">
        <v>267</v>
      </c>
      <c r="H240" s="655">
        <v>62018147</v>
      </c>
      <c r="I240" s="655">
        <v>0</v>
      </c>
      <c r="J240" s="655">
        <v>0</v>
      </c>
      <c r="K240" s="655">
        <v>1147179957</v>
      </c>
      <c r="L240" s="655">
        <v>670385</v>
      </c>
      <c r="M240" s="655">
        <v>0</v>
      </c>
      <c r="N240" s="655">
        <v>38200000</v>
      </c>
      <c r="O240" s="655">
        <v>86500000</v>
      </c>
      <c r="P240" s="655">
        <v>524000</v>
      </c>
      <c r="Q240" s="655">
        <v>71050000</v>
      </c>
      <c r="R240" s="655">
        <v>96167836</v>
      </c>
      <c r="S240" s="655">
        <v>948</v>
      </c>
      <c r="T240" s="655">
        <v>228663227</v>
      </c>
      <c r="U240" s="655">
        <v>5900000</v>
      </c>
      <c r="V240" s="655">
        <v>267076.92307692306</v>
      </c>
      <c r="W240" s="655">
        <v>6365120.0550243463</v>
      </c>
      <c r="X240" s="655"/>
      <c r="Y240" s="655">
        <v>0</v>
      </c>
      <c r="Z240" s="655">
        <v>1681487611</v>
      </c>
      <c r="AA240" s="655">
        <v>1477.5</v>
      </c>
      <c r="AB240" s="655">
        <v>0</v>
      </c>
      <c r="AC240" s="655">
        <v>0</v>
      </c>
      <c r="AD240" s="655">
        <v>0</v>
      </c>
      <c r="AE240" s="655">
        <v>0</v>
      </c>
      <c r="AF240" s="655">
        <v>63621603</v>
      </c>
      <c r="AG240" s="655">
        <v>1745109214</v>
      </c>
      <c r="AH240" s="655">
        <v>122615745</v>
      </c>
      <c r="AI240" s="655">
        <v>8112000</v>
      </c>
      <c r="AJ240" s="655">
        <v>1901147</v>
      </c>
      <c r="AK240" s="655">
        <v>70000</v>
      </c>
      <c r="AL240" s="655">
        <v>0</v>
      </c>
      <c r="AM240" s="655">
        <v>1612410322</v>
      </c>
      <c r="AN240" s="654">
        <v>198</v>
      </c>
    </row>
    <row r="241" spans="3:40" ht="19.5" customHeight="1">
      <c r="C241" s="1610"/>
      <c r="D241" s="654" t="s">
        <v>220</v>
      </c>
      <c r="E241" s="655">
        <v>3617.1000000000013</v>
      </c>
      <c r="F241" s="655">
        <v>1483443422</v>
      </c>
      <c r="G241" s="655">
        <v>196</v>
      </c>
      <c r="H241" s="655">
        <v>73570619</v>
      </c>
      <c r="I241" s="655">
        <v>0</v>
      </c>
      <c r="J241" s="655">
        <v>0</v>
      </c>
      <c r="K241" s="655">
        <v>1557014041</v>
      </c>
      <c r="L241" s="655">
        <v>29396925</v>
      </c>
      <c r="M241" s="655">
        <v>432000</v>
      </c>
      <c r="N241" s="655">
        <v>18400000</v>
      </c>
      <c r="O241" s="655">
        <v>43500000</v>
      </c>
      <c r="P241" s="655">
        <v>3528000</v>
      </c>
      <c r="Q241" s="655">
        <v>35200000</v>
      </c>
      <c r="R241" s="655">
        <v>18642964</v>
      </c>
      <c r="S241" s="655">
        <v>812.16666666666663</v>
      </c>
      <c r="T241" s="655">
        <v>341142523</v>
      </c>
      <c r="U241" s="655">
        <v>3600000</v>
      </c>
      <c r="V241" s="655">
        <v>2550000</v>
      </c>
      <c r="W241" s="655">
        <v>6237295.6668682946</v>
      </c>
      <c r="X241" s="655"/>
      <c r="Y241" s="655">
        <v>0</v>
      </c>
      <c r="Z241" s="655">
        <v>2059643748</v>
      </c>
      <c r="AA241" s="655">
        <v>876.5</v>
      </c>
      <c r="AB241" s="655">
        <v>0</v>
      </c>
      <c r="AC241" s="655">
        <v>10</v>
      </c>
      <c r="AD241" s="655">
        <v>0</v>
      </c>
      <c r="AE241" s="655">
        <v>0</v>
      </c>
      <c r="AF241" s="655">
        <v>53719463</v>
      </c>
      <c r="AG241" s="655">
        <v>2113363211</v>
      </c>
      <c r="AH241" s="655">
        <v>167242845</v>
      </c>
      <c r="AI241" s="655">
        <v>6240000</v>
      </c>
      <c r="AJ241" s="655">
        <v>10669690</v>
      </c>
      <c r="AK241" s="655">
        <v>280000</v>
      </c>
      <c r="AL241" s="655">
        <v>0</v>
      </c>
      <c r="AM241" s="655">
        <v>1928930676</v>
      </c>
      <c r="AN241" s="654">
        <v>152</v>
      </c>
    </row>
    <row r="242" spans="3:40" ht="19.5" customHeight="1">
      <c r="C242" s="1610"/>
      <c r="D242" s="654" t="s">
        <v>221</v>
      </c>
      <c r="E242" s="655">
        <v>9953.5999999999985</v>
      </c>
      <c r="F242" s="655">
        <v>2985855862</v>
      </c>
      <c r="G242" s="655">
        <v>661</v>
      </c>
      <c r="H242" s="655">
        <v>193793749</v>
      </c>
      <c r="I242" s="655">
        <v>2346.5</v>
      </c>
      <c r="J242" s="655">
        <v>31385993</v>
      </c>
      <c r="K242" s="655">
        <v>3211035604</v>
      </c>
      <c r="L242" s="655">
        <v>23972693</v>
      </c>
      <c r="M242" s="655">
        <v>10800000</v>
      </c>
      <c r="N242" s="655">
        <v>76800000</v>
      </c>
      <c r="O242" s="655">
        <v>170500000</v>
      </c>
      <c r="P242" s="655">
        <v>4430000</v>
      </c>
      <c r="Q242" s="655">
        <v>132000000</v>
      </c>
      <c r="R242" s="655">
        <v>132708509</v>
      </c>
      <c r="S242" s="655">
        <v>1946.7477407974256</v>
      </c>
      <c r="T242" s="655">
        <v>640898613</v>
      </c>
      <c r="U242" s="655">
        <v>9400000</v>
      </c>
      <c r="V242" s="655">
        <v>669232</v>
      </c>
      <c r="W242" s="655">
        <v>9805838.8612664174</v>
      </c>
      <c r="X242" s="655"/>
      <c r="Y242" s="655">
        <v>0</v>
      </c>
      <c r="Z242" s="655">
        <v>4423020479</v>
      </c>
      <c r="AA242" s="655">
        <v>5489</v>
      </c>
      <c r="AB242" s="655">
        <v>0</v>
      </c>
      <c r="AC242" s="655">
        <v>104</v>
      </c>
      <c r="AD242" s="655">
        <v>0</v>
      </c>
      <c r="AE242" s="655">
        <v>0</v>
      </c>
      <c r="AF242" s="655">
        <v>321202082</v>
      </c>
      <c r="AG242" s="655">
        <v>4744222561</v>
      </c>
      <c r="AH242" s="655">
        <v>340084185</v>
      </c>
      <c r="AI242" s="655">
        <v>17222400</v>
      </c>
      <c r="AJ242" s="655">
        <v>17752660</v>
      </c>
      <c r="AK242" s="655">
        <v>390000</v>
      </c>
      <c r="AL242" s="655">
        <v>200000</v>
      </c>
      <c r="AM242" s="655">
        <v>4368573316</v>
      </c>
      <c r="AN242" s="654">
        <v>438</v>
      </c>
    </row>
    <row r="243" spans="3:40" ht="19.5" customHeight="1">
      <c r="D243" s="272"/>
      <c r="E243" s="659">
        <f>SUM(E238:E242)</f>
        <v>28243.300000000007</v>
      </c>
      <c r="F243" s="659">
        <f t="shared" ref="F243:AN243" si="570">SUM(F238:F242)</f>
        <v>8024586944</v>
      </c>
      <c r="G243" s="659">
        <f t="shared" si="570"/>
        <v>1814</v>
      </c>
      <c r="H243" s="659">
        <f t="shared" si="570"/>
        <v>497499334</v>
      </c>
      <c r="I243" s="659">
        <f t="shared" si="570"/>
        <v>2691</v>
      </c>
      <c r="J243" s="659">
        <f t="shared" si="570"/>
        <v>35053463</v>
      </c>
      <c r="K243" s="659">
        <f t="shared" si="570"/>
        <v>8557139741</v>
      </c>
      <c r="L243" s="659">
        <f t="shared" si="570"/>
        <v>57363465</v>
      </c>
      <c r="M243" s="659">
        <f t="shared" si="570"/>
        <v>12922000</v>
      </c>
      <c r="N243" s="659">
        <f t="shared" si="570"/>
        <v>218000000</v>
      </c>
      <c r="O243" s="659">
        <f t="shared" si="570"/>
        <v>483500000</v>
      </c>
      <c r="P243" s="659">
        <f t="shared" si="570"/>
        <v>10254000</v>
      </c>
      <c r="Q243" s="659">
        <f t="shared" si="570"/>
        <v>381150000</v>
      </c>
      <c r="R243" s="659">
        <f t="shared" si="570"/>
        <v>424561207</v>
      </c>
      <c r="S243" s="659">
        <f t="shared" si="570"/>
        <v>5517.9144074640917</v>
      </c>
      <c r="T243" s="659">
        <f t="shared" si="570"/>
        <v>1677537581</v>
      </c>
      <c r="U243" s="659">
        <f t="shared" si="570"/>
        <v>26900000</v>
      </c>
      <c r="V243" s="659">
        <f t="shared" si="570"/>
        <v>3486308.923076923</v>
      </c>
      <c r="W243" s="659">
        <f t="shared" si="570"/>
        <v>34327406.019040219</v>
      </c>
      <c r="X243" s="659"/>
      <c r="Y243" s="659">
        <f t="shared" si="570"/>
        <v>0</v>
      </c>
      <c r="Z243" s="659">
        <f t="shared" si="570"/>
        <v>11887141710</v>
      </c>
      <c r="AA243" s="659">
        <f t="shared" si="570"/>
        <v>14447</v>
      </c>
      <c r="AB243" s="659">
        <f t="shared" si="570"/>
        <v>0</v>
      </c>
      <c r="AC243" s="659">
        <f t="shared" si="570"/>
        <v>114</v>
      </c>
      <c r="AD243" s="659">
        <f t="shared" si="570"/>
        <v>0</v>
      </c>
      <c r="AE243" s="659">
        <f t="shared" si="570"/>
        <v>0</v>
      </c>
      <c r="AF243" s="659">
        <f t="shared" si="570"/>
        <v>737955432</v>
      </c>
      <c r="AG243" s="659">
        <f t="shared" si="570"/>
        <v>12625097142</v>
      </c>
      <c r="AH243" s="659">
        <f t="shared" si="570"/>
        <v>911964900</v>
      </c>
      <c r="AI243" s="659">
        <f t="shared" si="570"/>
        <v>49046400</v>
      </c>
      <c r="AJ243" s="659">
        <f t="shared" si="570"/>
        <v>34540028</v>
      </c>
      <c r="AK243" s="659">
        <f t="shared" si="570"/>
        <v>810000</v>
      </c>
      <c r="AL243" s="659">
        <f t="shared" si="570"/>
        <v>200000</v>
      </c>
      <c r="AM243" s="659">
        <f t="shared" si="570"/>
        <v>11628535814</v>
      </c>
      <c r="AN243" s="659">
        <f t="shared" si="570"/>
        <v>1240</v>
      </c>
    </row>
    <row r="244" spans="3:40" ht="19.5" customHeight="1">
      <c r="D244" s="665"/>
      <c r="E244" s="665"/>
      <c r="F244" s="666"/>
      <c r="G244" s="667"/>
      <c r="H244" s="666"/>
      <c r="I244" s="667"/>
      <c r="J244" s="666"/>
      <c r="K244" s="666"/>
      <c r="L244" s="666"/>
      <c r="M244" s="666"/>
      <c r="N244" s="666"/>
      <c r="O244" s="666"/>
      <c r="P244" s="666"/>
      <c r="Q244" s="666"/>
      <c r="R244" s="666"/>
      <c r="S244" s="668"/>
      <c r="T244" s="666"/>
      <c r="U244" s="666"/>
      <c r="V244" s="666"/>
      <c r="W244" s="666"/>
      <c r="X244" s="669"/>
      <c r="Y244" s="669"/>
      <c r="Z244" s="669"/>
      <c r="AA244" s="657"/>
      <c r="AB244" s="657"/>
      <c r="AC244" s="657"/>
      <c r="AD244" s="670"/>
      <c r="AE244" s="670"/>
      <c r="AF244" s="671"/>
      <c r="AG244" s="672"/>
      <c r="AH244" s="671"/>
      <c r="AI244" s="673"/>
      <c r="AJ244" s="671"/>
      <c r="AK244" s="657"/>
      <c r="AL244" s="657"/>
      <c r="AM244" s="669"/>
      <c r="AN244" s="675"/>
    </row>
    <row r="245" spans="3:40" ht="21.75" customHeight="1">
      <c r="C245" s="1605" t="str">
        <f>C252&amp;" Vs "&amp;C266</f>
        <v>Nov Vs Oct</v>
      </c>
      <c r="D245" s="654" t="s">
        <v>216</v>
      </c>
      <c r="E245" s="657">
        <f>+E252/E266</f>
        <v>0.98491633925873046</v>
      </c>
      <c r="F245" s="657">
        <f t="shared" ref="F245:H245" si="571">+F252/F266</f>
        <v>0.99049699168151917</v>
      </c>
      <c r="G245" s="657">
        <f t="shared" si="571"/>
        <v>1.0818713450292399</v>
      </c>
      <c r="H245" s="657">
        <f t="shared" si="571"/>
        <v>1.0485909864814795</v>
      </c>
      <c r="I245" s="657"/>
      <c r="J245" s="657"/>
      <c r="K245" s="657">
        <f t="shared" ref="K245:R245" si="572">+K252/K266</f>
        <v>0.9910149235580854</v>
      </c>
      <c r="L245" s="657">
        <f t="shared" si="572"/>
        <v>1.0678621030370705</v>
      </c>
      <c r="M245" s="657">
        <f t="shared" si="572"/>
        <v>1.8203389830508475E-2</v>
      </c>
      <c r="N245" s="657" t="e">
        <f t="shared" si="572"/>
        <v>#DIV/0!</v>
      </c>
      <c r="O245" s="657">
        <f t="shared" si="572"/>
        <v>1.0323886639676114</v>
      </c>
      <c r="P245" s="657">
        <f t="shared" si="572"/>
        <v>1</v>
      </c>
      <c r="Q245" s="657">
        <f t="shared" si="572"/>
        <v>1.0502260170768458</v>
      </c>
      <c r="R245" s="657">
        <f t="shared" si="572"/>
        <v>0.94646272321112968</v>
      </c>
      <c r="S245" s="657"/>
      <c r="T245" s="657"/>
      <c r="U245" s="657">
        <f t="shared" ref="U245" si="573">+U252/U266</f>
        <v>1.0178571428571428</v>
      </c>
      <c r="V245" s="657"/>
      <c r="W245" s="657">
        <f t="shared" ref="W245" si="574">+W252/W266</f>
        <v>0.99482355493364194</v>
      </c>
      <c r="X245" s="657"/>
      <c r="Y245" s="657"/>
      <c r="Z245" s="657">
        <f t="shared" ref="Z245:AA245" si="575">+Z252/Z266</f>
        <v>0.99247281706073731</v>
      </c>
      <c r="AA245" s="657">
        <f t="shared" si="575"/>
        <v>0.14189168984181094</v>
      </c>
      <c r="AB245" s="657"/>
      <c r="AC245" s="657"/>
      <c r="AD245" s="657" t="e">
        <f t="shared" ref="AD245:AF245" si="576">+AD252/AD266</f>
        <v>#DIV/0!</v>
      </c>
      <c r="AE245" s="657" t="e">
        <f t="shared" si="576"/>
        <v>#DIV/0!</v>
      </c>
      <c r="AF245" s="657">
        <f t="shared" si="576"/>
        <v>0.14403462443135684</v>
      </c>
      <c r="AG245" s="657">
        <f>+AG252/AG266</f>
        <v>0.78389996541147466</v>
      </c>
      <c r="AH245" s="657">
        <f t="shared" ref="AH245:AK245" si="577">+AH252/AH266</f>
        <v>1.0211413226920165</v>
      </c>
      <c r="AI245" s="657">
        <f t="shared" si="577"/>
        <v>1.0282685512367491</v>
      </c>
      <c r="AJ245" s="657">
        <f t="shared" si="577"/>
        <v>0.33055521287635248</v>
      </c>
      <c r="AK245" s="657">
        <f t="shared" si="577"/>
        <v>0.54358974358974355</v>
      </c>
      <c r="AL245" s="657"/>
      <c r="AM245" s="657">
        <f t="shared" ref="AM245" si="578">+AM252/AM266</f>
        <v>0.76684472445116936</v>
      </c>
      <c r="AN245" s="503">
        <f>+AN252/AN266</f>
        <v>0.97333333333333338</v>
      </c>
    </row>
    <row r="246" spans="3:40" ht="21.75" customHeight="1">
      <c r="C246" s="1605"/>
      <c r="D246" s="654" t="s">
        <v>217</v>
      </c>
      <c r="E246" s="657">
        <f t="shared" ref="E246:R246" si="579">+E253/E267</f>
        <v>1.0029485212263443</v>
      </c>
      <c r="F246" s="657">
        <f t="shared" si="579"/>
        <v>1.019788149874755</v>
      </c>
      <c r="G246" s="657">
        <f t="shared" si="579"/>
        <v>1.2469135802469136</v>
      </c>
      <c r="H246" s="657">
        <f t="shared" si="579"/>
        <v>1.2974355832678628</v>
      </c>
      <c r="I246" s="657">
        <f t="shared" si="579"/>
        <v>0.55191256830601088</v>
      </c>
      <c r="J246" s="657">
        <f t="shared" si="579"/>
        <v>0.53791303461283579</v>
      </c>
      <c r="K246" s="657">
        <f t="shared" si="579"/>
        <v>1.0201007147739605</v>
      </c>
      <c r="L246" s="657">
        <f t="shared" si="579"/>
        <v>1.186110806172975</v>
      </c>
      <c r="M246" s="657">
        <f t="shared" si="579"/>
        <v>7.462686567164179E-3</v>
      </c>
      <c r="N246" s="657" t="e">
        <f t="shared" si="579"/>
        <v>#DIV/0!</v>
      </c>
      <c r="O246" s="657">
        <f t="shared" si="579"/>
        <v>1.0085470085470085</v>
      </c>
      <c r="P246" s="657">
        <f t="shared" si="579"/>
        <v>1</v>
      </c>
      <c r="Q246" s="657">
        <f t="shared" si="579"/>
        <v>1.0192926045016077</v>
      </c>
      <c r="R246" s="657">
        <f t="shared" si="579"/>
        <v>0.865664933786357</v>
      </c>
      <c r="S246" s="657"/>
      <c r="T246" s="657"/>
      <c r="U246" s="657">
        <f t="shared" ref="U246:X247" si="580">+U253/U267</f>
        <v>0.93333333333333335</v>
      </c>
      <c r="V246" s="657"/>
      <c r="W246" s="657">
        <f t="shared" si="580"/>
        <v>1.0098829878329294</v>
      </c>
      <c r="X246" s="657">
        <f t="shared" si="580"/>
        <v>0.61748633879781423</v>
      </c>
      <c r="Y246" s="657"/>
      <c r="Z246" s="657">
        <f t="shared" ref="Z246:AC246" si="581">+Z253/Z267</f>
        <v>1.011190375089049</v>
      </c>
      <c r="AA246" s="657">
        <f t="shared" si="581"/>
        <v>0.2864965940964338</v>
      </c>
      <c r="AB246" s="657"/>
      <c r="AC246" s="657">
        <f t="shared" si="581"/>
        <v>0</v>
      </c>
      <c r="AD246" s="657" t="e">
        <f t="shared" ref="AD246:AJ246" si="582">+AD253/AD267</f>
        <v>#DIV/0!</v>
      </c>
      <c r="AE246" s="657" t="e">
        <f t="shared" si="582"/>
        <v>#DIV/0!</v>
      </c>
      <c r="AF246" s="657">
        <f t="shared" si="582"/>
        <v>0.29558866462178579</v>
      </c>
      <c r="AG246" s="657">
        <f t="shared" si="582"/>
        <v>0.90702999934738171</v>
      </c>
      <c r="AH246" s="657">
        <f t="shared" si="582"/>
        <v>1.0283336812908228</v>
      </c>
      <c r="AI246" s="657">
        <f t="shared" si="582"/>
        <v>1.0074074074074073</v>
      </c>
      <c r="AJ246" s="657">
        <f t="shared" si="582"/>
        <v>1.174937806978376</v>
      </c>
      <c r="AK246" s="657"/>
      <c r="AL246" s="657"/>
      <c r="AM246" s="657">
        <f t="shared" ref="AM246:AN246" si="583">+AM253/AM267</f>
        <v>0.89633680087914813</v>
      </c>
      <c r="AN246" s="503">
        <f t="shared" si="583"/>
        <v>1.0148148148148148</v>
      </c>
    </row>
    <row r="247" spans="3:40" ht="21.75" customHeight="1">
      <c r="C247" s="1605"/>
      <c r="D247" s="654" t="s">
        <v>218</v>
      </c>
      <c r="E247" s="657">
        <f t="shared" ref="E247:H247" si="584">+E254/E268</f>
        <v>0.97480950064850824</v>
      </c>
      <c r="F247" s="657">
        <f t="shared" si="584"/>
        <v>0.97704493710720342</v>
      </c>
      <c r="G247" s="657">
        <f t="shared" si="584"/>
        <v>1.03125</v>
      </c>
      <c r="H247" s="657">
        <f t="shared" si="584"/>
        <v>1.0017319233364415</v>
      </c>
      <c r="I247" s="657"/>
      <c r="J247" s="657"/>
      <c r="K247" s="657">
        <f t="shared" ref="K247:R247" si="585">+K254/K268</f>
        <v>0.97750909263676167</v>
      </c>
      <c r="L247" s="657">
        <f t="shared" si="585"/>
        <v>0.94422354384412421</v>
      </c>
      <c r="M247" s="657">
        <f t="shared" si="585"/>
        <v>0</v>
      </c>
      <c r="N247" s="657" t="e">
        <f t="shared" si="585"/>
        <v>#DIV/0!</v>
      </c>
      <c r="O247" s="657">
        <f t="shared" si="585"/>
        <v>0.97159090909090906</v>
      </c>
      <c r="P247" s="657">
        <f t="shared" si="585"/>
        <v>1</v>
      </c>
      <c r="Q247" s="657">
        <f t="shared" si="585"/>
        <v>0.99494219653179194</v>
      </c>
      <c r="R247" s="657">
        <f t="shared" si="585"/>
        <v>0.96823500290725273</v>
      </c>
      <c r="S247" s="657"/>
      <c r="T247" s="657"/>
      <c r="U247" s="657">
        <f t="shared" si="580"/>
        <v>1.0172413793103448</v>
      </c>
      <c r="V247" s="657">
        <f t="shared" ref="V247" si="586">+V254/V268</f>
        <v>0</v>
      </c>
      <c r="W247" s="657">
        <f t="shared" si="580"/>
        <v>0.96935077214329057</v>
      </c>
      <c r="X247" s="657"/>
      <c r="Y247" s="657"/>
      <c r="Z247" s="657">
        <f t="shared" ref="Z247:AB247" si="587">+Z254/Z268</f>
        <v>0.97666153921765786</v>
      </c>
      <c r="AA247" s="657">
        <f t="shared" si="587"/>
        <v>1.6208205983143466E-2</v>
      </c>
      <c r="AB247" s="657">
        <f t="shared" si="587"/>
        <v>0</v>
      </c>
      <c r="AC247" s="657"/>
      <c r="AD247" s="657" t="e">
        <f t="shared" ref="AD247:AL247" si="588">+AD254/AD268</f>
        <v>#DIV/0!</v>
      </c>
      <c r="AE247" s="657" t="e">
        <f t="shared" si="588"/>
        <v>#DIV/0!</v>
      </c>
      <c r="AF247" s="657">
        <f t="shared" si="588"/>
        <v>1.5391171115754006E-2</v>
      </c>
      <c r="AG247" s="657">
        <f t="shared" si="588"/>
        <v>0.82291588107952651</v>
      </c>
      <c r="AH247" s="657">
        <f t="shared" si="588"/>
        <v>0.97681463289835424</v>
      </c>
      <c r="AI247" s="657">
        <f t="shared" si="588"/>
        <v>0.97979797979797978</v>
      </c>
      <c r="AJ247" s="657">
        <f t="shared" si="588"/>
        <v>0.4006375611454116</v>
      </c>
      <c r="AK247" s="657">
        <f t="shared" si="588"/>
        <v>1.0512820512820513</v>
      </c>
      <c r="AL247" s="657">
        <f t="shared" si="588"/>
        <v>0</v>
      </c>
      <c r="AM247" s="657">
        <f t="shared" ref="AM247:AN247" si="589">+AM254/AM268</f>
        <v>0.81043213157067495</v>
      </c>
      <c r="AN247" s="503">
        <f t="shared" si="589"/>
        <v>0.97979797979797978</v>
      </c>
    </row>
    <row r="248" spans="3:40" ht="21.75" customHeight="1">
      <c r="C248" s="1605"/>
      <c r="D248" s="654" t="s">
        <v>220</v>
      </c>
      <c r="E248" s="657">
        <f t="shared" ref="E248:H248" si="590">+E255/E269</f>
        <v>0.99081220139654536</v>
      </c>
      <c r="F248" s="657">
        <f t="shared" si="590"/>
        <v>0.96868355416495278</v>
      </c>
      <c r="G248" s="657">
        <f t="shared" si="590"/>
        <v>1.2763157894736843</v>
      </c>
      <c r="H248" s="657">
        <f t="shared" si="590"/>
        <v>1.2299629376073864</v>
      </c>
      <c r="I248" s="657"/>
      <c r="J248" s="657"/>
      <c r="K248" s="657">
        <f t="shared" ref="K248:R248" si="591">+K255/K269</f>
        <v>0.97300160086306953</v>
      </c>
      <c r="L248" s="657">
        <f t="shared" si="591"/>
        <v>0.9671096157629141</v>
      </c>
      <c r="M248" s="657">
        <f t="shared" si="591"/>
        <v>9.6153846153846159E-2</v>
      </c>
      <c r="N248" s="657" t="e">
        <f t="shared" si="591"/>
        <v>#DIV/0!</v>
      </c>
      <c r="O248" s="657">
        <f t="shared" si="591"/>
        <v>1.0232558139534884</v>
      </c>
      <c r="P248" s="657">
        <f t="shared" si="591"/>
        <v>0.98285714285714287</v>
      </c>
      <c r="Q248" s="657">
        <f t="shared" si="591"/>
        <v>1.0204678362573099</v>
      </c>
      <c r="R248" s="657">
        <f t="shared" si="591"/>
        <v>1.3477781533947117</v>
      </c>
      <c r="S248" s="657"/>
      <c r="T248" s="657"/>
      <c r="U248" s="657">
        <f t="shared" ref="U248:X248" si="592">+U255/U269</f>
        <v>1.0588235294117647</v>
      </c>
      <c r="V248" s="657">
        <f t="shared" si="592"/>
        <v>0.52238805970149249</v>
      </c>
      <c r="W248" s="657">
        <f t="shared" si="592"/>
        <v>1.0148878347020516</v>
      </c>
      <c r="X248" s="657">
        <f t="shared" si="592"/>
        <v>2.2925170068027212</v>
      </c>
      <c r="Y248" s="657"/>
      <c r="Z248" s="657">
        <f t="shared" ref="Z248:AL248" si="593">+Z255/Z269</f>
        <v>0.97873347175645753</v>
      </c>
      <c r="AA248" s="657">
        <f t="shared" si="593"/>
        <v>0.40913811007268952</v>
      </c>
      <c r="AB248" s="657">
        <f t="shared" si="593"/>
        <v>0</v>
      </c>
      <c r="AC248" s="657">
        <f t="shared" si="593"/>
        <v>0</v>
      </c>
      <c r="AD248" s="657" t="e">
        <f t="shared" si="593"/>
        <v>#DIV/0!</v>
      </c>
      <c r="AE248" s="657" t="e">
        <f t="shared" si="593"/>
        <v>#DIV/0!</v>
      </c>
      <c r="AF248" s="657">
        <f t="shared" si="593"/>
        <v>0.38239829230292177</v>
      </c>
      <c r="AG248" s="657">
        <f t="shared" si="593"/>
        <v>0.93514044354474279</v>
      </c>
      <c r="AH248" s="657">
        <f t="shared" si="593"/>
        <v>0.97263563914683915</v>
      </c>
      <c r="AI248" s="657">
        <f t="shared" si="593"/>
        <v>0.99337748344370858</v>
      </c>
      <c r="AJ248" s="657">
        <f t="shared" si="593"/>
        <v>0.85110164148890544</v>
      </c>
      <c r="AK248" s="657">
        <f t="shared" si="593"/>
        <v>0.25753424657534246</v>
      </c>
      <c r="AL248" s="657">
        <f t="shared" si="593"/>
        <v>0</v>
      </c>
      <c r="AM248" s="657">
        <f t="shared" ref="AM248:AN248" si="594">+AM255/AM269</f>
        <v>0.93158931563721881</v>
      </c>
      <c r="AN248" s="503">
        <f t="shared" si="594"/>
        <v>0.98701298701298701</v>
      </c>
    </row>
    <row r="249" spans="3:40" s="653" customFormat="1" ht="21.75" customHeight="1">
      <c r="C249" s="1605"/>
      <c r="D249" s="656" t="s">
        <v>221</v>
      </c>
      <c r="E249" s="657">
        <f t="shared" ref="E249:R249" si="595">+E256/E270</f>
        <v>0.99749514563106767</v>
      </c>
      <c r="F249" s="657">
        <f t="shared" si="595"/>
        <v>1.0010536665683838</v>
      </c>
      <c r="G249" s="657">
        <f t="shared" si="595"/>
        <v>1.0359712230215827</v>
      </c>
      <c r="H249" s="657">
        <f t="shared" si="595"/>
        <v>1.1349625250806559</v>
      </c>
      <c r="I249" s="657">
        <f t="shared" si="595"/>
        <v>0.998330241187384</v>
      </c>
      <c r="J249" s="657">
        <f t="shared" si="595"/>
        <v>0.98830434966568259</v>
      </c>
      <c r="K249" s="657">
        <f t="shared" si="595"/>
        <v>1.003979899464108</v>
      </c>
      <c r="L249" s="657">
        <f t="shared" si="595"/>
        <v>1.0097969548155294</v>
      </c>
      <c r="M249" s="657">
        <f t="shared" si="595"/>
        <v>0</v>
      </c>
      <c r="N249" s="657" t="e">
        <f t="shared" si="595"/>
        <v>#DIV/0!</v>
      </c>
      <c r="O249" s="657">
        <f t="shared" si="595"/>
        <v>0.99125364431486884</v>
      </c>
      <c r="P249" s="657">
        <f t="shared" si="595"/>
        <v>0.70681145113524191</v>
      </c>
      <c r="Q249" s="657">
        <f t="shared" si="595"/>
        <v>1.2469135802469136</v>
      </c>
      <c r="R249" s="657">
        <f t="shared" si="595"/>
        <v>1.6579872090397003</v>
      </c>
      <c r="S249" s="657"/>
      <c r="T249" s="657"/>
      <c r="U249" s="657">
        <f t="shared" ref="U249:V249" si="596">+U256/U270</f>
        <v>1</v>
      </c>
      <c r="V249" s="657">
        <f t="shared" si="596"/>
        <v>0</v>
      </c>
      <c r="W249" s="657">
        <f t="shared" ref="W249:X249" si="597">+W256/W270</f>
        <v>1.0196758709093203</v>
      </c>
      <c r="X249" s="657">
        <f t="shared" si="597"/>
        <v>1.0529068597867632</v>
      </c>
      <c r="Y249" s="657"/>
      <c r="Z249" s="657">
        <f t="shared" ref="Z249:AL249" si="598">+Z256/Z270</f>
        <v>1.0234268420175738</v>
      </c>
      <c r="AA249" s="657">
        <f t="shared" si="598"/>
        <v>0.42896404305672187</v>
      </c>
      <c r="AB249" s="657">
        <f t="shared" si="598"/>
        <v>0</v>
      </c>
      <c r="AC249" s="657">
        <f t="shared" si="598"/>
        <v>0.23364485981308411</v>
      </c>
      <c r="AD249" s="657" t="e">
        <f t="shared" si="598"/>
        <v>#DIV/0!</v>
      </c>
      <c r="AE249" s="657" t="e">
        <f t="shared" si="598"/>
        <v>#DIV/0!</v>
      </c>
      <c r="AF249" s="657">
        <f t="shared" si="598"/>
        <v>0.39425643335178467</v>
      </c>
      <c r="AG249" s="657">
        <f t="shared" si="598"/>
        <v>0.96279259575489584</v>
      </c>
      <c r="AH249" s="657">
        <f t="shared" si="598"/>
        <v>0.99993020689294176</v>
      </c>
      <c r="AI249" s="657">
        <f t="shared" si="598"/>
        <v>0.99275362318840576</v>
      </c>
      <c r="AJ249" s="657">
        <f t="shared" si="598"/>
        <v>0.4787531470026799</v>
      </c>
      <c r="AK249" s="657">
        <f t="shared" si="598"/>
        <v>0.34872611464968151</v>
      </c>
      <c r="AL249" s="657">
        <f t="shared" si="598"/>
        <v>7.5554722774611199E-2</v>
      </c>
      <c r="AM249" s="657">
        <f t="shared" ref="AM249:AN249" si="599">+AM256/AM270</f>
        <v>0.96083772396883671</v>
      </c>
      <c r="AN249" s="503">
        <f t="shared" si="599"/>
        <v>0.99761336515513122</v>
      </c>
    </row>
    <row r="250" spans="3:40" s="492" customFormat="1" ht="21.75" customHeight="1">
      <c r="D250" s="676" t="s">
        <v>79</v>
      </c>
      <c r="E250" s="677">
        <f t="shared" ref="E250:R250" si="600">+E257/E271</f>
        <v>0.9903834802289615</v>
      </c>
      <c r="F250" s="677">
        <f t="shared" si="600"/>
        <v>0.99150842016736984</v>
      </c>
      <c r="G250" s="677">
        <f t="shared" si="600"/>
        <v>1.0968660968660968</v>
      </c>
      <c r="H250" s="677">
        <f t="shared" si="600"/>
        <v>1.1319723527738488</v>
      </c>
      <c r="I250" s="677">
        <f t="shared" si="600"/>
        <v>0.8283628263828734</v>
      </c>
      <c r="J250" s="677">
        <f t="shared" si="600"/>
        <v>0.85384959296316498</v>
      </c>
      <c r="K250" s="677">
        <f t="shared" si="600"/>
        <v>0.99370668815174834</v>
      </c>
      <c r="L250" s="677">
        <f t="shared" si="600"/>
        <v>0.99331502115850145</v>
      </c>
      <c r="M250" s="677">
        <f t="shared" si="600"/>
        <v>1.3745454545454545E-2</v>
      </c>
      <c r="N250" s="677" t="e">
        <f t="shared" si="600"/>
        <v>#DIV/0!</v>
      </c>
      <c r="O250" s="677">
        <f t="shared" si="600"/>
        <v>1.0030959752321982</v>
      </c>
      <c r="P250" s="677">
        <f t="shared" si="600"/>
        <v>0.85615010423905491</v>
      </c>
      <c r="Q250" s="677">
        <f t="shared" si="600"/>
        <v>1.0908706677937448</v>
      </c>
      <c r="R250" s="677">
        <f t="shared" si="600"/>
        <v>1.0950170948401039</v>
      </c>
      <c r="S250" s="677"/>
      <c r="T250" s="677"/>
      <c r="U250" s="677">
        <f t="shared" ref="U250:X250" si="601">+U257/U271</f>
        <v>1.0074349442379182</v>
      </c>
      <c r="V250" s="677">
        <f t="shared" si="601"/>
        <v>0.59838459903680663</v>
      </c>
      <c r="W250" s="677">
        <f t="shared" si="601"/>
        <v>1.0016140158142559</v>
      </c>
      <c r="X250" s="677">
        <f t="shared" si="601"/>
        <v>0.9414582469715812</v>
      </c>
      <c r="Y250" s="677"/>
      <c r="Z250" s="677">
        <f t="shared" ref="Z250:AA250" si="602">+Z257/Z271</f>
        <v>1.0009657098398868</v>
      </c>
      <c r="AA250" s="677">
        <f t="shared" si="602"/>
        <v>0.21042806473384168</v>
      </c>
      <c r="AB250" s="677"/>
      <c r="AC250" s="677">
        <f t="shared" ref="AC250:AK250" si="603">+AC257/AC271</f>
        <v>0.14836795252225518</v>
      </c>
      <c r="AD250" s="677" t="e">
        <f t="shared" si="603"/>
        <v>#DIV/0!</v>
      </c>
      <c r="AE250" s="677" t="e">
        <f t="shared" si="603"/>
        <v>#DIV/0!</v>
      </c>
      <c r="AF250" s="677">
        <f t="shared" si="603"/>
        <v>0.21605262809213849</v>
      </c>
      <c r="AG250" s="677">
        <f t="shared" si="603"/>
        <v>0.88795736244064782</v>
      </c>
      <c r="AH250" s="677">
        <f t="shared" si="603"/>
        <v>0.99886449858666193</v>
      </c>
      <c r="AI250" s="677">
        <f t="shared" si="603"/>
        <v>1.0008467400508043</v>
      </c>
      <c r="AJ250" s="677">
        <f t="shared" si="603"/>
        <v>0.63111923178499962</v>
      </c>
      <c r="AK250" s="677">
        <f t="shared" si="603"/>
        <v>0.44857142857142857</v>
      </c>
      <c r="AL250" s="677"/>
      <c r="AM250" s="677">
        <f t="shared" ref="AM250:AN250" si="604">+AM257/AM271</f>
        <v>0.87868062262322144</v>
      </c>
      <c r="AN250" s="677">
        <f t="shared" si="604"/>
        <v>0.98922056384742951</v>
      </c>
    </row>
    <row r="251" spans="3:40" ht="21.75" customHeight="1"/>
    <row r="252" spans="3:40" ht="19.5" customHeight="1">
      <c r="C252" s="1610" t="s">
        <v>73</v>
      </c>
      <c r="D252" s="654" t="s">
        <v>216</v>
      </c>
      <c r="E252" s="655">
        <v>7169.6000000000049</v>
      </c>
      <c r="F252" s="655">
        <v>1686836997</v>
      </c>
      <c r="G252" s="655">
        <v>185</v>
      </c>
      <c r="H252" s="655">
        <v>42366316</v>
      </c>
      <c r="I252" s="655">
        <v>0</v>
      </c>
      <c r="J252" s="655">
        <v>0</v>
      </c>
      <c r="K252" s="655">
        <v>1729203313</v>
      </c>
      <c r="L252" s="655">
        <v>847308</v>
      </c>
      <c r="M252" s="655">
        <v>1074000</v>
      </c>
      <c r="N252" s="655">
        <v>57600000</v>
      </c>
      <c r="O252" s="655">
        <v>127500000</v>
      </c>
      <c r="P252" s="655">
        <v>1032000</v>
      </c>
      <c r="Q252" s="655">
        <v>104550000</v>
      </c>
      <c r="R252" s="655">
        <v>159849032</v>
      </c>
      <c r="S252" s="655">
        <v>0</v>
      </c>
      <c r="T252" s="655">
        <v>0</v>
      </c>
      <c r="U252" s="655">
        <v>5700000</v>
      </c>
      <c r="V252" s="655">
        <v>1074000</v>
      </c>
      <c r="W252" s="655">
        <v>9456230.7584650964</v>
      </c>
      <c r="X252" s="655">
        <v>0</v>
      </c>
      <c r="Y252" s="655">
        <v>0</v>
      </c>
      <c r="Z252" s="655">
        <v>2196811889</v>
      </c>
      <c r="AA252" s="655">
        <v>2372.5</v>
      </c>
      <c r="AB252" s="655">
        <v>0</v>
      </c>
      <c r="AC252" s="655">
        <v>0</v>
      </c>
      <c r="AD252" s="655">
        <v>0</v>
      </c>
      <c r="AE252" s="655">
        <v>0</v>
      </c>
      <c r="AF252" s="655">
        <v>103922682</v>
      </c>
      <c r="AG252" s="655">
        <v>2300734571</v>
      </c>
      <c r="AH252" s="655">
        <v>186147150</v>
      </c>
      <c r="AI252" s="655">
        <v>12105600</v>
      </c>
      <c r="AJ252" s="655">
        <v>91103</v>
      </c>
      <c r="AK252" s="655">
        <v>265000</v>
      </c>
      <c r="AL252" s="655">
        <v>851717</v>
      </c>
      <c r="AM252" s="655">
        <v>2101274001</v>
      </c>
      <c r="AN252" s="654">
        <v>292</v>
      </c>
    </row>
    <row r="253" spans="3:40" ht="19.5" customHeight="1">
      <c r="C253" s="1610"/>
      <c r="D253" s="654" t="s">
        <v>217</v>
      </c>
      <c r="E253" s="655">
        <v>3333.4999999999995</v>
      </c>
      <c r="F253" s="655">
        <v>908965884</v>
      </c>
      <c r="G253" s="655">
        <v>101</v>
      </c>
      <c r="H253" s="655">
        <v>26748076</v>
      </c>
      <c r="I253" s="655">
        <v>656.5</v>
      </c>
      <c r="J253" s="655">
        <v>6067538</v>
      </c>
      <c r="K253" s="655">
        <v>941781498</v>
      </c>
      <c r="L253" s="655">
        <v>2463462</v>
      </c>
      <c r="M253" s="655">
        <v>200000</v>
      </c>
      <c r="N253" s="655">
        <v>27000000</v>
      </c>
      <c r="O253" s="655">
        <v>59000000</v>
      </c>
      <c r="P253" s="655">
        <v>200000</v>
      </c>
      <c r="Q253" s="655">
        <v>47550000</v>
      </c>
      <c r="R253" s="655">
        <v>38737976</v>
      </c>
      <c r="S253" s="655">
        <v>0</v>
      </c>
      <c r="T253" s="655">
        <v>0</v>
      </c>
      <c r="U253" s="655">
        <v>2800000</v>
      </c>
      <c r="V253" s="655">
        <v>200000</v>
      </c>
      <c r="W253" s="655">
        <v>2739807.6884972062</v>
      </c>
      <c r="X253" s="655">
        <v>3390000</v>
      </c>
      <c r="Y253" s="655">
        <v>0</v>
      </c>
      <c r="Z253" s="655">
        <v>1125862741</v>
      </c>
      <c r="AA253" s="655">
        <v>1072.5</v>
      </c>
      <c r="AB253" s="655">
        <v>0</v>
      </c>
      <c r="AC253" s="655">
        <v>0</v>
      </c>
      <c r="AD253" s="655">
        <v>0</v>
      </c>
      <c r="AE253" s="655">
        <v>0</v>
      </c>
      <c r="AF253" s="655">
        <v>56064511</v>
      </c>
      <c r="AG253" s="655">
        <v>1181927252</v>
      </c>
      <c r="AH253" s="655">
        <v>101368260</v>
      </c>
      <c r="AI253" s="655">
        <v>5657600</v>
      </c>
      <c r="AJ253" s="655">
        <v>442068</v>
      </c>
      <c r="AK253" s="655">
        <v>97500</v>
      </c>
      <c r="AL253" s="655">
        <v>96307</v>
      </c>
      <c r="AM253" s="655">
        <v>1074265517</v>
      </c>
      <c r="AN253" s="654">
        <v>137</v>
      </c>
    </row>
    <row r="254" spans="3:40" ht="19.5" customHeight="1">
      <c r="C254" s="1610"/>
      <c r="D254" s="654" t="s">
        <v>218</v>
      </c>
      <c r="E254" s="655">
        <v>4810.1000000000004</v>
      </c>
      <c r="F254" s="655">
        <v>1124367464</v>
      </c>
      <c r="G254" s="655">
        <v>99</v>
      </c>
      <c r="H254" s="655">
        <v>22089398</v>
      </c>
      <c r="I254" s="655">
        <v>0</v>
      </c>
      <c r="J254" s="655">
        <v>0</v>
      </c>
      <c r="K254" s="655">
        <v>1146456862</v>
      </c>
      <c r="L254" s="655">
        <v>638077</v>
      </c>
      <c r="M254" s="655">
        <v>0</v>
      </c>
      <c r="N254" s="655">
        <v>38400000</v>
      </c>
      <c r="O254" s="655">
        <v>85500000</v>
      </c>
      <c r="P254" s="655">
        <v>200000</v>
      </c>
      <c r="Q254" s="655">
        <v>68850000</v>
      </c>
      <c r="R254" s="655">
        <v>83943041</v>
      </c>
      <c r="S254" s="655">
        <v>0</v>
      </c>
      <c r="T254" s="655">
        <v>0</v>
      </c>
      <c r="U254" s="655">
        <v>5900000</v>
      </c>
      <c r="V254" s="655">
        <v>0</v>
      </c>
      <c r="W254" s="655">
        <v>6356848.5229055779</v>
      </c>
      <c r="X254" s="655">
        <v>0</v>
      </c>
      <c r="Y254" s="655">
        <v>0</v>
      </c>
      <c r="Z254" s="655">
        <v>1436244838</v>
      </c>
      <c r="AA254" s="655">
        <v>87.5</v>
      </c>
      <c r="AB254" s="655">
        <v>0</v>
      </c>
      <c r="AC254" s="655">
        <v>0</v>
      </c>
      <c r="AD254" s="655">
        <v>0</v>
      </c>
      <c r="AE254" s="655">
        <v>0</v>
      </c>
      <c r="AF254" s="655">
        <v>4309264</v>
      </c>
      <c r="AG254" s="655">
        <v>1440554102</v>
      </c>
      <c r="AH254" s="655">
        <v>123076695</v>
      </c>
      <c r="AI254" s="655">
        <v>8070400</v>
      </c>
      <c r="AJ254" s="655">
        <v>371756</v>
      </c>
      <c r="AK254" s="655">
        <v>205000</v>
      </c>
      <c r="AL254" s="655">
        <v>0</v>
      </c>
      <c r="AM254" s="655">
        <v>1308830251</v>
      </c>
      <c r="AN254" s="654">
        <v>194</v>
      </c>
    </row>
    <row r="255" spans="3:40" ht="19.5" customHeight="1">
      <c r="C255" s="1610"/>
      <c r="D255" s="654" t="s">
        <v>220</v>
      </c>
      <c r="E255" s="655">
        <v>3774.400000000001</v>
      </c>
      <c r="F255" s="655">
        <v>1536190878</v>
      </c>
      <c r="G255" s="655">
        <v>97</v>
      </c>
      <c r="H255" s="655">
        <v>32777425</v>
      </c>
      <c r="I255" s="655">
        <v>0</v>
      </c>
      <c r="J255" s="655">
        <v>0</v>
      </c>
      <c r="K255" s="655">
        <v>1568968303</v>
      </c>
      <c r="L255" s="655">
        <v>29669806</v>
      </c>
      <c r="M255" s="655">
        <v>1750000</v>
      </c>
      <c r="N255" s="655">
        <v>18600000</v>
      </c>
      <c r="O255" s="655">
        <v>44000000</v>
      </c>
      <c r="P255" s="655">
        <v>3096000</v>
      </c>
      <c r="Q255" s="655">
        <v>34900000</v>
      </c>
      <c r="R255" s="655">
        <v>20879174</v>
      </c>
      <c r="S255" s="655">
        <v>0</v>
      </c>
      <c r="T255" s="655">
        <v>0</v>
      </c>
      <c r="U255" s="655">
        <v>3600000</v>
      </c>
      <c r="V255" s="655">
        <v>1750000</v>
      </c>
      <c r="W255" s="655">
        <v>6296942.3252507709</v>
      </c>
      <c r="X255" s="655">
        <v>1348000</v>
      </c>
      <c r="Y255" s="655">
        <v>0</v>
      </c>
      <c r="Z255" s="655">
        <v>1733108224</v>
      </c>
      <c r="AA255" s="655">
        <v>985</v>
      </c>
      <c r="AB255" s="655">
        <v>0</v>
      </c>
      <c r="AC255" s="655">
        <v>0</v>
      </c>
      <c r="AD255" s="655">
        <v>0</v>
      </c>
      <c r="AE255" s="655">
        <v>0</v>
      </c>
      <c r="AF255" s="655">
        <v>53403736</v>
      </c>
      <c r="AG255" s="655">
        <v>1786511960</v>
      </c>
      <c r="AH255" s="655">
        <v>168605430</v>
      </c>
      <c r="AI255" s="655">
        <v>6240000</v>
      </c>
      <c r="AJ255" s="655">
        <v>3377779</v>
      </c>
      <c r="AK255" s="655">
        <v>141000</v>
      </c>
      <c r="AL255" s="655">
        <v>0</v>
      </c>
      <c r="AM255" s="655">
        <v>1608147751</v>
      </c>
      <c r="AN255" s="654">
        <v>152</v>
      </c>
    </row>
    <row r="256" spans="3:40" ht="19.5" customHeight="1">
      <c r="C256" s="1610"/>
      <c r="D256" s="654" t="s">
        <v>221</v>
      </c>
      <c r="E256" s="655">
        <v>10274.19999999999</v>
      </c>
      <c r="F256" s="655">
        <v>3078825553</v>
      </c>
      <c r="G256" s="655">
        <v>288</v>
      </c>
      <c r="H256" s="655">
        <v>82840934</v>
      </c>
      <c r="I256" s="655">
        <v>2690.5</v>
      </c>
      <c r="J256" s="655">
        <v>35341049</v>
      </c>
      <c r="K256" s="655">
        <v>3197007536</v>
      </c>
      <c r="L256" s="655">
        <v>23131538</v>
      </c>
      <c r="M256" s="655">
        <v>0</v>
      </c>
      <c r="N256" s="655">
        <v>76400000</v>
      </c>
      <c r="O256" s="655">
        <v>170000000</v>
      </c>
      <c r="P256" s="655">
        <v>2864000</v>
      </c>
      <c r="Q256" s="655">
        <v>131300000</v>
      </c>
      <c r="R256" s="655">
        <v>124955927</v>
      </c>
      <c r="S256" s="655">
        <v>0</v>
      </c>
      <c r="T256" s="655">
        <v>0</v>
      </c>
      <c r="U256" s="655">
        <v>9100000</v>
      </c>
      <c r="V256" s="655">
        <v>0</v>
      </c>
      <c r="W256" s="655">
        <v>9672461.47000972</v>
      </c>
      <c r="X256" s="655">
        <v>15702000</v>
      </c>
      <c r="Y256" s="655">
        <v>0</v>
      </c>
      <c r="Z256" s="655">
        <v>3760133450</v>
      </c>
      <c r="AA256" s="655">
        <v>2809.5</v>
      </c>
      <c r="AB256" s="655">
        <v>0</v>
      </c>
      <c r="AC256" s="655">
        <v>50</v>
      </c>
      <c r="AD256" s="655">
        <v>0</v>
      </c>
      <c r="AE256" s="655">
        <v>0</v>
      </c>
      <c r="AF256" s="655">
        <v>154484579</v>
      </c>
      <c r="AG256" s="655">
        <v>3914618029</v>
      </c>
      <c r="AH256" s="655">
        <v>336972510</v>
      </c>
      <c r="AI256" s="655">
        <v>17097600</v>
      </c>
      <c r="AJ256" s="655">
        <v>2453855</v>
      </c>
      <c r="AK256" s="655">
        <v>547500</v>
      </c>
      <c r="AL256" s="655">
        <v>200000</v>
      </c>
      <c r="AM256" s="655">
        <v>3557346564</v>
      </c>
      <c r="AN256" s="654">
        <v>418</v>
      </c>
    </row>
    <row r="257" spans="3:40" ht="19.5" customHeight="1">
      <c r="D257" s="272"/>
      <c r="E257" s="659">
        <f>SUM(E252:E256)</f>
        <v>29361.799999999996</v>
      </c>
      <c r="F257" s="659">
        <f t="shared" ref="F257:AN257" si="605">SUM(F252:F256)</f>
        <v>8335186776</v>
      </c>
      <c r="G257" s="659">
        <f t="shared" si="605"/>
        <v>770</v>
      </c>
      <c r="H257" s="659">
        <f t="shared" si="605"/>
        <v>206822149</v>
      </c>
      <c r="I257" s="659">
        <f t="shared" si="605"/>
        <v>3347</v>
      </c>
      <c r="J257" s="659">
        <f t="shared" si="605"/>
        <v>41408587</v>
      </c>
      <c r="K257" s="659">
        <f t="shared" si="605"/>
        <v>8583417512</v>
      </c>
      <c r="L257" s="659">
        <f t="shared" si="605"/>
        <v>56750191</v>
      </c>
      <c r="M257" s="659">
        <f t="shared" si="605"/>
        <v>3024000</v>
      </c>
      <c r="N257" s="659">
        <f t="shared" si="605"/>
        <v>218000000</v>
      </c>
      <c r="O257" s="659">
        <f t="shared" si="605"/>
        <v>486000000</v>
      </c>
      <c r="P257" s="659">
        <f t="shared" si="605"/>
        <v>7392000</v>
      </c>
      <c r="Q257" s="659">
        <f t="shared" si="605"/>
        <v>387150000</v>
      </c>
      <c r="R257" s="659">
        <f t="shared" si="605"/>
        <v>428365150</v>
      </c>
      <c r="S257" s="659">
        <f t="shared" si="605"/>
        <v>0</v>
      </c>
      <c r="T257" s="659">
        <f t="shared" si="605"/>
        <v>0</v>
      </c>
      <c r="U257" s="659">
        <f t="shared" si="605"/>
        <v>27100000</v>
      </c>
      <c r="V257" s="659">
        <f t="shared" si="605"/>
        <v>3024000</v>
      </c>
      <c r="W257" s="659">
        <f t="shared" si="605"/>
        <v>34522290.765128374</v>
      </c>
      <c r="X257" s="659">
        <f t="shared" si="605"/>
        <v>20440000</v>
      </c>
      <c r="Y257" s="659">
        <f t="shared" si="605"/>
        <v>0</v>
      </c>
      <c r="Z257" s="659">
        <f t="shared" si="605"/>
        <v>10252161142</v>
      </c>
      <c r="AA257" s="659">
        <f t="shared" si="605"/>
        <v>7327</v>
      </c>
      <c r="AB257" s="659">
        <f t="shared" si="605"/>
        <v>0</v>
      </c>
      <c r="AC257" s="659">
        <f t="shared" si="605"/>
        <v>50</v>
      </c>
      <c r="AD257" s="659">
        <f t="shared" si="605"/>
        <v>0</v>
      </c>
      <c r="AE257" s="659">
        <f t="shared" si="605"/>
        <v>0</v>
      </c>
      <c r="AF257" s="659">
        <f t="shared" si="605"/>
        <v>372184772</v>
      </c>
      <c r="AG257" s="659">
        <f t="shared" si="605"/>
        <v>10624345914</v>
      </c>
      <c r="AH257" s="659">
        <f t="shared" si="605"/>
        <v>916170045</v>
      </c>
      <c r="AI257" s="659">
        <f t="shared" si="605"/>
        <v>49171200</v>
      </c>
      <c r="AJ257" s="659">
        <f t="shared" si="605"/>
        <v>6736561</v>
      </c>
      <c r="AK257" s="659">
        <f t="shared" si="605"/>
        <v>1256000</v>
      </c>
      <c r="AL257" s="659">
        <f t="shared" si="605"/>
        <v>1148024</v>
      </c>
      <c r="AM257" s="659">
        <f t="shared" si="605"/>
        <v>9649864084</v>
      </c>
      <c r="AN257" s="659">
        <f t="shared" si="605"/>
        <v>1193</v>
      </c>
    </row>
    <row r="258" spans="3:40" ht="19.5" customHeight="1">
      <c r="D258" s="665"/>
      <c r="E258" s="665"/>
      <c r="F258" s="666"/>
      <c r="G258" s="667"/>
      <c r="H258" s="666"/>
      <c r="I258" s="667"/>
      <c r="J258" s="666"/>
      <c r="K258" s="666"/>
      <c r="L258" s="666"/>
      <c r="M258" s="666"/>
      <c r="N258" s="666"/>
      <c r="O258" s="666"/>
      <c r="P258" s="666"/>
      <c r="Q258" s="666"/>
      <c r="R258" s="666"/>
      <c r="S258" s="668"/>
      <c r="T258" s="666"/>
      <c r="U258" s="666"/>
      <c r="V258" s="666"/>
      <c r="W258" s="666"/>
      <c r="X258" s="669"/>
      <c r="Y258" s="669"/>
      <c r="Z258" s="669"/>
      <c r="AA258" s="670"/>
      <c r="AB258" s="670"/>
      <c r="AC258" s="670"/>
      <c r="AD258" s="670"/>
      <c r="AE258" s="670"/>
      <c r="AF258" s="671"/>
      <c r="AG258" s="672"/>
      <c r="AH258" s="671"/>
      <c r="AI258" s="673"/>
      <c r="AJ258" s="671"/>
      <c r="AK258" s="657"/>
      <c r="AL258" s="657"/>
      <c r="AM258" s="669"/>
      <c r="AN258" s="675"/>
    </row>
    <row r="259" spans="3:40" ht="21.75" customHeight="1">
      <c r="C259" s="1605" t="str">
        <f>C266&amp;" Vs "&amp;C280</f>
        <v>Oct Vs Sept</v>
      </c>
      <c r="D259" s="654" t="s">
        <v>216</v>
      </c>
      <c r="E259" s="657">
        <f>+E266/E280</f>
        <v>1.1095124144553337</v>
      </c>
      <c r="F259" s="657">
        <f t="shared" ref="F259:H259" si="606">+F266/F280</f>
        <v>1.0994098281376181</v>
      </c>
      <c r="G259" s="657">
        <f t="shared" si="606"/>
        <v>0.24324324324324326</v>
      </c>
      <c r="H259" s="657">
        <f t="shared" si="606"/>
        <v>0.24373807260327066</v>
      </c>
      <c r="I259" s="657"/>
      <c r="J259" s="657"/>
      <c r="K259" s="657">
        <f t="shared" ref="K259:R259" si="607">+K266/K280</f>
        <v>1.0175443565011661</v>
      </c>
      <c r="L259" s="657">
        <f t="shared" si="607"/>
        <v>0.94179465875370916</v>
      </c>
      <c r="M259" s="657">
        <f t="shared" si="607"/>
        <v>1.0460992907801419</v>
      </c>
      <c r="N259" s="657" t="e">
        <f t="shared" si="607"/>
        <v>#DIV/0!</v>
      </c>
      <c r="O259" s="657">
        <f t="shared" si="607"/>
        <v>0.94636015325670497</v>
      </c>
      <c r="P259" s="657">
        <f t="shared" si="607"/>
        <v>1</v>
      </c>
      <c r="Q259" s="657">
        <f t="shared" si="607"/>
        <v>0.99550000000000005</v>
      </c>
      <c r="R259" s="657">
        <f t="shared" si="607"/>
        <v>1.0282406338478918</v>
      </c>
      <c r="S259" s="657"/>
      <c r="T259" s="657"/>
      <c r="U259" s="657">
        <f t="shared" ref="U259" si="608">+U266/U280</f>
        <v>0.98245614035087714</v>
      </c>
      <c r="V259" s="657"/>
      <c r="W259" s="657">
        <f t="shared" ref="W259" si="609">+W266/W280</f>
        <v>1.048092991278015</v>
      </c>
      <c r="X259" s="657"/>
      <c r="Y259" s="657"/>
      <c r="Z259" s="657">
        <f t="shared" ref="Z259:AA259" si="610">+Z266/Z280</f>
        <v>1.013679267141258</v>
      </c>
      <c r="AA259" s="657">
        <f t="shared" si="610"/>
        <v>1.7546041240358885</v>
      </c>
      <c r="AB259" s="657"/>
      <c r="AC259" s="657"/>
      <c r="AD259" s="657" t="e">
        <f t="shared" ref="AD259:AF259" si="611">+AD266/AD280</f>
        <v>#DIV/0!</v>
      </c>
      <c r="AE259" s="657" t="e">
        <f t="shared" si="611"/>
        <v>#DIV/0!</v>
      </c>
      <c r="AF259" s="657">
        <f t="shared" si="611"/>
        <v>1.7396270281392545</v>
      </c>
      <c r="AG259" s="657">
        <f>+AG266/AG280</f>
        <v>1.1295554997261059</v>
      </c>
      <c r="AH259" s="657">
        <f t="shared" ref="AH259:AK259" si="612">+AH266/AH280</f>
        <v>1.0362116559382377</v>
      </c>
      <c r="AI259" s="657">
        <f t="shared" si="612"/>
        <v>0.99298245614035086</v>
      </c>
      <c r="AJ259" s="657">
        <f t="shared" si="612"/>
        <v>1.607875853217432</v>
      </c>
      <c r="AK259" s="657">
        <f t="shared" si="612"/>
        <v>3.6111111111111112</v>
      </c>
      <c r="AL259" s="657"/>
      <c r="AM259" s="657">
        <f t="shared" ref="AM259" si="613">+AM266/AM280</f>
        <v>1.1368673480657732</v>
      </c>
      <c r="AN259" s="503">
        <f>+AN266/AN280</f>
        <v>1.048951048951049</v>
      </c>
    </row>
    <row r="260" spans="3:40" ht="21.75" customHeight="1">
      <c r="C260" s="1605"/>
      <c r="D260" s="654" t="s">
        <v>217</v>
      </c>
      <c r="E260" s="657">
        <f t="shared" ref="E260:R260" si="614">+E267/E281</f>
        <v>1.0740668928744543</v>
      </c>
      <c r="F260" s="657">
        <f t="shared" si="614"/>
        <v>1.0772368366356666</v>
      </c>
      <c r="G260" s="657">
        <f t="shared" si="614"/>
        <v>0.21204188481675393</v>
      </c>
      <c r="H260" s="657">
        <f t="shared" si="614"/>
        <v>0.20445548509579506</v>
      </c>
      <c r="I260" s="657">
        <f t="shared" si="614"/>
        <v>0.98918918918918919</v>
      </c>
      <c r="J260" s="657">
        <f t="shared" si="614"/>
        <v>0.93335134428443289</v>
      </c>
      <c r="K260" s="657">
        <f t="shared" si="614"/>
        <v>0.98179784610369114</v>
      </c>
      <c r="L260" s="657">
        <f t="shared" si="614"/>
        <v>1.0225344914932553</v>
      </c>
      <c r="M260" s="657">
        <f t="shared" si="614"/>
        <v>0.97810218978102192</v>
      </c>
      <c r="N260" s="657" t="e">
        <f t="shared" si="614"/>
        <v>#DIV/0!</v>
      </c>
      <c r="O260" s="657">
        <f t="shared" si="614"/>
        <v>0.97499999999999998</v>
      </c>
      <c r="P260" s="657">
        <f t="shared" si="614"/>
        <v>1</v>
      </c>
      <c r="Q260" s="657">
        <f t="shared" si="614"/>
        <v>0.97187500000000004</v>
      </c>
      <c r="R260" s="657">
        <f t="shared" si="614"/>
        <v>0.86675817433865643</v>
      </c>
      <c r="S260" s="657"/>
      <c r="T260" s="657"/>
      <c r="U260" s="657">
        <f t="shared" ref="U260:X260" si="615">+U267/U281</f>
        <v>1</v>
      </c>
      <c r="V260" s="657">
        <f t="shared" si="615"/>
        <v>0</v>
      </c>
      <c r="W260" s="657">
        <f t="shared" si="615"/>
        <v>0.98366322349109647</v>
      </c>
      <c r="X260" s="657">
        <f t="shared" si="615"/>
        <v>0.98918918918918919</v>
      </c>
      <c r="Y260" s="657"/>
      <c r="Z260" s="657">
        <f t="shared" ref="Z260:AA260" si="616">+Z267/Z281</f>
        <v>0.97572133657490234</v>
      </c>
      <c r="AA260" s="657">
        <f t="shared" si="616"/>
        <v>1.4878775834658187</v>
      </c>
      <c r="AB260" s="657"/>
      <c r="AC260" s="657">
        <f t="shared" ref="AC260:AK260" si="617">+AC267/AC281</f>
        <v>2.0344827586206895</v>
      </c>
      <c r="AD260" s="657" t="e">
        <f t="shared" si="617"/>
        <v>#DIV/0!</v>
      </c>
      <c r="AE260" s="657" t="e">
        <f t="shared" si="617"/>
        <v>#DIV/0!</v>
      </c>
      <c r="AF260" s="657">
        <f t="shared" si="617"/>
        <v>1.4762745230859886</v>
      </c>
      <c r="AG260" s="657">
        <f t="shared" si="617"/>
        <v>1.0263761628890009</v>
      </c>
      <c r="AH260" s="657">
        <f t="shared" si="617"/>
        <v>0.98102860391215163</v>
      </c>
      <c r="AI260" s="657">
        <f t="shared" si="617"/>
        <v>0.97826086956521741</v>
      </c>
      <c r="AJ260" s="657">
        <f t="shared" si="617"/>
        <v>1.9213088970479346</v>
      </c>
      <c r="AK260" s="657">
        <f t="shared" si="617"/>
        <v>0</v>
      </c>
      <c r="AL260" s="657"/>
      <c r="AM260" s="657">
        <f t="shared" ref="AM260:AN260" si="618">+AM267/AM281</f>
        <v>1.0304379433487723</v>
      </c>
      <c r="AN260" s="503">
        <f t="shared" si="618"/>
        <v>0.97826086956521741</v>
      </c>
    </row>
    <row r="261" spans="3:40" ht="21.75" customHeight="1">
      <c r="C261" s="1605"/>
      <c r="D261" s="654" t="s">
        <v>218</v>
      </c>
      <c r="E261" s="657">
        <f t="shared" ref="E261:H261" si="619">+E268/E282</f>
        <v>1.0677052904901008</v>
      </c>
      <c r="F261" s="657">
        <f t="shared" si="619"/>
        <v>1.0771309166421774</v>
      </c>
      <c r="G261" s="657">
        <f t="shared" si="619"/>
        <v>0.1951219512195122</v>
      </c>
      <c r="H261" s="657">
        <f t="shared" si="619"/>
        <v>0.19135345787143818</v>
      </c>
      <c r="I261" s="657"/>
      <c r="J261" s="657"/>
      <c r="K261" s="657">
        <f t="shared" ref="K261:R261" si="620">+K268/K282</f>
        <v>0.99089075900910895</v>
      </c>
      <c r="L261" s="657">
        <f t="shared" si="620"/>
        <v>1.0203243808016813</v>
      </c>
      <c r="M261" s="657">
        <f t="shared" si="620"/>
        <v>0.98994974874371855</v>
      </c>
      <c r="N261" s="657" t="e">
        <f t="shared" si="620"/>
        <v>#DIV/0!</v>
      </c>
      <c r="O261" s="657">
        <f t="shared" si="620"/>
        <v>1.0114942528735633</v>
      </c>
      <c r="P261" s="657">
        <f t="shared" si="620"/>
        <v>1</v>
      </c>
      <c r="Q261" s="657">
        <f t="shared" si="620"/>
        <v>1.0312965722801788</v>
      </c>
      <c r="R261" s="657">
        <f t="shared" si="620"/>
        <v>1.22236894922085</v>
      </c>
      <c r="S261" s="657"/>
      <c r="T261" s="657"/>
      <c r="U261" s="657">
        <f t="shared" ref="U261" si="621">+U268/U282</f>
        <v>1.0175438596491229</v>
      </c>
      <c r="V261" s="657"/>
      <c r="W261" s="657">
        <f t="shared" ref="W261" si="622">+W268/W282</f>
        <v>1.0005039187227975</v>
      </c>
      <c r="X261" s="657"/>
      <c r="Y261" s="657"/>
      <c r="Z261" s="657">
        <f t="shared" ref="Z261:AA261" si="623">+Z268/Z282</f>
        <v>1.0058080984285152</v>
      </c>
      <c r="AA261" s="657">
        <f t="shared" si="623"/>
        <v>1.0928137651821863</v>
      </c>
      <c r="AB261" s="657"/>
      <c r="AC261" s="657"/>
      <c r="AD261" s="657" t="e">
        <f t="shared" ref="AD261:AJ261" si="624">+AD268/AD282</f>
        <v>#DIV/0!</v>
      </c>
      <c r="AE261" s="657" t="e">
        <f t="shared" si="624"/>
        <v>#DIV/0!</v>
      </c>
      <c r="AF261" s="657">
        <f t="shared" si="624"/>
        <v>1.3203160354879491</v>
      </c>
      <c r="AG261" s="657">
        <f t="shared" si="624"/>
        <v>1.0456459278204295</v>
      </c>
      <c r="AH261" s="657">
        <f t="shared" si="624"/>
        <v>1.0436532268094407</v>
      </c>
      <c r="AI261" s="657">
        <f t="shared" si="624"/>
        <v>1.03125</v>
      </c>
      <c r="AJ261" s="657">
        <f t="shared" si="624"/>
        <v>1.3402320499284321</v>
      </c>
      <c r="AK261" s="657"/>
      <c r="AL261" s="657"/>
      <c r="AM261" s="657">
        <f t="shared" ref="AM261:AN261" si="625">+AM268/AM282</f>
        <v>1.0454802805059717</v>
      </c>
      <c r="AN261" s="503">
        <f t="shared" si="625"/>
        <v>0.97058823529411764</v>
      </c>
    </row>
    <row r="262" spans="3:40" ht="21.75" customHeight="1">
      <c r="C262" s="1605"/>
      <c r="D262" s="654" t="s">
        <v>220</v>
      </c>
      <c r="E262" s="657">
        <f t="shared" ref="E262:H262" si="626">+E269/E283</f>
        <v>1.1055197631899705</v>
      </c>
      <c r="F262" s="657">
        <f t="shared" si="626"/>
        <v>1.1233652902694029</v>
      </c>
      <c r="G262" s="657">
        <f t="shared" si="626"/>
        <v>0.2087912087912088</v>
      </c>
      <c r="H262" s="657">
        <f t="shared" si="626"/>
        <v>0.18056363103025716</v>
      </c>
      <c r="I262" s="657"/>
      <c r="J262" s="657"/>
      <c r="K262" s="657">
        <f t="shared" ref="K262:R262" si="627">+K269/K283</f>
        <v>1.0341279671326293</v>
      </c>
      <c r="L262" s="657">
        <f t="shared" si="627"/>
        <v>1.0507838498717228</v>
      </c>
      <c r="M262" s="657">
        <f t="shared" si="627"/>
        <v>0.978494623655914</v>
      </c>
      <c r="N262" s="657" t="e">
        <f t="shared" si="627"/>
        <v>#DIV/0!</v>
      </c>
      <c r="O262" s="657">
        <f t="shared" si="627"/>
        <v>1.036144578313253</v>
      </c>
      <c r="P262" s="657">
        <f t="shared" si="627"/>
        <v>1.0174418604651163</v>
      </c>
      <c r="Q262" s="657">
        <f t="shared" si="627"/>
        <v>0.99274310595065307</v>
      </c>
      <c r="R262" s="657">
        <f t="shared" si="627"/>
        <v>0.99989956824025028</v>
      </c>
      <c r="S262" s="657"/>
      <c r="T262" s="657"/>
      <c r="U262" s="657">
        <f t="shared" ref="U262:X262" si="628">+U269/U283</f>
        <v>1.096774193548387</v>
      </c>
      <c r="V262" s="657">
        <f t="shared" si="628"/>
        <v>2.2188824912950258</v>
      </c>
      <c r="W262" s="657">
        <f t="shared" si="628"/>
        <v>1.0481811515942459</v>
      </c>
      <c r="X262" s="657">
        <f t="shared" si="628"/>
        <v>0.62820512820512819</v>
      </c>
      <c r="Y262" s="657"/>
      <c r="Z262" s="657">
        <f t="shared" ref="Z262:AK262" si="629">+Z269/Z283</f>
        <v>1.0336689552664347</v>
      </c>
      <c r="AA262" s="657">
        <f t="shared" si="629"/>
        <v>1.052229020979021</v>
      </c>
      <c r="AB262" s="657">
        <f t="shared" si="629"/>
        <v>0.91240875912408759</v>
      </c>
      <c r="AC262" s="657">
        <f t="shared" si="629"/>
        <v>1.1111111111111112</v>
      </c>
      <c r="AD262" s="657">
        <f t="shared" si="629"/>
        <v>0</v>
      </c>
      <c r="AE262" s="657">
        <f t="shared" si="629"/>
        <v>0</v>
      </c>
      <c r="AF262" s="657">
        <f t="shared" si="629"/>
        <v>0.97883358485195859</v>
      </c>
      <c r="AG262" s="657">
        <f t="shared" si="629"/>
        <v>1.0294531057948355</v>
      </c>
      <c r="AH262" s="657">
        <f t="shared" si="629"/>
        <v>1.0403815578282436</v>
      </c>
      <c r="AI262" s="657">
        <f t="shared" si="629"/>
        <v>1.0413793103448277</v>
      </c>
      <c r="AJ262" s="657">
        <f t="shared" si="629"/>
        <v>0.86864463723757668</v>
      </c>
      <c r="AK262" s="657">
        <f t="shared" si="629"/>
        <v>1.3129496402877698</v>
      </c>
      <c r="AL262" s="657"/>
      <c r="AM262" s="657">
        <f t="shared" ref="AM262:AN262" si="630">+AM269/AM283</f>
        <v>1.0286727958636481</v>
      </c>
      <c r="AN262" s="503">
        <f t="shared" si="630"/>
        <v>1.0198675496688743</v>
      </c>
    </row>
    <row r="263" spans="3:40" s="653" customFormat="1" ht="21.75" customHeight="1">
      <c r="C263" s="1605"/>
      <c r="D263" s="656" t="s">
        <v>221</v>
      </c>
      <c r="E263" s="657">
        <f t="shared" ref="E263:R263" si="631">+E270/E284</f>
        <v>1.0568980555128007</v>
      </c>
      <c r="F263" s="657">
        <f t="shared" si="631"/>
        <v>1.0618351146780782</v>
      </c>
      <c r="G263" s="657">
        <f t="shared" si="631"/>
        <v>0.2376068376068376</v>
      </c>
      <c r="H263" s="657">
        <f t="shared" si="631"/>
        <v>0.21541954568521274</v>
      </c>
      <c r="I263" s="657">
        <f t="shared" si="631"/>
        <v>1.1453463663408414</v>
      </c>
      <c r="J263" s="657">
        <f t="shared" si="631"/>
        <v>1.0690017832601697</v>
      </c>
      <c r="K263" s="657">
        <f t="shared" si="631"/>
        <v>0.97417220038236774</v>
      </c>
      <c r="L263" s="657">
        <f t="shared" si="631"/>
        <v>0.98679509798802878</v>
      </c>
      <c r="M263" s="657">
        <f t="shared" si="631"/>
        <v>0.96962025316455691</v>
      </c>
      <c r="N263" s="657" t="e">
        <f t="shared" si="631"/>
        <v>#DIV/0!</v>
      </c>
      <c r="O263" s="657">
        <f t="shared" si="631"/>
        <v>0.96892655367231639</v>
      </c>
      <c r="P263" s="657">
        <f t="shared" si="631"/>
        <v>1.4148044692737429</v>
      </c>
      <c r="Q263" s="657">
        <f t="shared" si="631"/>
        <v>0.79652042360060515</v>
      </c>
      <c r="R263" s="657">
        <f t="shared" si="631"/>
        <v>0.6863753853448592</v>
      </c>
      <c r="S263" s="657"/>
      <c r="T263" s="657"/>
      <c r="U263" s="657">
        <f t="shared" ref="U263:X263" si="632">+U270/U284</f>
        <v>0.9285714285714286</v>
      </c>
      <c r="V263" s="657"/>
      <c r="W263" s="657">
        <f t="shared" si="632"/>
        <v>0.98565984424292497</v>
      </c>
      <c r="X263" s="657">
        <f t="shared" si="632"/>
        <v>1.1738822418136021</v>
      </c>
      <c r="Y263" s="657"/>
      <c r="Z263" s="657">
        <f t="shared" ref="Z263:AN263" si="633">+Z270/Z284</f>
        <v>0.96054719604613259</v>
      </c>
      <c r="AA263" s="657">
        <f t="shared" si="633"/>
        <v>0.67437191103789129</v>
      </c>
      <c r="AB263" s="657">
        <f t="shared" si="633"/>
        <v>3.5079365079365079</v>
      </c>
      <c r="AC263" s="657">
        <f t="shared" si="633"/>
        <v>2.7435897435897436</v>
      </c>
      <c r="AD263" s="657" t="e">
        <f t="shared" si="633"/>
        <v>#DIV/0!</v>
      </c>
      <c r="AE263" s="657">
        <f t="shared" si="633"/>
        <v>0</v>
      </c>
      <c r="AF263" s="657">
        <f t="shared" si="633"/>
        <v>0.79249932339163576</v>
      </c>
      <c r="AG263" s="657">
        <f t="shared" si="633"/>
        <v>0.94131109753696396</v>
      </c>
      <c r="AH263" s="657">
        <f t="shared" si="633"/>
        <v>0.97481891585206137</v>
      </c>
      <c r="AI263" s="657">
        <f t="shared" si="633"/>
        <v>0.96279069767441861</v>
      </c>
      <c r="AJ263" s="657">
        <f t="shared" si="633"/>
        <v>1.2951768137739477</v>
      </c>
      <c r="AK263" s="657"/>
      <c r="AL263" s="657"/>
      <c r="AM263" s="657">
        <f t="shared" si="633"/>
        <v>0.9368611888126448</v>
      </c>
      <c r="AN263" s="503">
        <f t="shared" si="633"/>
        <v>0.97215777262180969</v>
      </c>
    </row>
    <row r="264" spans="3:40" s="492" customFormat="1" ht="21.75" customHeight="1">
      <c r="D264" s="676" t="s">
        <v>79</v>
      </c>
      <c r="E264" s="677">
        <f t="shared" ref="E264:R264" si="634">+E271/E285</f>
        <v>1.079317174041255</v>
      </c>
      <c r="F264" s="677">
        <f t="shared" si="634"/>
        <v>1.0842976065449259</v>
      </c>
      <c r="G264" s="677">
        <f t="shared" si="634"/>
        <v>0.22565091610414659</v>
      </c>
      <c r="H264" s="677">
        <f t="shared" si="634"/>
        <v>0.21043365507450423</v>
      </c>
      <c r="I264" s="677">
        <f t="shared" si="634"/>
        <v>1.1364083813809591</v>
      </c>
      <c r="J264" s="677">
        <f t="shared" si="634"/>
        <v>1.0650033911383112</v>
      </c>
      <c r="K264" s="677">
        <f t="shared" si="634"/>
        <v>0.99665129034190392</v>
      </c>
      <c r="L264" s="677">
        <f t="shared" si="634"/>
        <v>1.0212054120629148</v>
      </c>
      <c r="M264" s="677">
        <f t="shared" si="634"/>
        <v>0.99457504520795659</v>
      </c>
      <c r="N264" s="677" t="e">
        <f t="shared" si="634"/>
        <v>#DIV/0!</v>
      </c>
      <c r="O264" s="677">
        <f t="shared" si="634"/>
        <v>0.97681451612903225</v>
      </c>
      <c r="P264" s="677">
        <f t="shared" si="634"/>
        <v>1.1680194805194806</v>
      </c>
      <c r="Q264" s="677">
        <f t="shared" si="634"/>
        <v>0.92966601178781927</v>
      </c>
      <c r="R264" s="677">
        <f t="shared" si="634"/>
        <v>0.94926662417931817</v>
      </c>
      <c r="S264" s="677"/>
      <c r="T264" s="677"/>
      <c r="U264" s="677">
        <f t="shared" ref="U264:X264" si="635">+U271/U285</f>
        <v>0.9853479853479854</v>
      </c>
      <c r="V264" s="677">
        <f t="shared" si="635"/>
        <v>1.5621439578120242</v>
      </c>
      <c r="W264" s="677">
        <f t="shared" si="635"/>
        <v>1.0159648451864269</v>
      </c>
      <c r="X264" s="677">
        <f t="shared" si="635"/>
        <v>1.1313705054715999</v>
      </c>
      <c r="Y264" s="677"/>
      <c r="Z264" s="677">
        <f t="shared" ref="Z264:AA264" si="636">+Z271/Z285</f>
        <v>0.99200274192710425</v>
      </c>
      <c r="AA264" s="677">
        <f t="shared" si="636"/>
        <v>1.2012730503182625</v>
      </c>
      <c r="AB264" s="677"/>
      <c r="AC264" s="677">
        <f t="shared" ref="AC264:AN264" si="637">+AC271/AC285</f>
        <v>2.3985765124555161</v>
      </c>
      <c r="AD264" s="677">
        <f t="shared" si="637"/>
        <v>0</v>
      </c>
      <c r="AE264" s="677">
        <f t="shared" si="637"/>
        <v>0</v>
      </c>
      <c r="AF264" s="677">
        <f t="shared" si="637"/>
        <v>1.2371903156191091</v>
      </c>
      <c r="AG264" s="677">
        <f t="shared" si="637"/>
        <v>1.0211391373601064</v>
      </c>
      <c r="AH264" s="677">
        <f t="shared" si="637"/>
        <v>1.0085299647888706</v>
      </c>
      <c r="AI264" s="677">
        <f t="shared" si="637"/>
        <v>0.99243697478991599</v>
      </c>
      <c r="AJ264" s="677">
        <f t="shared" si="637"/>
        <v>1.1135174286384322</v>
      </c>
      <c r="AK264" s="677">
        <f t="shared" si="637"/>
        <v>4.5380875202593192</v>
      </c>
      <c r="AL264" s="677"/>
      <c r="AM264" s="677">
        <f t="shared" si="637"/>
        <v>1.0217848510790462</v>
      </c>
      <c r="AN264" s="677">
        <f t="shared" si="637"/>
        <v>0.99669421487603305</v>
      </c>
    </row>
    <row r="265" spans="3:40" ht="21.75" customHeight="1"/>
    <row r="266" spans="3:40" ht="19.5" customHeight="1">
      <c r="C266" s="1610" t="s">
        <v>72</v>
      </c>
      <c r="D266" s="654" t="s">
        <v>216</v>
      </c>
      <c r="E266" s="655">
        <v>7279.4000000000024</v>
      </c>
      <c r="F266" s="655">
        <v>1703020818</v>
      </c>
      <c r="G266" s="655">
        <v>171</v>
      </c>
      <c r="H266" s="655">
        <v>40403090</v>
      </c>
      <c r="I266" s="655">
        <v>156</v>
      </c>
      <c r="J266" s="655">
        <v>1457296</v>
      </c>
      <c r="K266" s="655">
        <v>1744881204</v>
      </c>
      <c r="L266" s="655">
        <v>793462</v>
      </c>
      <c r="M266" s="655">
        <v>59000000</v>
      </c>
      <c r="N266" s="655">
        <v>0</v>
      </c>
      <c r="O266" s="655">
        <v>123500000</v>
      </c>
      <c r="P266" s="655">
        <v>1032000</v>
      </c>
      <c r="Q266" s="655">
        <v>99550000</v>
      </c>
      <c r="R266" s="655">
        <v>168890996</v>
      </c>
      <c r="S266" s="655">
        <v>0</v>
      </c>
      <c r="T266" s="655">
        <v>0</v>
      </c>
      <c r="U266" s="655">
        <v>5600000</v>
      </c>
      <c r="V266" s="655">
        <v>0</v>
      </c>
      <c r="W266" s="655">
        <v>9505435.1212018281</v>
      </c>
      <c r="X266" s="655">
        <v>720000</v>
      </c>
      <c r="Y266" s="655">
        <v>0</v>
      </c>
      <c r="Z266" s="655">
        <v>2213473106</v>
      </c>
      <c r="AA266" s="655">
        <v>16720.5</v>
      </c>
      <c r="AB266" s="655">
        <v>0</v>
      </c>
      <c r="AC266" s="655">
        <v>0</v>
      </c>
      <c r="AD266" s="655">
        <v>0</v>
      </c>
      <c r="AE266" s="655">
        <v>0</v>
      </c>
      <c r="AF266" s="655">
        <v>721511806</v>
      </c>
      <c r="AG266" s="655">
        <v>2934984912</v>
      </c>
      <c r="AH266" s="655">
        <v>182293230</v>
      </c>
      <c r="AI266" s="655">
        <v>11772800</v>
      </c>
      <c r="AJ266" s="655">
        <v>275606</v>
      </c>
      <c r="AK266" s="655">
        <v>487500</v>
      </c>
      <c r="AL266" s="655">
        <v>0</v>
      </c>
      <c r="AM266" s="655">
        <v>2740155776</v>
      </c>
      <c r="AN266" s="654">
        <v>300</v>
      </c>
    </row>
    <row r="267" spans="3:40" ht="19.5" customHeight="1">
      <c r="C267" s="1610"/>
      <c r="D267" s="654" t="s">
        <v>217</v>
      </c>
      <c r="E267" s="655">
        <v>3323.6999999999994</v>
      </c>
      <c r="F267" s="655">
        <v>891328149</v>
      </c>
      <c r="G267" s="655">
        <v>81</v>
      </c>
      <c r="H267" s="655">
        <v>20616111</v>
      </c>
      <c r="I267" s="655">
        <v>1189.5</v>
      </c>
      <c r="J267" s="655">
        <v>11279775</v>
      </c>
      <c r="K267" s="655">
        <v>923224035</v>
      </c>
      <c r="L267" s="655">
        <v>2076924</v>
      </c>
      <c r="M267" s="655">
        <v>26800000</v>
      </c>
      <c r="N267" s="655">
        <v>0</v>
      </c>
      <c r="O267" s="655">
        <v>58500000</v>
      </c>
      <c r="P267" s="655">
        <v>200000</v>
      </c>
      <c r="Q267" s="655">
        <v>46650000</v>
      </c>
      <c r="R267" s="655">
        <v>44749388</v>
      </c>
      <c r="S267" s="655">
        <v>0</v>
      </c>
      <c r="T267" s="655">
        <v>0</v>
      </c>
      <c r="U267" s="655">
        <v>3000000</v>
      </c>
      <c r="V267" s="655">
        <v>0</v>
      </c>
      <c r="W267" s="655">
        <v>2712995.1900432133</v>
      </c>
      <c r="X267" s="655">
        <v>5490000</v>
      </c>
      <c r="Y267" s="655">
        <v>0</v>
      </c>
      <c r="Z267" s="655">
        <v>1113403340</v>
      </c>
      <c r="AA267" s="655">
        <v>3743.5</v>
      </c>
      <c r="AB267" s="655">
        <v>0</v>
      </c>
      <c r="AC267" s="655">
        <v>118</v>
      </c>
      <c r="AD267" s="655">
        <v>0</v>
      </c>
      <c r="AE267" s="655">
        <v>0</v>
      </c>
      <c r="AF267" s="655">
        <v>189670707</v>
      </c>
      <c r="AG267" s="655">
        <v>1303074047</v>
      </c>
      <c r="AH267" s="655">
        <v>98575260</v>
      </c>
      <c r="AI267" s="655">
        <v>5616000</v>
      </c>
      <c r="AJ267" s="655">
        <v>376248</v>
      </c>
      <c r="AK267" s="655">
        <v>0</v>
      </c>
      <c r="AL267" s="655">
        <v>0</v>
      </c>
      <c r="AM267" s="655">
        <v>1198506539</v>
      </c>
      <c r="AN267" s="654">
        <v>135</v>
      </c>
    </row>
    <row r="268" spans="3:40" ht="19.5" customHeight="1">
      <c r="C268" s="1610"/>
      <c r="D268" s="654" t="s">
        <v>218</v>
      </c>
      <c r="E268" s="655">
        <v>4934.4000000000015</v>
      </c>
      <c r="F268" s="655">
        <v>1150783778</v>
      </c>
      <c r="G268" s="655">
        <v>96</v>
      </c>
      <c r="H268" s="655">
        <v>22051207</v>
      </c>
      <c r="I268" s="655">
        <v>0</v>
      </c>
      <c r="J268" s="655">
        <v>0</v>
      </c>
      <c r="K268" s="655">
        <v>1172834985</v>
      </c>
      <c r="L268" s="655">
        <v>675769</v>
      </c>
      <c r="M268" s="655">
        <v>39400000</v>
      </c>
      <c r="N268" s="655">
        <v>0</v>
      </c>
      <c r="O268" s="655">
        <v>88000000</v>
      </c>
      <c r="P268" s="655">
        <v>200000</v>
      </c>
      <c r="Q268" s="655">
        <v>69200000</v>
      </c>
      <c r="R268" s="655">
        <v>86696970</v>
      </c>
      <c r="S268" s="655">
        <v>0</v>
      </c>
      <c r="T268" s="655">
        <v>0</v>
      </c>
      <c r="U268" s="655">
        <v>5800000</v>
      </c>
      <c r="V268" s="655">
        <v>1200000</v>
      </c>
      <c r="W268" s="655">
        <v>6557841.2950043036</v>
      </c>
      <c r="X268" s="655">
        <v>0</v>
      </c>
      <c r="Y268" s="655">
        <v>0</v>
      </c>
      <c r="Z268" s="655">
        <v>1470565575</v>
      </c>
      <c r="AA268" s="655">
        <v>5398.5</v>
      </c>
      <c r="AB268" s="655">
        <v>759</v>
      </c>
      <c r="AC268" s="655">
        <v>0</v>
      </c>
      <c r="AD268" s="655">
        <v>0</v>
      </c>
      <c r="AE268" s="655">
        <v>0</v>
      </c>
      <c r="AF268" s="655">
        <v>279982853</v>
      </c>
      <c r="AG268" s="655">
        <v>1750548428</v>
      </c>
      <c r="AH268" s="655">
        <v>125998005</v>
      </c>
      <c r="AI268" s="655">
        <v>8236800</v>
      </c>
      <c r="AJ268" s="655">
        <v>927911</v>
      </c>
      <c r="AK268" s="655">
        <v>195000</v>
      </c>
      <c r="AL268" s="655">
        <v>212480</v>
      </c>
      <c r="AM268" s="655">
        <v>1614978232</v>
      </c>
      <c r="AN268" s="654">
        <v>198</v>
      </c>
    </row>
    <row r="269" spans="3:40" ht="19.5" customHeight="1">
      <c r="C269" s="1610"/>
      <c r="D269" s="654" t="s">
        <v>220</v>
      </c>
      <c r="E269" s="655">
        <v>3809.400000000001</v>
      </c>
      <c r="F269" s="655">
        <v>1585854195</v>
      </c>
      <c r="G269" s="655">
        <v>76</v>
      </c>
      <c r="H269" s="655">
        <v>26649116</v>
      </c>
      <c r="I269" s="655">
        <v>0</v>
      </c>
      <c r="J269" s="655">
        <v>0</v>
      </c>
      <c r="K269" s="655">
        <v>1612503311</v>
      </c>
      <c r="L269" s="655">
        <v>30678845</v>
      </c>
      <c r="M269" s="655">
        <v>18200000</v>
      </c>
      <c r="N269" s="655">
        <v>0</v>
      </c>
      <c r="O269" s="655">
        <v>43000000</v>
      </c>
      <c r="P269" s="655">
        <v>3150000</v>
      </c>
      <c r="Q269" s="655">
        <v>34200000</v>
      </c>
      <c r="R269" s="655">
        <v>15491551</v>
      </c>
      <c r="S269" s="655">
        <v>0</v>
      </c>
      <c r="T269" s="655">
        <v>0</v>
      </c>
      <c r="U269" s="655">
        <v>3400000</v>
      </c>
      <c r="V269" s="655">
        <v>3350000</v>
      </c>
      <c r="W269" s="655">
        <v>6204569.7169080889</v>
      </c>
      <c r="X269" s="655">
        <v>588000</v>
      </c>
      <c r="Y269" s="655">
        <v>0</v>
      </c>
      <c r="Z269" s="655">
        <v>1770766275</v>
      </c>
      <c r="AA269" s="655">
        <v>2407.5</v>
      </c>
      <c r="AB269" s="655">
        <v>62.5</v>
      </c>
      <c r="AC269" s="655">
        <v>5</v>
      </c>
      <c r="AD269" s="655">
        <v>0</v>
      </c>
      <c r="AE269" s="655">
        <v>0</v>
      </c>
      <c r="AF269" s="655">
        <v>139654745</v>
      </c>
      <c r="AG269" s="655">
        <v>1910421020</v>
      </c>
      <c r="AH269" s="655">
        <v>173349015</v>
      </c>
      <c r="AI269" s="655">
        <v>6281600</v>
      </c>
      <c r="AJ269" s="655">
        <v>3968714</v>
      </c>
      <c r="AK269" s="655">
        <v>547500</v>
      </c>
      <c r="AL269" s="655">
        <v>33106</v>
      </c>
      <c r="AM269" s="655">
        <v>1726241085</v>
      </c>
      <c r="AN269" s="654">
        <v>154</v>
      </c>
    </row>
    <row r="270" spans="3:40" ht="19.5" customHeight="1">
      <c r="C270" s="1610"/>
      <c r="D270" s="654" t="s">
        <v>221</v>
      </c>
      <c r="E270" s="655">
        <v>10299.999999999993</v>
      </c>
      <c r="F270" s="655">
        <v>3075584912</v>
      </c>
      <c r="G270" s="655">
        <v>278</v>
      </c>
      <c r="H270" s="655">
        <v>72990017</v>
      </c>
      <c r="I270" s="655">
        <v>2695</v>
      </c>
      <c r="J270" s="655">
        <v>35759277</v>
      </c>
      <c r="K270" s="655">
        <v>3184334206</v>
      </c>
      <c r="L270" s="655">
        <v>22907118</v>
      </c>
      <c r="M270" s="655">
        <v>76600000</v>
      </c>
      <c r="N270" s="655">
        <v>0</v>
      </c>
      <c r="O270" s="655">
        <v>171500000</v>
      </c>
      <c r="P270" s="655">
        <v>4052000</v>
      </c>
      <c r="Q270" s="655">
        <v>105300000</v>
      </c>
      <c r="R270" s="655">
        <v>75366038</v>
      </c>
      <c r="S270" s="655">
        <v>0</v>
      </c>
      <c r="T270" s="655">
        <v>0</v>
      </c>
      <c r="U270" s="655">
        <v>9100000</v>
      </c>
      <c r="V270" s="655">
        <v>503606</v>
      </c>
      <c r="W270" s="655">
        <v>9485819.7060052734</v>
      </c>
      <c r="X270" s="655">
        <v>14913000</v>
      </c>
      <c r="Y270" s="655">
        <v>0</v>
      </c>
      <c r="Z270" s="655">
        <v>3674061785</v>
      </c>
      <c r="AA270" s="655">
        <v>6549.5</v>
      </c>
      <c r="AB270" s="655">
        <v>110.5</v>
      </c>
      <c r="AC270" s="655">
        <v>214</v>
      </c>
      <c r="AD270" s="655">
        <v>0</v>
      </c>
      <c r="AE270" s="655">
        <v>0</v>
      </c>
      <c r="AF270" s="655">
        <v>391837814</v>
      </c>
      <c r="AG270" s="655">
        <v>4065899599</v>
      </c>
      <c r="AH270" s="655">
        <v>336996030</v>
      </c>
      <c r="AI270" s="655">
        <v>17222400</v>
      </c>
      <c r="AJ270" s="655">
        <v>5125512</v>
      </c>
      <c r="AK270" s="655">
        <v>1570000</v>
      </c>
      <c r="AL270" s="655">
        <v>2647088</v>
      </c>
      <c r="AM270" s="655">
        <v>3702338569</v>
      </c>
      <c r="AN270" s="654">
        <v>419</v>
      </c>
    </row>
    <row r="271" spans="3:40" ht="19.5" customHeight="1">
      <c r="D271" s="272"/>
      <c r="E271" s="659">
        <f>SUM(E266:E270)</f>
        <v>29646.899999999998</v>
      </c>
      <c r="F271" s="659">
        <f t="shared" ref="F271:AN271" si="638">SUM(F266:F270)</f>
        <v>8406571852</v>
      </c>
      <c r="G271" s="659">
        <f t="shared" si="638"/>
        <v>702</v>
      </c>
      <c r="H271" s="659">
        <f t="shared" si="638"/>
        <v>182709541</v>
      </c>
      <c r="I271" s="659">
        <f t="shared" si="638"/>
        <v>4040.5</v>
      </c>
      <c r="J271" s="659">
        <f t="shared" si="638"/>
        <v>48496348</v>
      </c>
      <c r="K271" s="659">
        <f t="shared" si="638"/>
        <v>8637777741</v>
      </c>
      <c r="L271" s="659">
        <f t="shared" si="638"/>
        <v>57132118</v>
      </c>
      <c r="M271" s="659">
        <f t="shared" si="638"/>
        <v>220000000</v>
      </c>
      <c r="N271" s="659">
        <f t="shared" si="638"/>
        <v>0</v>
      </c>
      <c r="O271" s="659">
        <f t="shared" si="638"/>
        <v>484500000</v>
      </c>
      <c r="P271" s="659">
        <f t="shared" si="638"/>
        <v>8634000</v>
      </c>
      <c r="Q271" s="659">
        <f t="shared" si="638"/>
        <v>354900000</v>
      </c>
      <c r="R271" s="659">
        <f t="shared" si="638"/>
        <v>391194943</v>
      </c>
      <c r="S271" s="659">
        <f t="shared" si="638"/>
        <v>0</v>
      </c>
      <c r="T271" s="659">
        <f t="shared" si="638"/>
        <v>0</v>
      </c>
      <c r="U271" s="659">
        <f t="shared" si="638"/>
        <v>26900000</v>
      </c>
      <c r="V271" s="659">
        <f t="shared" si="638"/>
        <v>5053606</v>
      </c>
      <c r="W271" s="659">
        <f t="shared" si="638"/>
        <v>34466661.029162705</v>
      </c>
      <c r="X271" s="659">
        <f t="shared" si="638"/>
        <v>21711000</v>
      </c>
      <c r="Y271" s="659">
        <f t="shared" si="638"/>
        <v>0</v>
      </c>
      <c r="Z271" s="659">
        <f t="shared" si="638"/>
        <v>10242270081</v>
      </c>
      <c r="AA271" s="659">
        <f t="shared" si="638"/>
        <v>34819.5</v>
      </c>
      <c r="AB271" s="659">
        <f t="shared" si="638"/>
        <v>932</v>
      </c>
      <c r="AC271" s="659">
        <f t="shared" si="638"/>
        <v>337</v>
      </c>
      <c r="AD271" s="659">
        <f t="shared" si="638"/>
        <v>0</v>
      </c>
      <c r="AE271" s="659">
        <f t="shared" si="638"/>
        <v>0</v>
      </c>
      <c r="AF271" s="659">
        <f t="shared" si="638"/>
        <v>1722657925</v>
      </c>
      <c r="AG271" s="659">
        <f t="shared" si="638"/>
        <v>11964928006</v>
      </c>
      <c r="AH271" s="659">
        <f t="shared" si="638"/>
        <v>917211540</v>
      </c>
      <c r="AI271" s="659">
        <f t="shared" si="638"/>
        <v>49129600</v>
      </c>
      <c r="AJ271" s="659">
        <f t="shared" si="638"/>
        <v>10673991</v>
      </c>
      <c r="AK271" s="659">
        <f t="shared" si="638"/>
        <v>2800000</v>
      </c>
      <c r="AL271" s="659">
        <f t="shared" si="638"/>
        <v>2892674</v>
      </c>
      <c r="AM271" s="659">
        <f t="shared" si="638"/>
        <v>10982220201</v>
      </c>
      <c r="AN271" s="659">
        <f t="shared" si="638"/>
        <v>1206</v>
      </c>
    </row>
    <row r="272" spans="3:40" ht="19.5" customHeight="1">
      <c r="D272" s="665"/>
      <c r="E272" s="665"/>
      <c r="F272" s="666"/>
      <c r="G272" s="667"/>
      <c r="H272" s="666"/>
      <c r="I272" s="667"/>
      <c r="J272" s="666"/>
      <c r="K272" s="666"/>
      <c r="L272" s="666"/>
      <c r="M272" s="666"/>
      <c r="N272" s="666"/>
      <c r="O272" s="666"/>
      <c r="P272" s="666"/>
      <c r="Q272" s="666"/>
      <c r="R272" s="666"/>
      <c r="S272" s="668"/>
      <c r="T272" s="666"/>
      <c r="U272" s="666"/>
      <c r="V272" s="666"/>
      <c r="W272" s="666"/>
      <c r="X272" s="669"/>
      <c r="Y272" s="669"/>
      <c r="Z272" s="669"/>
      <c r="AA272" s="670"/>
      <c r="AB272" s="670"/>
      <c r="AC272" s="670"/>
      <c r="AD272" s="670"/>
      <c r="AE272" s="670"/>
      <c r="AF272" s="671"/>
      <c r="AG272" s="672"/>
      <c r="AH272" s="671"/>
      <c r="AI272" s="673"/>
      <c r="AJ272" s="671"/>
      <c r="AK272" s="657"/>
      <c r="AL272" s="657"/>
      <c r="AM272" s="669"/>
      <c r="AN272" s="675"/>
    </row>
    <row r="273" spans="3:40" ht="21.75" customHeight="1">
      <c r="C273" s="1605" t="str">
        <f>C280&amp;" Vs "&amp;C294</f>
        <v>Sept Vs Aug</v>
      </c>
      <c r="D273" s="654" t="s">
        <v>216</v>
      </c>
      <c r="E273" s="657">
        <f>+E280/E294</f>
        <v>0.91903514547059095</v>
      </c>
      <c r="F273" s="657">
        <f t="shared" ref="F273:H273" si="639">+F280/F294</f>
        <v>0.90889160620315668</v>
      </c>
      <c r="G273" s="657">
        <f t="shared" si="639"/>
        <v>5.7154471544715451</v>
      </c>
      <c r="H273" s="657">
        <f t="shared" si="639"/>
        <v>5.8116246813349752</v>
      </c>
      <c r="I273" s="657"/>
      <c r="J273" s="657"/>
      <c r="K273" s="657">
        <f t="shared" ref="K273:R273" si="640">+K280/K294</f>
        <v>0.98959198083669242</v>
      </c>
      <c r="L273" s="657">
        <f t="shared" si="640"/>
        <v>0.99377431355850232</v>
      </c>
      <c r="M273" s="657">
        <f t="shared" si="640"/>
        <v>1.036764705882353</v>
      </c>
      <c r="N273" s="657" t="e">
        <f t="shared" si="640"/>
        <v>#DIV/0!</v>
      </c>
      <c r="O273" s="657">
        <f t="shared" si="640"/>
        <v>1.1059322033898304</v>
      </c>
      <c r="P273" s="657">
        <f t="shared" si="640"/>
        <v>1</v>
      </c>
      <c r="Q273" s="657">
        <f t="shared" si="640"/>
        <v>1.0746910263299301</v>
      </c>
      <c r="R273" s="657">
        <f t="shared" si="640"/>
        <v>0.90057940758741384</v>
      </c>
      <c r="S273" s="657"/>
      <c r="T273" s="657"/>
      <c r="U273" s="657">
        <f t="shared" ref="U273" si="641">+U280/U294</f>
        <v>1.0363636363636364</v>
      </c>
      <c r="V273" s="657"/>
      <c r="W273" s="657">
        <f t="shared" ref="U273:W275" si="642">+W280/W294</f>
        <v>1.0208473049500655</v>
      </c>
      <c r="X273" s="657"/>
      <c r="Y273" s="657"/>
      <c r="Z273" s="657">
        <f t="shared" ref="Z273:AA273" si="643">+Z280/Z294</f>
        <v>0.99393352536886026</v>
      </c>
      <c r="AA273" s="657">
        <f t="shared" si="643"/>
        <v>0.55606451387024869</v>
      </c>
      <c r="AB273" s="657"/>
      <c r="AC273" s="657">
        <f t="shared" ref="AC273:AF273" si="644">+AC280/AC294</f>
        <v>0</v>
      </c>
      <c r="AD273" s="657" t="e">
        <f t="shared" si="644"/>
        <v>#DIV/0!</v>
      </c>
      <c r="AE273" s="657" t="e">
        <f t="shared" si="644"/>
        <v>#DIV/0!</v>
      </c>
      <c r="AF273" s="657">
        <f t="shared" si="644"/>
        <v>0.5368349185400294</v>
      </c>
      <c r="AG273" s="657">
        <f>+AG280/AG294</f>
        <v>0.87500918546118078</v>
      </c>
      <c r="AH273" s="657">
        <f t="shared" ref="AH273:AK273" si="645">+AH280/AH294</f>
        <v>0.97821136939257602</v>
      </c>
      <c r="AI273" s="657">
        <f t="shared" si="645"/>
        <v>1.0326086956521738</v>
      </c>
      <c r="AJ273" s="657">
        <f t="shared" si="645"/>
        <v>0.32461310042344954</v>
      </c>
      <c r="AK273" s="657">
        <f t="shared" si="645"/>
        <v>0.11946902654867257</v>
      </c>
      <c r="AL273" s="657"/>
      <c r="AM273" s="657">
        <f t="shared" ref="AM273" si="646">+AM280/AM294</f>
        <v>0.86808504755564231</v>
      </c>
      <c r="AN273" s="503">
        <f>+AN280/AN294</f>
        <v>0.96296296296296291</v>
      </c>
    </row>
    <row r="274" spans="3:40" ht="21.75" customHeight="1">
      <c r="C274" s="1605"/>
      <c r="D274" s="654" t="s">
        <v>217</v>
      </c>
      <c r="E274" s="657">
        <f t="shared" ref="E274:R274" si="647">+E281/E295</f>
        <v>0.87203404159386799</v>
      </c>
      <c r="F274" s="657">
        <f t="shared" si="647"/>
        <v>0.88087581602273968</v>
      </c>
      <c r="G274" s="657">
        <f t="shared" si="647"/>
        <v>3.8585858585858586</v>
      </c>
      <c r="H274" s="657">
        <f t="shared" si="647"/>
        <v>3.8544626923495202</v>
      </c>
      <c r="I274" s="657">
        <f t="shared" si="647"/>
        <v>0.96858638743455494</v>
      </c>
      <c r="J274" s="657">
        <f t="shared" si="647"/>
        <v>1.0281577769296697</v>
      </c>
      <c r="K274" s="657">
        <f t="shared" si="647"/>
        <v>0.96225001909554231</v>
      </c>
      <c r="L274" s="657">
        <f t="shared" si="647"/>
        <v>1.0624013063779552</v>
      </c>
      <c r="M274" s="657">
        <f t="shared" si="647"/>
        <v>0.98561151079136688</v>
      </c>
      <c r="N274" s="657" t="e">
        <f t="shared" si="647"/>
        <v>#DIV/0!</v>
      </c>
      <c r="O274" s="657">
        <f t="shared" si="647"/>
        <v>1.0434782608695652</v>
      </c>
      <c r="P274" s="657">
        <f t="shared" si="647"/>
        <v>1</v>
      </c>
      <c r="Q274" s="657">
        <f t="shared" si="647"/>
        <v>0.98765432098765427</v>
      </c>
      <c r="R274" s="657">
        <f t="shared" si="647"/>
        <v>0.82365275268807492</v>
      </c>
      <c r="S274" s="657"/>
      <c r="T274" s="657"/>
      <c r="U274" s="657">
        <f t="shared" ref="U274:V274" si="648">+U281/U295</f>
        <v>1.0344827586206897</v>
      </c>
      <c r="V274" s="657">
        <f t="shared" si="648"/>
        <v>1</v>
      </c>
      <c r="W274" s="657">
        <f t="shared" ref="W274:X274" si="649">+W281/W295</f>
        <v>0.98631248358941193</v>
      </c>
      <c r="X274" s="657">
        <f t="shared" si="649"/>
        <v>0.96858638743455494</v>
      </c>
      <c r="Y274" s="657"/>
      <c r="Z274" s="657">
        <f t="shared" ref="Z274:AK274" si="650">+Z281/Z295</f>
        <v>0.96089156682839427</v>
      </c>
      <c r="AA274" s="657">
        <f t="shared" si="650"/>
        <v>0.59458820749143326</v>
      </c>
      <c r="AB274" s="657"/>
      <c r="AC274" s="657">
        <f t="shared" si="650"/>
        <v>2.4166666666666665</v>
      </c>
      <c r="AD274" s="657" t="e">
        <f t="shared" si="650"/>
        <v>#DIV/0!</v>
      </c>
      <c r="AE274" s="657" t="e">
        <f t="shared" si="650"/>
        <v>#DIV/0!</v>
      </c>
      <c r="AF274" s="657">
        <f t="shared" si="650"/>
        <v>0.60268857814469656</v>
      </c>
      <c r="AG274" s="657">
        <f t="shared" si="650"/>
        <v>0.90637662642218231</v>
      </c>
      <c r="AH274" s="657">
        <f t="shared" si="650"/>
        <v>0.99118775732152564</v>
      </c>
      <c r="AI274" s="657">
        <f t="shared" si="650"/>
        <v>0.9928057553956835</v>
      </c>
      <c r="AJ274" s="657">
        <f t="shared" si="650"/>
        <v>0.22995879438645439</v>
      </c>
      <c r="AK274" s="657">
        <f t="shared" si="650"/>
        <v>4.9656226126814362E-2</v>
      </c>
      <c r="AL274" s="657"/>
      <c r="AM274" s="657">
        <f t="shared" ref="AM274:AN274" si="651">+AM281/AM295</f>
        <v>0.90064644678673134</v>
      </c>
      <c r="AN274" s="503">
        <f t="shared" si="651"/>
        <v>0.98571428571428577</v>
      </c>
    </row>
    <row r="275" spans="3:40" ht="21.75" customHeight="1">
      <c r="C275" s="1605"/>
      <c r="D275" s="654" t="s">
        <v>218</v>
      </c>
      <c r="E275" s="657">
        <f t="shared" ref="E275:H275" si="652">+E282/E296</f>
        <v>0.85939824457006841</v>
      </c>
      <c r="F275" s="657">
        <f t="shared" si="652"/>
        <v>0.84777484310352347</v>
      </c>
      <c r="G275" s="657">
        <f t="shared" si="652"/>
        <v>5.290322580645161</v>
      </c>
      <c r="H275" s="657">
        <f t="shared" si="652"/>
        <v>5.4654622025058446</v>
      </c>
      <c r="I275" s="657"/>
      <c r="J275" s="657"/>
      <c r="K275" s="657">
        <f t="shared" ref="K275:R275" si="653">+K282/K296</f>
        <v>0.92376246625217517</v>
      </c>
      <c r="L275" s="657">
        <f t="shared" si="653"/>
        <v>0.98633915181516674</v>
      </c>
      <c r="M275" s="657">
        <f t="shared" si="653"/>
        <v>0.97073170731707314</v>
      </c>
      <c r="N275" s="657" t="e">
        <f t="shared" si="653"/>
        <v>#DIV/0!</v>
      </c>
      <c r="O275" s="657">
        <f t="shared" si="653"/>
        <v>0.95604395604395609</v>
      </c>
      <c r="P275" s="657">
        <f t="shared" si="653"/>
        <v>1</v>
      </c>
      <c r="Q275" s="657">
        <f t="shared" si="653"/>
        <v>1.0128301886792452</v>
      </c>
      <c r="R275" s="657">
        <f t="shared" si="653"/>
        <v>0.69972687659159283</v>
      </c>
      <c r="S275" s="657"/>
      <c r="T275" s="657"/>
      <c r="U275" s="657">
        <f t="shared" si="642"/>
        <v>0.96610169491525422</v>
      </c>
      <c r="V275" s="657"/>
      <c r="W275" s="657">
        <f t="shared" si="642"/>
        <v>0.93927698628907896</v>
      </c>
      <c r="X275" s="657"/>
      <c r="Y275" s="657"/>
      <c r="Z275" s="657">
        <f t="shared" ref="Z275:AA275" si="654">+Z282/Z296</f>
        <v>0.9168553570550273</v>
      </c>
      <c r="AA275" s="657">
        <f t="shared" si="654"/>
        <v>0.42986425339366519</v>
      </c>
      <c r="AB275" s="657"/>
      <c r="AC275" s="657"/>
      <c r="AD275" s="657" t="e">
        <f t="shared" ref="AD275:AK275" si="655">+AD282/AD296</f>
        <v>#DIV/0!</v>
      </c>
      <c r="AE275" s="657" t="e">
        <f t="shared" si="655"/>
        <v>#DIV/0!</v>
      </c>
      <c r="AF275" s="657">
        <f t="shared" si="655"/>
        <v>0.41535330237315099</v>
      </c>
      <c r="AG275" s="657">
        <f t="shared" si="655"/>
        <v>0.79523297952696947</v>
      </c>
      <c r="AH275" s="657">
        <f t="shared" si="655"/>
        <v>0.91520392893530311</v>
      </c>
      <c r="AI275" s="657">
        <f t="shared" si="655"/>
        <v>0.93658536585365859</v>
      </c>
      <c r="AJ275" s="657">
        <f t="shared" si="655"/>
        <v>0.51011873404384644</v>
      </c>
      <c r="AK275" s="657">
        <f t="shared" si="655"/>
        <v>0</v>
      </c>
      <c r="AL275" s="657"/>
      <c r="AM275" s="657">
        <f t="shared" ref="AM275:AN275" si="656">+AM282/AM296</f>
        <v>0.78800493054043363</v>
      </c>
      <c r="AN275" s="503">
        <f t="shared" si="656"/>
        <v>0.94883720930232562</v>
      </c>
    </row>
    <row r="276" spans="3:40" ht="21.75" customHeight="1">
      <c r="C276" s="1605"/>
      <c r="D276" s="654" t="s">
        <v>220</v>
      </c>
      <c r="E276" s="657">
        <f t="shared" ref="E276:H276" si="657">+E283/E297</f>
        <v>0.98028505590168125</v>
      </c>
      <c r="F276" s="657">
        <f t="shared" si="657"/>
        <v>0.93864953709154841</v>
      </c>
      <c r="G276" s="657">
        <f t="shared" si="657"/>
        <v>4.9863013698630141</v>
      </c>
      <c r="H276" s="657">
        <f t="shared" si="657"/>
        <v>5.0490272048477722</v>
      </c>
      <c r="I276" s="657"/>
      <c r="J276" s="657"/>
      <c r="K276" s="657">
        <f t="shared" ref="K276:R276" si="658">+K283/K297</f>
        <v>1.0170155606647644</v>
      </c>
      <c r="L276" s="657">
        <f t="shared" si="658"/>
        <v>1.0096135485310849</v>
      </c>
      <c r="M276" s="657">
        <f t="shared" si="658"/>
        <v>1.1772151898734178</v>
      </c>
      <c r="N276" s="657" t="e">
        <f t="shared" si="658"/>
        <v>#DIV/0!</v>
      </c>
      <c r="O276" s="657">
        <f t="shared" si="658"/>
        <v>1.2388059701492538</v>
      </c>
      <c r="P276" s="657">
        <f t="shared" si="658"/>
        <v>1</v>
      </c>
      <c r="Q276" s="657">
        <f t="shared" si="658"/>
        <v>1.2347670250896057</v>
      </c>
      <c r="R276" s="657">
        <f t="shared" si="658"/>
        <v>1.1079608219520758</v>
      </c>
      <c r="S276" s="657"/>
      <c r="T276" s="657"/>
      <c r="U276" s="657">
        <f t="shared" ref="U276:X276" si="659">+U283/U297</f>
        <v>1.0333333333333334</v>
      </c>
      <c r="V276" s="657">
        <f t="shared" si="659"/>
        <v>0.63011167621160635</v>
      </c>
      <c r="W276" s="657">
        <f t="shared" si="659"/>
        <v>1.0722504759707157</v>
      </c>
      <c r="X276" s="657">
        <f t="shared" si="659"/>
        <v>1.2513368983957218</v>
      </c>
      <c r="Y276" s="657"/>
      <c r="Z276" s="657">
        <f t="shared" ref="Z276:AK276" si="660">+Z283/Z297</f>
        <v>1.0269933136328728</v>
      </c>
      <c r="AA276" s="657">
        <f t="shared" si="660"/>
        <v>0.61946663056721263</v>
      </c>
      <c r="AB276" s="657">
        <f t="shared" si="660"/>
        <v>0.71354166666666663</v>
      </c>
      <c r="AC276" s="657">
        <f t="shared" si="660"/>
        <v>2.4064171122994651E-2</v>
      </c>
      <c r="AD276" s="657" t="e">
        <f t="shared" si="660"/>
        <v>#DIV/0!</v>
      </c>
      <c r="AE276" s="657" t="e">
        <f t="shared" si="660"/>
        <v>#DIV/0!</v>
      </c>
      <c r="AF276" s="657">
        <f t="shared" si="660"/>
        <v>0.61484003110169383</v>
      </c>
      <c r="AG276" s="657">
        <f t="shared" si="660"/>
        <v>0.97665902786697278</v>
      </c>
      <c r="AH276" s="657">
        <f t="shared" si="660"/>
        <v>1.0588369136943387</v>
      </c>
      <c r="AI276" s="657">
        <f t="shared" si="660"/>
        <v>1.124031007751938</v>
      </c>
      <c r="AJ276" s="657">
        <f t="shared" si="660"/>
        <v>0.72370679919038627</v>
      </c>
      <c r="AK276" s="657">
        <f t="shared" si="660"/>
        <v>0.84756097560975607</v>
      </c>
      <c r="AL276" s="657"/>
      <c r="AM276" s="657">
        <f t="shared" ref="AM276:AN276" si="661">+AM283/AM297</f>
        <v>0.96968905870442201</v>
      </c>
      <c r="AN276" s="503">
        <f t="shared" si="661"/>
        <v>1.0709219858156029</v>
      </c>
    </row>
    <row r="277" spans="3:40" s="653" customFormat="1" ht="21.75" customHeight="1">
      <c r="C277" s="1605"/>
      <c r="D277" s="656" t="s">
        <v>221</v>
      </c>
      <c r="E277" s="657">
        <f t="shared" ref="E277:R277" si="662">+E284/E298</f>
        <v>0.86338105531733955</v>
      </c>
      <c r="F277" s="657">
        <f t="shared" si="662"/>
        <v>0.85120454380145605</v>
      </c>
      <c r="G277" s="657">
        <f t="shared" si="662"/>
        <v>4.5</v>
      </c>
      <c r="H277" s="657">
        <f t="shared" si="662"/>
        <v>4.7451269731865331</v>
      </c>
      <c r="I277" s="657">
        <f t="shared" si="662"/>
        <v>0.71152101602661022</v>
      </c>
      <c r="J277" s="657">
        <f t="shared" si="662"/>
        <v>0.76586160945565751</v>
      </c>
      <c r="K277" s="657">
        <f t="shared" si="662"/>
        <v>0.92918297182950915</v>
      </c>
      <c r="L277" s="657">
        <f t="shared" si="662"/>
        <v>0.94788304579551586</v>
      </c>
      <c r="M277" s="657">
        <f t="shared" si="662"/>
        <v>0.98503740648379057</v>
      </c>
      <c r="N277" s="657" t="e">
        <f t="shared" si="662"/>
        <v>#DIV/0!</v>
      </c>
      <c r="O277" s="657">
        <f t="shared" si="662"/>
        <v>1.0172413793103448</v>
      </c>
      <c r="P277" s="657">
        <f t="shared" si="662"/>
        <v>1</v>
      </c>
      <c r="Q277" s="657">
        <f t="shared" si="662"/>
        <v>1.0831626382630071</v>
      </c>
      <c r="R277" s="657">
        <f t="shared" si="662"/>
        <v>0.92638773654809492</v>
      </c>
      <c r="S277" s="657"/>
      <c r="T277" s="657"/>
      <c r="U277" s="657">
        <f t="shared" ref="U277:X277" si="663">+U284/U298</f>
        <v>0.95145631067961167</v>
      </c>
      <c r="V277" s="657">
        <f t="shared" si="663"/>
        <v>0</v>
      </c>
      <c r="W277" s="657">
        <f t="shared" si="663"/>
        <v>0.92992569865684571</v>
      </c>
      <c r="X277" s="657">
        <f t="shared" si="663"/>
        <v>0.75592050458169702</v>
      </c>
      <c r="Y277" s="657"/>
      <c r="Z277" s="657">
        <f t="shared" ref="Z277:AN277" si="664">+Z284/Z298</f>
        <v>0.9379811812645531</v>
      </c>
      <c r="AA277" s="657">
        <f t="shared" si="664"/>
        <v>0.58789346246973362</v>
      </c>
      <c r="AB277" s="657">
        <f t="shared" si="664"/>
        <v>0.28251121076233182</v>
      </c>
      <c r="AC277" s="657">
        <f t="shared" si="664"/>
        <v>0.5611510791366906</v>
      </c>
      <c r="AD277" s="657" t="e">
        <f t="shared" si="664"/>
        <v>#DIV/0!</v>
      </c>
      <c r="AE277" s="657" t="e">
        <f t="shared" si="664"/>
        <v>#DIV/0!</v>
      </c>
      <c r="AF277" s="657">
        <f t="shared" si="664"/>
        <v>0.59007801177182928</v>
      </c>
      <c r="AG277" s="657">
        <f t="shared" si="664"/>
        <v>0.8786799585711782</v>
      </c>
      <c r="AH277" s="657">
        <f t="shared" si="664"/>
        <v>0.96799043885142733</v>
      </c>
      <c r="AI277" s="657">
        <f t="shared" si="664"/>
        <v>1.0046728971962617</v>
      </c>
      <c r="AJ277" s="657">
        <f t="shared" si="664"/>
        <v>0.65137008995343082</v>
      </c>
      <c r="AK277" s="657">
        <f t="shared" si="664"/>
        <v>0</v>
      </c>
      <c r="AL277" s="657">
        <f t="shared" si="664"/>
        <v>0</v>
      </c>
      <c r="AM277" s="657">
        <f t="shared" si="664"/>
        <v>0.87173732059321973</v>
      </c>
      <c r="AN277" s="503">
        <f t="shared" si="664"/>
        <v>0.98401826484018262</v>
      </c>
    </row>
    <row r="278" spans="3:40" s="492" customFormat="1" ht="21.75" customHeight="1">
      <c r="D278" s="676" t="s">
        <v>79</v>
      </c>
      <c r="E278" s="677">
        <f t="shared" ref="E278:R278" si="665">+E285/E299</f>
        <v>0.88986581486208938</v>
      </c>
      <c r="F278" s="677">
        <f t="shared" si="665"/>
        <v>0.87996300748618483</v>
      </c>
      <c r="G278" s="677">
        <f t="shared" si="665"/>
        <v>4.8009259259259256</v>
      </c>
      <c r="H278" s="677">
        <f t="shared" si="665"/>
        <v>4.9219418300861966</v>
      </c>
      <c r="I278" s="677">
        <f t="shared" si="665"/>
        <v>0.78168627019896664</v>
      </c>
      <c r="J278" s="677">
        <f t="shared" si="665"/>
        <v>0.82148109782816747</v>
      </c>
      <c r="K278" s="677">
        <f t="shared" si="665"/>
        <v>0.95845738971618843</v>
      </c>
      <c r="L278" s="677">
        <f t="shared" si="665"/>
        <v>0.98428045815944232</v>
      </c>
      <c r="M278" s="677">
        <f t="shared" si="665"/>
        <v>1.0091240875912408</v>
      </c>
      <c r="N278" s="677" t="e">
        <f t="shared" si="665"/>
        <v>#DIV/0!</v>
      </c>
      <c r="O278" s="677">
        <f t="shared" si="665"/>
        <v>1.0464135021097047</v>
      </c>
      <c r="P278" s="677">
        <f t="shared" si="665"/>
        <v>1</v>
      </c>
      <c r="Q278" s="677">
        <f t="shared" si="665"/>
        <v>1.0667877602347353</v>
      </c>
      <c r="R278" s="677">
        <f t="shared" si="665"/>
        <v>0.86044553915505895</v>
      </c>
      <c r="S278" s="677"/>
      <c r="T278" s="677"/>
      <c r="U278" s="677">
        <f t="shared" ref="U278:X278" si="666">+U285/U299</f>
        <v>0.98913043478260865</v>
      </c>
      <c r="V278" s="677">
        <f t="shared" si="666"/>
        <v>1.079775796936884</v>
      </c>
      <c r="W278" s="677">
        <f t="shared" si="666"/>
        <v>0.98253167498790805</v>
      </c>
      <c r="X278" s="677">
        <f t="shared" si="666"/>
        <v>0.82417110462119914</v>
      </c>
      <c r="Y278" s="677"/>
      <c r="Z278" s="677">
        <f t="shared" ref="Z278:AA278" si="667">+Z285/Z299</f>
        <v>0.9626821581439855</v>
      </c>
      <c r="AA278" s="677">
        <f t="shared" si="667"/>
        <v>0.5461295841309558</v>
      </c>
      <c r="AB278" s="677"/>
      <c r="AC278" s="677">
        <f t="shared" ref="AC278:AN278" si="668">+AC285/AC299</f>
        <v>0.36025641025641025</v>
      </c>
      <c r="AD278" s="677" t="e">
        <f t="shared" si="668"/>
        <v>#DIV/0!</v>
      </c>
      <c r="AE278" s="677" t="e">
        <f t="shared" si="668"/>
        <v>#DIV/0!</v>
      </c>
      <c r="AF278" s="677">
        <f t="shared" si="668"/>
        <v>0.54257499026428391</v>
      </c>
      <c r="AG278" s="677">
        <f t="shared" si="668"/>
        <v>0.88156854062263645</v>
      </c>
      <c r="AH278" s="677">
        <f t="shared" si="668"/>
        <v>0.98041172360374118</v>
      </c>
      <c r="AI278" s="677">
        <f t="shared" si="668"/>
        <v>1.0110450297366185</v>
      </c>
      <c r="AJ278" s="677">
        <f t="shared" si="668"/>
        <v>0.63375419730675531</v>
      </c>
      <c r="AK278" s="677">
        <f t="shared" si="668"/>
        <v>8.947215777262181E-2</v>
      </c>
      <c r="AL278" s="677">
        <f t="shared" si="668"/>
        <v>0</v>
      </c>
      <c r="AM278" s="677">
        <f t="shared" si="668"/>
        <v>0.87438664512164477</v>
      </c>
      <c r="AN278" s="677">
        <f t="shared" si="668"/>
        <v>0.9829406986190089</v>
      </c>
    </row>
    <row r="279" spans="3:40" ht="21.75" customHeight="1"/>
    <row r="280" spans="3:40" ht="19.5" customHeight="1">
      <c r="C280" s="1610" t="s">
        <v>557</v>
      </c>
      <c r="D280" s="654" t="s">
        <v>216</v>
      </c>
      <c r="E280" s="655">
        <v>6560.9000000000033</v>
      </c>
      <c r="F280" s="655">
        <v>1549031830</v>
      </c>
      <c r="G280" s="655">
        <v>703</v>
      </c>
      <c r="H280" s="655">
        <v>165764378</v>
      </c>
      <c r="I280" s="655">
        <v>0</v>
      </c>
      <c r="J280" s="655">
        <v>0</v>
      </c>
      <c r="K280" s="655">
        <v>1714796208</v>
      </c>
      <c r="L280" s="655">
        <v>842500</v>
      </c>
      <c r="M280" s="655">
        <v>56400000</v>
      </c>
      <c r="N280" s="655">
        <v>0</v>
      </c>
      <c r="O280" s="655">
        <v>130500000</v>
      </c>
      <c r="P280" s="655">
        <v>1032000</v>
      </c>
      <c r="Q280" s="655">
        <v>100000000</v>
      </c>
      <c r="R280" s="655">
        <v>164252404</v>
      </c>
      <c r="S280" s="655">
        <v>0</v>
      </c>
      <c r="T280" s="655">
        <v>0</v>
      </c>
      <c r="U280" s="655">
        <v>5700000</v>
      </c>
      <c r="V280" s="655">
        <v>1010634</v>
      </c>
      <c r="W280" s="655">
        <v>9069266.9451125413</v>
      </c>
      <c r="X280" s="655">
        <v>0</v>
      </c>
      <c r="Y280" s="655">
        <v>0</v>
      </c>
      <c r="Z280" s="655">
        <v>2183603017</v>
      </c>
      <c r="AA280" s="655">
        <v>9529.5</v>
      </c>
      <c r="AB280" s="655">
        <v>0</v>
      </c>
      <c r="AC280" s="655">
        <v>0</v>
      </c>
      <c r="AD280" s="655">
        <v>0</v>
      </c>
      <c r="AE280" s="655">
        <v>0</v>
      </c>
      <c r="AF280" s="655">
        <v>414750860</v>
      </c>
      <c r="AG280" s="655">
        <v>2598353877</v>
      </c>
      <c r="AH280" s="655">
        <v>175922775</v>
      </c>
      <c r="AI280" s="655">
        <v>11856000</v>
      </c>
      <c r="AJ280" s="655">
        <v>171410</v>
      </c>
      <c r="AK280" s="655">
        <v>135000</v>
      </c>
      <c r="AL280" s="655">
        <v>0</v>
      </c>
      <c r="AM280" s="655">
        <v>2410268692</v>
      </c>
      <c r="AN280" s="654">
        <v>286</v>
      </c>
    </row>
    <row r="281" spans="3:40" ht="19.5" customHeight="1">
      <c r="C281" s="1610"/>
      <c r="D281" s="654" t="s">
        <v>217</v>
      </c>
      <c r="E281" s="655">
        <v>3094.5000000000005</v>
      </c>
      <c r="F281" s="655">
        <v>827420785</v>
      </c>
      <c r="G281" s="655">
        <v>382</v>
      </c>
      <c r="H281" s="655">
        <v>100834228</v>
      </c>
      <c r="I281" s="655">
        <v>1202.5</v>
      </c>
      <c r="J281" s="655">
        <v>12085240</v>
      </c>
      <c r="K281" s="655">
        <v>940340253</v>
      </c>
      <c r="L281" s="655">
        <v>2031153</v>
      </c>
      <c r="M281" s="655">
        <v>27400000</v>
      </c>
      <c r="N281" s="655">
        <v>0</v>
      </c>
      <c r="O281" s="655">
        <v>60000000</v>
      </c>
      <c r="P281" s="655">
        <v>200000</v>
      </c>
      <c r="Q281" s="655">
        <v>48000000</v>
      </c>
      <c r="R281" s="655">
        <v>51628458</v>
      </c>
      <c r="S281" s="655">
        <v>0</v>
      </c>
      <c r="T281" s="655">
        <v>0</v>
      </c>
      <c r="U281" s="655">
        <v>3000000</v>
      </c>
      <c r="V281" s="655">
        <v>200000</v>
      </c>
      <c r="W281" s="655">
        <v>2758052.8836023621</v>
      </c>
      <c r="X281" s="655">
        <v>5550000</v>
      </c>
      <c r="Y281" s="655">
        <v>0</v>
      </c>
      <c r="Z281" s="655">
        <v>1141107915</v>
      </c>
      <c r="AA281" s="655">
        <v>2516</v>
      </c>
      <c r="AB281" s="655">
        <v>0</v>
      </c>
      <c r="AC281" s="655">
        <v>58</v>
      </c>
      <c r="AD281" s="655">
        <v>0</v>
      </c>
      <c r="AE281" s="655">
        <v>0</v>
      </c>
      <c r="AF281" s="655">
        <v>128479293</v>
      </c>
      <c r="AG281" s="655">
        <v>1269587208</v>
      </c>
      <c r="AH281" s="655">
        <v>100481535</v>
      </c>
      <c r="AI281" s="655">
        <v>5740800</v>
      </c>
      <c r="AJ281" s="655">
        <v>195829</v>
      </c>
      <c r="AK281" s="655">
        <v>65000</v>
      </c>
      <c r="AL281" s="655">
        <v>0</v>
      </c>
      <c r="AM281" s="655">
        <v>1163104044</v>
      </c>
      <c r="AN281" s="654">
        <v>138</v>
      </c>
    </row>
    <row r="282" spans="3:40" ht="19.5" customHeight="1">
      <c r="C282" s="1610"/>
      <c r="D282" s="654" t="s">
        <v>218</v>
      </c>
      <c r="E282" s="655">
        <v>4621.5000000000009</v>
      </c>
      <c r="F282" s="655">
        <v>1068378746</v>
      </c>
      <c r="G282" s="655">
        <v>492</v>
      </c>
      <c r="H282" s="655">
        <v>115238090</v>
      </c>
      <c r="I282" s="655">
        <v>0</v>
      </c>
      <c r="J282" s="655">
        <v>0</v>
      </c>
      <c r="K282" s="655">
        <v>1183616836</v>
      </c>
      <c r="L282" s="655">
        <v>662308</v>
      </c>
      <c r="M282" s="655">
        <v>39800000</v>
      </c>
      <c r="N282" s="655">
        <v>0</v>
      </c>
      <c r="O282" s="655">
        <v>87000000</v>
      </c>
      <c r="P282" s="655">
        <v>200000</v>
      </c>
      <c r="Q282" s="655">
        <v>67100000</v>
      </c>
      <c r="R282" s="655">
        <v>70925370</v>
      </c>
      <c r="S282" s="655">
        <v>0</v>
      </c>
      <c r="T282" s="655">
        <v>0</v>
      </c>
      <c r="U282" s="655">
        <v>5700000</v>
      </c>
      <c r="V282" s="655">
        <v>514642</v>
      </c>
      <c r="W282" s="655">
        <v>6554538.3404152747</v>
      </c>
      <c r="X282" s="655">
        <v>0</v>
      </c>
      <c r="Y282" s="655">
        <v>0</v>
      </c>
      <c r="Z282" s="655">
        <v>1462073707</v>
      </c>
      <c r="AA282" s="655">
        <v>4940</v>
      </c>
      <c r="AB282" s="655">
        <v>0</v>
      </c>
      <c r="AC282" s="655">
        <v>0</v>
      </c>
      <c r="AD282" s="655">
        <v>0</v>
      </c>
      <c r="AE282" s="655">
        <v>0</v>
      </c>
      <c r="AF282" s="655">
        <v>212057451</v>
      </c>
      <c r="AG282" s="655">
        <v>1674131158</v>
      </c>
      <c r="AH282" s="655">
        <v>120727845</v>
      </c>
      <c r="AI282" s="655">
        <v>7987200</v>
      </c>
      <c r="AJ282" s="655">
        <v>692351</v>
      </c>
      <c r="AK282" s="655">
        <v>0</v>
      </c>
      <c r="AL282" s="655">
        <v>0</v>
      </c>
      <c r="AM282" s="655">
        <v>1544723762</v>
      </c>
      <c r="AN282" s="654">
        <v>204</v>
      </c>
    </row>
    <row r="283" spans="3:40" ht="19.5" customHeight="1">
      <c r="C283" s="1610"/>
      <c r="D283" s="654" t="s">
        <v>220</v>
      </c>
      <c r="E283" s="655">
        <v>3445.8000000000006</v>
      </c>
      <c r="F283" s="655">
        <v>1411699479</v>
      </c>
      <c r="G283" s="655">
        <v>364</v>
      </c>
      <c r="H283" s="655">
        <v>147588503</v>
      </c>
      <c r="I283" s="655">
        <v>0</v>
      </c>
      <c r="J283" s="655">
        <v>0</v>
      </c>
      <c r="K283" s="655">
        <v>1559287982</v>
      </c>
      <c r="L283" s="655">
        <v>29196152</v>
      </c>
      <c r="M283" s="655">
        <v>18600000</v>
      </c>
      <c r="N283" s="655">
        <v>0</v>
      </c>
      <c r="O283" s="655">
        <v>41500000</v>
      </c>
      <c r="P283" s="655">
        <v>3096000</v>
      </c>
      <c r="Q283" s="655">
        <v>34450000</v>
      </c>
      <c r="R283" s="655">
        <v>15493107</v>
      </c>
      <c r="S283" s="655">
        <v>0</v>
      </c>
      <c r="T283" s="655">
        <v>0</v>
      </c>
      <c r="U283" s="655">
        <v>3100000</v>
      </c>
      <c r="V283" s="655">
        <v>1509769</v>
      </c>
      <c r="W283" s="655">
        <v>5919367.7614515023</v>
      </c>
      <c r="X283" s="655">
        <v>936000</v>
      </c>
      <c r="Y283" s="655">
        <v>0</v>
      </c>
      <c r="Z283" s="655">
        <v>1713088379</v>
      </c>
      <c r="AA283" s="655">
        <v>2288</v>
      </c>
      <c r="AB283" s="655">
        <v>68.5</v>
      </c>
      <c r="AC283" s="655">
        <v>4.5</v>
      </c>
      <c r="AD283" s="655">
        <v>7.5</v>
      </c>
      <c r="AE283" s="655">
        <v>49</v>
      </c>
      <c r="AF283" s="655">
        <v>142674656</v>
      </c>
      <c r="AG283" s="655">
        <v>1855763035</v>
      </c>
      <c r="AH283" s="655">
        <v>166620615</v>
      </c>
      <c r="AI283" s="655">
        <v>6032000</v>
      </c>
      <c r="AJ283" s="655">
        <v>4568858</v>
      </c>
      <c r="AK283" s="655">
        <v>417000</v>
      </c>
      <c r="AL283" s="655">
        <v>0</v>
      </c>
      <c r="AM283" s="655">
        <v>1678124562</v>
      </c>
      <c r="AN283" s="654">
        <v>151</v>
      </c>
    </row>
    <row r="284" spans="3:40" ht="19.5" customHeight="1">
      <c r="C284" s="1610"/>
      <c r="D284" s="654" t="s">
        <v>221</v>
      </c>
      <c r="E284" s="655">
        <v>9745.4999999999945</v>
      </c>
      <c r="F284" s="655">
        <v>2896480696</v>
      </c>
      <c r="G284" s="655">
        <v>1170</v>
      </c>
      <c r="H284" s="655">
        <v>338827272</v>
      </c>
      <c r="I284" s="655">
        <v>2353</v>
      </c>
      <c r="J284" s="655">
        <v>33451092</v>
      </c>
      <c r="K284" s="655">
        <v>3268759060</v>
      </c>
      <c r="L284" s="655">
        <v>23213652</v>
      </c>
      <c r="M284" s="655">
        <v>79000000</v>
      </c>
      <c r="N284" s="655">
        <v>0</v>
      </c>
      <c r="O284" s="655">
        <v>177000000</v>
      </c>
      <c r="P284" s="655">
        <v>2864000</v>
      </c>
      <c r="Q284" s="655">
        <v>132200000</v>
      </c>
      <c r="R284" s="655">
        <v>109802944</v>
      </c>
      <c r="S284" s="655">
        <v>0</v>
      </c>
      <c r="T284" s="655">
        <v>0</v>
      </c>
      <c r="U284" s="655">
        <v>9800000</v>
      </c>
      <c r="V284" s="655">
        <v>0</v>
      </c>
      <c r="W284" s="655">
        <v>9623826.8824791498</v>
      </c>
      <c r="X284" s="655">
        <v>12704000</v>
      </c>
      <c r="Y284" s="655">
        <v>0</v>
      </c>
      <c r="Z284" s="655">
        <v>3824967477</v>
      </c>
      <c r="AA284" s="655">
        <v>9712</v>
      </c>
      <c r="AB284" s="655">
        <v>31.5</v>
      </c>
      <c r="AC284" s="655">
        <v>78</v>
      </c>
      <c r="AD284" s="655">
        <v>0</v>
      </c>
      <c r="AE284" s="655">
        <v>24</v>
      </c>
      <c r="AF284" s="655">
        <v>494432995</v>
      </c>
      <c r="AG284" s="655">
        <v>4319400472</v>
      </c>
      <c r="AH284" s="655">
        <v>345701160</v>
      </c>
      <c r="AI284" s="655">
        <v>17888000</v>
      </c>
      <c r="AJ284" s="655">
        <v>3957384</v>
      </c>
      <c r="AK284" s="655">
        <v>0</v>
      </c>
      <c r="AL284" s="655">
        <v>0</v>
      </c>
      <c r="AM284" s="655">
        <v>3951853928</v>
      </c>
      <c r="AN284" s="654">
        <v>431</v>
      </c>
    </row>
    <row r="285" spans="3:40" ht="19.5" customHeight="1">
      <c r="D285" s="272"/>
      <c r="E285" s="659">
        <f>SUM(E280:E284)</f>
        <v>27468.199999999997</v>
      </c>
      <c r="F285" s="659">
        <f t="shared" ref="F285:AN285" si="669">SUM(F280:F284)</f>
        <v>7753011536</v>
      </c>
      <c r="G285" s="659">
        <f t="shared" si="669"/>
        <v>3111</v>
      </c>
      <c r="H285" s="659">
        <f t="shared" si="669"/>
        <v>868252471</v>
      </c>
      <c r="I285" s="659">
        <f t="shared" si="669"/>
        <v>3555.5</v>
      </c>
      <c r="J285" s="659">
        <f t="shared" si="669"/>
        <v>45536332</v>
      </c>
      <c r="K285" s="659">
        <f t="shared" si="669"/>
        <v>8666800339</v>
      </c>
      <c r="L285" s="659">
        <f t="shared" si="669"/>
        <v>55945765</v>
      </c>
      <c r="M285" s="659">
        <f t="shared" si="669"/>
        <v>221200000</v>
      </c>
      <c r="N285" s="659">
        <f t="shared" si="669"/>
        <v>0</v>
      </c>
      <c r="O285" s="659">
        <f t="shared" si="669"/>
        <v>496000000</v>
      </c>
      <c r="P285" s="659">
        <f t="shared" si="669"/>
        <v>7392000</v>
      </c>
      <c r="Q285" s="659">
        <f t="shared" si="669"/>
        <v>381750000</v>
      </c>
      <c r="R285" s="659">
        <f t="shared" si="669"/>
        <v>412102283</v>
      </c>
      <c r="S285" s="659">
        <f t="shared" si="669"/>
        <v>0</v>
      </c>
      <c r="T285" s="659">
        <f t="shared" si="669"/>
        <v>0</v>
      </c>
      <c r="U285" s="659">
        <f t="shared" si="669"/>
        <v>27300000</v>
      </c>
      <c r="V285" s="659">
        <f t="shared" si="669"/>
        <v>3235045</v>
      </c>
      <c r="W285" s="659">
        <f t="shared" si="669"/>
        <v>33925052.813060828</v>
      </c>
      <c r="X285" s="659">
        <f t="shared" si="669"/>
        <v>19190000</v>
      </c>
      <c r="Y285" s="659">
        <f t="shared" si="669"/>
        <v>0</v>
      </c>
      <c r="Z285" s="659">
        <f t="shared" si="669"/>
        <v>10324840495</v>
      </c>
      <c r="AA285" s="659">
        <f t="shared" si="669"/>
        <v>28985.5</v>
      </c>
      <c r="AB285" s="659">
        <f t="shared" si="669"/>
        <v>100</v>
      </c>
      <c r="AC285" s="659">
        <f t="shared" si="669"/>
        <v>140.5</v>
      </c>
      <c r="AD285" s="659">
        <f t="shared" si="669"/>
        <v>7.5</v>
      </c>
      <c r="AE285" s="659">
        <f t="shared" si="669"/>
        <v>73</v>
      </c>
      <c r="AF285" s="659">
        <f t="shared" si="669"/>
        <v>1392395255</v>
      </c>
      <c r="AG285" s="659">
        <f t="shared" si="669"/>
        <v>11717235750</v>
      </c>
      <c r="AH285" s="659">
        <f t="shared" si="669"/>
        <v>909453930</v>
      </c>
      <c r="AI285" s="659">
        <f t="shared" si="669"/>
        <v>49504000</v>
      </c>
      <c r="AJ285" s="659">
        <f t="shared" si="669"/>
        <v>9585832</v>
      </c>
      <c r="AK285" s="659">
        <f t="shared" si="669"/>
        <v>617000</v>
      </c>
      <c r="AL285" s="659">
        <f t="shared" si="669"/>
        <v>0</v>
      </c>
      <c r="AM285" s="659">
        <f t="shared" si="669"/>
        <v>10748074988</v>
      </c>
      <c r="AN285" s="659">
        <f t="shared" si="669"/>
        <v>1210</v>
      </c>
    </row>
    <row r="286" spans="3:40" ht="19.5" customHeight="1">
      <c r="D286" s="665"/>
      <c r="E286" s="665"/>
      <c r="F286" s="666"/>
      <c r="G286" s="667"/>
      <c r="H286" s="666"/>
      <c r="I286" s="667"/>
      <c r="J286" s="666"/>
      <c r="K286" s="666"/>
      <c r="L286" s="666"/>
      <c r="M286" s="666"/>
      <c r="N286" s="666"/>
      <c r="O286" s="666"/>
      <c r="P286" s="666"/>
      <c r="Q286" s="666"/>
      <c r="R286" s="666"/>
      <c r="S286" s="668"/>
      <c r="T286" s="666"/>
      <c r="U286" s="666"/>
      <c r="V286" s="666"/>
      <c r="W286" s="666"/>
      <c r="X286" s="669"/>
      <c r="Y286" s="669"/>
      <c r="Z286" s="669"/>
      <c r="AA286" s="670"/>
      <c r="AB286" s="670"/>
      <c r="AC286" s="670"/>
      <c r="AD286" s="670"/>
      <c r="AE286" s="670"/>
      <c r="AF286" s="671"/>
      <c r="AG286" s="672"/>
      <c r="AH286" s="671"/>
      <c r="AI286" s="673"/>
      <c r="AJ286" s="671"/>
      <c r="AK286" s="657"/>
      <c r="AL286" s="657"/>
      <c r="AM286" s="669"/>
      <c r="AN286" s="675"/>
    </row>
    <row r="287" spans="3:40" ht="21.75" customHeight="1">
      <c r="C287" s="1605" t="str">
        <f>C294&amp;" Vs "&amp;C308</f>
        <v>Aug Vs Jul</v>
      </c>
      <c r="D287" s="654" t="s">
        <v>216</v>
      </c>
      <c r="E287" s="657">
        <f>+E294/E308</f>
        <v>1.0392470848558073</v>
      </c>
      <c r="F287" s="657">
        <f t="shared" ref="F287:H287" si="670">+F294/F308</f>
        <v>1.0375573249261474</v>
      </c>
      <c r="G287" s="657">
        <f t="shared" si="670"/>
        <v>0.64397905759162299</v>
      </c>
      <c r="H287" s="657">
        <f t="shared" si="670"/>
        <v>0.64045904481825955</v>
      </c>
      <c r="I287" s="657"/>
      <c r="J287" s="657"/>
      <c r="K287" s="657">
        <f t="shared" ref="K287:R287" si="671">+K294/K308</f>
        <v>1.0270752751183641</v>
      </c>
      <c r="L287" s="657">
        <f t="shared" si="671"/>
        <v>1.0005546979374678</v>
      </c>
      <c r="M287" s="657">
        <f t="shared" si="671"/>
        <v>0.98550724637681164</v>
      </c>
      <c r="N287" s="657" t="e">
        <f t="shared" si="671"/>
        <v>#DIV/0!</v>
      </c>
      <c r="O287" s="657">
        <f t="shared" si="671"/>
        <v>0.95161290322580649</v>
      </c>
      <c r="P287" s="657">
        <f t="shared" si="671"/>
        <v>0.67984189723320154</v>
      </c>
      <c r="Q287" s="657">
        <f t="shared" si="671"/>
        <v>0.96275219865494055</v>
      </c>
      <c r="R287" s="657">
        <f t="shared" si="671"/>
        <v>1.2391034426992584</v>
      </c>
      <c r="S287" s="657"/>
      <c r="T287" s="657"/>
      <c r="U287" s="657">
        <f t="shared" ref="U287:W287" si="672">+U294/U308</f>
        <v>0.9821428571428571</v>
      </c>
      <c r="V287" s="657">
        <f t="shared" si="672"/>
        <v>0</v>
      </c>
      <c r="W287" s="657">
        <f t="shared" si="672"/>
        <v>1.0118769527992053</v>
      </c>
      <c r="X287" s="657"/>
      <c r="Y287" s="657"/>
      <c r="Z287" s="657">
        <f t="shared" ref="Z287:AF287" si="673">+Z294/Z308</f>
        <v>1.0328106524322782</v>
      </c>
      <c r="AA287" s="657">
        <f t="shared" si="673"/>
        <v>1.1155345809601303</v>
      </c>
      <c r="AB287" s="657"/>
      <c r="AC287" s="657">
        <f t="shared" si="673"/>
        <v>1.0256410256410255</v>
      </c>
      <c r="AD287" s="657" t="e">
        <f t="shared" si="673"/>
        <v>#DIV/0!</v>
      </c>
      <c r="AE287" s="657" t="e">
        <f t="shared" si="673"/>
        <v>#DIV/0!</v>
      </c>
      <c r="AF287" s="657">
        <f t="shared" si="673"/>
        <v>1.1364062830222343</v>
      </c>
      <c r="AG287" s="657">
        <f>+AG294/AG308</f>
        <v>1.0579014150765584</v>
      </c>
      <c r="AH287" s="657">
        <f t="shared" ref="AH287:AK287" si="674">+AH294/AH308</f>
        <v>0.99267594793356484</v>
      </c>
      <c r="AI287" s="657">
        <f t="shared" si="674"/>
        <v>0.98571428571428577</v>
      </c>
      <c r="AJ287" s="657">
        <f t="shared" si="674"/>
        <v>2.0833754182185467</v>
      </c>
      <c r="AK287" s="657">
        <f t="shared" si="674"/>
        <v>2</v>
      </c>
      <c r="AL287" s="657"/>
      <c r="AM287" s="657">
        <f t="shared" ref="AM287" si="675">+AM294/AM308</f>
        <v>1.0624417183584469</v>
      </c>
      <c r="AN287" s="503">
        <f>+AN294/AN308</f>
        <v>1.0569395017793595</v>
      </c>
    </row>
    <row r="288" spans="3:40" ht="21.75" customHeight="1">
      <c r="C288" s="1605"/>
      <c r="D288" s="654" t="s">
        <v>217</v>
      </c>
      <c r="E288" s="657">
        <f t="shared" ref="E288:R288" si="676">+E295/E309</f>
        <v>0.99797513920917946</v>
      </c>
      <c r="F288" s="657">
        <f t="shared" si="676"/>
        <v>0.9994391340832729</v>
      </c>
      <c r="G288" s="657">
        <f t="shared" si="676"/>
        <v>1.2375</v>
      </c>
      <c r="H288" s="657">
        <f t="shared" si="676"/>
        <v>1.2853261105882043</v>
      </c>
      <c r="I288" s="657">
        <f t="shared" si="676"/>
        <v>1.0159574468085106</v>
      </c>
      <c r="J288" s="657">
        <f t="shared" si="676"/>
        <v>1.0223272648267803</v>
      </c>
      <c r="K288" s="657">
        <f t="shared" si="676"/>
        <v>1.0056981497616497</v>
      </c>
      <c r="L288" s="657">
        <f t="shared" si="676"/>
        <v>0.94520077935702551</v>
      </c>
      <c r="M288" s="657">
        <f t="shared" si="676"/>
        <v>0.97202797202797198</v>
      </c>
      <c r="N288" s="657" t="e">
        <f t="shared" si="676"/>
        <v>#DIV/0!</v>
      </c>
      <c r="O288" s="657">
        <f t="shared" si="676"/>
        <v>0.91269841269841268</v>
      </c>
      <c r="P288" s="657">
        <f t="shared" si="676"/>
        <v>0.34602076124567471</v>
      </c>
      <c r="Q288" s="657">
        <f t="shared" si="676"/>
        <v>1.1315483119906868</v>
      </c>
      <c r="R288" s="657">
        <f t="shared" si="676"/>
        <v>1.4991647989184216</v>
      </c>
      <c r="S288" s="657"/>
      <c r="T288" s="657"/>
      <c r="U288" s="657">
        <f t="shared" ref="U288:X289" si="677">+U295/U309</f>
        <v>0.96666666666666667</v>
      </c>
      <c r="V288" s="657"/>
      <c r="W288" s="657">
        <f t="shared" si="677"/>
        <v>0.97568922469611119</v>
      </c>
      <c r="X288" s="657">
        <f t="shared" si="677"/>
        <v>1.0159574468085106</v>
      </c>
      <c r="Y288" s="657"/>
      <c r="Z288" s="657">
        <f t="shared" ref="Z288:AK290" si="678">+Z295/Z309</f>
        <v>1.0218464926822677</v>
      </c>
      <c r="AA288" s="657">
        <f t="shared" si="678"/>
        <v>1.4528755364806867</v>
      </c>
      <c r="AB288" s="657">
        <f t="shared" si="678"/>
        <v>0</v>
      </c>
      <c r="AC288" s="657">
        <f t="shared" ref="AC288:AJ288" si="679">+AC295/AC309</f>
        <v>1.5</v>
      </c>
      <c r="AD288" s="657" t="e">
        <f t="shared" si="679"/>
        <v>#DIV/0!</v>
      </c>
      <c r="AE288" s="657" t="e">
        <f t="shared" si="679"/>
        <v>#DIV/0!</v>
      </c>
      <c r="AF288" s="657">
        <f t="shared" si="679"/>
        <v>1.4926634370017251</v>
      </c>
      <c r="AG288" s="657">
        <f t="shared" si="679"/>
        <v>1.073372562266224</v>
      </c>
      <c r="AH288" s="657">
        <f t="shared" si="679"/>
        <v>0.97719746073902536</v>
      </c>
      <c r="AI288" s="657">
        <f t="shared" si="679"/>
        <v>0.97202797202797198</v>
      </c>
      <c r="AJ288" s="657">
        <f t="shared" si="679"/>
        <v>71.071857786680013</v>
      </c>
      <c r="AK288" s="657"/>
      <c r="AL288" s="657"/>
      <c r="AM288" s="657">
        <f t="shared" ref="AM288:AN288" si="680">+AM295/AM309</f>
        <v>1.080427328895244</v>
      </c>
      <c r="AN288" s="503">
        <f t="shared" si="680"/>
        <v>0.97222222222222221</v>
      </c>
    </row>
    <row r="289" spans="3:40" ht="21.75" customHeight="1">
      <c r="C289" s="1605"/>
      <c r="D289" s="654" t="s">
        <v>218</v>
      </c>
      <c r="E289" s="657">
        <f t="shared" ref="E289:H289" si="681">+E296/E310</f>
        <v>1.0336370276400264</v>
      </c>
      <c r="F289" s="657">
        <f t="shared" si="681"/>
        <v>1.0323947472837882</v>
      </c>
      <c r="G289" s="657">
        <f t="shared" si="681"/>
        <v>0.82300884955752207</v>
      </c>
      <c r="H289" s="657">
        <f t="shared" si="681"/>
        <v>0.83237523994444085</v>
      </c>
      <c r="I289" s="657"/>
      <c r="J289" s="657"/>
      <c r="K289" s="657">
        <f t="shared" ref="K289:R289" si="682">+K296/K310</f>
        <v>1.0283284102742214</v>
      </c>
      <c r="L289" s="657">
        <f t="shared" si="682"/>
        <v>1.0479299092184546</v>
      </c>
      <c r="M289" s="657">
        <f t="shared" si="682"/>
        <v>0.99033816425120769</v>
      </c>
      <c r="N289" s="657" t="e">
        <f t="shared" si="682"/>
        <v>#DIV/0!</v>
      </c>
      <c r="O289" s="657">
        <f t="shared" si="682"/>
        <v>0.98378378378378384</v>
      </c>
      <c r="P289" s="657">
        <f t="shared" si="682"/>
        <v>0.64935064935064934</v>
      </c>
      <c r="Q289" s="657">
        <f t="shared" si="682"/>
        <v>0.89708869329722407</v>
      </c>
      <c r="R289" s="657">
        <f t="shared" si="682"/>
        <v>0.62433468937272985</v>
      </c>
      <c r="S289" s="657"/>
      <c r="T289" s="657"/>
      <c r="U289" s="657">
        <f t="shared" si="677"/>
        <v>1</v>
      </c>
      <c r="V289" s="657">
        <f t="shared" ref="V289" si="683">+V296/V310</f>
        <v>0</v>
      </c>
      <c r="W289" s="657">
        <f t="shared" ref="W289:X289" si="684">+W296/W310</f>
        <v>1.0110248448961345</v>
      </c>
      <c r="X289" s="657">
        <f t="shared" si="684"/>
        <v>0</v>
      </c>
      <c r="Y289" s="657"/>
      <c r="Z289" s="657">
        <f t="shared" si="678"/>
        <v>0.97779414349936478</v>
      </c>
      <c r="AA289" s="657">
        <f t="shared" si="678"/>
        <v>1.1549168383498316</v>
      </c>
      <c r="AB289" s="657">
        <f t="shared" si="678"/>
        <v>0</v>
      </c>
      <c r="AC289" s="657"/>
      <c r="AD289" s="657" t="e">
        <f t="shared" ref="AD289:AK289" si="685">+AD296/AD310</f>
        <v>#DIV/0!</v>
      </c>
      <c r="AE289" s="657" t="e">
        <f t="shared" si="685"/>
        <v>#DIV/0!</v>
      </c>
      <c r="AF289" s="657">
        <f t="shared" si="685"/>
        <v>1.1735953896549582</v>
      </c>
      <c r="AG289" s="657">
        <f t="shared" si="685"/>
        <v>1.0190250307865754</v>
      </c>
      <c r="AH289" s="657">
        <f t="shared" si="685"/>
        <v>0.9905058650448374</v>
      </c>
      <c r="AI289" s="657">
        <f t="shared" si="685"/>
        <v>0.98086124401913877</v>
      </c>
      <c r="AJ289" s="657">
        <f t="shared" si="685"/>
        <v>1.4013277785521432</v>
      </c>
      <c r="AK289" s="657">
        <f t="shared" si="685"/>
        <v>15.5625</v>
      </c>
      <c r="AL289" s="657"/>
      <c r="AM289" s="657">
        <f t="shared" ref="AM289:AN289" si="686">+AM296/AM310</f>
        <v>1.0194675834437905</v>
      </c>
      <c r="AN289" s="503">
        <f t="shared" si="686"/>
        <v>1.0238095238095237</v>
      </c>
    </row>
    <row r="290" spans="3:40" ht="21.75" customHeight="1">
      <c r="C290" s="1605"/>
      <c r="D290" s="654" t="s">
        <v>220</v>
      </c>
      <c r="E290" s="657">
        <f t="shared" ref="E290:H290" si="687">+E297/E311</f>
        <v>1.0465967962841658</v>
      </c>
      <c r="F290" s="657">
        <f t="shared" si="687"/>
        <v>1.0424815584114364</v>
      </c>
      <c r="G290" s="657">
        <f t="shared" si="687"/>
        <v>1.3773584905660377</v>
      </c>
      <c r="H290" s="657">
        <f t="shared" si="687"/>
        <v>1.4022081926619676</v>
      </c>
      <c r="I290" s="657"/>
      <c r="J290" s="657"/>
      <c r="K290" s="657">
        <f t="shared" ref="K290:R290" si="688">+K297/K311</f>
        <v>1.0476054973530458</v>
      </c>
      <c r="L290" s="657">
        <f t="shared" si="688"/>
        <v>1.0179411306474626</v>
      </c>
      <c r="M290" s="657">
        <f t="shared" si="688"/>
        <v>1.0128205128205128</v>
      </c>
      <c r="N290" s="657" t="e">
        <f t="shared" si="688"/>
        <v>#DIV/0!</v>
      </c>
      <c r="O290" s="657">
        <f t="shared" si="688"/>
        <v>0.9178082191780822</v>
      </c>
      <c r="P290" s="657">
        <f t="shared" si="688"/>
        <v>0.89119170984455953</v>
      </c>
      <c r="Q290" s="657">
        <f t="shared" si="688"/>
        <v>0.94576271186440675</v>
      </c>
      <c r="R290" s="657">
        <f t="shared" si="688"/>
        <v>1.0084879643374527</v>
      </c>
      <c r="S290" s="657"/>
      <c r="T290" s="657"/>
      <c r="U290" s="657">
        <f t="shared" ref="U290:X290" si="689">+U297/U311</f>
        <v>1.0344827586206897</v>
      </c>
      <c r="V290" s="657">
        <f t="shared" si="689"/>
        <v>0.95410182304131175</v>
      </c>
      <c r="W290" s="657">
        <f t="shared" si="689"/>
        <v>1.0210686714105319</v>
      </c>
      <c r="X290" s="657">
        <f t="shared" si="689"/>
        <v>0.53125</v>
      </c>
      <c r="Y290" s="657"/>
      <c r="Z290" s="657">
        <f t="shared" si="678"/>
        <v>1.040521433461288</v>
      </c>
      <c r="AA290" s="657">
        <f t="shared" si="678"/>
        <v>1.043951384963256</v>
      </c>
      <c r="AB290" s="657">
        <f t="shared" si="678"/>
        <v>0.31578947368421051</v>
      </c>
      <c r="AC290" s="657">
        <f t="shared" si="678"/>
        <v>1.5080645161290323</v>
      </c>
      <c r="AD290" s="657" t="e">
        <f t="shared" si="678"/>
        <v>#DIV/0!</v>
      </c>
      <c r="AE290" s="657" t="e">
        <f t="shared" si="678"/>
        <v>#DIV/0!</v>
      </c>
      <c r="AF290" s="657">
        <f t="shared" si="678"/>
        <v>1.0138755461409628</v>
      </c>
      <c r="AG290" s="657">
        <f t="shared" si="678"/>
        <v>1.0371924622613651</v>
      </c>
      <c r="AH290" s="657">
        <f t="shared" si="678"/>
        <v>1.0062516198080536</v>
      </c>
      <c r="AI290" s="657">
        <f t="shared" si="678"/>
        <v>1.0078125</v>
      </c>
      <c r="AJ290" s="657">
        <f t="shared" si="678"/>
        <v>1.1971744022124784</v>
      </c>
      <c r="AK290" s="657">
        <f t="shared" si="678"/>
        <v>0.83389830508474572</v>
      </c>
      <c r="AL290" s="657"/>
      <c r="AM290" s="657">
        <f t="shared" ref="AM290:AN290" si="690">+AM297/AM311</f>
        <v>1.0397587868583955</v>
      </c>
      <c r="AN290" s="503">
        <f t="shared" si="690"/>
        <v>1.0444444444444445</v>
      </c>
    </row>
    <row r="291" spans="3:40" s="653" customFormat="1" ht="21.75" customHeight="1">
      <c r="C291" s="1605"/>
      <c r="D291" s="656" t="s">
        <v>221</v>
      </c>
      <c r="E291" s="657">
        <f t="shared" ref="E291:R291" si="691">+E298/E312</f>
        <v>1.0359397944199704</v>
      </c>
      <c r="F291" s="657">
        <f t="shared" si="691"/>
        <v>1.0421357800573259</v>
      </c>
      <c r="G291" s="657">
        <f t="shared" si="691"/>
        <v>0.88737201365187712</v>
      </c>
      <c r="H291" s="657">
        <f t="shared" si="691"/>
        <v>0.8576163675413615</v>
      </c>
      <c r="I291" s="657">
        <f t="shared" si="691"/>
        <v>1.0742244599642683</v>
      </c>
      <c r="J291" s="657">
        <f t="shared" si="691"/>
        <v>1.149897048838683</v>
      </c>
      <c r="K291" s="657">
        <f t="shared" si="691"/>
        <v>1.038807849577233</v>
      </c>
      <c r="L291" s="657">
        <f t="shared" si="691"/>
        <v>0.98323024068227594</v>
      </c>
      <c r="M291" s="657">
        <f t="shared" si="691"/>
        <v>0.98768472906403937</v>
      </c>
      <c r="N291" s="657" t="e">
        <f t="shared" si="691"/>
        <v>#DIV/0!</v>
      </c>
      <c r="O291" s="657">
        <f t="shared" si="691"/>
        <v>0.98583569405099147</v>
      </c>
      <c r="P291" s="657">
        <f t="shared" si="691"/>
        <v>1</v>
      </c>
      <c r="Q291" s="657">
        <f t="shared" si="691"/>
        <v>0.9374039938556068</v>
      </c>
      <c r="R291" s="657">
        <f t="shared" si="691"/>
        <v>0.82727049014214993</v>
      </c>
      <c r="S291" s="657"/>
      <c r="T291" s="657"/>
      <c r="U291" s="657">
        <f t="shared" ref="U291:X291" si="692">+U298/U312</f>
        <v>1.0198019801980198</v>
      </c>
      <c r="V291" s="657">
        <f t="shared" si="692"/>
        <v>2</v>
      </c>
      <c r="W291" s="657">
        <f t="shared" si="692"/>
        <v>0.9998238618035824</v>
      </c>
      <c r="X291" s="657">
        <f t="shared" si="692"/>
        <v>0.90578850921634146</v>
      </c>
      <c r="Y291" s="657"/>
      <c r="Z291" s="657">
        <f t="shared" ref="Z291:AL291" si="693">+Z298/Z312</f>
        <v>1.0234039702574085</v>
      </c>
      <c r="AA291" s="657">
        <f t="shared" si="693"/>
        <v>0.97039473684210531</v>
      </c>
      <c r="AB291" s="657">
        <f t="shared" si="693"/>
        <v>0.34843750000000001</v>
      </c>
      <c r="AC291" s="657">
        <f t="shared" si="693"/>
        <v>0.29700854700854701</v>
      </c>
      <c r="AD291" s="657" t="e">
        <f t="shared" si="693"/>
        <v>#DIV/0!</v>
      </c>
      <c r="AE291" s="657" t="e">
        <f t="shared" si="693"/>
        <v>#DIV/0!</v>
      </c>
      <c r="AF291" s="657">
        <f t="shared" si="693"/>
        <v>0.96337234223876744</v>
      </c>
      <c r="AG291" s="657">
        <f t="shared" si="693"/>
        <v>1.0126479968951718</v>
      </c>
      <c r="AH291" s="657">
        <f t="shared" si="693"/>
        <v>0.98558623613339524</v>
      </c>
      <c r="AI291" s="657">
        <f t="shared" si="693"/>
        <v>0.9907407407407407</v>
      </c>
      <c r="AJ291" s="657">
        <f t="shared" si="693"/>
        <v>1.531420002631567</v>
      </c>
      <c r="AK291" s="657">
        <f t="shared" si="693"/>
        <v>1.7686721991701244</v>
      </c>
      <c r="AL291" s="657">
        <f t="shared" si="693"/>
        <v>0.50782792066641014</v>
      </c>
      <c r="AM291" s="657">
        <f t="shared" ref="AM291:AN291" si="694">+AM298/AM312</f>
        <v>1.0145241318091696</v>
      </c>
      <c r="AN291" s="503">
        <f t="shared" si="694"/>
        <v>0.99095022624434392</v>
      </c>
    </row>
    <row r="292" spans="3:40" s="492" customFormat="1" ht="21.75" customHeight="1">
      <c r="D292" s="676" t="s">
        <v>79</v>
      </c>
      <c r="E292" s="677">
        <f t="shared" ref="E292:R292" si="695">+E299/E313</f>
        <v>1.0329793891367129</v>
      </c>
      <c r="F292" s="677">
        <f t="shared" si="695"/>
        <v>1.0351988362558586</v>
      </c>
      <c r="G292" s="677">
        <f t="shared" si="695"/>
        <v>0.88767123287671235</v>
      </c>
      <c r="H292" s="677">
        <f t="shared" si="695"/>
        <v>0.90777718041876099</v>
      </c>
      <c r="I292" s="677">
        <f t="shared" si="695"/>
        <v>1.0576677130566212</v>
      </c>
      <c r="J292" s="677">
        <f t="shared" si="695"/>
        <v>1.1202548940073405</v>
      </c>
      <c r="K292" s="677">
        <f t="shared" si="695"/>
        <v>1.0328512665208982</v>
      </c>
      <c r="L292" s="677">
        <f t="shared" si="695"/>
        <v>1.000216869016745</v>
      </c>
      <c r="M292" s="677">
        <f t="shared" si="695"/>
        <v>0.98738738738738741</v>
      </c>
      <c r="N292" s="677" t="e">
        <f t="shared" si="695"/>
        <v>#DIV/0!</v>
      </c>
      <c r="O292" s="677">
        <f t="shared" si="695"/>
        <v>0.96243654822335023</v>
      </c>
      <c r="P292" s="677">
        <f t="shared" si="695"/>
        <v>0.84557309540150993</v>
      </c>
      <c r="Q292" s="677">
        <f t="shared" si="695"/>
        <v>0.95899772209567202</v>
      </c>
      <c r="R292" s="677">
        <f t="shared" si="695"/>
        <v>0.9418770707949442</v>
      </c>
      <c r="S292" s="677"/>
      <c r="T292" s="677"/>
      <c r="U292" s="677">
        <f t="shared" ref="U292:X292" si="696">+U299/U313</f>
        <v>1.0036363636363637</v>
      </c>
      <c r="V292" s="677">
        <f t="shared" si="696"/>
        <v>0.77765679301196611</v>
      </c>
      <c r="W292" s="677">
        <f t="shared" si="696"/>
        <v>1.0064941489202772</v>
      </c>
      <c r="X292" s="677">
        <f t="shared" si="696"/>
        <v>0.90662720971886923</v>
      </c>
      <c r="Y292" s="677"/>
      <c r="Z292" s="677">
        <f t="shared" ref="Z292:AA292" si="697">+Z299/Z313</f>
        <v>1.0206685338197306</v>
      </c>
      <c r="AA292" s="677">
        <f t="shared" si="697"/>
        <v>1.0878688188572894</v>
      </c>
      <c r="AB292" s="677"/>
      <c r="AC292" s="677">
        <f t="shared" ref="AC292:AN292" si="698">+AC299/AC313</f>
        <v>0.60278207109737247</v>
      </c>
      <c r="AD292" s="677" t="e">
        <f t="shared" si="698"/>
        <v>#DIV/0!</v>
      </c>
      <c r="AE292" s="677" t="e">
        <f t="shared" si="698"/>
        <v>#DIV/0!</v>
      </c>
      <c r="AF292" s="677">
        <f t="shared" si="698"/>
        <v>1.0890929922560715</v>
      </c>
      <c r="AG292" s="677">
        <f t="shared" si="698"/>
        <v>1.0332018284842384</v>
      </c>
      <c r="AH292" s="677">
        <f t="shared" si="698"/>
        <v>0.99017737637015624</v>
      </c>
      <c r="AI292" s="677">
        <f t="shared" si="698"/>
        <v>0.98741610738255037</v>
      </c>
      <c r="AJ292" s="677">
        <f t="shared" si="698"/>
        <v>1.4440208570236839</v>
      </c>
      <c r="AK292" s="677">
        <f t="shared" si="698"/>
        <v>3.7539466521502449</v>
      </c>
      <c r="AL292" s="677">
        <f t="shared" si="698"/>
        <v>0.50782792066641014</v>
      </c>
      <c r="AM292" s="677">
        <f t="shared" si="698"/>
        <v>1.0360596859570557</v>
      </c>
      <c r="AN292" s="677">
        <f t="shared" si="698"/>
        <v>1.0156765676567656</v>
      </c>
    </row>
    <row r="293" spans="3:40" ht="21.75" customHeight="1"/>
    <row r="294" spans="3:40" ht="19.5" customHeight="1">
      <c r="C294" s="1610" t="s">
        <v>70</v>
      </c>
      <c r="D294" s="654" t="s">
        <v>216</v>
      </c>
      <c r="E294" s="655">
        <v>7138.9000000000015</v>
      </c>
      <c r="F294" s="655">
        <v>1704308654</v>
      </c>
      <c r="G294" s="655">
        <v>123</v>
      </c>
      <c r="H294" s="655">
        <v>28522898</v>
      </c>
      <c r="I294" s="655">
        <v>0</v>
      </c>
      <c r="J294" s="655">
        <v>0</v>
      </c>
      <c r="K294" s="655">
        <v>1732831552</v>
      </c>
      <c r="L294" s="655">
        <v>847778</v>
      </c>
      <c r="M294" s="655">
        <v>54400000</v>
      </c>
      <c r="N294" s="655">
        <v>0</v>
      </c>
      <c r="O294" s="655">
        <v>118000000</v>
      </c>
      <c r="P294" s="655">
        <v>1032000</v>
      </c>
      <c r="Q294" s="655">
        <v>93050000</v>
      </c>
      <c r="R294" s="655">
        <v>182385254</v>
      </c>
      <c r="S294" s="655">
        <v>0</v>
      </c>
      <c r="T294" s="655">
        <v>0</v>
      </c>
      <c r="U294" s="655">
        <v>5500000</v>
      </c>
      <c r="V294" s="655">
        <v>0</v>
      </c>
      <c r="W294" s="655">
        <v>8884058.2730990928</v>
      </c>
      <c r="X294" s="655">
        <v>0</v>
      </c>
      <c r="Y294" s="655">
        <v>0</v>
      </c>
      <c r="Z294" s="655">
        <v>2196930641</v>
      </c>
      <c r="AA294" s="655">
        <v>17137.400000000001</v>
      </c>
      <c r="AB294" s="655">
        <v>0</v>
      </c>
      <c r="AC294" s="655">
        <v>40</v>
      </c>
      <c r="AD294" s="655">
        <v>0</v>
      </c>
      <c r="AE294" s="655">
        <v>0</v>
      </c>
      <c r="AF294" s="655">
        <v>772585474</v>
      </c>
      <c r="AG294" s="655">
        <v>2969516115</v>
      </c>
      <c r="AH294" s="655">
        <v>179841270</v>
      </c>
      <c r="AI294" s="655">
        <v>11481600</v>
      </c>
      <c r="AJ294" s="655">
        <v>528044</v>
      </c>
      <c r="AK294" s="655">
        <v>1130000</v>
      </c>
      <c r="AL294" s="655">
        <v>0</v>
      </c>
      <c r="AM294" s="655">
        <v>2776535201</v>
      </c>
      <c r="AN294" s="654">
        <v>297</v>
      </c>
    </row>
    <row r="295" spans="3:40" ht="19.5" customHeight="1">
      <c r="C295" s="1610"/>
      <c r="D295" s="654" t="s">
        <v>217</v>
      </c>
      <c r="E295" s="655">
        <v>3548.6000000000004</v>
      </c>
      <c r="F295" s="655">
        <v>939316042</v>
      </c>
      <c r="G295" s="655">
        <v>99</v>
      </c>
      <c r="H295" s="655">
        <v>26160385</v>
      </c>
      <c r="I295" s="655">
        <v>1241.5</v>
      </c>
      <c r="J295" s="655">
        <v>11754266</v>
      </c>
      <c r="K295" s="655">
        <v>977230693</v>
      </c>
      <c r="L295" s="655">
        <v>1911851</v>
      </c>
      <c r="M295" s="655">
        <v>27800000</v>
      </c>
      <c r="N295" s="655">
        <v>0</v>
      </c>
      <c r="O295" s="655">
        <v>57500000</v>
      </c>
      <c r="P295" s="655">
        <v>200000</v>
      </c>
      <c r="Q295" s="655">
        <v>48600000</v>
      </c>
      <c r="R295" s="655">
        <v>62682311</v>
      </c>
      <c r="S295" s="655">
        <v>0</v>
      </c>
      <c r="T295" s="655">
        <v>0</v>
      </c>
      <c r="U295" s="655">
        <v>2900000</v>
      </c>
      <c r="V295" s="655">
        <v>200000</v>
      </c>
      <c r="W295" s="655">
        <v>2796327.6643981938</v>
      </c>
      <c r="X295" s="655">
        <v>5730000</v>
      </c>
      <c r="Y295" s="655">
        <v>0</v>
      </c>
      <c r="Z295" s="655">
        <v>1187551181</v>
      </c>
      <c r="AA295" s="655">
        <v>4231.5</v>
      </c>
      <c r="AB295" s="655">
        <v>0</v>
      </c>
      <c r="AC295" s="655">
        <v>24</v>
      </c>
      <c r="AD295" s="655">
        <v>0</v>
      </c>
      <c r="AE295" s="655">
        <v>0</v>
      </c>
      <c r="AF295" s="655">
        <v>213176917</v>
      </c>
      <c r="AG295" s="655">
        <v>1400728098</v>
      </c>
      <c r="AH295" s="655">
        <v>101374875</v>
      </c>
      <c r="AI295" s="655">
        <v>5782400</v>
      </c>
      <c r="AJ295" s="655">
        <v>851583</v>
      </c>
      <c r="AK295" s="655">
        <v>1309000</v>
      </c>
      <c r="AL295" s="655">
        <v>0</v>
      </c>
      <c r="AM295" s="655">
        <v>1291410240</v>
      </c>
      <c r="AN295" s="654">
        <v>140</v>
      </c>
    </row>
    <row r="296" spans="3:40" ht="19.5" customHeight="1">
      <c r="C296" s="1610"/>
      <c r="D296" s="654" t="s">
        <v>218</v>
      </c>
      <c r="E296" s="655">
        <v>5377.6000000000013</v>
      </c>
      <c r="F296" s="655">
        <v>1260215203</v>
      </c>
      <c r="G296" s="655">
        <v>93</v>
      </c>
      <c r="H296" s="655">
        <v>21084784</v>
      </c>
      <c r="I296" s="655">
        <v>0</v>
      </c>
      <c r="J296" s="655">
        <v>0</v>
      </c>
      <c r="K296" s="655">
        <v>1281299987</v>
      </c>
      <c r="L296" s="655">
        <v>671481</v>
      </c>
      <c r="M296" s="655">
        <v>41000000</v>
      </c>
      <c r="N296" s="655">
        <v>0</v>
      </c>
      <c r="O296" s="655">
        <v>91000000</v>
      </c>
      <c r="P296" s="655">
        <v>200000</v>
      </c>
      <c r="Q296" s="655">
        <v>66250000</v>
      </c>
      <c r="R296" s="655">
        <v>101361506</v>
      </c>
      <c r="S296" s="655">
        <v>0</v>
      </c>
      <c r="T296" s="655">
        <v>0</v>
      </c>
      <c r="U296" s="655">
        <v>5900000</v>
      </c>
      <c r="V296" s="655">
        <v>0</v>
      </c>
      <c r="W296" s="655">
        <v>6978280.5669615334</v>
      </c>
      <c r="X296" s="655">
        <v>0</v>
      </c>
      <c r="Y296" s="655">
        <v>0</v>
      </c>
      <c r="Z296" s="655">
        <v>1594661247</v>
      </c>
      <c r="AA296" s="655">
        <v>11492</v>
      </c>
      <c r="AB296" s="655">
        <v>0</v>
      </c>
      <c r="AC296" s="655">
        <v>0</v>
      </c>
      <c r="AD296" s="655">
        <v>0</v>
      </c>
      <c r="AE296" s="655">
        <v>0</v>
      </c>
      <c r="AF296" s="655">
        <v>510547165</v>
      </c>
      <c r="AG296" s="655">
        <v>2105208412</v>
      </c>
      <c r="AH296" s="655">
        <v>131913600</v>
      </c>
      <c r="AI296" s="655">
        <v>8528000</v>
      </c>
      <c r="AJ296" s="655">
        <v>1357235</v>
      </c>
      <c r="AK296" s="655">
        <v>3112500</v>
      </c>
      <c r="AL296" s="655">
        <v>0</v>
      </c>
      <c r="AM296" s="655">
        <v>1960297077</v>
      </c>
      <c r="AN296" s="654">
        <v>215</v>
      </c>
    </row>
    <row r="297" spans="3:40" ht="19.5" customHeight="1">
      <c r="C297" s="1610"/>
      <c r="D297" s="654" t="s">
        <v>220</v>
      </c>
      <c r="E297" s="655">
        <v>3515.1000000000008</v>
      </c>
      <c r="F297" s="655">
        <v>1503968652</v>
      </c>
      <c r="G297" s="655">
        <v>73</v>
      </c>
      <c r="H297" s="655">
        <v>29231077</v>
      </c>
      <c r="I297" s="655">
        <v>0</v>
      </c>
      <c r="J297" s="655">
        <v>0</v>
      </c>
      <c r="K297" s="655">
        <v>1533199729</v>
      </c>
      <c r="L297" s="655">
        <v>28918146</v>
      </c>
      <c r="M297" s="655">
        <v>15800000</v>
      </c>
      <c r="N297" s="655">
        <v>0</v>
      </c>
      <c r="O297" s="655">
        <v>33500000</v>
      </c>
      <c r="P297" s="655">
        <v>3096000</v>
      </c>
      <c r="Q297" s="655">
        <v>27900000</v>
      </c>
      <c r="R297" s="655">
        <v>13983443</v>
      </c>
      <c r="S297" s="655">
        <v>0</v>
      </c>
      <c r="T297" s="655">
        <v>0</v>
      </c>
      <c r="U297" s="655">
        <v>3000000</v>
      </c>
      <c r="V297" s="655">
        <v>2396034</v>
      </c>
      <c r="W297" s="655">
        <v>5520508.4018196948</v>
      </c>
      <c r="X297" s="655">
        <v>748000</v>
      </c>
      <c r="Y297" s="655">
        <v>0</v>
      </c>
      <c r="Z297" s="655">
        <v>1668061862</v>
      </c>
      <c r="AA297" s="655">
        <v>3693.5</v>
      </c>
      <c r="AB297" s="655">
        <v>96</v>
      </c>
      <c r="AC297" s="655">
        <v>187</v>
      </c>
      <c r="AD297" s="655">
        <v>0</v>
      </c>
      <c r="AE297" s="655">
        <v>0</v>
      </c>
      <c r="AF297" s="655">
        <v>232051670</v>
      </c>
      <c r="AG297" s="655">
        <v>1900113532</v>
      </c>
      <c r="AH297" s="655">
        <v>157361925</v>
      </c>
      <c r="AI297" s="655">
        <v>5366400</v>
      </c>
      <c r="AJ297" s="655">
        <v>6313134</v>
      </c>
      <c r="AK297" s="655">
        <v>492000</v>
      </c>
      <c r="AL297" s="655">
        <v>0</v>
      </c>
      <c r="AM297" s="655">
        <v>1730580073</v>
      </c>
      <c r="AN297" s="654">
        <v>141</v>
      </c>
    </row>
    <row r="298" spans="3:40" ht="19.5" customHeight="1">
      <c r="C298" s="1610"/>
      <c r="D298" s="654" t="s">
        <v>221</v>
      </c>
      <c r="E298" s="655">
        <v>11287.599999999991</v>
      </c>
      <c r="F298" s="655">
        <v>3402802202</v>
      </c>
      <c r="G298" s="655">
        <v>260</v>
      </c>
      <c r="H298" s="655">
        <v>71405312</v>
      </c>
      <c r="I298" s="655">
        <v>3307</v>
      </c>
      <c r="J298" s="655">
        <v>43677724</v>
      </c>
      <c r="K298" s="655">
        <v>3517885238</v>
      </c>
      <c r="L298" s="655">
        <v>24489996</v>
      </c>
      <c r="M298" s="655">
        <v>80200000</v>
      </c>
      <c r="N298" s="655">
        <v>0</v>
      </c>
      <c r="O298" s="655">
        <v>174000000</v>
      </c>
      <c r="P298" s="655">
        <v>2864000</v>
      </c>
      <c r="Q298" s="655">
        <v>122050000</v>
      </c>
      <c r="R298" s="655">
        <v>118528063</v>
      </c>
      <c r="S298" s="655">
        <v>0</v>
      </c>
      <c r="T298" s="655">
        <v>0</v>
      </c>
      <c r="U298" s="655">
        <v>10300000</v>
      </c>
      <c r="V298" s="655">
        <v>400000</v>
      </c>
      <c r="W298" s="655">
        <v>10349027.773272092</v>
      </c>
      <c r="X298" s="655">
        <v>16806000</v>
      </c>
      <c r="Y298" s="655">
        <v>0</v>
      </c>
      <c r="Z298" s="655">
        <v>4077872300</v>
      </c>
      <c r="AA298" s="655">
        <v>16520</v>
      </c>
      <c r="AB298" s="655">
        <v>111.5</v>
      </c>
      <c r="AC298" s="655">
        <v>139</v>
      </c>
      <c r="AD298" s="655">
        <v>0</v>
      </c>
      <c r="AE298" s="655">
        <v>0</v>
      </c>
      <c r="AF298" s="655">
        <v>837911234</v>
      </c>
      <c r="AG298" s="655">
        <v>4915783534</v>
      </c>
      <c r="AH298" s="655">
        <v>357132825</v>
      </c>
      <c r="AI298" s="655">
        <v>17804800</v>
      </c>
      <c r="AJ298" s="655">
        <v>6075477</v>
      </c>
      <c r="AK298" s="655">
        <v>852500</v>
      </c>
      <c r="AL298" s="655">
        <v>609750</v>
      </c>
      <c r="AM298" s="655">
        <v>4533308182</v>
      </c>
      <c r="AN298" s="654">
        <v>438</v>
      </c>
    </row>
    <row r="299" spans="3:40" ht="19.5" customHeight="1">
      <c r="D299" s="272"/>
      <c r="E299" s="659">
        <f>SUM(E294:E298)</f>
        <v>30867.799999999996</v>
      </c>
      <c r="F299" s="659">
        <f t="shared" ref="F299:AN299" si="699">SUM(F294:F298)</f>
        <v>8810610753</v>
      </c>
      <c r="G299" s="659">
        <f t="shared" si="699"/>
        <v>648</v>
      </c>
      <c r="H299" s="659">
        <f t="shared" si="699"/>
        <v>176404456</v>
      </c>
      <c r="I299" s="659">
        <f t="shared" si="699"/>
        <v>4548.5</v>
      </c>
      <c r="J299" s="659">
        <f t="shared" si="699"/>
        <v>55431990</v>
      </c>
      <c r="K299" s="659">
        <f t="shared" si="699"/>
        <v>9042447199</v>
      </c>
      <c r="L299" s="659">
        <f t="shared" si="699"/>
        <v>56839252</v>
      </c>
      <c r="M299" s="659">
        <f t="shared" si="699"/>
        <v>219200000</v>
      </c>
      <c r="N299" s="659">
        <f t="shared" si="699"/>
        <v>0</v>
      </c>
      <c r="O299" s="659">
        <f t="shared" si="699"/>
        <v>474000000</v>
      </c>
      <c r="P299" s="659">
        <f t="shared" si="699"/>
        <v>7392000</v>
      </c>
      <c r="Q299" s="659">
        <f t="shared" si="699"/>
        <v>357850000</v>
      </c>
      <c r="R299" s="659">
        <f t="shared" si="699"/>
        <v>478940577</v>
      </c>
      <c r="S299" s="659">
        <f t="shared" si="699"/>
        <v>0</v>
      </c>
      <c r="T299" s="659">
        <f t="shared" si="699"/>
        <v>0</v>
      </c>
      <c r="U299" s="659">
        <f t="shared" si="699"/>
        <v>27600000</v>
      </c>
      <c r="V299" s="659">
        <f t="shared" si="699"/>
        <v>2996034</v>
      </c>
      <c r="W299" s="659">
        <f t="shared" si="699"/>
        <v>34528202.679550603</v>
      </c>
      <c r="X299" s="659">
        <f t="shared" si="699"/>
        <v>23284000</v>
      </c>
      <c r="Y299" s="659">
        <f t="shared" si="699"/>
        <v>0</v>
      </c>
      <c r="Z299" s="659">
        <f t="shared" si="699"/>
        <v>10725077231</v>
      </c>
      <c r="AA299" s="659">
        <f t="shared" si="699"/>
        <v>53074.400000000001</v>
      </c>
      <c r="AB299" s="659">
        <f t="shared" si="699"/>
        <v>207.5</v>
      </c>
      <c r="AC299" s="659">
        <f t="shared" si="699"/>
        <v>390</v>
      </c>
      <c r="AD299" s="659">
        <f t="shared" si="699"/>
        <v>0</v>
      </c>
      <c r="AE299" s="659">
        <f t="shared" si="699"/>
        <v>0</v>
      </c>
      <c r="AF299" s="659">
        <f t="shared" si="699"/>
        <v>2566272460</v>
      </c>
      <c r="AG299" s="659">
        <f t="shared" si="699"/>
        <v>13291349691</v>
      </c>
      <c r="AH299" s="659">
        <f t="shared" si="699"/>
        <v>927624495</v>
      </c>
      <c r="AI299" s="659">
        <f t="shared" si="699"/>
        <v>48963200</v>
      </c>
      <c r="AJ299" s="659">
        <f t="shared" si="699"/>
        <v>15125473</v>
      </c>
      <c r="AK299" s="659">
        <f t="shared" si="699"/>
        <v>6896000</v>
      </c>
      <c r="AL299" s="659">
        <f t="shared" si="699"/>
        <v>609750</v>
      </c>
      <c r="AM299" s="659">
        <f t="shared" si="699"/>
        <v>12292130773</v>
      </c>
      <c r="AN299" s="659">
        <f t="shared" si="699"/>
        <v>1231</v>
      </c>
    </row>
    <row r="300" spans="3:40" ht="19.5" customHeight="1">
      <c r="D300" s="665"/>
      <c r="E300" s="665"/>
      <c r="F300" s="666"/>
      <c r="G300" s="667"/>
      <c r="H300" s="666"/>
      <c r="I300" s="667"/>
      <c r="J300" s="666"/>
      <c r="K300" s="666"/>
      <c r="L300" s="666"/>
      <c r="M300" s="666"/>
      <c r="N300" s="666"/>
      <c r="O300" s="666"/>
      <c r="P300" s="666"/>
      <c r="Q300" s="666"/>
      <c r="R300" s="666"/>
      <c r="S300" s="668"/>
      <c r="T300" s="666"/>
      <c r="U300" s="666"/>
      <c r="V300" s="666"/>
      <c r="W300" s="666"/>
      <c r="X300" s="669"/>
      <c r="Y300" s="669"/>
      <c r="Z300" s="669"/>
      <c r="AA300" s="670"/>
      <c r="AB300" s="670"/>
      <c r="AC300" s="670"/>
      <c r="AD300" s="670"/>
      <c r="AE300" s="670"/>
      <c r="AF300" s="671"/>
      <c r="AG300" s="672"/>
      <c r="AH300" s="671"/>
      <c r="AI300" s="673"/>
      <c r="AJ300" s="671"/>
      <c r="AK300" s="657"/>
      <c r="AL300" s="657"/>
      <c r="AM300" s="669"/>
      <c r="AN300" s="675"/>
    </row>
    <row r="301" spans="3:40" ht="21.75" customHeight="1">
      <c r="C301" s="1605" t="str">
        <f>C308&amp;" Vs "&amp;C322</f>
        <v>Jul Vs Jun</v>
      </c>
      <c r="D301" s="654" t="s">
        <v>216</v>
      </c>
      <c r="E301" s="657">
        <f>+E308/E322</f>
        <v>0.98884378418840391</v>
      </c>
      <c r="F301" s="657">
        <f t="shared" ref="F301:H301" si="700">+F308/F322</f>
        <v>0.99295562195512843</v>
      </c>
      <c r="G301" s="657">
        <f t="shared" si="700"/>
        <v>1.3642857142857143</v>
      </c>
      <c r="H301" s="657">
        <f t="shared" si="700"/>
        <v>1.3447969848099681</v>
      </c>
      <c r="I301" s="657"/>
      <c r="J301" s="657"/>
      <c r="K301" s="657">
        <f t="shared" ref="K301:R302" si="701">+K308/K322</f>
        <v>0.99986084869539982</v>
      </c>
      <c r="L301" s="657">
        <f t="shared" si="701"/>
        <v>1.0316090904442221</v>
      </c>
      <c r="M301" s="657">
        <f t="shared" si="701"/>
        <v>1.0036363636363637</v>
      </c>
      <c r="N301" s="657" t="e">
        <f t="shared" si="701"/>
        <v>#DIV/0!</v>
      </c>
      <c r="O301" s="657">
        <f t="shared" si="701"/>
        <v>1.0290456431535269</v>
      </c>
      <c r="P301" s="657">
        <f t="shared" si="701"/>
        <v>1.4709302325581395</v>
      </c>
      <c r="Q301" s="657">
        <f t="shared" si="701"/>
        <v>1.0088726513569937</v>
      </c>
      <c r="R301" s="657">
        <f t="shared" si="701"/>
        <v>0.92106112508880289</v>
      </c>
      <c r="S301" s="657"/>
      <c r="T301" s="657"/>
      <c r="U301" s="657">
        <f t="shared" ref="U301:V301" si="702">+U308/U322</f>
        <v>0.94915254237288138</v>
      </c>
      <c r="V301" s="657">
        <f t="shared" si="702"/>
        <v>6.6666666666666666E-2</v>
      </c>
      <c r="W301" s="657">
        <f t="shared" ref="W301:X301" si="703">+W308/W322</f>
        <v>0.99692192738143159</v>
      </c>
      <c r="X301" s="657">
        <f t="shared" si="703"/>
        <v>0</v>
      </c>
      <c r="Y301" s="657"/>
      <c r="Z301" s="657">
        <f t="shared" ref="Z301" si="704">+Z308/Z322</f>
        <v>0.99487633494975858</v>
      </c>
      <c r="AA301" s="657">
        <f t="shared" ref="Z301:AJ304" si="705">+AA308/AA322</f>
        <v>1.0066179602267142</v>
      </c>
      <c r="AB301" s="657">
        <f t="shared" si="705"/>
        <v>0</v>
      </c>
      <c r="AC301" s="657">
        <f t="shared" si="705"/>
        <v>0.8764044943820225</v>
      </c>
      <c r="AD301" s="657" t="e">
        <f t="shared" ref="AD301:AF301" si="706">+AD308/AD322</f>
        <v>#DIV/0!</v>
      </c>
      <c r="AE301" s="657" t="e">
        <f t="shared" si="706"/>
        <v>#DIV/0!</v>
      </c>
      <c r="AF301" s="657">
        <f t="shared" si="706"/>
        <v>1.0080291510444321</v>
      </c>
      <c r="AG301" s="657">
        <f>+AG308/AG322</f>
        <v>0.9980303359167717</v>
      </c>
      <c r="AH301" s="657">
        <f t="shared" ref="AH301:AJ301" si="707">+AH308/AH322</f>
        <v>1.0068866311471105</v>
      </c>
      <c r="AI301" s="657">
        <f t="shared" si="707"/>
        <v>0.99644128113879005</v>
      </c>
      <c r="AJ301" s="657">
        <f t="shared" si="707"/>
        <v>0.68995780590717304</v>
      </c>
      <c r="AK301" s="657">
        <f t="shared" ref="AD301:AN303" si="708">+AK308/AK322</f>
        <v>1.2282608695652173</v>
      </c>
      <c r="AL301" s="657"/>
      <c r="AM301" s="657">
        <f t="shared" ref="AM301" si="709">+AM308/AM322</f>
        <v>0.99743200907250318</v>
      </c>
      <c r="AN301" s="503">
        <f>+AN308/AN322</f>
        <v>0.99645390070921991</v>
      </c>
    </row>
    <row r="302" spans="3:40" ht="21.75" customHeight="1">
      <c r="C302" s="1605"/>
      <c r="D302" s="654" t="s">
        <v>217</v>
      </c>
      <c r="E302" s="657">
        <f t="shared" ref="E302:O302" si="710">+E309/E323</f>
        <v>0.96614498424084305</v>
      </c>
      <c r="F302" s="657">
        <f t="shared" si="710"/>
        <v>0.9721039220272677</v>
      </c>
      <c r="G302" s="657">
        <f t="shared" si="710"/>
        <v>0.93023255813953487</v>
      </c>
      <c r="H302" s="657">
        <f t="shared" si="710"/>
        <v>0.94333552129002984</v>
      </c>
      <c r="I302" s="657">
        <f t="shared" si="710"/>
        <v>0.64163822525597269</v>
      </c>
      <c r="J302" s="657">
        <f t="shared" si="710"/>
        <v>0.62048334482011092</v>
      </c>
      <c r="K302" s="657">
        <f t="shared" si="710"/>
        <v>0.96501673179504965</v>
      </c>
      <c r="L302" s="657">
        <f t="shared" si="710"/>
        <v>0.97841879390976094</v>
      </c>
      <c r="M302" s="657">
        <f t="shared" si="710"/>
        <v>0.96621621621621623</v>
      </c>
      <c r="N302" s="657" t="e">
        <f t="shared" si="710"/>
        <v>#DIV/0!</v>
      </c>
      <c r="O302" s="657">
        <f t="shared" si="710"/>
        <v>0.984375</v>
      </c>
      <c r="P302" s="657">
        <f t="shared" si="701"/>
        <v>2.89</v>
      </c>
      <c r="Q302" s="657">
        <f t="shared" ref="Q302:R302" si="711">+Q309/Q323</f>
        <v>0.81887511916110578</v>
      </c>
      <c r="R302" s="657">
        <f t="shared" si="711"/>
        <v>1.3377563147145781</v>
      </c>
      <c r="S302" s="657"/>
      <c r="T302" s="657"/>
      <c r="U302" s="657">
        <f t="shared" ref="U302:X302" si="712">+U309/U323</f>
        <v>1.0344827586206897</v>
      </c>
      <c r="V302" s="657">
        <f t="shared" si="712"/>
        <v>0</v>
      </c>
      <c r="W302" s="657">
        <f t="shared" si="712"/>
        <v>0.97408289142416415</v>
      </c>
      <c r="X302" s="657">
        <f t="shared" si="712"/>
        <v>0.64163822525597269</v>
      </c>
      <c r="Y302" s="657"/>
      <c r="Z302" s="657">
        <f t="shared" si="705"/>
        <v>0.96664933979955103</v>
      </c>
      <c r="AA302" s="657">
        <f t="shared" si="705"/>
        <v>0.66223283310595726</v>
      </c>
      <c r="AB302" s="657"/>
      <c r="AC302" s="657">
        <f t="shared" si="705"/>
        <v>4.8265460030165915E-2</v>
      </c>
      <c r="AD302" s="657" t="e">
        <f t="shared" si="705"/>
        <v>#DIV/0!</v>
      </c>
      <c r="AE302" s="657" t="e">
        <f t="shared" si="705"/>
        <v>#DIV/0!</v>
      </c>
      <c r="AF302" s="657">
        <f t="shared" si="705"/>
        <v>0.59814592205811645</v>
      </c>
      <c r="AG302" s="657">
        <f t="shared" si="705"/>
        <v>0.90559147264576856</v>
      </c>
      <c r="AH302" s="657">
        <f t="shared" si="705"/>
        <v>0.97328117565585393</v>
      </c>
      <c r="AI302" s="657">
        <f t="shared" si="705"/>
        <v>0.96621621621621623</v>
      </c>
      <c r="AJ302" s="657">
        <f t="shared" si="705"/>
        <v>3.9971044177644639E-2</v>
      </c>
      <c r="AK302" s="657">
        <f t="shared" si="708"/>
        <v>0</v>
      </c>
      <c r="AL302" s="657"/>
      <c r="AM302" s="657">
        <f t="shared" ref="AM302:AN302" si="713">+AM309/AM323</f>
        <v>0.90024225781536982</v>
      </c>
      <c r="AN302" s="503">
        <f t="shared" si="713"/>
        <v>0.96644295302013428</v>
      </c>
    </row>
    <row r="303" spans="3:40" ht="21.75" customHeight="1">
      <c r="C303" s="1605"/>
      <c r="D303" s="654" t="s">
        <v>218</v>
      </c>
      <c r="E303" s="657">
        <f t="shared" ref="E303:H303" si="714">+E310/E324</f>
        <v>0.98431558036136624</v>
      </c>
      <c r="F303" s="657">
        <f t="shared" si="714"/>
        <v>0.99061170916135766</v>
      </c>
      <c r="G303" s="657">
        <f t="shared" si="714"/>
        <v>1.107843137254902</v>
      </c>
      <c r="H303" s="657">
        <f t="shared" si="714"/>
        <v>1.1171399229786301</v>
      </c>
      <c r="I303" s="657"/>
      <c r="J303" s="657"/>
      <c r="K303" s="657">
        <f t="shared" ref="K303:R303" si="715">+K310/K324</f>
        <v>0.99289791547472861</v>
      </c>
      <c r="L303" s="657">
        <f t="shared" si="715"/>
        <v>0.9834714168628691</v>
      </c>
      <c r="M303" s="657">
        <f t="shared" si="715"/>
        <v>0.98571428571428577</v>
      </c>
      <c r="N303" s="657" t="e">
        <f t="shared" si="715"/>
        <v>#DIV/0!</v>
      </c>
      <c r="O303" s="657">
        <f t="shared" si="715"/>
        <v>1.0054347826086956</v>
      </c>
      <c r="P303" s="657">
        <f t="shared" si="715"/>
        <v>1.54</v>
      </c>
      <c r="Q303" s="657">
        <f t="shared" si="715"/>
        <v>0.95351839896707558</v>
      </c>
      <c r="R303" s="657">
        <f t="shared" si="715"/>
        <v>1.5238538765220295</v>
      </c>
      <c r="S303" s="657"/>
      <c r="T303" s="657"/>
      <c r="U303" s="657">
        <f t="shared" ref="U303" si="716">+U310/U324</f>
        <v>1.0350877192982457</v>
      </c>
      <c r="V303" s="657"/>
      <c r="W303" s="657">
        <f t="shared" ref="W303:X303" si="717">+W310/W324</f>
        <v>0.99481132391463734</v>
      </c>
      <c r="X303" s="657">
        <f t="shared" si="717"/>
        <v>1</v>
      </c>
      <c r="Y303" s="657"/>
      <c r="Z303" s="657">
        <f t="shared" ref="Z303" si="718">+Z310/Z324</f>
        <v>1.0279874590965072</v>
      </c>
      <c r="AA303" s="657">
        <f t="shared" si="705"/>
        <v>0.94847964922314365</v>
      </c>
      <c r="AB303" s="657"/>
      <c r="AC303" s="657"/>
      <c r="AD303" s="657" t="e">
        <f t="shared" si="708"/>
        <v>#DIV/0!</v>
      </c>
      <c r="AE303" s="657" t="e">
        <f t="shared" si="708"/>
        <v>#DIV/0!</v>
      </c>
      <c r="AF303" s="657">
        <f t="shared" si="708"/>
        <v>0.95702337847852426</v>
      </c>
      <c r="AG303" s="657">
        <f t="shared" si="708"/>
        <v>1.0121829045052395</v>
      </c>
      <c r="AH303" s="657">
        <f t="shared" si="708"/>
        <v>0.99225433263733676</v>
      </c>
      <c r="AI303" s="657">
        <f t="shared" si="708"/>
        <v>0.98584905660377353</v>
      </c>
      <c r="AJ303" s="657">
        <f t="shared" si="708"/>
        <v>1.069308799922275</v>
      </c>
      <c r="AK303" s="657">
        <f t="shared" si="708"/>
        <v>3.0769230769230771</v>
      </c>
      <c r="AL303" s="657"/>
      <c r="AM303" s="657">
        <f t="shared" si="708"/>
        <v>1.0136172818441029</v>
      </c>
      <c r="AN303" s="503">
        <f t="shared" si="708"/>
        <v>0.9859154929577465</v>
      </c>
    </row>
    <row r="304" spans="3:40" ht="21.75" customHeight="1">
      <c r="C304" s="1605"/>
      <c r="D304" s="654" t="s">
        <v>220</v>
      </c>
      <c r="E304" s="657">
        <f t="shared" ref="E304:H304" si="719">+E311/E325</f>
        <v>0.9857939536248902</v>
      </c>
      <c r="F304" s="657">
        <f t="shared" si="719"/>
        <v>1.021830858866456</v>
      </c>
      <c r="G304" s="657">
        <f t="shared" si="719"/>
        <v>1.2045454545454546</v>
      </c>
      <c r="H304" s="657">
        <f t="shared" si="719"/>
        <v>1.374043386410295</v>
      </c>
      <c r="I304" s="657"/>
      <c r="J304" s="657"/>
      <c r="K304" s="657">
        <f t="shared" ref="K304:R304" si="720">+K311/K325</f>
        <v>1.0255754406201263</v>
      </c>
      <c r="L304" s="657">
        <f t="shared" si="720"/>
        <v>0.99856028724657875</v>
      </c>
      <c r="M304" s="657">
        <f t="shared" si="720"/>
        <v>0.98734177215189878</v>
      </c>
      <c r="N304" s="657" t="e">
        <f t="shared" si="720"/>
        <v>#DIV/0!</v>
      </c>
      <c r="O304" s="657">
        <f t="shared" si="720"/>
        <v>1.028169014084507</v>
      </c>
      <c r="P304" s="657">
        <f t="shared" si="720"/>
        <v>1.1220930232558139</v>
      </c>
      <c r="Q304" s="657">
        <f t="shared" si="720"/>
        <v>1.0154905335628228</v>
      </c>
      <c r="R304" s="657">
        <f t="shared" si="720"/>
        <v>0.83678056384428701</v>
      </c>
      <c r="S304" s="657"/>
      <c r="T304" s="657"/>
      <c r="U304" s="657">
        <f t="shared" ref="U304:X304" si="721">+U311/U325</f>
        <v>0.93548387096774188</v>
      </c>
      <c r="V304" s="657">
        <f t="shared" si="721"/>
        <v>0.59343480470844445</v>
      </c>
      <c r="W304" s="657">
        <f t="shared" si="721"/>
        <v>1.0440651544401496</v>
      </c>
      <c r="X304" s="657">
        <f t="shared" si="721"/>
        <v>1.8285714285714285</v>
      </c>
      <c r="Y304" s="657"/>
      <c r="Z304" s="657">
        <f t="shared" ref="Z304" si="722">+Z311/Z325</f>
        <v>1.0218801449240187</v>
      </c>
      <c r="AA304" s="657">
        <f t="shared" si="705"/>
        <v>1.0069731037427068</v>
      </c>
      <c r="AB304" s="657">
        <f t="shared" si="705"/>
        <v>1.5238095238095237</v>
      </c>
      <c r="AC304" s="657">
        <f t="shared" si="705"/>
        <v>0.78481012658227844</v>
      </c>
      <c r="AD304" s="657" t="e">
        <f t="shared" ref="AD304:AN304" si="723">+AD311/AD325</f>
        <v>#DIV/0!</v>
      </c>
      <c r="AE304" s="657" t="e">
        <f t="shared" si="723"/>
        <v>#DIV/0!</v>
      </c>
      <c r="AF304" s="657">
        <f t="shared" si="723"/>
        <v>1.0233939546102238</v>
      </c>
      <c r="AG304" s="657">
        <f t="shared" si="723"/>
        <v>1.0220690260272014</v>
      </c>
      <c r="AH304" s="657">
        <f t="shared" si="723"/>
        <v>1.0215549525771839</v>
      </c>
      <c r="AI304" s="657">
        <f t="shared" si="723"/>
        <v>0.99224806201550386</v>
      </c>
      <c r="AJ304" s="657">
        <f t="shared" si="723"/>
        <v>1.3246947294434579</v>
      </c>
      <c r="AK304" s="657">
        <f t="shared" si="723"/>
        <v>1.0925925925925926</v>
      </c>
      <c r="AL304" s="657"/>
      <c r="AM304" s="657">
        <f t="shared" si="723"/>
        <v>1.0214528354496542</v>
      </c>
      <c r="AN304" s="503">
        <f t="shared" si="723"/>
        <v>0.99264705882352944</v>
      </c>
    </row>
    <row r="305" spans="3:40" s="653" customFormat="1" ht="21.75" customHeight="1">
      <c r="C305" s="1605"/>
      <c r="D305" s="656" t="s">
        <v>221</v>
      </c>
      <c r="E305" s="657">
        <f t="shared" ref="E305:R305" si="724">+E312/E326</f>
        <v>0.99302802460697182</v>
      </c>
      <c r="F305" s="657">
        <f t="shared" si="724"/>
        <v>1.0069174423951859</v>
      </c>
      <c r="G305" s="657">
        <f t="shared" si="724"/>
        <v>1.2964601769911503</v>
      </c>
      <c r="H305" s="657">
        <f t="shared" si="724"/>
        <v>1.3506660165662694</v>
      </c>
      <c r="I305" s="657">
        <f t="shared" si="724"/>
        <v>0.61935418971934408</v>
      </c>
      <c r="J305" s="657">
        <f t="shared" si="724"/>
        <v>0.650695160093684</v>
      </c>
      <c r="K305" s="657">
        <f t="shared" si="724"/>
        <v>1.0070351003717481</v>
      </c>
      <c r="L305" s="657">
        <f t="shared" si="724"/>
        <v>1.0336955808552464</v>
      </c>
      <c r="M305" s="657">
        <f t="shared" si="724"/>
        <v>0.99754299754299758</v>
      </c>
      <c r="N305" s="657" t="e">
        <f t="shared" si="724"/>
        <v>#DIV/0!</v>
      </c>
      <c r="O305" s="657">
        <f t="shared" si="724"/>
        <v>0.98603351955307261</v>
      </c>
      <c r="P305" s="657">
        <f t="shared" si="724"/>
        <v>1</v>
      </c>
      <c r="Q305" s="657">
        <f t="shared" si="724"/>
        <v>0.90731707317073174</v>
      </c>
      <c r="R305" s="657">
        <f t="shared" si="724"/>
        <v>0.73547770254073352</v>
      </c>
      <c r="S305" s="657"/>
      <c r="T305" s="657"/>
      <c r="U305" s="657">
        <f t="shared" ref="U305:X305" si="725">+U312/U326</f>
        <v>1.0202020202020201</v>
      </c>
      <c r="V305" s="657">
        <f t="shared" si="725"/>
        <v>0.60430628659829944</v>
      </c>
      <c r="W305" s="657">
        <f t="shared" si="725"/>
        <v>1.021601918056531</v>
      </c>
      <c r="X305" s="657">
        <f t="shared" si="725"/>
        <v>0.71750647743532237</v>
      </c>
      <c r="Y305" s="657"/>
      <c r="Z305" s="657">
        <f t="shared" ref="Z305:AN305" si="726">+Z312/Z326</f>
        <v>0.98758809875717368</v>
      </c>
      <c r="AA305" s="657">
        <f t="shared" si="726"/>
        <v>0.63262727610553693</v>
      </c>
      <c r="AB305" s="657">
        <f t="shared" si="726"/>
        <v>0.50632911392405067</v>
      </c>
      <c r="AC305" s="657">
        <f t="shared" si="726"/>
        <v>0.40802092414995639</v>
      </c>
      <c r="AD305" s="657" t="e">
        <f t="shared" si="726"/>
        <v>#DIV/0!</v>
      </c>
      <c r="AE305" s="657" t="e">
        <f t="shared" si="726"/>
        <v>#DIV/0!</v>
      </c>
      <c r="AF305" s="657">
        <f t="shared" si="726"/>
        <v>0.5838668928248073</v>
      </c>
      <c r="AG305" s="657">
        <f t="shared" si="726"/>
        <v>0.87872285913744363</v>
      </c>
      <c r="AH305" s="657">
        <f t="shared" si="726"/>
        <v>1.0242337183229431</v>
      </c>
      <c r="AI305" s="657">
        <f t="shared" si="726"/>
        <v>0.99082568807339455</v>
      </c>
      <c r="AJ305" s="657">
        <f t="shared" si="726"/>
        <v>0.41106790547387606</v>
      </c>
      <c r="AK305" s="657">
        <f t="shared" si="726"/>
        <v>1.3027027027027027</v>
      </c>
      <c r="AL305" s="657"/>
      <c r="AM305" s="657">
        <f t="shared" si="726"/>
        <v>0.86893045803729285</v>
      </c>
      <c r="AN305" s="503">
        <f t="shared" si="726"/>
        <v>0.99325842696629218</v>
      </c>
    </row>
    <row r="306" spans="3:40" s="492" customFormat="1" ht="21.75" customHeight="1">
      <c r="D306" s="676" t="s">
        <v>79</v>
      </c>
      <c r="E306" s="677">
        <f t="shared" ref="E306:R306" si="727">+E313/E327</f>
        <v>0.98646846382897257</v>
      </c>
      <c r="F306" s="677">
        <f t="shared" si="727"/>
        <v>1.0003598578465243</v>
      </c>
      <c r="G306" s="677">
        <f t="shared" si="727"/>
        <v>1.2207357859531773</v>
      </c>
      <c r="H306" s="677">
        <f t="shared" si="727"/>
        <v>1.2603621604215427</v>
      </c>
      <c r="I306" s="677">
        <f t="shared" si="727"/>
        <v>0.62552727272727271</v>
      </c>
      <c r="J306" s="677">
        <f t="shared" si="727"/>
        <v>0.64341568131088234</v>
      </c>
      <c r="K306" s="677">
        <f t="shared" si="727"/>
        <v>1.0018059134791744</v>
      </c>
      <c r="L306" s="677">
        <f t="shared" si="727"/>
        <v>1.0132216255684992</v>
      </c>
      <c r="M306" s="677">
        <f t="shared" si="727"/>
        <v>0.99195710455764075</v>
      </c>
      <c r="N306" s="677" t="e">
        <f t="shared" si="727"/>
        <v>#DIV/0!</v>
      </c>
      <c r="O306" s="677">
        <f t="shared" si="727"/>
        <v>1.0030549898167007</v>
      </c>
      <c r="P306" s="677">
        <f t="shared" si="727"/>
        <v>1.1826298701298701</v>
      </c>
      <c r="Q306" s="677">
        <f t="shared" si="727"/>
        <v>0.9369742623979912</v>
      </c>
      <c r="R306" s="677">
        <f t="shared" si="727"/>
        <v>0.99905224826609973</v>
      </c>
      <c r="S306" s="677"/>
      <c r="T306" s="677"/>
      <c r="U306" s="677">
        <f t="shared" ref="U306:X306" si="728">+U313/U327</f>
        <v>1</v>
      </c>
      <c r="V306" s="677">
        <f t="shared" si="728"/>
        <v>0.44297402584112788</v>
      </c>
      <c r="W306" s="677">
        <f t="shared" si="728"/>
        <v>1.0090504489626095</v>
      </c>
      <c r="X306" s="677">
        <f t="shared" si="728"/>
        <v>0.72264273052139905</v>
      </c>
      <c r="Y306" s="677"/>
      <c r="Z306" s="677">
        <f t="shared" ref="Z306:AA306" si="729">+Z313/Z327</f>
        <v>0.9978725442810864</v>
      </c>
      <c r="AA306" s="677">
        <f t="shared" si="729"/>
        <v>0.80541981708323707</v>
      </c>
      <c r="AB306" s="677"/>
      <c r="AC306" s="677">
        <f t="shared" ref="AC306:AN306" si="730">+AC313/AC327</f>
        <v>0.38488994646044022</v>
      </c>
      <c r="AD306" s="677" t="e">
        <f t="shared" si="730"/>
        <v>#DIV/0!</v>
      </c>
      <c r="AE306" s="677" t="e">
        <f t="shared" si="730"/>
        <v>#DIV/0!</v>
      </c>
      <c r="AF306" s="677">
        <f t="shared" si="730"/>
        <v>0.76477765642473716</v>
      </c>
      <c r="AG306" s="677">
        <f t="shared" si="730"/>
        <v>0.94510907164768587</v>
      </c>
      <c r="AH306" s="677">
        <f t="shared" si="730"/>
        <v>1.0099447573849347</v>
      </c>
      <c r="AI306" s="677">
        <f t="shared" si="730"/>
        <v>0.988391376451078</v>
      </c>
      <c r="AJ306" s="677">
        <f t="shared" si="730"/>
        <v>0.688902675568831</v>
      </c>
      <c r="AK306" s="677">
        <f t="shared" si="730"/>
        <v>1.0902077151335312</v>
      </c>
      <c r="AL306" s="677"/>
      <c r="AM306" s="677">
        <f t="shared" si="730"/>
        <v>0.94036434873805974</v>
      </c>
      <c r="AN306" s="677">
        <f t="shared" si="730"/>
        <v>0.9893877551020408</v>
      </c>
    </row>
    <row r="307" spans="3:40" ht="21.75" customHeight="1"/>
    <row r="308" spans="3:40" ht="19.5" customHeight="1">
      <c r="C308" s="1610" t="s">
        <v>69</v>
      </c>
      <c r="D308" s="654" t="s">
        <v>216</v>
      </c>
      <c r="E308" s="655">
        <v>6869.3000000000047</v>
      </c>
      <c r="F308" s="655">
        <v>1642616377</v>
      </c>
      <c r="G308" s="655">
        <v>191</v>
      </c>
      <c r="H308" s="655">
        <v>44535085</v>
      </c>
      <c r="I308" s="655">
        <v>0</v>
      </c>
      <c r="J308" s="655">
        <v>0</v>
      </c>
      <c r="K308" s="655">
        <v>1687151462</v>
      </c>
      <c r="L308" s="655">
        <v>847308</v>
      </c>
      <c r="M308" s="655">
        <v>55200000</v>
      </c>
      <c r="N308" s="655">
        <v>0</v>
      </c>
      <c r="O308" s="655">
        <v>124000000</v>
      </c>
      <c r="P308" s="655">
        <v>1518000</v>
      </c>
      <c r="Q308" s="655">
        <v>96650000</v>
      </c>
      <c r="R308" s="655">
        <v>147191306</v>
      </c>
      <c r="S308" s="655">
        <v>0</v>
      </c>
      <c r="T308" s="655">
        <v>0</v>
      </c>
      <c r="U308" s="655">
        <v>5600000</v>
      </c>
      <c r="V308" s="655">
        <v>200000</v>
      </c>
      <c r="W308" s="655">
        <v>8779781.2258918267</v>
      </c>
      <c r="X308" s="655">
        <v>0</v>
      </c>
      <c r="Y308" s="655">
        <v>0</v>
      </c>
      <c r="Z308" s="655">
        <v>2127137860</v>
      </c>
      <c r="AA308" s="655">
        <v>15362.5</v>
      </c>
      <c r="AB308" s="655">
        <v>0</v>
      </c>
      <c r="AC308" s="655">
        <v>39</v>
      </c>
      <c r="AD308" s="655">
        <v>0</v>
      </c>
      <c r="AE308" s="655">
        <v>0</v>
      </c>
      <c r="AF308" s="655">
        <v>679849703</v>
      </c>
      <c r="AG308" s="655">
        <v>2806987563</v>
      </c>
      <c r="AH308" s="655">
        <v>181168155</v>
      </c>
      <c r="AI308" s="655">
        <v>11648000</v>
      </c>
      <c r="AJ308" s="655">
        <v>253456</v>
      </c>
      <c r="AK308" s="655">
        <v>565000</v>
      </c>
      <c r="AL308" s="655">
        <v>0</v>
      </c>
      <c r="AM308" s="655">
        <v>2613352952</v>
      </c>
      <c r="AN308" s="654">
        <v>281</v>
      </c>
    </row>
    <row r="309" spans="3:40" ht="19.5" customHeight="1">
      <c r="C309" s="1610"/>
      <c r="D309" s="654" t="s">
        <v>217</v>
      </c>
      <c r="E309" s="655">
        <v>3555.8</v>
      </c>
      <c r="F309" s="655">
        <v>939843168</v>
      </c>
      <c r="G309" s="655">
        <v>80</v>
      </c>
      <c r="H309" s="655">
        <v>20353111</v>
      </c>
      <c r="I309" s="655">
        <v>1222</v>
      </c>
      <c r="J309" s="655">
        <v>11497557</v>
      </c>
      <c r="K309" s="655">
        <v>971693836</v>
      </c>
      <c r="L309" s="655">
        <v>2022693</v>
      </c>
      <c r="M309" s="655">
        <v>28600000</v>
      </c>
      <c r="N309" s="655">
        <v>0</v>
      </c>
      <c r="O309" s="655">
        <v>63000000</v>
      </c>
      <c r="P309" s="655">
        <v>578000</v>
      </c>
      <c r="Q309" s="655">
        <v>42950000</v>
      </c>
      <c r="R309" s="655">
        <v>41811488</v>
      </c>
      <c r="S309" s="655">
        <v>0</v>
      </c>
      <c r="T309" s="655">
        <v>0</v>
      </c>
      <c r="U309" s="655">
        <v>3000000</v>
      </c>
      <c r="V309" s="655">
        <v>0</v>
      </c>
      <c r="W309" s="655">
        <v>2866002.404883727</v>
      </c>
      <c r="X309" s="655">
        <v>5640000</v>
      </c>
      <c r="Y309" s="655">
        <v>0</v>
      </c>
      <c r="Z309" s="655">
        <v>1162162017</v>
      </c>
      <c r="AA309" s="655">
        <v>2912.5</v>
      </c>
      <c r="AB309" s="655">
        <v>8</v>
      </c>
      <c r="AC309" s="655">
        <v>16</v>
      </c>
      <c r="AD309" s="655">
        <v>0</v>
      </c>
      <c r="AE309" s="655">
        <v>0</v>
      </c>
      <c r="AF309" s="655">
        <v>142816466</v>
      </c>
      <c r="AG309" s="655">
        <v>1304978483</v>
      </c>
      <c r="AH309" s="655">
        <v>103740420</v>
      </c>
      <c r="AI309" s="655">
        <v>5948800</v>
      </c>
      <c r="AJ309" s="655">
        <v>11982</v>
      </c>
      <c r="AK309" s="655">
        <v>0</v>
      </c>
      <c r="AL309" s="655">
        <v>0</v>
      </c>
      <c r="AM309" s="655">
        <v>1195277281</v>
      </c>
      <c r="AN309" s="654">
        <v>144</v>
      </c>
    </row>
    <row r="310" spans="3:40" ht="19.5" customHeight="1">
      <c r="C310" s="1610"/>
      <c r="D310" s="654" t="s">
        <v>218</v>
      </c>
      <c r="E310" s="655">
        <v>5202.5999999999995</v>
      </c>
      <c r="F310" s="655">
        <v>1220671847</v>
      </c>
      <c r="G310" s="655">
        <v>113</v>
      </c>
      <c r="H310" s="655">
        <v>25330864</v>
      </c>
      <c r="I310" s="655">
        <v>0</v>
      </c>
      <c r="J310" s="655">
        <v>0</v>
      </c>
      <c r="K310" s="655">
        <v>1246002711</v>
      </c>
      <c r="L310" s="655">
        <v>640769</v>
      </c>
      <c r="M310" s="655">
        <v>41400000</v>
      </c>
      <c r="N310" s="655">
        <v>0</v>
      </c>
      <c r="O310" s="655">
        <v>92500000</v>
      </c>
      <c r="P310" s="655">
        <v>308000</v>
      </c>
      <c r="Q310" s="655">
        <v>73850000</v>
      </c>
      <c r="R310" s="655">
        <v>162351232</v>
      </c>
      <c r="S310" s="655">
        <v>0</v>
      </c>
      <c r="T310" s="655">
        <v>0</v>
      </c>
      <c r="U310" s="655">
        <v>5900000</v>
      </c>
      <c r="V310" s="655">
        <v>941345</v>
      </c>
      <c r="W310" s="655">
        <v>6902185.047369862</v>
      </c>
      <c r="X310" s="655">
        <v>80000</v>
      </c>
      <c r="Y310" s="655">
        <v>0</v>
      </c>
      <c r="Z310" s="655">
        <v>1630876251</v>
      </c>
      <c r="AA310" s="655">
        <v>9950.5</v>
      </c>
      <c r="AB310" s="655">
        <v>24</v>
      </c>
      <c r="AC310" s="655">
        <v>0</v>
      </c>
      <c r="AD310" s="655">
        <v>0</v>
      </c>
      <c r="AE310" s="655">
        <v>0</v>
      </c>
      <c r="AF310" s="655">
        <v>435028264</v>
      </c>
      <c r="AG310" s="655">
        <v>2065904515</v>
      </c>
      <c r="AH310" s="655">
        <v>133178010</v>
      </c>
      <c r="AI310" s="655">
        <v>8694400</v>
      </c>
      <c r="AJ310" s="655">
        <v>968535</v>
      </c>
      <c r="AK310" s="655">
        <v>200000</v>
      </c>
      <c r="AL310" s="655">
        <v>0</v>
      </c>
      <c r="AM310" s="655">
        <v>1922863570</v>
      </c>
      <c r="AN310" s="654">
        <v>210</v>
      </c>
    </row>
    <row r="311" spans="3:40" ht="19.5" customHeight="1">
      <c r="C311" s="1610"/>
      <c r="D311" s="654" t="s">
        <v>220</v>
      </c>
      <c r="E311" s="655">
        <v>3358.6000000000017</v>
      </c>
      <c r="F311" s="655">
        <v>1442681302</v>
      </c>
      <c r="G311" s="655">
        <v>53</v>
      </c>
      <c r="H311" s="655">
        <v>20846460</v>
      </c>
      <c r="I311" s="655">
        <v>0</v>
      </c>
      <c r="J311" s="655">
        <v>0</v>
      </c>
      <c r="K311" s="655">
        <v>1463527762</v>
      </c>
      <c r="L311" s="655">
        <v>28408466</v>
      </c>
      <c r="M311" s="655">
        <v>15600000</v>
      </c>
      <c r="N311" s="655">
        <v>0</v>
      </c>
      <c r="O311" s="655">
        <v>36500000</v>
      </c>
      <c r="P311" s="655">
        <v>3474000</v>
      </c>
      <c r="Q311" s="655">
        <v>29500000</v>
      </c>
      <c r="R311" s="655">
        <v>13865751</v>
      </c>
      <c r="S311" s="655">
        <v>0</v>
      </c>
      <c r="T311" s="655">
        <v>0</v>
      </c>
      <c r="U311" s="655">
        <v>2900000</v>
      </c>
      <c r="V311" s="655">
        <v>2511298</v>
      </c>
      <c r="W311" s="655">
        <v>5406598.5534484321</v>
      </c>
      <c r="X311" s="655">
        <v>1408000</v>
      </c>
      <c r="Y311" s="655">
        <v>0</v>
      </c>
      <c r="Z311" s="655">
        <v>1603101876</v>
      </c>
      <c r="AA311" s="655">
        <v>3538</v>
      </c>
      <c r="AB311" s="655">
        <v>304</v>
      </c>
      <c r="AC311" s="655">
        <v>124</v>
      </c>
      <c r="AD311" s="655">
        <v>0</v>
      </c>
      <c r="AE311" s="655">
        <v>0</v>
      </c>
      <c r="AF311" s="655">
        <v>228875892</v>
      </c>
      <c r="AG311" s="655">
        <v>1831977768</v>
      </c>
      <c r="AH311" s="655">
        <v>156384270</v>
      </c>
      <c r="AI311" s="655">
        <v>5324800</v>
      </c>
      <c r="AJ311" s="655">
        <v>5273362</v>
      </c>
      <c r="AK311" s="655">
        <v>590000</v>
      </c>
      <c r="AL311" s="655">
        <v>0</v>
      </c>
      <c r="AM311" s="655">
        <v>1664405336</v>
      </c>
      <c r="AN311" s="654">
        <v>135</v>
      </c>
    </row>
    <row r="312" spans="3:40" ht="19.5" customHeight="1">
      <c r="C312" s="1610"/>
      <c r="D312" s="654" t="s">
        <v>221</v>
      </c>
      <c r="E312" s="655">
        <v>10895.999999999993</v>
      </c>
      <c r="F312" s="655">
        <v>3265219626</v>
      </c>
      <c r="G312" s="655">
        <v>293</v>
      </c>
      <c r="H312" s="655">
        <v>83260202</v>
      </c>
      <c r="I312" s="655">
        <v>3078.5</v>
      </c>
      <c r="J312" s="655">
        <v>37984030</v>
      </c>
      <c r="K312" s="655">
        <v>3386463858</v>
      </c>
      <c r="L312" s="655">
        <v>24907692</v>
      </c>
      <c r="M312" s="655">
        <v>81200000</v>
      </c>
      <c r="N312" s="655">
        <v>0</v>
      </c>
      <c r="O312" s="655">
        <v>176500000</v>
      </c>
      <c r="P312" s="655">
        <v>2864000</v>
      </c>
      <c r="Q312" s="655">
        <v>130200000</v>
      </c>
      <c r="R312" s="655">
        <v>143276068</v>
      </c>
      <c r="S312" s="655">
        <v>0</v>
      </c>
      <c r="T312" s="655">
        <v>0</v>
      </c>
      <c r="U312" s="655">
        <v>10100000</v>
      </c>
      <c r="V312" s="655">
        <v>200000</v>
      </c>
      <c r="W312" s="655">
        <v>10350850.953490427</v>
      </c>
      <c r="X312" s="655">
        <v>18554000</v>
      </c>
      <c r="Y312" s="655">
        <v>0</v>
      </c>
      <c r="Z312" s="655">
        <v>3984616455</v>
      </c>
      <c r="AA312" s="655">
        <v>17024</v>
      </c>
      <c r="AB312" s="655">
        <v>320</v>
      </c>
      <c r="AC312" s="655">
        <v>468</v>
      </c>
      <c r="AD312" s="655">
        <v>0</v>
      </c>
      <c r="AE312" s="655">
        <v>0</v>
      </c>
      <c r="AF312" s="655">
        <v>869768829</v>
      </c>
      <c r="AG312" s="655">
        <v>4854385284</v>
      </c>
      <c r="AH312" s="655">
        <v>362355735</v>
      </c>
      <c r="AI312" s="655">
        <v>17971200</v>
      </c>
      <c r="AJ312" s="655">
        <v>3967218</v>
      </c>
      <c r="AK312" s="655">
        <v>482000</v>
      </c>
      <c r="AL312" s="655">
        <v>1200702</v>
      </c>
      <c r="AM312" s="655">
        <v>4468408429</v>
      </c>
      <c r="AN312" s="654">
        <v>442</v>
      </c>
    </row>
    <row r="313" spans="3:40" ht="19.5" customHeight="1">
      <c r="D313" s="272"/>
      <c r="E313" s="659">
        <f>SUM(E308:E312)</f>
        <v>29882.3</v>
      </c>
      <c r="F313" s="659">
        <f t="shared" ref="F313:AN313" si="731">SUM(F308:F312)</f>
        <v>8511032320</v>
      </c>
      <c r="G313" s="659">
        <f t="shared" si="731"/>
        <v>730</v>
      </c>
      <c r="H313" s="659">
        <f t="shared" si="731"/>
        <v>194325722</v>
      </c>
      <c r="I313" s="659">
        <f t="shared" si="731"/>
        <v>4300.5</v>
      </c>
      <c r="J313" s="659">
        <f t="shared" si="731"/>
        <v>49481587</v>
      </c>
      <c r="K313" s="659">
        <f t="shared" si="731"/>
        <v>8754839629</v>
      </c>
      <c r="L313" s="659">
        <f t="shared" si="731"/>
        <v>56826928</v>
      </c>
      <c r="M313" s="659">
        <f t="shared" si="731"/>
        <v>222000000</v>
      </c>
      <c r="N313" s="659">
        <f t="shared" si="731"/>
        <v>0</v>
      </c>
      <c r="O313" s="659">
        <f t="shared" si="731"/>
        <v>492500000</v>
      </c>
      <c r="P313" s="659">
        <f t="shared" si="731"/>
        <v>8742000</v>
      </c>
      <c r="Q313" s="659">
        <f t="shared" si="731"/>
        <v>373150000</v>
      </c>
      <c r="R313" s="659">
        <f t="shared" si="731"/>
        <v>508495845</v>
      </c>
      <c r="S313" s="659">
        <f t="shared" si="731"/>
        <v>0</v>
      </c>
      <c r="T313" s="659">
        <f t="shared" si="731"/>
        <v>0</v>
      </c>
      <c r="U313" s="659">
        <f t="shared" si="731"/>
        <v>27500000</v>
      </c>
      <c r="V313" s="659">
        <f t="shared" si="731"/>
        <v>3852643</v>
      </c>
      <c r="W313" s="659">
        <f t="shared" si="731"/>
        <v>34305418.185084276</v>
      </c>
      <c r="X313" s="659">
        <f t="shared" si="731"/>
        <v>25682000</v>
      </c>
      <c r="Y313" s="659">
        <f t="shared" si="731"/>
        <v>0</v>
      </c>
      <c r="Z313" s="659">
        <f t="shared" si="731"/>
        <v>10507894459</v>
      </c>
      <c r="AA313" s="659">
        <f t="shared" si="731"/>
        <v>48787.5</v>
      </c>
      <c r="AB313" s="659">
        <f t="shared" si="731"/>
        <v>656</v>
      </c>
      <c r="AC313" s="659">
        <f t="shared" si="731"/>
        <v>647</v>
      </c>
      <c r="AD313" s="659">
        <f t="shared" si="731"/>
        <v>0</v>
      </c>
      <c r="AE313" s="659">
        <f t="shared" si="731"/>
        <v>0</v>
      </c>
      <c r="AF313" s="659">
        <f t="shared" si="731"/>
        <v>2356339154</v>
      </c>
      <c r="AG313" s="659">
        <f t="shared" si="731"/>
        <v>12864233613</v>
      </c>
      <c r="AH313" s="659">
        <f t="shared" si="731"/>
        <v>936826590</v>
      </c>
      <c r="AI313" s="659">
        <f t="shared" si="731"/>
        <v>49587200</v>
      </c>
      <c r="AJ313" s="659">
        <f t="shared" si="731"/>
        <v>10474553</v>
      </c>
      <c r="AK313" s="659">
        <f t="shared" si="731"/>
        <v>1837000</v>
      </c>
      <c r="AL313" s="659">
        <f t="shared" si="731"/>
        <v>1200702</v>
      </c>
      <c r="AM313" s="659">
        <f t="shared" si="731"/>
        <v>11864307568</v>
      </c>
      <c r="AN313" s="659">
        <f t="shared" si="731"/>
        <v>1212</v>
      </c>
    </row>
    <row r="314" spans="3:40" ht="19.5" customHeight="1">
      <c r="D314" s="665"/>
      <c r="E314" s="665"/>
      <c r="F314" s="666"/>
      <c r="G314" s="667"/>
      <c r="H314" s="666"/>
      <c r="I314" s="667"/>
      <c r="J314" s="666"/>
      <c r="K314" s="666"/>
      <c r="L314" s="666"/>
      <c r="M314" s="666"/>
      <c r="N314" s="666"/>
      <c r="O314" s="666"/>
      <c r="P314" s="666"/>
      <c r="Q314" s="666"/>
      <c r="R314" s="666"/>
      <c r="S314" s="668"/>
      <c r="T314" s="666"/>
      <c r="U314" s="666"/>
      <c r="V314" s="666"/>
      <c r="W314" s="666"/>
      <c r="X314" s="669"/>
      <c r="Y314" s="669"/>
      <c r="Z314" s="669"/>
      <c r="AA314" s="670"/>
      <c r="AB314" s="670"/>
      <c r="AC314" s="670"/>
      <c r="AD314" s="670"/>
      <c r="AE314" s="670"/>
      <c r="AF314" s="671"/>
      <c r="AG314" s="672"/>
      <c r="AH314" s="671"/>
      <c r="AI314" s="673"/>
      <c r="AJ314" s="671"/>
      <c r="AK314" s="657"/>
      <c r="AL314" s="657"/>
      <c r="AM314" s="669"/>
      <c r="AN314" s="675"/>
    </row>
    <row r="315" spans="3:40" ht="21.75" customHeight="1">
      <c r="C315" s="1605" t="str">
        <f>C322&amp;" Vs "&amp;C336</f>
        <v>Jun Vs May</v>
      </c>
      <c r="D315" s="654" t="s">
        <v>216</v>
      </c>
      <c r="E315" s="657">
        <f>+E322/E336</f>
        <v>1.0067971999594187</v>
      </c>
      <c r="F315" s="657">
        <f t="shared" ref="F315:H315" si="732">+F322/F336</f>
        <v>1.0099807975521979</v>
      </c>
      <c r="G315" s="657">
        <f t="shared" si="732"/>
        <v>0.1876675603217158</v>
      </c>
      <c r="H315" s="657">
        <f t="shared" si="732"/>
        <v>0.18803059604973535</v>
      </c>
      <c r="I315" s="657"/>
      <c r="J315" s="657"/>
      <c r="K315" s="657">
        <f t="shared" ref="K315:R315" si="733">+K322/K336</f>
        <v>0.93017868025116091</v>
      </c>
      <c r="L315" s="657">
        <f t="shared" si="733"/>
        <v>0.97822374140990676</v>
      </c>
      <c r="M315" s="657">
        <f t="shared" si="733"/>
        <v>0.95486111111111116</v>
      </c>
      <c r="N315" s="657" t="e">
        <f t="shared" si="733"/>
        <v>#DIV/0!</v>
      </c>
      <c r="O315" s="657">
        <f t="shared" si="733"/>
        <v>0.98367346938775513</v>
      </c>
      <c r="P315" s="657">
        <f t="shared" si="733"/>
        <v>5.16</v>
      </c>
      <c r="Q315" s="657">
        <f t="shared" si="733"/>
        <v>0.97160243407707914</v>
      </c>
      <c r="R315" s="657">
        <f t="shared" si="733"/>
        <v>1.0757995797544029</v>
      </c>
      <c r="S315" s="657"/>
      <c r="T315" s="657"/>
      <c r="U315" s="657">
        <f t="shared" ref="U315" si="734">+U322/U336</f>
        <v>0.96721311475409832</v>
      </c>
      <c r="V315" s="657"/>
      <c r="W315" s="657">
        <f t="shared" ref="W315" si="735">+W322/W336</f>
        <v>0.96253420446536986</v>
      </c>
      <c r="X315" s="657"/>
      <c r="Y315" s="657"/>
      <c r="Z315" s="657">
        <f t="shared" ref="Z315:AA315" si="736">+Z322/Z336</f>
        <v>0.94707239426725653</v>
      </c>
      <c r="AA315" s="657">
        <f t="shared" si="736"/>
        <v>3.9007028753993609</v>
      </c>
      <c r="AB315" s="657"/>
      <c r="AC315" s="657"/>
      <c r="AD315" s="657" t="e">
        <f t="shared" ref="AD315:AF315" si="737">+AD322/AD336</f>
        <v>#DIV/0!</v>
      </c>
      <c r="AE315" s="657" t="e">
        <f t="shared" si="737"/>
        <v>#DIV/0!</v>
      </c>
      <c r="AF315" s="657">
        <f t="shared" si="737"/>
        <v>3.9053743065702879</v>
      </c>
      <c r="AG315" s="657">
        <f>+AG322/AG336</f>
        <v>1.1572876453042935</v>
      </c>
      <c r="AH315" s="657">
        <f t="shared" ref="AH315:AJ315" si="738">+AH322/AH336</f>
        <v>0.95849456375215769</v>
      </c>
      <c r="AI315" s="657">
        <f t="shared" si="738"/>
        <v>0.9525423728813559</v>
      </c>
      <c r="AJ315" s="657">
        <f t="shared" si="738"/>
        <v>3.3102944886998524</v>
      </c>
      <c r="AK315" s="657"/>
      <c r="AL315" s="657"/>
      <c r="AM315" s="657">
        <f t="shared" ref="AM315" si="739">+AM322/AM336</f>
        <v>1.1748339367931708</v>
      </c>
      <c r="AN315" s="503">
        <f>+AN322/AN336</f>
        <v>0.95270270270270274</v>
      </c>
    </row>
    <row r="316" spans="3:40" ht="21.75" customHeight="1">
      <c r="C316" s="1605"/>
      <c r="D316" s="654" t="s">
        <v>217</v>
      </c>
      <c r="E316" s="657">
        <f t="shared" ref="E316:O316" si="740">+E323/E337</f>
        <v>1.0932097665300307</v>
      </c>
      <c r="F316" s="657">
        <f t="shared" si="740"/>
        <v>1.0964538919533984</v>
      </c>
      <c r="G316" s="657">
        <f t="shared" si="740"/>
        <v>0.23306233062330622</v>
      </c>
      <c r="H316" s="657">
        <f t="shared" si="740"/>
        <v>0.22601071054533911</v>
      </c>
      <c r="I316" s="657">
        <f t="shared" si="740"/>
        <v>1.575529450694904</v>
      </c>
      <c r="J316" s="657">
        <f t="shared" si="740"/>
        <v>1.6403137398620118</v>
      </c>
      <c r="K316" s="657">
        <f t="shared" si="740"/>
        <v>1.0186090794202591</v>
      </c>
      <c r="L316" s="657">
        <f t="shared" si="740"/>
        <v>0.99656004211248894</v>
      </c>
      <c r="M316" s="657">
        <f t="shared" si="740"/>
        <v>1.0496453900709219</v>
      </c>
      <c r="N316" s="657" t="e">
        <f t="shared" si="740"/>
        <v>#DIV/0!</v>
      </c>
      <c r="O316" s="657">
        <f t="shared" si="740"/>
        <v>1.032258064516129</v>
      </c>
      <c r="P316" s="657"/>
      <c r="Q316" s="657">
        <f t="shared" ref="Q316:R316" si="741">+Q323/Q337</f>
        <v>1.0489999999999999</v>
      </c>
      <c r="R316" s="657">
        <f t="shared" si="741"/>
        <v>0.77771696369518706</v>
      </c>
      <c r="S316" s="657"/>
      <c r="T316" s="657"/>
      <c r="U316" s="657">
        <f t="shared" ref="U316:X316" si="742">+U323/U337</f>
        <v>1</v>
      </c>
      <c r="V316" s="657">
        <f t="shared" si="742"/>
        <v>5.6723100000000004</v>
      </c>
      <c r="W316" s="657">
        <f t="shared" si="742"/>
        <v>1.1142904793978503</v>
      </c>
      <c r="X316" s="657">
        <f t="shared" si="742"/>
        <v>1.575268817204301</v>
      </c>
      <c r="Y316" s="657"/>
      <c r="Z316" s="657">
        <f t="shared" ref="Z316:AC316" si="743">+Z323/Z337</f>
        <v>1.0167030760329248</v>
      </c>
      <c r="AA316" s="657">
        <f t="shared" si="743"/>
        <v>1.8436386501781596</v>
      </c>
      <c r="AB316" s="657">
        <f t="shared" si="743"/>
        <v>0</v>
      </c>
      <c r="AC316" s="657">
        <f t="shared" si="743"/>
        <v>55.25</v>
      </c>
      <c r="AD316" s="657" t="e">
        <f t="shared" ref="AD316:AJ316" si="744">+AD323/AD337</f>
        <v>#DIV/0!</v>
      </c>
      <c r="AE316" s="657" t="e">
        <f t="shared" si="744"/>
        <v>#DIV/0!</v>
      </c>
      <c r="AF316" s="657">
        <f t="shared" si="744"/>
        <v>2.0014339074582193</v>
      </c>
      <c r="AG316" s="657">
        <f t="shared" si="744"/>
        <v>1.1069436627512479</v>
      </c>
      <c r="AH316" s="657">
        <f t="shared" si="744"/>
        <v>1.0481110548976285</v>
      </c>
      <c r="AI316" s="657">
        <f t="shared" si="744"/>
        <v>1.0496453900709219</v>
      </c>
      <c r="AJ316" s="657">
        <f t="shared" si="744"/>
        <v>0.95573119253185057</v>
      </c>
      <c r="AK316" s="657"/>
      <c r="AL316" s="657"/>
      <c r="AM316" s="657">
        <f t="shared" ref="AM316:AN316" si="745">+AM323/AM337</f>
        <v>1.1120666960900847</v>
      </c>
      <c r="AN316" s="503">
        <f t="shared" si="745"/>
        <v>1.0492957746478873</v>
      </c>
    </row>
    <row r="317" spans="3:40" ht="21.75" customHeight="1">
      <c r="C317" s="1605"/>
      <c r="D317" s="654" t="s">
        <v>218</v>
      </c>
      <c r="E317" s="657">
        <f t="shared" ref="E317:H317" si="746">+E324/E338</f>
        <v>0.95575205236700334</v>
      </c>
      <c r="F317" s="657">
        <f t="shared" si="746"/>
        <v>0.96641286428348749</v>
      </c>
      <c r="G317" s="657">
        <f t="shared" si="746"/>
        <v>0.1795774647887324</v>
      </c>
      <c r="H317" s="657">
        <f t="shared" si="746"/>
        <v>0.1737968115075243</v>
      </c>
      <c r="I317" s="657"/>
      <c r="J317" s="657"/>
      <c r="K317" s="657">
        <f t="shared" ref="K317:R317" si="747">+K324/K338</f>
        <v>0.89283920546118067</v>
      </c>
      <c r="L317" s="657">
        <f t="shared" si="747"/>
        <v>1.2379687476249106</v>
      </c>
      <c r="M317" s="657">
        <f t="shared" si="747"/>
        <v>0.91703056768558955</v>
      </c>
      <c r="N317" s="657" t="e">
        <f t="shared" si="747"/>
        <v>#DIV/0!</v>
      </c>
      <c r="O317" s="657">
        <f t="shared" si="747"/>
        <v>0.90640394088669951</v>
      </c>
      <c r="P317" s="657">
        <f t="shared" si="747"/>
        <v>1</v>
      </c>
      <c r="Q317" s="657">
        <f t="shared" si="747"/>
        <v>0.94508846857840145</v>
      </c>
      <c r="R317" s="657">
        <f t="shared" si="747"/>
        <v>0.65724560040601454</v>
      </c>
      <c r="S317" s="657"/>
      <c r="T317" s="657"/>
      <c r="U317" s="657">
        <f t="shared" ref="U317:W317" si="748">+U324/U338</f>
        <v>0.95</v>
      </c>
      <c r="V317" s="657"/>
      <c r="W317" s="657">
        <f t="shared" si="748"/>
        <v>0.89833396232404361</v>
      </c>
      <c r="X317" s="657"/>
      <c r="Y317" s="657"/>
      <c r="Z317" s="657">
        <f t="shared" ref="Z317:AA317" si="749">+Z324/Z338</f>
        <v>0.87586012767149246</v>
      </c>
      <c r="AA317" s="657">
        <f t="shared" si="749"/>
        <v>1.5467747880575009</v>
      </c>
      <c r="AB317" s="657"/>
      <c r="AC317" s="657"/>
      <c r="AD317" s="657" t="e">
        <f t="shared" ref="AD317:AN317" si="750">+AD324/AD338</f>
        <v>#DIV/0!</v>
      </c>
      <c r="AE317" s="657" t="e">
        <f t="shared" si="750"/>
        <v>#DIV/0!</v>
      </c>
      <c r="AF317" s="657">
        <f t="shared" si="750"/>
        <v>1.5607927138577458</v>
      </c>
      <c r="AG317" s="657">
        <f t="shared" si="750"/>
        <v>0.9707339743562472</v>
      </c>
      <c r="AH317" s="657">
        <f t="shared" si="750"/>
        <v>0.92473842431804054</v>
      </c>
      <c r="AI317" s="657">
        <f t="shared" si="750"/>
        <v>0.91774891774891776</v>
      </c>
      <c r="AJ317" s="657">
        <f t="shared" si="750"/>
        <v>1.2786112773718505</v>
      </c>
      <c r="AK317" s="657">
        <f t="shared" si="750"/>
        <v>0.23679417122040072</v>
      </c>
      <c r="AL317" s="657">
        <f t="shared" si="750"/>
        <v>0</v>
      </c>
      <c r="AM317" s="657">
        <f t="shared" si="750"/>
        <v>0.97448909941274742</v>
      </c>
      <c r="AN317" s="503">
        <f t="shared" si="750"/>
        <v>0.9181034482758621</v>
      </c>
    </row>
    <row r="318" spans="3:40" ht="21.75" customHeight="1">
      <c r="C318" s="1605"/>
      <c r="D318" s="654" t="s">
        <v>220</v>
      </c>
      <c r="E318" s="657">
        <f t="shared" ref="E318:H318" si="751">+E325/E339</f>
        <v>1.0208239700374537</v>
      </c>
      <c r="F318" s="657">
        <f t="shared" si="751"/>
        <v>1.0214697920103257</v>
      </c>
      <c r="G318" s="657">
        <f t="shared" si="751"/>
        <v>0.13664596273291926</v>
      </c>
      <c r="H318" s="657">
        <f t="shared" si="751"/>
        <v>0.11729967567197123</v>
      </c>
      <c r="I318" s="657"/>
      <c r="J318" s="657"/>
      <c r="K318" s="657">
        <f t="shared" ref="K318:R318" si="752">+K325/K339</f>
        <v>0.94410025951968324</v>
      </c>
      <c r="L318" s="657">
        <f t="shared" si="752"/>
        <v>1.013510637035838</v>
      </c>
      <c r="M318" s="657">
        <f t="shared" si="752"/>
        <v>0.95180722891566261</v>
      </c>
      <c r="N318" s="657" t="e">
        <f t="shared" si="752"/>
        <v>#DIV/0!</v>
      </c>
      <c r="O318" s="657">
        <f t="shared" si="752"/>
        <v>1.0142857142857142</v>
      </c>
      <c r="P318" s="657">
        <f t="shared" si="752"/>
        <v>1</v>
      </c>
      <c r="Q318" s="657">
        <f t="shared" si="752"/>
        <v>0.97647058823529409</v>
      </c>
      <c r="R318" s="657">
        <f t="shared" si="752"/>
        <v>1.1644715057045936</v>
      </c>
      <c r="S318" s="657"/>
      <c r="T318" s="657"/>
      <c r="U318" s="657">
        <f t="shared" ref="U318:X318" si="753">+U325/U339</f>
        <v>1.0689655172413792</v>
      </c>
      <c r="V318" s="657">
        <f t="shared" si="753"/>
        <v>1.2872085242032134</v>
      </c>
      <c r="W318" s="657">
        <f t="shared" si="753"/>
        <v>0.99899276322120623</v>
      </c>
      <c r="X318" s="657">
        <f t="shared" si="753"/>
        <v>0.93673965936739656</v>
      </c>
      <c r="Y318" s="657"/>
      <c r="Z318" s="657">
        <f t="shared" ref="Z318:AB318" si="754">+Z325/Z339</f>
        <v>0.9505065412869419</v>
      </c>
      <c r="AA318" s="657">
        <f t="shared" si="754"/>
        <v>2.142378048780488</v>
      </c>
      <c r="AB318" s="657">
        <f t="shared" si="754"/>
        <v>2.625</v>
      </c>
      <c r="AC318" s="657"/>
      <c r="AD318" s="657" t="e">
        <f t="shared" ref="AD318:AN318" si="755">+AD325/AD339</f>
        <v>#DIV/0!</v>
      </c>
      <c r="AE318" s="657" t="e">
        <f t="shared" si="755"/>
        <v>#DIV/0!</v>
      </c>
      <c r="AF318" s="657">
        <f t="shared" si="755"/>
        <v>2.3295906693197947</v>
      </c>
      <c r="AG318" s="657">
        <f t="shared" si="755"/>
        <v>1.0263133757714717</v>
      </c>
      <c r="AH318" s="657">
        <f t="shared" si="755"/>
        <v>0.98842200749697284</v>
      </c>
      <c r="AI318" s="657">
        <f t="shared" si="755"/>
        <v>0.97727272727272729</v>
      </c>
      <c r="AJ318" s="657">
        <f t="shared" si="755"/>
        <v>0.82789894707769762</v>
      </c>
      <c r="AK318" s="657">
        <f t="shared" si="755"/>
        <v>2.007434944237918</v>
      </c>
      <c r="AL318" s="657">
        <f t="shared" si="755"/>
        <v>0</v>
      </c>
      <c r="AM318" s="657">
        <f t="shared" si="755"/>
        <v>1.0308685773919601</v>
      </c>
      <c r="AN318" s="503">
        <f t="shared" si="755"/>
        <v>0.97142857142857142</v>
      </c>
    </row>
    <row r="319" spans="3:40" s="653" customFormat="1" ht="21.75" customHeight="1">
      <c r="C319" s="1605"/>
      <c r="D319" s="656" t="s">
        <v>221</v>
      </c>
      <c r="E319" s="657">
        <f t="shared" ref="E319:R319" si="756">+E326/E340</f>
        <v>1.0020090406830746</v>
      </c>
      <c r="F319" s="657">
        <f t="shared" si="756"/>
        <v>1.0146480512360241</v>
      </c>
      <c r="G319" s="657">
        <f t="shared" si="756"/>
        <v>0.19841966637401229</v>
      </c>
      <c r="H319" s="657">
        <f t="shared" si="756"/>
        <v>0.18878558624819414</v>
      </c>
      <c r="I319" s="657">
        <f t="shared" si="756"/>
        <v>1.1929677187087484</v>
      </c>
      <c r="J319" s="657">
        <f t="shared" si="756"/>
        <v>1.183363734787473</v>
      </c>
      <c r="K319" s="657">
        <f t="shared" si="756"/>
        <v>0.94147976280677703</v>
      </c>
      <c r="L319" s="657">
        <f t="shared" si="756"/>
        <v>0.96600628615642425</v>
      </c>
      <c r="M319" s="657">
        <f t="shared" si="756"/>
        <v>0.9621749408983451</v>
      </c>
      <c r="N319" s="657" t="e">
        <f t="shared" si="756"/>
        <v>#DIV/0!</v>
      </c>
      <c r="O319" s="657">
        <f t="shared" si="756"/>
        <v>1.0170454545454546</v>
      </c>
      <c r="P319" s="657">
        <f t="shared" si="756"/>
        <v>1.2650176678445231</v>
      </c>
      <c r="Q319" s="657">
        <f t="shared" si="756"/>
        <v>1.0451565914056811</v>
      </c>
      <c r="R319" s="657">
        <f t="shared" si="756"/>
        <v>1.1413754238804628</v>
      </c>
      <c r="S319" s="657"/>
      <c r="T319" s="657"/>
      <c r="U319" s="657">
        <f t="shared" ref="U319:X319" si="757">+U326/U340</f>
        <v>0.97058823529411764</v>
      </c>
      <c r="V319" s="657">
        <f t="shared" si="757"/>
        <v>0.73703784534939132</v>
      </c>
      <c r="W319" s="657">
        <f t="shared" si="757"/>
        <v>0.94915391769951263</v>
      </c>
      <c r="X319" s="657">
        <f t="shared" si="757"/>
        <v>1.1869549251813092</v>
      </c>
      <c r="Y319" s="657"/>
      <c r="Z319" s="657">
        <f t="shared" ref="Z319:AN319" si="758">+Z326/Z340</f>
        <v>0.95819471304309856</v>
      </c>
      <c r="AA319" s="657">
        <f t="shared" si="758"/>
        <v>1.458852867830424</v>
      </c>
      <c r="AB319" s="657">
        <f t="shared" si="758"/>
        <v>1.6</v>
      </c>
      <c r="AC319" s="657">
        <f t="shared" si="758"/>
        <v>1.1923076923076923</v>
      </c>
      <c r="AD319" s="657" t="e">
        <f t="shared" si="758"/>
        <v>#DIV/0!</v>
      </c>
      <c r="AE319" s="657" t="e">
        <f t="shared" si="758"/>
        <v>#DIV/0!</v>
      </c>
      <c r="AF319" s="657">
        <f t="shared" si="758"/>
        <v>1.4410300559902005</v>
      </c>
      <c r="AG319" s="657">
        <f t="shared" si="758"/>
        <v>1.0533676956252305</v>
      </c>
      <c r="AH319" s="657">
        <f t="shared" si="758"/>
        <v>0.97508880215914995</v>
      </c>
      <c r="AI319" s="657">
        <f t="shared" si="758"/>
        <v>0.96674057649667411</v>
      </c>
      <c r="AJ319" s="657">
        <f t="shared" si="758"/>
        <v>0.97978303667438771</v>
      </c>
      <c r="AK319" s="657">
        <f t="shared" si="758"/>
        <v>0.31596925704526047</v>
      </c>
      <c r="AL319" s="657">
        <f t="shared" si="758"/>
        <v>0</v>
      </c>
      <c r="AM319" s="657">
        <f t="shared" si="758"/>
        <v>1.0599710716988331</v>
      </c>
      <c r="AN319" s="503">
        <f t="shared" si="758"/>
        <v>0.96739130434782605</v>
      </c>
    </row>
    <row r="320" spans="3:40" s="492" customFormat="1" ht="21.75" customHeight="1">
      <c r="D320" s="676" t="s">
        <v>79</v>
      </c>
      <c r="E320" s="677">
        <f t="shared" ref="E320:R320" si="759">+E327/E341</f>
        <v>1.0068971935900974</v>
      </c>
      <c r="F320" s="677">
        <f t="shared" si="759"/>
        <v>1.0161307712940453</v>
      </c>
      <c r="G320" s="677">
        <f t="shared" si="759"/>
        <v>0.19020356234096691</v>
      </c>
      <c r="H320" s="677">
        <f t="shared" si="759"/>
        <v>0.17971609373479941</v>
      </c>
      <c r="I320" s="677">
        <f t="shared" si="759"/>
        <v>1.2789983814856845</v>
      </c>
      <c r="J320" s="677">
        <f t="shared" si="759"/>
        <v>1.2685086381080815</v>
      </c>
      <c r="K320" s="677">
        <f t="shared" si="759"/>
        <v>0.94054756247153404</v>
      </c>
      <c r="L320" s="677">
        <f t="shared" si="759"/>
        <v>0.9934661959633897</v>
      </c>
      <c r="M320" s="677">
        <f t="shared" si="759"/>
        <v>0.96134020618556704</v>
      </c>
      <c r="N320" s="677" t="e">
        <f t="shared" si="759"/>
        <v>#DIV/0!</v>
      </c>
      <c r="O320" s="677">
        <f t="shared" si="759"/>
        <v>0.98792756539235416</v>
      </c>
      <c r="P320" s="677">
        <f t="shared" si="759"/>
        <v>1.2402684563758388</v>
      </c>
      <c r="Q320" s="677">
        <f t="shared" si="759"/>
        <v>1.0016348088531186</v>
      </c>
      <c r="R320" s="677">
        <f t="shared" si="759"/>
        <v>0.95004302395053575</v>
      </c>
      <c r="S320" s="677"/>
      <c r="T320" s="677"/>
      <c r="U320" s="677">
        <f t="shared" ref="U320:X320" si="760">+U327/U341</f>
        <v>0.97864768683274017</v>
      </c>
      <c r="V320" s="677">
        <f t="shared" si="760"/>
        <v>2.209312917839628</v>
      </c>
      <c r="W320" s="677">
        <f t="shared" si="760"/>
        <v>0.9611495397127835</v>
      </c>
      <c r="X320" s="677">
        <f t="shared" si="760"/>
        <v>1.2607847310912446</v>
      </c>
      <c r="Y320" s="677"/>
      <c r="Z320" s="677">
        <f t="shared" ref="Z320:AA320" si="761">+Z327/Z341</f>
        <v>0.9475988716264675</v>
      </c>
      <c r="AA320" s="677">
        <f t="shared" si="761"/>
        <v>1.8263609364871181</v>
      </c>
      <c r="AB320" s="677"/>
      <c r="AC320" s="677">
        <f t="shared" ref="AC320:AN320" si="762">+AC327/AC341</f>
        <v>1.7365702479338843</v>
      </c>
      <c r="AD320" s="677" t="e">
        <f t="shared" si="762"/>
        <v>#DIV/0!</v>
      </c>
      <c r="AE320" s="677" t="e">
        <f t="shared" si="762"/>
        <v>#DIV/0!</v>
      </c>
      <c r="AF320" s="677">
        <f t="shared" si="762"/>
        <v>1.7986599089705033</v>
      </c>
      <c r="AG320" s="677">
        <f t="shared" si="762"/>
        <v>1.0612664802637144</v>
      </c>
      <c r="AH320" s="677">
        <f t="shared" si="762"/>
        <v>0.97411014778930605</v>
      </c>
      <c r="AI320" s="677">
        <f t="shared" si="762"/>
        <v>0.96479999999999999</v>
      </c>
      <c r="AJ320" s="677">
        <f t="shared" si="762"/>
        <v>0.96284074994307056</v>
      </c>
      <c r="AK320" s="677">
        <f t="shared" si="762"/>
        <v>0.98279381743948668</v>
      </c>
      <c r="AL320" s="677">
        <f t="shared" si="762"/>
        <v>0</v>
      </c>
      <c r="AM320" s="677">
        <f t="shared" si="762"/>
        <v>1.0689480125831738</v>
      </c>
      <c r="AN320" s="677">
        <f t="shared" si="762"/>
        <v>0.96456692913385822</v>
      </c>
    </row>
    <row r="321" spans="3:40" ht="21.75" customHeight="1"/>
    <row r="322" spans="3:40" ht="19.5" customHeight="1">
      <c r="C322" s="1610" t="s">
        <v>68</v>
      </c>
      <c r="D322" s="654" t="s">
        <v>216</v>
      </c>
      <c r="E322" s="655">
        <v>6946.8</v>
      </c>
      <c r="F322" s="655">
        <v>1654269678</v>
      </c>
      <c r="G322" s="655">
        <v>140</v>
      </c>
      <c r="H322" s="655">
        <v>33116586</v>
      </c>
      <c r="I322" s="655">
        <v>0</v>
      </c>
      <c r="J322" s="655">
        <v>0</v>
      </c>
      <c r="K322" s="655">
        <v>1687386264</v>
      </c>
      <c r="L322" s="655">
        <v>821346</v>
      </c>
      <c r="M322" s="655">
        <v>55000000</v>
      </c>
      <c r="N322" s="655">
        <v>0</v>
      </c>
      <c r="O322" s="655">
        <v>120500000</v>
      </c>
      <c r="P322" s="655">
        <v>1032000</v>
      </c>
      <c r="Q322" s="655">
        <v>95800000</v>
      </c>
      <c r="R322" s="655">
        <v>159806230</v>
      </c>
      <c r="S322" s="655">
        <v>0</v>
      </c>
      <c r="T322" s="655">
        <v>0</v>
      </c>
      <c r="U322" s="655">
        <v>5900000</v>
      </c>
      <c r="V322" s="655">
        <v>3000000</v>
      </c>
      <c r="W322" s="655">
        <v>8806889.4712279718</v>
      </c>
      <c r="X322" s="655">
        <v>40000</v>
      </c>
      <c r="Y322" s="655">
        <v>0</v>
      </c>
      <c r="Z322" s="655">
        <v>2138092731</v>
      </c>
      <c r="AA322" s="655">
        <v>15261.5</v>
      </c>
      <c r="AB322" s="655">
        <v>14</v>
      </c>
      <c r="AC322" s="655">
        <v>44.5</v>
      </c>
      <c r="AD322" s="655">
        <v>0</v>
      </c>
      <c r="AE322" s="655">
        <v>0</v>
      </c>
      <c r="AF322" s="655">
        <v>674434566</v>
      </c>
      <c r="AG322" s="655">
        <v>2812527297</v>
      </c>
      <c r="AH322" s="655">
        <v>179929050</v>
      </c>
      <c r="AI322" s="655">
        <v>11689600</v>
      </c>
      <c r="AJ322" s="655">
        <v>367350</v>
      </c>
      <c r="AK322" s="655">
        <v>460000</v>
      </c>
      <c r="AL322" s="655">
        <v>0</v>
      </c>
      <c r="AM322" s="655">
        <v>2620081297</v>
      </c>
      <c r="AN322" s="654">
        <v>282</v>
      </c>
    </row>
    <row r="323" spans="3:40" ht="19.5" customHeight="1">
      <c r="C323" s="1610"/>
      <c r="D323" s="654" t="s">
        <v>217</v>
      </c>
      <c r="E323" s="655">
        <v>3680.4000000000015</v>
      </c>
      <c r="F323" s="655">
        <v>966813472</v>
      </c>
      <c r="G323" s="655">
        <v>86</v>
      </c>
      <c r="H323" s="655">
        <v>21575686</v>
      </c>
      <c r="I323" s="655">
        <v>1904.5</v>
      </c>
      <c r="J323" s="655">
        <v>18530001</v>
      </c>
      <c r="K323" s="655">
        <v>1006919159</v>
      </c>
      <c r="L323" s="655">
        <v>2067308</v>
      </c>
      <c r="M323" s="655">
        <v>29600000</v>
      </c>
      <c r="N323" s="655">
        <v>0</v>
      </c>
      <c r="O323" s="655">
        <v>64000000</v>
      </c>
      <c r="P323" s="655">
        <v>200000</v>
      </c>
      <c r="Q323" s="655">
        <v>52450000</v>
      </c>
      <c r="R323" s="655">
        <v>31254936</v>
      </c>
      <c r="S323" s="655">
        <v>0</v>
      </c>
      <c r="T323" s="655">
        <v>0</v>
      </c>
      <c r="U323" s="655">
        <v>2900000</v>
      </c>
      <c r="V323" s="655">
        <v>1134462</v>
      </c>
      <c r="W323" s="655">
        <v>2942257.2043057545</v>
      </c>
      <c r="X323" s="655">
        <v>8790000</v>
      </c>
      <c r="Y323" s="655">
        <v>0</v>
      </c>
      <c r="Z323" s="655">
        <v>1202258119</v>
      </c>
      <c r="AA323" s="655">
        <v>4398</v>
      </c>
      <c r="AB323" s="655">
        <v>0</v>
      </c>
      <c r="AC323" s="655">
        <v>331.5</v>
      </c>
      <c r="AD323" s="655">
        <v>0</v>
      </c>
      <c r="AE323" s="655">
        <v>0</v>
      </c>
      <c r="AF323" s="655">
        <v>238765259</v>
      </c>
      <c r="AG323" s="655">
        <v>1441023378</v>
      </c>
      <c r="AH323" s="655">
        <v>106588335</v>
      </c>
      <c r="AI323" s="655">
        <v>6156800</v>
      </c>
      <c r="AJ323" s="655">
        <v>299767</v>
      </c>
      <c r="AK323" s="655">
        <v>250000</v>
      </c>
      <c r="AL323" s="655">
        <v>0</v>
      </c>
      <c r="AM323" s="655">
        <v>1327728476</v>
      </c>
      <c r="AN323" s="654">
        <v>149</v>
      </c>
    </row>
    <row r="324" spans="3:40" ht="19.5" customHeight="1">
      <c r="C324" s="1610"/>
      <c r="D324" s="654" t="s">
        <v>218</v>
      </c>
      <c r="E324" s="655">
        <v>5285.4999999999982</v>
      </c>
      <c r="F324" s="655">
        <v>1232240479</v>
      </c>
      <c r="G324" s="655">
        <v>102</v>
      </c>
      <c r="H324" s="655">
        <v>22674746</v>
      </c>
      <c r="I324" s="655">
        <v>0</v>
      </c>
      <c r="J324" s="655">
        <v>0</v>
      </c>
      <c r="K324" s="655">
        <v>1254915225</v>
      </c>
      <c r="L324" s="655">
        <v>651538</v>
      </c>
      <c r="M324" s="655">
        <v>42000000</v>
      </c>
      <c r="N324" s="655">
        <v>0</v>
      </c>
      <c r="O324" s="655">
        <v>92000000</v>
      </c>
      <c r="P324" s="655">
        <v>200000</v>
      </c>
      <c r="Q324" s="655">
        <v>77450000</v>
      </c>
      <c r="R324" s="655">
        <v>106539895</v>
      </c>
      <c r="S324" s="655">
        <v>0</v>
      </c>
      <c r="T324" s="655">
        <v>0</v>
      </c>
      <c r="U324" s="655">
        <v>5700000</v>
      </c>
      <c r="V324" s="655">
        <v>0</v>
      </c>
      <c r="W324" s="655">
        <v>6938185.0421740115</v>
      </c>
      <c r="X324" s="655">
        <v>80000</v>
      </c>
      <c r="Y324" s="655">
        <v>0</v>
      </c>
      <c r="Z324" s="655">
        <v>1586474851</v>
      </c>
      <c r="AA324" s="655">
        <v>10491</v>
      </c>
      <c r="AB324" s="655">
        <v>0</v>
      </c>
      <c r="AC324" s="655">
        <v>0</v>
      </c>
      <c r="AD324" s="655">
        <v>0</v>
      </c>
      <c r="AE324" s="655">
        <v>0</v>
      </c>
      <c r="AF324" s="655">
        <v>454563884</v>
      </c>
      <c r="AG324" s="655">
        <v>2041038735</v>
      </c>
      <c r="AH324" s="655">
        <v>134217615</v>
      </c>
      <c r="AI324" s="655">
        <v>8819200</v>
      </c>
      <c r="AJ324" s="655">
        <v>905758</v>
      </c>
      <c r="AK324" s="655">
        <v>65000</v>
      </c>
      <c r="AL324" s="655">
        <v>0</v>
      </c>
      <c r="AM324" s="655">
        <v>1897031162</v>
      </c>
      <c r="AN324" s="654">
        <v>213</v>
      </c>
    </row>
    <row r="325" spans="3:40" ht="19.5" customHeight="1">
      <c r="C325" s="1610"/>
      <c r="D325" s="654" t="s">
        <v>220</v>
      </c>
      <c r="E325" s="655">
        <v>3407.0000000000009</v>
      </c>
      <c r="F325" s="655">
        <v>1411859203</v>
      </c>
      <c r="G325" s="655">
        <v>44</v>
      </c>
      <c r="H325" s="655">
        <v>15171617</v>
      </c>
      <c r="I325" s="655">
        <v>0</v>
      </c>
      <c r="J325" s="655">
        <v>0</v>
      </c>
      <c r="K325" s="655">
        <v>1427030820</v>
      </c>
      <c r="L325" s="655">
        <v>28449425</v>
      </c>
      <c r="M325" s="655">
        <v>15800000</v>
      </c>
      <c r="N325" s="655">
        <v>0</v>
      </c>
      <c r="O325" s="655">
        <v>35500000</v>
      </c>
      <c r="P325" s="655">
        <v>3096000</v>
      </c>
      <c r="Q325" s="655">
        <v>29050000</v>
      </c>
      <c r="R325" s="655">
        <v>16570355</v>
      </c>
      <c r="S325" s="655">
        <v>0</v>
      </c>
      <c r="T325" s="655">
        <v>0</v>
      </c>
      <c r="U325" s="655">
        <v>3100000</v>
      </c>
      <c r="V325" s="655">
        <v>4231801</v>
      </c>
      <c r="W325" s="655">
        <v>5178411.0698987627</v>
      </c>
      <c r="X325" s="655">
        <v>770000</v>
      </c>
      <c r="Y325" s="655">
        <v>0</v>
      </c>
      <c r="Z325" s="655">
        <v>1568776812</v>
      </c>
      <c r="AA325" s="655">
        <v>3513.5</v>
      </c>
      <c r="AB325" s="655">
        <v>199.5</v>
      </c>
      <c r="AC325" s="655">
        <v>158</v>
      </c>
      <c r="AD325" s="655">
        <v>0</v>
      </c>
      <c r="AE325" s="655">
        <v>0</v>
      </c>
      <c r="AF325" s="655">
        <v>223643975</v>
      </c>
      <c r="AG325" s="655">
        <v>1792420787</v>
      </c>
      <c r="AH325" s="655">
        <v>153084540</v>
      </c>
      <c r="AI325" s="655">
        <v>5366400</v>
      </c>
      <c r="AJ325" s="655">
        <v>3980813</v>
      </c>
      <c r="AK325" s="655">
        <v>540000</v>
      </c>
      <c r="AL325" s="655">
        <v>0</v>
      </c>
      <c r="AM325" s="655">
        <v>1629449034</v>
      </c>
      <c r="AN325" s="654">
        <v>136</v>
      </c>
    </row>
    <row r="326" spans="3:40" ht="19.5" customHeight="1">
      <c r="C326" s="1610"/>
      <c r="D326" s="654" t="s">
        <v>221</v>
      </c>
      <c r="E326" s="655">
        <v>10972.499999999995</v>
      </c>
      <c r="F326" s="655">
        <v>3242787828</v>
      </c>
      <c r="G326" s="655">
        <v>226</v>
      </c>
      <c r="H326" s="655">
        <v>61643812</v>
      </c>
      <c r="I326" s="655">
        <v>4970.5</v>
      </c>
      <c r="J326" s="655">
        <v>58374539</v>
      </c>
      <c r="K326" s="655">
        <v>3362806179</v>
      </c>
      <c r="L326" s="655">
        <v>24095771</v>
      </c>
      <c r="M326" s="655">
        <v>81400000</v>
      </c>
      <c r="N326" s="655">
        <v>0</v>
      </c>
      <c r="O326" s="655">
        <v>179000000</v>
      </c>
      <c r="P326" s="655">
        <v>2864000</v>
      </c>
      <c r="Q326" s="655">
        <v>143500000</v>
      </c>
      <c r="R326" s="655">
        <v>194806814</v>
      </c>
      <c r="S326" s="655">
        <v>0</v>
      </c>
      <c r="T326" s="655">
        <v>0</v>
      </c>
      <c r="U326" s="655">
        <v>9900000</v>
      </c>
      <c r="V326" s="655">
        <v>330958</v>
      </c>
      <c r="W326" s="655">
        <v>10131980.735883521</v>
      </c>
      <c r="X326" s="655">
        <v>25859000</v>
      </c>
      <c r="Y326" s="655">
        <v>0</v>
      </c>
      <c r="Z326" s="655">
        <v>4034694687</v>
      </c>
      <c r="AA326" s="655">
        <v>26910</v>
      </c>
      <c r="AB326" s="655">
        <v>632</v>
      </c>
      <c r="AC326" s="655">
        <v>1147</v>
      </c>
      <c r="AD326" s="655">
        <v>0</v>
      </c>
      <c r="AE326" s="655">
        <v>0</v>
      </c>
      <c r="AF326" s="655">
        <v>1489669717</v>
      </c>
      <c r="AG326" s="655">
        <v>5524364404</v>
      </c>
      <c r="AH326" s="655">
        <v>353782275</v>
      </c>
      <c r="AI326" s="655">
        <v>18137600</v>
      </c>
      <c r="AJ326" s="655">
        <v>9651004</v>
      </c>
      <c r="AK326" s="655">
        <v>370000</v>
      </c>
      <c r="AL326" s="655">
        <v>0</v>
      </c>
      <c r="AM326" s="655">
        <v>5142423525</v>
      </c>
      <c r="AN326" s="654">
        <v>445</v>
      </c>
    </row>
    <row r="327" spans="3:40" ht="19.5" customHeight="1">
      <c r="D327" s="272"/>
      <c r="E327" s="659">
        <f>SUM(E322:E326)</f>
        <v>30292.199999999997</v>
      </c>
      <c r="F327" s="659">
        <f t="shared" ref="F327:AN327" si="763">SUM(F322:F326)</f>
        <v>8507970660</v>
      </c>
      <c r="G327" s="659">
        <f t="shared" si="763"/>
        <v>598</v>
      </c>
      <c r="H327" s="659">
        <f t="shared" si="763"/>
        <v>154182447</v>
      </c>
      <c r="I327" s="659">
        <f t="shared" si="763"/>
        <v>6875</v>
      </c>
      <c r="J327" s="659">
        <f t="shared" si="763"/>
        <v>76904540</v>
      </c>
      <c r="K327" s="659">
        <f t="shared" si="763"/>
        <v>8739057647</v>
      </c>
      <c r="L327" s="659">
        <f t="shared" si="763"/>
        <v>56085388</v>
      </c>
      <c r="M327" s="659">
        <f t="shared" si="763"/>
        <v>223800000</v>
      </c>
      <c r="N327" s="659">
        <f t="shared" si="763"/>
        <v>0</v>
      </c>
      <c r="O327" s="659">
        <f t="shared" si="763"/>
        <v>491000000</v>
      </c>
      <c r="P327" s="659">
        <f t="shared" si="763"/>
        <v>7392000</v>
      </c>
      <c r="Q327" s="659">
        <f t="shared" si="763"/>
        <v>398250000</v>
      </c>
      <c r="R327" s="659">
        <f t="shared" si="763"/>
        <v>508978230</v>
      </c>
      <c r="S327" s="659">
        <f t="shared" si="763"/>
        <v>0</v>
      </c>
      <c r="T327" s="659">
        <f t="shared" si="763"/>
        <v>0</v>
      </c>
      <c r="U327" s="659">
        <f t="shared" si="763"/>
        <v>27500000</v>
      </c>
      <c r="V327" s="659">
        <f t="shared" si="763"/>
        <v>8697221</v>
      </c>
      <c r="W327" s="659">
        <f t="shared" si="763"/>
        <v>33997723.523490019</v>
      </c>
      <c r="X327" s="659">
        <f t="shared" si="763"/>
        <v>35539000</v>
      </c>
      <c r="Y327" s="659">
        <f t="shared" si="763"/>
        <v>0</v>
      </c>
      <c r="Z327" s="659">
        <f t="shared" si="763"/>
        <v>10530297200</v>
      </c>
      <c r="AA327" s="659">
        <f t="shared" si="763"/>
        <v>60574</v>
      </c>
      <c r="AB327" s="659">
        <f t="shared" si="763"/>
        <v>845.5</v>
      </c>
      <c r="AC327" s="659">
        <f t="shared" si="763"/>
        <v>1681</v>
      </c>
      <c r="AD327" s="659">
        <f t="shared" si="763"/>
        <v>0</v>
      </c>
      <c r="AE327" s="659">
        <f t="shared" si="763"/>
        <v>0</v>
      </c>
      <c r="AF327" s="659">
        <f t="shared" si="763"/>
        <v>3081077401</v>
      </c>
      <c r="AG327" s="659">
        <f t="shared" si="763"/>
        <v>13611374601</v>
      </c>
      <c r="AH327" s="659">
        <f t="shared" si="763"/>
        <v>927601815</v>
      </c>
      <c r="AI327" s="659">
        <f t="shared" si="763"/>
        <v>50169600</v>
      </c>
      <c r="AJ327" s="659">
        <f t="shared" si="763"/>
        <v>15204692</v>
      </c>
      <c r="AK327" s="659">
        <f t="shared" si="763"/>
        <v>1685000</v>
      </c>
      <c r="AL327" s="659">
        <f t="shared" si="763"/>
        <v>0</v>
      </c>
      <c r="AM327" s="659">
        <f t="shared" si="763"/>
        <v>12616713494</v>
      </c>
      <c r="AN327" s="659">
        <f t="shared" si="763"/>
        <v>1225</v>
      </c>
    </row>
    <row r="328" spans="3:40" ht="19.5" customHeight="1">
      <c r="D328" s="665"/>
      <c r="E328" s="665"/>
      <c r="F328" s="666"/>
      <c r="G328" s="667"/>
      <c r="H328" s="666"/>
      <c r="I328" s="667"/>
      <c r="J328" s="666"/>
      <c r="K328" s="666"/>
      <c r="L328" s="666"/>
      <c r="M328" s="666"/>
      <c r="N328" s="666"/>
      <c r="O328" s="666"/>
      <c r="P328" s="666"/>
      <c r="Q328" s="666"/>
      <c r="R328" s="666"/>
      <c r="S328" s="668"/>
      <c r="T328" s="666"/>
      <c r="U328" s="666"/>
      <c r="V328" s="666"/>
      <c r="W328" s="666"/>
      <c r="X328" s="669"/>
      <c r="Y328" s="669"/>
      <c r="Z328" s="669"/>
      <c r="AA328" s="670"/>
      <c r="AB328" s="670"/>
      <c r="AC328" s="670"/>
      <c r="AD328" s="670"/>
      <c r="AE328" s="670"/>
      <c r="AF328" s="671"/>
      <c r="AG328" s="672"/>
      <c r="AH328" s="671"/>
      <c r="AI328" s="673"/>
      <c r="AJ328" s="671"/>
      <c r="AK328" s="657"/>
      <c r="AL328" s="657"/>
      <c r="AM328" s="669"/>
      <c r="AN328" s="675"/>
    </row>
    <row r="329" spans="3:40" ht="21.75" customHeight="1">
      <c r="C329" s="1605" t="str">
        <f>C336&amp;" Vs "&amp;C350</f>
        <v>May Vs Apr</v>
      </c>
      <c r="D329" s="654" t="s">
        <v>216</v>
      </c>
      <c r="E329" s="657">
        <f>+E336/E350</f>
        <v>0.93440136505829985</v>
      </c>
      <c r="F329" s="657">
        <f t="shared" ref="F329:H329" si="764">+F336/F350</f>
        <v>0.89250325980833745</v>
      </c>
      <c r="G329" s="657">
        <f t="shared" si="764"/>
        <v>1.611231101511879</v>
      </c>
      <c r="H329" s="657">
        <f t="shared" si="764"/>
        <v>1.5557454414143974</v>
      </c>
      <c r="I329" s="657"/>
      <c r="J329" s="657"/>
      <c r="K329" s="657">
        <f t="shared" ref="K329:R329" si="765">+K336/K350</f>
        <v>0.93103961814409864</v>
      </c>
      <c r="L329" s="657">
        <f t="shared" si="765"/>
        <v>0.62222469245590628</v>
      </c>
      <c r="M329" s="657">
        <f t="shared" si="765"/>
        <v>0.91139240506329111</v>
      </c>
      <c r="N329" s="657" t="e">
        <f t="shared" si="765"/>
        <v>#DIV/0!</v>
      </c>
      <c r="O329" s="657">
        <f t="shared" si="765"/>
        <v>0.86572438162544174</v>
      </c>
      <c r="P329" s="657">
        <f t="shared" si="765"/>
        <v>1</v>
      </c>
      <c r="Q329" s="657">
        <f t="shared" si="765"/>
        <v>0.88075033497096922</v>
      </c>
      <c r="R329" s="657">
        <f t="shared" si="765"/>
        <v>0.99322334785455246</v>
      </c>
      <c r="S329" s="657"/>
      <c r="T329" s="657"/>
      <c r="U329" s="657">
        <f t="shared" ref="U329:X333" si="766">+U336/U350</f>
        <v>1</v>
      </c>
      <c r="V329" s="657"/>
      <c r="W329" s="657">
        <f t="shared" si="766"/>
        <v>0.86357565771748557</v>
      </c>
      <c r="X329" s="657"/>
      <c r="Y329" s="657"/>
      <c r="Z329" s="657">
        <f t="shared" ref="Z329:AA329" si="767">+Z336/Z350</f>
        <v>0.92795248195376978</v>
      </c>
      <c r="AA329" s="657">
        <f t="shared" si="767"/>
        <v>0.43477053005889543</v>
      </c>
      <c r="AB329" s="657"/>
      <c r="AC329" s="657"/>
      <c r="AD329" s="657" t="e">
        <f t="shared" ref="AD329:AF329" si="768">+AD336/AD350</f>
        <v>#DIV/0!</v>
      </c>
      <c r="AE329" s="657" t="e">
        <f t="shared" si="768"/>
        <v>#DIV/0!</v>
      </c>
      <c r="AF329" s="657">
        <f t="shared" si="768"/>
        <v>0.42804716453468139</v>
      </c>
      <c r="AG329" s="657">
        <f>+AG336/AG350</f>
        <v>0.85684427048643108</v>
      </c>
      <c r="AH329" s="657">
        <f t="shared" ref="AH329:AJ329" si="769">+AH336/AH350</f>
        <v>0.90075372341636362</v>
      </c>
      <c r="AI329" s="657">
        <f t="shared" si="769"/>
        <v>0.921875</v>
      </c>
      <c r="AJ329" s="657">
        <f t="shared" si="769"/>
        <v>0.18262787176617734</v>
      </c>
      <c r="AK329" s="657"/>
      <c r="AL329" s="657">
        <f t="shared" ref="AL329:AM329" si="770">+AL336/AL350</f>
        <v>0</v>
      </c>
      <c r="AM329" s="657">
        <f t="shared" si="770"/>
        <v>0.85342626228620166</v>
      </c>
      <c r="AN329" s="503">
        <f>+AN336/AN350</f>
        <v>0.91640866873065019</v>
      </c>
    </row>
    <row r="330" spans="3:40" ht="21.75" customHeight="1">
      <c r="C330" s="1605"/>
      <c r="D330" s="654" t="s">
        <v>217</v>
      </c>
      <c r="E330" s="657">
        <f t="shared" ref="E330:R330" si="771">+E337/E351</f>
        <v>1.0628906989960218</v>
      </c>
      <c r="F330" s="657">
        <f t="shared" si="771"/>
        <v>1.0148238981515763</v>
      </c>
      <c r="G330" s="657">
        <f t="shared" si="771"/>
        <v>1.5974025974025974</v>
      </c>
      <c r="H330" s="657">
        <f t="shared" si="771"/>
        <v>1.532887981753672</v>
      </c>
      <c r="I330" s="657">
        <f t="shared" si="771"/>
        <v>0.91610458507010228</v>
      </c>
      <c r="J330" s="657">
        <f t="shared" si="771"/>
        <v>0.8924276111554913</v>
      </c>
      <c r="K330" s="657">
        <f t="shared" si="771"/>
        <v>1.0473661267447012</v>
      </c>
      <c r="L330" s="657">
        <f t="shared" si="771"/>
        <v>0.99369802644184713</v>
      </c>
      <c r="M330" s="657">
        <f t="shared" si="771"/>
        <v>1.0291970802919708</v>
      </c>
      <c r="N330" s="657" t="e">
        <f t="shared" si="771"/>
        <v>#DIV/0!</v>
      </c>
      <c r="O330" s="657">
        <f t="shared" si="771"/>
        <v>1.0163934426229508</v>
      </c>
      <c r="P330" s="657"/>
      <c r="Q330" s="657">
        <f t="shared" si="771"/>
        <v>1.0471204188481675</v>
      </c>
      <c r="R330" s="657">
        <f t="shared" si="771"/>
        <v>0.95163653392270875</v>
      </c>
      <c r="S330" s="657"/>
      <c r="T330" s="657"/>
      <c r="U330" s="657">
        <f t="shared" si="766"/>
        <v>1.0357142857142858</v>
      </c>
      <c r="V330" s="657">
        <f t="shared" si="766"/>
        <v>0.54219496788850308</v>
      </c>
      <c r="W330" s="657">
        <f t="shared" si="766"/>
        <v>0.96572687764279441</v>
      </c>
      <c r="X330" s="657">
        <f t="shared" si="766"/>
        <v>0.91625615763546797</v>
      </c>
      <c r="Y330" s="657"/>
      <c r="Z330" s="657">
        <f t="shared" ref="Z330:AC331" si="772">+Z337/Z351</f>
        <v>1.0406826515049357</v>
      </c>
      <c r="AA330" s="657">
        <f t="shared" si="772"/>
        <v>1.0860459822444799</v>
      </c>
      <c r="AB330" s="657"/>
      <c r="AC330" s="657">
        <f t="shared" si="772"/>
        <v>6</v>
      </c>
      <c r="AD330" s="657" t="e">
        <f t="shared" ref="AD330:AJ330" si="773">+AD337/AD351</f>
        <v>#DIV/0!</v>
      </c>
      <c r="AE330" s="657" t="e">
        <f t="shared" si="773"/>
        <v>#DIV/0!</v>
      </c>
      <c r="AF330" s="657">
        <f t="shared" si="773"/>
        <v>1.0957034649759836</v>
      </c>
      <c r="AG330" s="657">
        <f t="shared" si="773"/>
        <v>1.0454937003586866</v>
      </c>
      <c r="AH330" s="657">
        <f t="shared" si="773"/>
        <v>1.0265419380002714</v>
      </c>
      <c r="AI330" s="657">
        <f t="shared" si="773"/>
        <v>1.014388489208633</v>
      </c>
      <c r="AJ330" s="657">
        <f t="shared" si="773"/>
        <v>1.491429033347123</v>
      </c>
      <c r="AK330" s="657"/>
      <c r="AL330" s="657">
        <f t="shared" ref="AL330:AN330" si="774">+AL337/AL351</f>
        <v>0</v>
      </c>
      <c r="AM330" s="657">
        <f t="shared" si="774"/>
        <v>1.0472536722181143</v>
      </c>
      <c r="AN330" s="503">
        <f t="shared" si="774"/>
        <v>1.0070921985815602</v>
      </c>
    </row>
    <row r="331" spans="3:40" ht="21.75" customHeight="1">
      <c r="C331" s="1605"/>
      <c r="D331" s="654" t="s">
        <v>218</v>
      </c>
      <c r="E331" s="657">
        <f t="shared" ref="E331:H331" si="775">+E338/E352</f>
        <v>1.021764836301825</v>
      </c>
      <c r="F331" s="657">
        <f t="shared" si="775"/>
        <v>0.97263961047960279</v>
      </c>
      <c r="G331" s="657">
        <f t="shared" si="775"/>
        <v>1.6904761904761905</v>
      </c>
      <c r="H331" s="657">
        <f t="shared" si="775"/>
        <v>1.6292715825092086</v>
      </c>
      <c r="I331" s="657"/>
      <c r="J331" s="657"/>
      <c r="K331" s="657">
        <f t="shared" ref="K331:R331" si="776">+K338/K352</f>
        <v>1.010440206861708</v>
      </c>
      <c r="L331" s="657">
        <f t="shared" si="776"/>
        <v>0.79645278450363199</v>
      </c>
      <c r="M331" s="657">
        <f t="shared" si="776"/>
        <v>0.9913419913419913</v>
      </c>
      <c r="N331" s="657" t="e">
        <f t="shared" si="776"/>
        <v>#DIV/0!</v>
      </c>
      <c r="O331" s="657">
        <f t="shared" si="776"/>
        <v>1.0201005025125629</v>
      </c>
      <c r="P331" s="657">
        <f t="shared" si="776"/>
        <v>1</v>
      </c>
      <c r="Q331" s="657">
        <f t="shared" si="776"/>
        <v>1.0018337408312958</v>
      </c>
      <c r="R331" s="657">
        <f t="shared" si="776"/>
        <v>1.2408120285615378</v>
      </c>
      <c r="S331" s="657"/>
      <c r="T331" s="657"/>
      <c r="U331" s="657">
        <f t="shared" si="766"/>
        <v>0.9375</v>
      </c>
      <c r="V331" s="657">
        <f t="shared" si="766"/>
        <v>0</v>
      </c>
      <c r="W331" s="657">
        <f t="shared" si="766"/>
        <v>0.97011750861632784</v>
      </c>
      <c r="X331" s="657"/>
      <c r="Y331" s="657"/>
      <c r="Z331" s="657">
        <f t="shared" si="772"/>
        <v>1.0265120514316428</v>
      </c>
      <c r="AA331" s="657">
        <f t="shared" si="772"/>
        <v>0.99882188351373247</v>
      </c>
      <c r="AB331" s="657"/>
      <c r="AC331" s="657"/>
      <c r="AD331" s="657" t="e">
        <f t="shared" ref="AD331:AL331" si="777">+AD338/AD352</f>
        <v>#DIV/0!</v>
      </c>
      <c r="AE331" s="657" t="e">
        <f t="shared" si="777"/>
        <v>#DIV/0!</v>
      </c>
      <c r="AF331" s="657">
        <f t="shared" si="777"/>
        <v>0.97649447840881609</v>
      </c>
      <c r="AG331" s="657">
        <f t="shared" si="777"/>
        <v>1.0192802728146804</v>
      </c>
      <c r="AH331" s="657">
        <f t="shared" si="777"/>
        <v>0.97924464035026904</v>
      </c>
      <c r="AI331" s="657">
        <f t="shared" si="777"/>
        <v>0.97881355932203384</v>
      </c>
      <c r="AJ331" s="657">
        <f t="shared" si="777"/>
        <v>1.2456711384022381</v>
      </c>
      <c r="AK331" s="657">
        <f t="shared" si="777"/>
        <v>4.5</v>
      </c>
      <c r="AL331" s="657">
        <f t="shared" si="777"/>
        <v>0.64862246711695704</v>
      </c>
      <c r="AM331" s="657">
        <f t="shared" ref="AM331:AN331" si="778">+AM338/AM352</f>
        <v>1.0224703426355828</v>
      </c>
      <c r="AN331" s="503">
        <f t="shared" si="778"/>
        <v>0.97478991596638653</v>
      </c>
    </row>
    <row r="332" spans="3:40" ht="21.75" customHeight="1">
      <c r="C332" s="1605"/>
      <c r="D332" s="654" t="s">
        <v>220</v>
      </c>
      <c r="E332" s="657">
        <f t="shared" ref="E332:H332" si="779">+E339/E353</f>
        <v>1.038038069171435</v>
      </c>
      <c r="F332" s="657">
        <f t="shared" si="779"/>
        <v>1.0049746164990794</v>
      </c>
      <c r="G332" s="657">
        <f t="shared" si="779"/>
        <v>1.7311827956989247</v>
      </c>
      <c r="H332" s="657">
        <f t="shared" si="779"/>
        <v>1.706337506411596</v>
      </c>
      <c r="I332" s="657"/>
      <c r="J332" s="657"/>
      <c r="K332" s="657">
        <f t="shared" ref="K332:R332" si="780">+K339/K353</f>
        <v>1.0416101808233342</v>
      </c>
      <c r="L332" s="657">
        <f t="shared" si="780"/>
        <v>0.97436127155591346</v>
      </c>
      <c r="M332" s="657">
        <f t="shared" si="780"/>
        <v>1.0506329113924051</v>
      </c>
      <c r="N332" s="657" t="e">
        <f t="shared" si="780"/>
        <v>#DIV/0!</v>
      </c>
      <c r="O332" s="657">
        <f t="shared" si="780"/>
        <v>0.97222222222222221</v>
      </c>
      <c r="P332" s="657">
        <f t="shared" si="780"/>
        <v>1</v>
      </c>
      <c r="Q332" s="657">
        <f t="shared" si="780"/>
        <v>0.99832214765100669</v>
      </c>
      <c r="R332" s="657">
        <f t="shared" si="780"/>
        <v>1.3888277431057277</v>
      </c>
      <c r="S332" s="657"/>
      <c r="T332" s="657"/>
      <c r="U332" s="657">
        <f t="shared" si="766"/>
        <v>0.96666666666666667</v>
      </c>
      <c r="V332" s="657">
        <f t="shared" si="766"/>
        <v>0.77384174891747171</v>
      </c>
      <c r="W332" s="657">
        <f t="shared" si="766"/>
        <v>0.91009652288497955</v>
      </c>
      <c r="X332" s="657">
        <f t="shared" si="766"/>
        <v>1.9855072463768115</v>
      </c>
      <c r="Y332" s="657"/>
      <c r="Z332" s="657">
        <f t="shared" ref="Z332:AB332" si="781">+Z339/Z353</f>
        <v>1.0391705858634328</v>
      </c>
      <c r="AA332" s="657">
        <f t="shared" si="781"/>
        <v>0.97098875074008284</v>
      </c>
      <c r="AB332" s="657">
        <f t="shared" si="781"/>
        <v>1.0780141843971631</v>
      </c>
      <c r="AC332" s="657"/>
      <c r="AD332" s="657" t="e">
        <f t="shared" ref="AD332:AL332" si="782">+AD339/AD353</f>
        <v>#DIV/0!</v>
      </c>
      <c r="AE332" s="657" t="e">
        <f t="shared" si="782"/>
        <v>#DIV/0!</v>
      </c>
      <c r="AF332" s="657">
        <f t="shared" si="782"/>
        <v>0.88632484196389838</v>
      </c>
      <c r="AG332" s="657">
        <f t="shared" si="782"/>
        <v>1.0294124369637867</v>
      </c>
      <c r="AH332" s="657">
        <f t="shared" si="782"/>
        <v>1.0017452732680896</v>
      </c>
      <c r="AI332" s="657">
        <f t="shared" si="782"/>
        <v>0.97777777777777775</v>
      </c>
      <c r="AJ332" s="657">
        <f t="shared" si="782"/>
        <v>1.4034110925448933</v>
      </c>
      <c r="AK332" s="657">
        <f t="shared" si="782"/>
        <v>4.1384615384615389</v>
      </c>
      <c r="AL332" s="657">
        <f t="shared" si="782"/>
        <v>1.0188848314606742</v>
      </c>
      <c r="AM332" s="657">
        <f t="shared" ref="AM332:AN332" si="783">+AM339/AM353</f>
        <v>1.0314273330309796</v>
      </c>
      <c r="AN332" s="503">
        <f t="shared" si="783"/>
        <v>0.97902097902097907</v>
      </c>
    </row>
    <row r="333" spans="3:40" s="653" customFormat="1" ht="21.75" customHeight="1">
      <c r="C333" s="1605"/>
      <c r="D333" s="656" t="s">
        <v>221</v>
      </c>
      <c r="E333" s="657">
        <f t="shared" ref="E333:R333" si="784">+E340/E354</f>
        <v>1.0076838133799566</v>
      </c>
      <c r="F333" s="657">
        <f t="shared" si="784"/>
        <v>0.97811901853064798</v>
      </c>
      <c r="G333" s="657">
        <f t="shared" si="784"/>
        <v>1.6652046783625731</v>
      </c>
      <c r="H333" s="657">
        <f t="shared" si="784"/>
        <v>1.6283443007280989</v>
      </c>
      <c r="I333" s="657">
        <f t="shared" si="784"/>
        <v>1.2048872180451127</v>
      </c>
      <c r="J333" s="657">
        <f t="shared" si="784"/>
        <v>1.2067429545055632</v>
      </c>
      <c r="K333" s="657">
        <f t="shared" si="784"/>
        <v>1.0179420185168373</v>
      </c>
      <c r="L333" s="657">
        <f t="shared" si="784"/>
        <v>1.0307995569955037</v>
      </c>
      <c r="M333" s="657">
        <f t="shared" si="784"/>
        <v>0.97690531177829099</v>
      </c>
      <c r="N333" s="657" t="e">
        <f t="shared" si="784"/>
        <v>#DIV/0!</v>
      </c>
      <c r="O333" s="657">
        <f t="shared" si="784"/>
        <v>0.98050139275766013</v>
      </c>
      <c r="P333" s="657">
        <f t="shared" si="784"/>
        <v>0.91883116883116878</v>
      </c>
      <c r="Q333" s="657">
        <f t="shared" si="784"/>
        <v>0.96690140845070427</v>
      </c>
      <c r="R333" s="657">
        <f t="shared" si="784"/>
        <v>1.1559705181311699</v>
      </c>
      <c r="S333" s="657"/>
      <c r="T333" s="657"/>
      <c r="U333" s="657">
        <f t="shared" si="766"/>
        <v>0.91891891891891897</v>
      </c>
      <c r="V333" s="657">
        <f t="shared" si="766"/>
        <v>0.41796715744951773</v>
      </c>
      <c r="W333" s="657">
        <f t="shared" si="766"/>
        <v>0.91881824298458203</v>
      </c>
      <c r="X333" s="657">
        <f t="shared" si="766"/>
        <v>1.155081915062828</v>
      </c>
      <c r="Y333" s="657"/>
      <c r="Z333" s="657">
        <f t="shared" ref="Z333:AN333" si="785">+Z340/Z354</f>
        <v>1.0185747514383552</v>
      </c>
      <c r="AA333" s="657">
        <f t="shared" si="785"/>
        <v>1.8385328416226452</v>
      </c>
      <c r="AB333" s="657">
        <f t="shared" si="785"/>
        <v>1.6458333333333333</v>
      </c>
      <c r="AC333" s="657">
        <f t="shared" si="785"/>
        <v>1.305291723202171</v>
      </c>
      <c r="AD333" s="657" t="e">
        <f t="shared" si="785"/>
        <v>#DIV/0!</v>
      </c>
      <c r="AE333" s="657" t="e">
        <f t="shared" si="785"/>
        <v>#DIV/0!</v>
      </c>
      <c r="AF333" s="657">
        <f t="shared" si="785"/>
        <v>1.6795721337401257</v>
      </c>
      <c r="AG333" s="657">
        <f t="shared" si="785"/>
        <v>1.1042345476622861</v>
      </c>
      <c r="AH333" s="657">
        <f t="shared" si="785"/>
        <v>0.98375297716853427</v>
      </c>
      <c r="AI333" s="657">
        <f t="shared" si="785"/>
        <v>0.96781115879828328</v>
      </c>
      <c r="AJ333" s="657">
        <f t="shared" si="785"/>
        <v>1.5478081079131751</v>
      </c>
      <c r="AK333" s="657">
        <f t="shared" si="785"/>
        <v>2.3514056224899598</v>
      </c>
      <c r="AL333" s="657">
        <f t="shared" si="785"/>
        <v>0.32343618604049423</v>
      </c>
      <c r="AM333" s="657">
        <f t="shared" si="785"/>
        <v>1.1144803869941222</v>
      </c>
      <c r="AN333" s="503">
        <f t="shared" si="785"/>
        <v>0.96638655462184875</v>
      </c>
    </row>
    <row r="334" spans="3:40" s="492" customFormat="1" ht="21.75" customHeight="1">
      <c r="D334" s="676" t="s">
        <v>79</v>
      </c>
      <c r="E334" s="677">
        <f t="shared" ref="E334:R334" si="786">+E341/E355</f>
        <v>1.0012780275774384</v>
      </c>
      <c r="F334" s="677">
        <f t="shared" si="786"/>
        <v>0.96709116424715058</v>
      </c>
      <c r="G334" s="677">
        <f t="shared" si="786"/>
        <v>1.6547368421052631</v>
      </c>
      <c r="H334" s="677">
        <f t="shared" si="786"/>
        <v>1.612970165095865</v>
      </c>
      <c r="I334" s="677">
        <f t="shared" si="786"/>
        <v>1.1251282051282052</v>
      </c>
      <c r="J334" s="677">
        <f t="shared" si="786"/>
        <v>1.1324252803873791</v>
      </c>
      <c r="K334" s="677">
        <f t="shared" si="786"/>
        <v>1.005214946501197</v>
      </c>
      <c r="L334" s="677">
        <f t="shared" si="786"/>
        <v>0.98860430785395326</v>
      </c>
      <c r="M334" s="677">
        <f t="shared" si="786"/>
        <v>0.97324414715719065</v>
      </c>
      <c r="N334" s="677" t="e">
        <f t="shared" si="786"/>
        <v>#DIV/0!</v>
      </c>
      <c r="O334" s="677">
        <f t="shared" si="786"/>
        <v>0.96038647342995165</v>
      </c>
      <c r="P334" s="677">
        <f t="shared" si="786"/>
        <v>1</v>
      </c>
      <c r="Q334" s="677">
        <f t="shared" si="786"/>
        <v>0.96201306556980404</v>
      </c>
      <c r="R334" s="677">
        <f t="shared" si="786"/>
        <v>1.1153731167749679</v>
      </c>
      <c r="S334" s="677"/>
      <c r="T334" s="677"/>
      <c r="U334" s="677">
        <f t="shared" ref="U334:X334" si="787">+U341/U355</f>
        <v>0.95578231292517002</v>
      </c>
      <c r="V334" s="677">
        <f t="shared" si="787"/>
        <v>0.67067943506172567</v>
      </c>
      <c r="W334" s="677">
        <f t="shared" si="787"/>
        <v>0.91627155847909336</v>
      </c>
      <c r="X334" s="677">
        <f t="shared" si="787"/>
        <v>1.1112950916617386</v>
      </c>
      <c r="Y334" s="677"/>
      <c r="Z334" s="677">
        <f t="shared" ref="Z334:AA334" si="788">+Z341/Z355</f>
        <v>1.0051309004833324</v>
      </c>
      <c r="AA334" s="677">
        <f t="shared" si="788"/>
        <v>1.1164164534805439</v>
      </c>
      <c r="AB334" s="677"/>
      <c r="AC334" s="677">
        <f t="shared" ref="AC334:AN334" si="789">+AC341/AC355</f>
        <v>1.3116531165311653</v>
      </c>
      <c r="AD334" s="677" t="e">
        <f t="shared" si="789"/>
        <v>#DIV/0!</v>
      </c>
      <c r="AE334" s="677" t="e">
        <f t="shared" si="789"/>
        <v>#DIV/0!</v>
      </c>
      <c r="AF334" s="677">
        <f t="shared" si="789"/>
        <v>1.1164070810825042</v>
      </c>
      <c r="AG334" s="677">
        <f t="shared" si="789"/>
        <v>1.0186921150590733</v>
      </c>
      <c r="AH334" s="677">
        <f t="shared" si="789"/>
        <v>0.9725745588070398</v>
      </c>
      <c r="AI334" s="677">
        <f t="shared" si="789"/>
        <v>0.96450617283950613</v>
      </c>
      <c r="AJ334" s="677">
        <f t="shared" si="789"/>
        <v>1.4128899216694111</v>
      </c>
      <c r="AK334" s="677">
        <f t="shared" si="789"/>
        <v>2.7475961538461537</v>
      </c>
      <c r="AL334" s="677">
        <f t="shared" si="789"/>
        <v>0.34334954820290026</v>
      </c>
      <c r="AM334" s="677">
        <f t="shared" si="789"/>
        <v>1.0225367730610484</v>
      </c>
      <c r="AN334" s="677">
        <f t="shared" si="789"/>
        <v>0.96139288417865254</v>
      </c>
    </row>
    <row r="335" spans="3:40" ht="21.75" customHeight="1"/>
    <row r="336" spans="3:40" ht="19.5" customHeight="1">
      <c r="C336" s="1610" t="s">
        <v>67</v>
      </c>
      <c r="D336" s="654" t="s">
        <v>216</v>
      </c>
      <c r="E336" s="655">
        <v>6899.9000000000069</v>
      </c>
      <c r="F336" s="655">
        <v>1637921911</v>
      </c>
      <c r="G336" s="655">
        <v>746</v>
      </c>
      <c r="H336" s="655">
        <v>176123390</v>
      </c>
      <c r="I336" s="655">
        <v>0</v>
      </c>
      <c r="J336" s="655">
        <v>0</v>
      </c>
      <c r="K336" s="655">
        <v>1814045301</v>
      </c>
      <c r="L336" s="655">
        <v>839630</v>
      </c>
      <c r="M336" s="655">
        <v>57600000</v>
      </c>
      <c r="N336" s="655">
        <v>0</v>
      </c>
      <c r="O336" s="655">
        <v>122500000</v>
      </c>
      <c r="P336" s="655">
        <v>200000</v>
      </c>
      <c r="Q336" s="655">
        <v>98600000</v>
      </c>
      <c r="R336" s="655">
        <v>148546470</v>
      </c>
      <c r="S336" s="655">
        <v>0</v>
      </c>
      <c r="T336" s="655">
        <v>0</v>
      </c>
      <c r="U336" s="655">
        <v>6100000</v>
      </c>
      <c r="V336" s="655">
        <v>0</v>
      </c>
      <c r="W336" s="655">
        <v>9149689.8815348297</v>
      </c>
      <c r="X336" s="655">
        <v>0</v>
      </c>
      <c r="Y336" s="655">
        <v>0</v>
      </c>
      <c r="Z336" s="655">
        <v>2257581093</v>
      </c>
      <c r="AA336" s="655">
        <v>3912.5</v>
      </c>
      <c r="AB336" s="655">
        <v>0</v>
      </c>
      <c r="AC336" s="655">
        <v>0</v>
      </c>
      <c r="AD336" s="655">
        <v>0</v>
      </c>
      <c r="AE336" s="655">
        <v>0</v>
      </c>
      <c r="AF336" s="655">
        <v>172693963</v>
      </c>
      <c r="AG336" s="655">
        <v>2430275056</v>
      </c>
      <c r="AH336" s="655">
        <v>187720470</v>
      </c>
      <c r="AI336" s="655">
        <v>12272000</v>
      </c>
      <c r="AJ336" s="655">
        <v>110972</v>
      </c>
      <c r="AK336" s="655">
        <v>0</v>
      </c>
      <c r="AL336" s="655">
        <v>0</v>
      </c>
      <c r="AM336" s="655">
        <v>2230171614</v>
      </c>
      <c r="AN336" s="654">
        <v>296</v>
      </c>
    </row>
    <row r="337" spans="3:40" ht="19.5" customHeight="1">
      <c r="C337" s="1610"/>
      <c r="D337" s="654" t="s">
        <v>217</v>
      </c>
      <c r="E337" s="655">
        <v>3366.6000000000004</v>
      </c>
      <c r="F337" s="655">
        <v>881763911</v>
      </c>
      <c r="G337" s="655">
        <v>369</v>
      </c>
      <c r="H337" s="655">
        <v>95463113</v>
      </c>
      <c r="I337" s="655">
        <v>1208.8</v>
      </c>
      <c r="J337" s="655">
        <v>11296620</v>
      </c>
      <c r="K337" s="655">
        <v>988523644</v>
      </c>
      <c r="L337" s="655">
        <v>2074444</v>
      </c>
      <c r="M337" s="655">
        <v>28200000</v>
      </c>
      <c r="N337" s="655">
        <v>0</v>
      </c>
      <c r="O337" s="655">
        <v>62000000</v>
      </c>
      <c r="P337" s="655">
        <v>200000</v>
      </c>
      <c r="Q337" s="655">
        <v>50000000</v>
      </c>
      <c r="R337" s="655">
        <v>40188060</v>
      </c>
      <c r="S337" s="655">
        <v>0</v>
      </c>
      <c r="T337" s="655">
        <v>0</v>
      </c>
      <c r="U337" s="655">
        <v>2900000</v>
      </c>
      <c r="V337" s="655">
        <v>200000</v>
      </c>
      <c r="W337" s="655">
        <v>2640475.9429477639</v>
      </c>
      <c r="X337" s="655">
        <v>5580000</v>
      </c>
      <c r="Y337" s="655">
        <v>0</v>
      </c>
      <c r="Z337" s="655">
        <v>1182506621</v>
      </c>
      <c r="AA337" s="655">
        <v>2385.5</v>
      </c>
      <c r="AB337" s="655">
        <v>15.5</v>
      </c>
      <c r="AC337" s="655">
        <v>6</v>
      </c>
      <c r="AD337" s="655">
        <v>0</v>
      </c>
      <c r="AE337" s="655">
        <v>0</v>
      </c>
      <c r="AF337" s="655">
        <v>119297099</v>
      </c>
      <c r="AG337" s="655">
        <v>1301803720</v>
      </c>
      <c r="AH337" s="655">
        <v>101695650</v>
      </c>
      <c r="AI337" s="655">
        <v>5865600</v>
      </c>
      <c r="AJ337" s="655">
        <v>313652</v>
      </c>
      <c r="AK337" s="655">
        <v>0</v>
      </c>
      <c r="AL337" s="655">
        <v>0</v>
      </c>
      <c r="AM337" s="655">
        <v>1193928818</v>
      </c>
      <c r="AN337" s="654">
        <v>142</v>
      </c>
    </row>
    <row r="338" spans="3:40" ht="19.5" customHeight="1">
      <c r="C338" s="1610"/>
      <c r="D338" s="654" t="s">
        <v>218</v>
      </c>
      <c r="E338" s="655">
        <v>5530.1999999999962</v>
      </c>
      <c r="F338" s="655">
        <v>1275066304</v>
      </c>
      <c r="G338" s="655">
        <v>568</v>
      </c>
      <c r="H338" s="655">
        <v>130466985</v>
      </c>
      <c r="I338" s="655">
        <v>0</v>
      </c>
      <c r="J338" s="655">
        <v>0</v>
      </c>
      <c r="K338" s="655">
        <v>1405533289</v>
      </c>
      <c r="L338" s="655">
        <v>526296</v>
      </c>
      <c r="M338" s="655">
        <v>45800000</v>
      </c>
      <c r="N338" s="655">
        <v>0</v>
      </c>
      <c r="O338" s="655">
        <v>101500000</v>
      </c>
      <c r="P338" s="655">
        <v>200000</v>
      </c>
      <c r="Q338" s="655">
        <v>81950000</v>
      </c>
      <c r="R338" s="655">
        <v>162100583</v>
      </c>
      <c r="S338" s="655">
        <v>0</v>
      </c>
      <c r="T338" s="655">
        <v>0</v>
      </c>
      <c r="U338" s="655">
        <v>6000000</v>
      </c>
      <c r="V338" s="655">
        <v>0</v>
      </c>
      <c r="W338" s="655">
        <v>7723391.6707596276</v>
      </c>
      <c r="X338" s="655">
        <v>0</v>
      </c>
      <c r="Y338" s="655">
        <v>0</v>
      </c>
      <c r="Z338" s="655">
        <v>1811333569</v>
      </c>
      <c r="AA338" s="655">
        <v>6782.5</v>
      </c>
      <c r="AB338" s="655">
        <v>0</v>
      </c>
      <c r="AC338" s="655">
        <v>0</v>
      </c>
      <c r="AD338" s="655">
        <v>0</v>
      </c>
      <c r="AE338" s="655">
        <v>0</v>
      </c>
      <c r="AF338" s="655">
        <v>291239112</v>
      </c>
      <c r="AG338" s="655">
        <v>2102572681</v>
      </c>
      <c r="AH338" s="655">
        <v>145141168</v>
      </c>
      <c r="AI338" s="655">
        <v>9609600</v>
      </c>
      <c r="AJ338" s="655">
        <v>708392</v>
      </c>
      <c r="AK338" s="655">
        <v>274500</v>
      </c>
      <c r="AL338" s="655">
        <v>145966</v>
      </c>
      <c r="AM338" s="655">
        <v>1946693055</v>
      </c>
      <c r="AN338" s="654">
        <v>232</v>
      </c>
    </row>
    <row r="339" spans="3:40" ht="19.5" customHeight="1">
      <c r="C339" s="1610"/>
      <c r="D339" s="654" t="s">
        <v>220</v>
      </c>
      <c r="E339" s="655">
        <v>3337.4999999999991</v>
      </c>
      <c r="F339" s="655">
        <v>1382184000</v>
      </c>
      <c r="G339" s="655">
        <v>322</v>
      </c>
      <c r="H339" s="655">
        <v>129340656</v>
      </c>
      <c r="I339" s="655">
        <v>0</v>
      </c>
      <c r="J339" s="655">
        <v>0</v>
      </c>
      <c r="K339" s="655">
        <v>1511524656</v>
      </c>
      <c r="L339" s="655">
        <v>28070179</v>
      </c>
      <c r="M339" s="655">
        <v>16600000</v>
      </c>
      <c r="N339" s="655">
        <v>0</v>
      </c>
      <c r="O339" s="655">
        <v>35000000</v>
      </c>
      <c r="P339" s="655">
        <v>3096000</v>
      </c>
      <c r="Q339" s="655">
        <v>29750000</v>
      </c>
      <c r="R339" s="655">
        <v>14229936</v>
      </c>
      <c r="S339" s="655">
        <v>0</v>
      </c>
      <c r="T339" s="655">
        <v>0</v>
      </c>
      <c r="U339" s="655">
        <v>2900000</v>
      </c>
      <c r="V339" s="655">
        <v>3287580</v>
      </c>
      <c r="W339" s="655">
        <v>5183632.2149133636</v>
      </c>
      <c r="X339" s="655">
        <v>822000</v>
      </c>
      <c r="Y339" s="655">
        <v>0</v>
      </c>
      <c r="Z339" s="655">
        <v>1650463983</v>
      </c>
      <c r="AA339" s="655">
        <v>1640</v>
      </c>
      <c r="AB339" s="655">
        <v>76</v>
      </c>
      <c r="AC339" s="655">
        <v>0</v>
      </c>
      <c r="AD339" s="655">
        <v>0</v>
      </c>
      <c r="AE339" s="655">
        <v>0</v>
      </c>
      <c r="AF339" s="655">
        <v>96001404</v>
      </c>
      <c r="AG339" s="655">
        <v>1746465387</v>
      </c>
      <c r="AH339" s="655">
        <v>154877713</v>
      </c>
      <c r="AI339" s="655">
        <v>5491200</v>
      </c>
      <c r="AJ339" s="655">
        <v>4808332</v>
      </c>
      <c r="AK339" s="655">
        <v>269000</v>
      </c>
      <c r="AL339" s="655">
        <v>362723</v>
      </c>
      <c r="AM339" s="655">
        <v>1580656419</v>
      </c>
      <c r="AN339" s="654">
        <v>140</v>
      </c>
    </row>
    <row r="340" spans="3:40" ht="19.5" customHeight="1">
      <c r="C340" s="1610"/>
      <c r="D340" s="654" t="s">
        <v>221</v>
      </c>
      <c r="E340" s="655">
        <v>10950.499999999985</v>
      </c>
      <c r="F340" s="655">
        <v>3195973051</v>
      </c>
      <c r="G340" s="655">
        <v>1139</v>
      </c>
      <c r="H340" s="655">
        <v>326528170</v>
      </c>
      <c r="I340" s="655">
        <v>4166.5</v>
      </c>
      <c r="J340" s="655">
        <v>49329329</v>
      </c>
      <c r="K340" s="655">
        <v>3571830550</v>
      </c>
      <c r="L340" s="655">
        <v>24943700</v>
      </c>
      <c r="M340" s="655">
        <v>84600000</v>
      </c>
      <c r="N340" s="655">
        <v>0</v>
      </c>
      <c r="O340" s="655">
        <v>176000000</v>
      </c>
      <c r="P340" s="655">
        <v>2264000</v>
      </c>
      <c r="Q340" s="655">
        <v>137300000</v>
      </c>
      <c r="R340" s="655">
        <v>170677246</v>
      </c>
      <c r="S340" s="655">
        <v>0</v>
      </c>
      <c r="T340" s="655">
        <v>0</v>
      </c>
      <c r="U340" s="655">
        <v>10200000</v>
      </c>
      <c r="V340" s="655">
        <v>449038</v>
      </c>
      <c r="W340" s="655">
        <v>10674749.950398613</v>
      </c>
      <c r="X340" s="655">
        <v>21786000</v>
      </c>
      <c r="Y340" s="655">
        <v>0</v>
      </c>
      <c r="Z340" s="655">
        <v>4210725265</v>
      </c>
      <c r="AA340" s="655">
        <v>18446</v>
      </c>
      <c r="AB340" s="655">
        <v>395</v>
      </c>
      <c r="AC340" s="655">
        <v>962</v>
      </c>
      <c r="AD340" s="655">
        <v>0</v>
      </c>
      <c r="AE340" s="655">
        <v>0</v>
      </c>
      <c r="AF340" s="655">
        <v>1033753398</v>
      </c>
      <c r="AG340" s="655">
        <v>5244478663</v>
      </c>
      <c r="AH340" s="655">
        <v>362820570</v>
      </c>
      <c r="AI340" s="655">
        <v>18761600</v>
      </c>
      <c r="AJ340" s="655">
        <v>9850144</v>
      </c>
      <c r="AK340" s="655">
        <v>1171000</v>
      </c>
      <c r="AL340" s="655">
        <v>400000</v>
      </c>
      <c r="AM340" s="655">
        <v>4851475349</v>
      </c>
      <c r="AN340" s="654">
        <v>460</v>
      </c>
    </row>
    <row r="341" spans="3:40" ht="19.5" customHeight="1">
      <c r="D341" s="272"/>
      <c r="E341" s="659">
        <f>SUM(E336:E340)</f>
        <v>30084.69999999999</v>
      </c>
      <c r="F341" s="659">
        <f t="shared" ref="F341:AN341" si="790">SUM(F336:F340)</f>
        <v>8372909177</v>
      </c>
      <c r="G341" s="659">
        <f t="shared" si="790"/>
        <v>3144</v>
      </c>
      <c r="H341" s="659">
        <f t="shared" si="790"/>
        <v>857922314</v>
      </c>
      <c r="I341" s="659">
        <f t="shared" si="790"/>
        <v>5375.3</v>
      </c>
      <c r="J341" s="659">
        <f t="shared" si="790"/>
        <v>60625949</v>
      </c>
      <c r="K341" s="659">
        <f t="shared" si="790"/>
        <v>9291457440</v>
      </c>
      <c r="L341" s="659">
        <f t="shared" si="790"/>
        <v>56454249</v>
      </c>
      <c r="M341" s="659">
        <f t="shared" si="790"/>
        <v>232800000</v>
      </c>
      <c r="N341" s="659">
        <f t="shared" si="790"/>
        <v>0</v>
      </c>
      <c r="O341" s="659">
        <f t="shared" si="790"/>
        <v>497000000</v>
      </c>
      <c r="P341" s="659">
        <f t="shared" si="790"/>
        <v>5960000</v>
      </c>
      <c r="Q341" s="659">
        <f t="shared" si="790"/>
        <v>397600000</v>
      </c>
      <c r="R341" s="659">
        <f t="shared" si="790"/>
        <v>535742295</v>
      </c>
      <c r="S341" s="659">
        <f t="shared" si="790"/>
        <v>0</v>
      </c>
      <c r="T341" s="659">
        <f t="shared" si="790"/>
        <v>0</v>
      </c>
      <c r="U341" s="659">
        <f t="shared" si="790"/>
        <v>28100000</v>
      </c>
      <c r="V341" s="659">
        <f t="shared" si="790"/>
        <v>3936618</v>
      </c>
      <c r="W341" s="659">
        <f t="shared" si="790"/>
        <v>35371939.6605542</v>
      </c>
      <c r="X341" s="659">
        <f t="shared" si="790"/>
        <v>28188000</v>
      </c>
      <c r="Y341" s="659">
        <f t="shared" si="790"/>
        <v>0</v>
      </c>
      <c r="Z341" s="659">
        <f t="shared" si="790"/>
        <v>11112610531</v>
      </c>
      <c r="AA341" s="659">
        <f t="shared" si="790"/>
        <v>33166.5</v>
      </c>
      <c r="AB341" s="659">
        <f t="shared" si="790"/>
        <v>486.5</v>
      </c>
      <c r="AC341" s="659">
        <f t="shared" si="790"/>
        <v>968</v>
      </c>
      <c r="AD341" s="659">
        <f t="shared" si="790"/>
        <v>0</v>
      </c>
      <c r="AE341" s="659">
        <f t="shared" si="790"/>
        <v>0</v>
      </c>
      <c r="AF341" s="659">
        <f t="shared" si="790"/>
        <v>1712984976</v>
      </c>
      <c r="AG341" s="659">
        <f t="shared" si="790"/>
        <v>12825595507</v>
      </c>
      <c r="AH341" s="659">
        <f t="shared" si="790"/>
        <v>952255571</v>
      </c>
      <c r="AI341" s="659">
        <f t="shared" si="790"/>
        <v>52000000</v>
      </c>
      <c r="AJ341" s="659">
        <f t="shared" si="790"/>
        <v>15791492</v>
      </c>
      <c r="AK341" s="659">
        <f t="shared" si="790"/>
        <v>1714500</v>
      </c>
      <c r="AL341" s="659">
        <f t="shared" si="790"/>
        <v>908689</v>
      </c>
      <c r="AM341" s="659">
        <f t="shared" si="790"/>
        <v>11802925255</v>
      </c>
      <c r="AN341" s="659">
        <f t="shared" si="790"/>
        <v>1270</v>
      </c>
    </row>
    <row r="342" spans="3:40" ht="19.5" customHeight="1">
      <c r="D342" s="665"/>
      <c r="E342" s="665"/>
      <c r="F342" s="666"/>
      <c r="G342" s="667"/>
      <c r="H342" s="666"/>
      <c r="I342" s="667"/>
      <c r="J342" s="666"/>
      <c r="K342" s="666"/>
      <c r="L342" s="666"/>
      <c r="M342" s="666"/>
      <c r="N342" s="666"/>
      <c r="O342" s="666"/>
      <c r="P342" s="666"/>
      <c r="Q342" s="666"/>
      <c r="R342" s="666"/>
      <c r="S342" s="668"/>
      <c r="T342" s="666"/>
      <c r="U342" s="666"/>
      <c r="V342" s="666"/>
      <c r="W342" s="666"/>
      <c r="X342" s="669"/>
      <c r="Y342" s="669"/>
      <c r="Z342" s="669"/>
      <c r="AA342" s="670"/>
      <c r="AB342" s="670"/>
      <c r="AC342" s="670"/>
      <c r="AD342" s="670"/>
      <c r="AE342" s="670"/>
      <c r="AF342" s="671"/>
      <c r="AG342" s="672"/>
      <c r="AH342" s="671"/>
      <c r="AI342" s="673"/>
      <c r="AJ342" s="671"/>
      <c r="AK342" s="657"/>
      <c r="AL342" s="657"/>
      <c r="AM342" s="669"/>
      <c r="AN342" s="675"/>
    </row>
    <row r="343" spans="3:40" ht="21.75" customHeight="1">
      <c r="C343" s="1605" t="str">
        <f>C350&amp;" Vs "&amp;C364</f>
        <v>Apr Vs Mar</v>
      </c>
      <c r="D343" s="654" t="s">
        <v>216</v>
      </c>
      <c r="E343" s="657">
        <f>+E350/E364</f>
        <v>0.88382865145004741</v>
      </c>
      <c r="F343" s="657">
        <f t="shared" ref="F343:R343" si="791">+F350/F364</f>
        <v>0.92697941301375886</v>
      </c>
      <c r="G343" s="657">
        <f t="shared" si="791"/>
        <v>33.071428571428569</v>
      </c>
      <c r="H343" s="657">
        <f t="shared" si="791"/>
        <v>33.136148780858321</v>
      </c>
      <c r="I343" s="657"/>
      <c r="J343" s="657"/>
      <c r="K343" s="657">
        <f t="shared" si="791"/>
        <v>0.9824667507074889</v>
      </c>
      <c r="L343" s="657">
        <f t="shared" si="791"/>
        <v>1.0571250179203608</v>
      </c>
      <c r="M343" s="657">
        <f t="shared" si="791"/>
        <v>0.98750000000000004</v>
      </c>
      <c r="N343" s="657" t="e">
        <f t="shared" si="791"/>
        <v>#DIV/0!</v>
      </c>
      <c r="O343" s="657">
        <f t="shared" si="791"/>
        <v>1.0599250936329587</v>
      </c>
      <c r="P343" s="657">
        <f t="shared" si="791"/>
        <v>0.5524861878453039</v>
      </c>
      <c r="Q343" s="657">
        <f t="shared" si="791"/>
        <v>1.018653321201092</v>
      </c>
      <c r="R343" s="657">
        <f t="shared" si="791"/>
        <v>1.0242467919452007</v>
      </c>
      <c r="S343" s="657"/>
      <c r="T343" s="657"/>
      <c r="U343" s="657">
        <f t="shared" ref="U343:X344" si="792">+U350/U364</f>
        <v>1.0166666666666666</v>
      </c>
      <c r="V343" s="657">
        <f t="shared" si="792"/>
        <v>0</v>
      </c>
      <c r="W343" s="657">
        <f t="shared" ref="W343" si="793">+W350/W364</f>
        <v>1.0108865918339782</v>
      </c>
      <c r="X343" s="657"/>
      <c r="Y343" s="657"/>
      <c r="Z343" s="657">
        <f t="shared" ref="Z343:AA343" si="794">+Z350/Z364</f>
        <v>0.99079090274495074</v>
      </c>
      <c r="AA343" s="657">
        <f t="shared" si="794"/>
        <v>0.81442599212634059</v>
      </c>
      <c r="AB343" s="657"/>
      <c r="AC343" s="657"/>
      <c r="AD343" s="657" t="e">
        <f t="shared" ref="AC343:AL344" si="795">+AD350/AD364</f>
        <v>#DIV/0!</v>
      </c>
      <c r="AE343" s="657" t="e">
        <f t="shared" si="795"/>
        <v>#DIV/0!</v>
      </c>
      <c r="AF343" s="657">
        <f t="shared" si="795"/>
        <v>0.83347077590762608</v>
      </c>
      <c r="AG343" s="657">
        <f>+AG350/AG364</f>
        <v>0.9648848411594706</v>
      </c>
      <c r="AH343" s="657">
        <f t="shared" ref="AH343:AL343" si="796">+AH350/AH364</f>
        <v>1.0153493441383259</v>
      </c>
      <c r="AI343" s="657">
        <f t="shared" si="796"/>
        <v>0.99378881987577639</v>
      </c>
      <c r="AJ343" s="657">
        <f t="shared" si="796"/>
        <v>1.1611140304781924</v>
      </c>
      <c r="AK343" s="657"/>
      <c r="AL343" s="657">
        <f t="shared" si="796"/>
        <v>1.2128194508808907</v>
      </c>
      <c r="AM343" s="657">
        <f t="shared" ref="AM343" si="797">+AM350/AM364</f>
        <v>0.96083701691332624</v>
      </c>
      <c r="AN343" s="503">
        <f>+AN350/AN364</f>
        <v>0.98776758409785936</v>
      </c>
    </row>
    <row r="344" spans="3:40" ht="21.75" customHeight="1">
      <c r="C344" s="1605"/>
      <c r="D344" s="654" t="s">
        <v>217</v>
      </c>
      <c r="E344" s="657">
        <f t="shared" ref="E344:R344" si="798">+E351/E365</f>
        <v>0.84509071504802613</v>
      </c>
      <c r="F344" s="657">
        <f t="shared" si="798"/>
        <v>0.88035522657613341</v>
      </c>
      <c r="G344" s="657">
        <f t="shared" si="798"/>
        <v>57.75</v>
      </c>
      <c r="H344" s="657">
        <f t="shared" si="798"/>
        <v>68.606933111241105</v>
      </c>
      <c r="I344" s="657">
        <f t="shared" si="798"/>
        <v>1.0109561752988048</v>
      </c>
      <c r="J344" s="657">
        <f t="shared" si="798"/>
        <v>1.0275777615692061</v>
      </c>
      <c r="K344" s="657">
        <f t="shared" si="798"/>
        <v>0.94363392962909654</v>
      </c>
      <c r="L344" s="657">
        <f t="shared" si="798"/>
        <v>1.0667146303314654</v>
      </c>
      <c r="M344" s="657">
        <f t="shared" si="798"/>
        <v>0.96478873239436624</v>
      </c>
      <c r="N344" s="657" t="e">
        <f t="shared" si="798"/>
        <v>#DIV/0!</v>
      </c>
      <c r="O344" s="657">
        <f t="shared" si="798"/>
        <v>1.0892857142857142</v>
      </c>
      <c r="P344" s="657">
        <f t="shared" si="798"/>
        <v>0</v>
      </c>
      <c r="Q344" s="657">
        <f t="shared" si="798"/>
        <v>1.1248527679623086</v>
      </c>
      <c r="R344" s="657">
        <f t="shared" si="798"/>
        <v>0.83337111384872664</v>
      </c>
      <c r="S344" s="657"/>
      <c r="T344" s="657"/>
      <c r="U344" s="657">
        <f t="shared" ref="U344" si="799">+U351/U365</f>
        <v>1.037037037037037</v>
      </c>
      <c r="V344" s="657">
        <f t="shared" si="792"/>
        <v>1.844355</v>
      </c>
      <c r="W344" s="657">
        <f t="shared" si="792"/>
        <v>1.0337734096246911</v>
      </c>
      <c r="X344" s="657">
        <f t="shared" si="792"/>
        <v>1.0099502487562189</v>
      </c>
      <c r="Y344" s="657"/>
      <c r="Z344" s="657">
        <f t="shared" ref="Z344:AA345" si="800">+Z351/Z365</f>
        <v>0.95368055730946122</v>
      </c>
      <c r="AA344" s="657">
        <f t="shared" si="800"/>
        <v>1.3113432835820895</v>
      </c>
      <c r="AB344" s="657"/>
      <c r="AC344" s="657">
        <f t="shared" si="795"/>
        <v>0.66666666666666663</v>
      </c>
      <c r="AD344" s="657" t="e">
        <f t="shared" si="795"/>
        <v>#DIV/0!</v>
      </c>
      <c r="AE344" s="657" t="e">
        <f t="shared" si="795"/>
        <v>#DIV/0!</v>
      </c>
      <c r="AF344" s="657">
        <f t="shared" si="795"/>
        <v>1.3019486999296084</v>
      </c>
      <c r="AG344" s="657">
        <f t="shared" si="795"/>
        <v>0.97652152276994841</v>
      </c>
      <c r="AH344" s="657">
        <f t="shared" si="795"/>
        <v>0.9558945554349908</v>
      </c>
      <c r="AI344" s="657">
        <f t="shared" si="795"/>
        <v>0.95862068965517244</v>
      </c>
      <c r="AJ344" s="657">
        <f t="shared" si="795"/>
        <v>1.4151526162790697</v>
      </c>
      <c r="AK344" s="657"/>
      <c r="AL344" s="657">
        <f t="shared" si="795"/>
        <v>9.28876656768306E-2</v>
      </c>
      <c r="AM344" s="657">
        <f t="shared" ref="AM344:AN344" si="801">+AM351/AM365</f>
        <v>0.97872863931525689</v>
      </c>
      <c r="AN344" s="503">
        <f t="shared" si="801"/>
        <v>0.93377483443708609</v>
      </c>
    </row>
    <row r="345" spans="3:40" ht="21.75" customHeight="1">
      <c r="C345" s="1605"/>
      <c r="D345" s="654" t="s">
        <v>218</v>
      </c>
      <c r="E345" s="657">
        <f t="shared" ref="E345:R345" si="802">+E352/E366</f>
        <v>0.88560909760287976</v>
      </c>
      <c r="F345" s="657">
        <f t="shared" si="802"/>
        <v>0.92544024954796744</v>
      </c>
      <c r="G345" s="657">
        <f t="shared" si="802"/>
        <v>16.8</v>
      </c>
      <c r="H345" s="657">
        <f t="shared" si="802"/>
        <v>17.640472804239518</v>
      </c>
      <c r="I345" s="657"/>
      <c r="J345" s="657"/>
      <c r="K345" s="657">
        <f t="shared" si="802"/>
        <v>0.97883299239084531</v>
      </c>
      <c r="L345" s="657">
        <f t="shared" si="802"/>
        <v>1.0236137531058498</v>
      </c>
      <c r="M345" s="657">
        <f t="shared" si="802"/>
        <v>0.98717948717948723</v>
      </c>
      <c r="N345" s="657" t="e">
        <f t="shared" si="802"/>
        <v>#DIV/0!</v>
      </c>
      <c r="O345" s="657">
        <f t="shared" si="802"/>
        <v>1.0257731958762886</v>
      </c>
      <c r="P345" s="657">
        <f t="shared" si="802"/>
        <v>0.48076923076923078</v>
      </c>
      <c r="Q345" s="657">
        <f t="shared" si="802"/>
        <v>1.1046590141796084</v>
      </c>
      <c r="R345" s="657">
        <f t="shared" si="802"/>
        <v>0.93055940555989913</v>
      </c>
      <c r="S345" s="657"/>
      <c r="T345" s="657"/>
      <c r="U345" s="657">
        <f t="shared" ref="U345" si="803">+U352/U366</f>
        <v>0.96969696969696972</v>
      </c>
      <c r="V345" s="657">
        <f t="shared" ref="V345:W345" si="804">+V352/V366</f>
        <v>0.78356451421201145</v>
      </c>
      <c r="W345" s="657">
        <f t="shared" si="804"/>
        <v>1.016077081149295</v>
      </c>
      <c r="X345" s="657"/>
      <c r="Y345" s="657"/>
      <c r="Z345" s="657">
        <f t="shared" ref="Z345" si="805">+Z352/Z366</f>
        <v>0.98300725713028947</v>
      </c>
      <c r="AA345" s="657">
        <f t="shared" si="800"/>
        <v>1.1452061725271945</v>
      </c>
      <c r="AB345" s="657"/>
      <c r="AC345" s="657"/>
      <c r="AD345" s="657" t="e">
        <f t="shared" ref="AD345:AK345" si="806">+AD352/AD366</f>
        <v>#DIV/0!</v>
      </c>
      <c r="AE345" s="657" t="e">
        <f t="shared" si="806"/>
        <v>#DIV/0!</v>
      </c>
      <c r="AF345" s="657">
        <f t="shared" si="806"/>
        <v>1.1730423654428843</v>
      </c>
      <c r="AG345" s="657">
        <f t="shared" si="806"/>
        <v>1.0065844930378844</v>
      </c>
      <c r="AH345" s="657">
        <f t="shared" si="806"/>
        <v>0.99814455894030552</v>
      </c>
      <c r="AI345" s="657">
        <f t="shared" si="806"/>
        <v>1</v>
      </c>
      <c r="AJ345" s="657">
        <f t="shared" si="806"/>
        <v>0.86889353711510164</v>
      </c>
      <c r="AK345" s="657">
        <f t="shared" si="806"/>
        <v>0.93846153846153846</v>
      </c>
      <c r="AL345" s="657"/>
      <c r="AM345" s="657">
        <f t="shared" ref="AM345:AN345" si="807">+AM352/AM366</f>
        <v>1.0072126655942848</v>
      </c>
      <c r="AN345" s="503">
        <f t="shared" si="807"/>
        <v>1</v>
      </c>
    </row>
    <row r="346" spans="3:40" ht="21.75" customHeight="1">
      <c r="C346" s="1605"/>
      <c r="D346" s="654" t="s">
        <v>220</v>
      </c>
      <c r="E346" s="657">
        <f t="shared" ref="E346:R346" si="808">+E353/E367</f>
        <v>0.86609379629879091</v>
      </c>
      <c r="F346" s="657">
        <f t="shared" si="808"/>
        <v>0.8912659248604512</v>
      </c>
      <c r="G346" s="657">
        <f t="shared" si="808"/>
        <v>10.333333333333334</v>
      </c>
      <c r="H346" s="657">
        <f t="shared" si="808"/>
        <v>9.692257411492486</v>
      </c>
      <c r="I346" s="657"/>
      <c r="J346" s="657"/>
      <c r="K346" s="657">
        <f t="shared" si="808"/>
        <v>0.93564495897229571</v>
      </c>
      <c r="L346" s="657">
        <f t="shared" si="808"/>
        <v>0.95331424684077826</v>
      </c>
      <c r="M346" s="657">
        <f t="shared" si="808"/>
        <v>1.025974025974026</v>
      </c>
      <c r="N346" s="657" t="e">
        <f t="shared" si="808"/>
        <v>#DIV/0!</v>
      </c>
      <c r="O346" s="657">
        <f t="shared" si="808"/>
        <v>1.0588235294117647</v>
      </c>
      <c r="P346" s="657">
        <f t="shared" si="808"/>
        <v>0.95027624309392267</v>
      </c>
      <c r="Q346" s="657">
        <f t="shared" si="808"/>
        <v>1</v>
      </c>
      <c r="R346" s="657">
        <f t="shared" si="808"/>
        <v>0.66152385813748515</v>
      </c>
      <c r="S346" s="657"/>
      <c r="T346" s="657"/>
      <c r="U346" s="657">
        <f t="shared" ref="U346" si="809">+U353/U367</f>
        <v>0.9375</v>
      </c>
      <c r="V346" s="657">
        <f t="shared" ref="V346:X346" si="810">+V353/V367</f>
        <v>2.0230419047619046</v>
      </c>
      <c r="W346" s="657">
        <f t="shared" si="810"/>
        <v>0.95850464453338868</v>
      </c>
      <c r="X346" s="657">
        <f t="shared" si="810"/>
        <v>0.88461538461538458</v>
      </c>
      <c r="Y346" s="657"/>
      <c r="Z346" s="657">
        <f t="shared" ref="Z346:AA346" si="811">+Z353/Z367</f>
        <v>0.93933205576349277</v>
      </c>
      <c r="AA346" s="657">
        <f t="shared" si="811"/>
        <v>0.94489510489510486</v>
      </c>
      <c r="AB346" s="657"/>
      <c r="AC346" s="657">
        <f t="shared" ref="AC346:AK346" si="812">+AC353/AC367</f>
        <v>0</v>
      </c>
      <c r="AD346" s="657" t="e">
        <f t="shared" si="812"/>
        <v>#DIV/0!</v>
      </c>
      <c r="AE346" s="657" t="e">
        <f t="shared" si="812"/>
        <v>#DIV/0!</v>
      </c>
      <c r="AF346" s="657">
        <f t="shared" si="812"/>
        <v>1.0710256913031015</v>
      </c>
      <c r="AG346" s="657">
        <f t="shared" si="812"/>
        <v>0.94676431534564898</v>
      </c>
      <c r="AH346" s="657">
        <f t="shared" si="812"/>
        <v>1.0068453856384343</v>
      </c>
      <c r="AI346" s="657">
        <f t="shared" si="812"/>
        <v>0.97826086956521741</v>
      </c>
      <c r="AJ346" s="657">
        <f t="shared" si="812"/>
        <v>0.3946239665261711</v>
      </c>
      <c r="AK346" s="657">
        <f t="shared" si="812"/>
        <v>0.24074074074074073</v>
      </c>
      <c r="AL346" s="657"/>
      <c r="AM346" s="657">
        <f t="shared" ref="AL346:AN347" si="813">+AM353/AM367</f>
        <v>0.94382149691162154</v>
      </c>
      <c r="AN346" s="503">
        <f t="shared" si="813"/>
        <v>0.98620689655172411</v>
      </c>
    </row>
    <row r="347" spans="3:40" s="653" customFormat="1" ht="21.75" customHeight="1">
      <c r="C347" s="1605"/>
      <c r="D347" s="656" t="s">
        <v>221</v>
      </c>
      <c r="E347" s="657">
        <f t="shared" ref="E347:R347" si="814">+E354/E368</f>
        <v>0.87323015605162102</v>
      </c>
      <c r="F347" s="657">
        <f t="shared" si="814"/>
        <v>0.91226618209940002</v>
      </c>
      <c r="G347" s="657">
        <f t="shared" si="814"/>
        <v>18</v>
      </c>
      <c r="H347" s="657">
        <f t="shared" si="814"/>
        <v>18.074332110547704</v>
      </c>
      <c r="I347" s="657">
        <f t="shared" si="814"/>
        <v>0.75530218640106583</v>
      </c>
      <c r="J347" s="657">
        <f t="shared" si="814"/>
        <v>0.79757981271015377</v>
      </c>
      <c r="K347" s="657">
        <f t="shared" si="814"/>
        <v>0.96290444964601374</v>
      </c>
      <c r="L347" s="657">
        <f t="shared" si="814"/>
        <v>0.95254729365585566</v>
      </c>
      <c r="M347" s="657">
        <f t="shared" si="814"/>
        <v>0.98633257403189067</v>
      </c>
      <c r="N347" s="657" t="e">
        <f t="shared" si="814"/>
        <v>#DIV/0!</v>
      </c>
      <c r="O347" s="657">
        <f t="shared" si="814"/>
        <v>0.98356164383561639</v>
      </c>
      <c r="P347" s="657">
        <f t="shared" si="814"/>
        <v>0.48734177215189872</v>
      </c>
      <c r="Q347" s="657">
        <f t="shared" si="814"/>
        <v>0.98611111111111116</v>
      </c>
      <c r="R347" s="657">
        <f t="shared" si="814"/>
        <v>0.98294233862258196</v>
      </c>
      <c r="S347" s="657"/>
      <c r="T347" s="657"/>
      <c r="U347" s="657">
        <f t="shared" ref="U347" si="815">+U354/U368</f>
        <v>0.9652173913043478</v>
      </c>
      <c r="V347" s="657">
        <f t="shared" ref="V347:X347" si="816">+V354/V368</f>
        <v>0.18274619215687141</v>
      </c>
      <c r="W347" s="657">
        <f t="shared" si="816"/>
        <v>1.007229440756414</v>
      </c>
      <c r="X347" s="657">
        <f t="shared" si="816"/>
        <v>0.77445183542744522</v>
      </c>
      <c r="Y347" s="657"/>
      <c r="Z347" s="657">
        <f t="shared" ref="Z347:AA347" si="817">+Z354/Z368</f>
        <v>0.96310782306004228</v>
      </c>
      <c r="AA347" s="657">
        <f t="shared" si="817"/>
        <v>0.63878012287906283</v>
      </c>
      <c r="AB347" s="657">
        <f t="shared" ref="AB347" si="818">+AB354/AB368</f>
        <v>30</v>
      </c>
      <c r="AC347" s="657">
        <f t="shared" ref="AC347:AK347" si="819">+AC354/AC368</f>
        <v>0.67244525547445255</v>
      </c>
      <c r="AD347" s="657" t="e">
        <f t="shared" si="819"/>
        <v>#DIV/0!</v>
      </c>
      <c r="AE347" s="657" t="e">
        <f t="shared" si="819"/>
        <v>#DIV/0!</v>
      </c>
      <c r="AF347" s="657">
        <f t="shared" si="819"/>
        <v>0.70265867603590637</v>
      </c>
      <c r="AG347" s="657">
        <f t="shared" si="819"/>
        <v>0.91896551491816647</v>
      </c>
      <c r="AH347" s="657">
        <f t="shared" si="819"/>
        <v>0.99765925750966855</v>
      </c>
      <c r="AI347" s="657">
        <f t="shared" si="819"/>
        <v>0.9831223628691983</v>
      </c>
      <c r="AJ347" s="657">
        <f t="shared" si="819"/>
        <v>0.80823758480141261</v>
      </c>
      <c r="AK347" s="657">
        <f t="shared" si="819"/>
        <v>1.0111675126903554</v>
      </c>
      <c r="AL347" s="657">
        <f t="shared" si="813"/>
        <v>0.56874679518870164</v>
      </c>
      <c r="AM347" s="657">
        <f t="shared" si="813"/>
        <v>0.9129322367000513</v>
      </c>
      <c r="AN347" s="503">
        <f t="shared" si="813"/>
        <v>0.97540983606557374</v>
      </c>
    </row>
    <row r="348" spans="3:40" s="492" customFormat="1" ht="21.75" customHeight="1">
      <c r="D348" s="676" t="s">
        <v>79</v>
      </c>
      <c r="E348" s="677">
        <f t="shared" ref="E348:R348" si="820">+E355/E369</f>
        <v>0.8741682741124136</v>
      </c>
      <c r="F348" s="677">
        <f t="shared" si="820"/>
        <v>0.91057174981785782</v>
      </c>
      <c r="G348" s="677">
        <f t="shared" si="820"/>
        <v>20.212765957446809</v>
      </c>
      <c r="H348" s="677">
        <f t="shared" si="820"/>
        <v>19.147270906988659</v>
      </c>
      <c r="I348" s="677">
        <f t="shared" si="820"/>
        <v>0.81201665675193335</v>
      </c>
      <c r="J348" s="677">
        <f t="shared" si="820"/>
        <v>0.84214791816990175</v>
      </c>
      <c r="K348" s="677">
        <f t="shared" si="820"/>
        <v>0.96289184085367419</v>
      </c>
      <c r="L348" s="677">
        <f t="shared" si="820"/>
        <v>0.95970623661833299</v>
      </c>
      <c r="M348" s="677">
        <f t="shared" si="820"/>
        <v>0.98679867986798675</v>
      </c>
      <c r="N348" s="677" t="e">
        <f t="shared" si="820"/>
        <v>#DIV/0!</v>
      </c>
      <c r="O348" s="677">
        <f t="shared" si="820"/>
        <v>1.0288270377733599</v>
      </c>
      <c r="P348" s="677">
        <f t="shared" si="820"/>
        <v>0.64030941125913188</v>
      </c>
      <c r="Q348" s="677">
        <f t="shared" si="820"/>
        <v>1.0327336331834083</v>
      </c>
      <c r="R348" s="677">
        <f t="shared" si="820"/>
        <v>0.95533505542896147</v>
      </c>
      <c r="S348" s="677"/>
      <c r="T348" s="677"/>
      <c r="U348" s="677">
        <f t="shared" ref="U348:X348" si="821">+U355/U369</f>
        <v>0.98</v>
      </c>
      <c r="V348" s="677">
        <f t="shared" si="821"/>
        <v>0.64059610741842676</v>
      </c>
      <c r="W348" s="677">
        <f t="shared" si="821"/>
        <v>1.004324084128291</v>
      </c>
      <c r="X348" s="677">
        <f t="shared" si="821"/>
        <v>0.82215091404122909</v>
      </c>
      <c r="Y348" s="677"/>
      <c r="Z348" s="677">
        <f t="shared" ref="Z348:AA348" si="822">+Z355/Z369</f>
        <v>0.96768218420556418</v>
      </c>
      <c r="AA348" s="677">
        <f t="shared" si="822"/>
        <v>0.82184353214562356</v>
      </c>
      <c r="AB348" s="677"/>
      <c r="AC348" s="677">
        <f t="shared" ref="AC348:AN348" si="823">+AC355/AC369</f>
        <v>0.66908431550317315</v>
      </c>
      <c r="AD348" s="677" t="e">
        <f t="shared" si="823"/>
        <v>#DIV/0!</v>
      </c>
      <c r="AE348" s="677" t="e">
        <f t="shared" si="823"/>
        <v>#DIV/0!</v>
      </c>
      <c r="AF348" s="677">
        <f t="shared" si="823"/>
        <v>0.8529009453760158</v>
      </c>
      <c r="AG348" s="677">
        <f t="shared" si="823"/>
        <v>0.95206738595839535</v>
      </c>
      <c r="AH348" s="677">
        <f t="shared" si="823"/>
        <v>0.99846000409033819</v>
      </c>
      <c r="AI348" s="677">
        <f t="shared" si="823"/>
        <v>0.98555133079847912</v>
      </c>
      <c r="AJ348" s="677">
        <f t="shared" si="823"/>
        <v>0.62501342801718807</v>
      </c>
      <c r="AK348" s="677">
        <f t="shared" si="823"/>
        <v>0.75407854984894263</v>
      </c>
      <c r="AL348" s="677">
        <f t="shared" si="823"/>
        <v>0.81038042110330022</v>
      </c>
      <c r="AM348" s="677">
        <f t="shared" si="823"/>
        <v>0.94870988841670789</v>
      </c>
      <c r="AN348" s="677">
        <f t="shared" si="823"/>
        <v>0.97924388435878429</v>
      </c>
    </row>
    <row r="349" spans="3:40" ht="21.75" customHeight="1"/>
    <row r="350" spans="3:40" ht="19.5" customHeight="1">
      <c r="C350" s="1610" t="s">
        <v>66</v>
      </c>
      <c r="D350" s="654" t="s">
        <v>216</v>
      </c>
      <c r="E350" s="655">
        <v>7384.3000000000038</v>
      </c>
      <c r="F350" s="655">
        <v>1835199920</v>
      </c>
      <c r="G350" s="655">
        <v>463</v>
      </c>
      <c r="H350" s="655">
        <v>113208360</v>
      </c>
      <c r="I350" s="655">
        <v>0</v>
      </c>
      <c r="J350" s="655">
        <v>0</v>
      </c>
      <c r="K350" s="655">
        <v>1948408280</v>
      </c>
      <c r="L350" s="655">
        <v>1349400</v>
      </c>
      <c r="M350" s="655">
        <v>63200000</v>
      </c>
      <c r="N350" s="655">
        <v>0</v>
      </c>
      <c r="O350" s="655">
        <v>141500000</v>
      </c>
      <c r="P350" s="655">
        <v>200000</v>
      </c>
      <c r="Q350" s="655">
        <v>111950000</v>
      </c>
      <c r="R350" s="655">
        <v>149559986</v>
      </c>
      <c r="S350" s="655">
        <v>0</v>
      </c>
      <c r="T350" s="655">
        <v>0</v>
      </c>
      <c r="U350" s="655">
        <v>6100000</v>
      </c>
      <c r="V350" s="655">
        <v>0</v>
      </c>
      <c r="W350" s="655">
        <v>10595122.5</v>
      </c>
      <c r="X350" s="655">
        <v>0</v>
      </c>
      <c r="Y350" s="655">
        <v>0</v>
      </c>
      <c r="Z350" s="655">
        <v>2432862821</v>
      </c>
      <c r="AA350" s="655">
        <v>8999</v>
      </c>
      <c r="AB350" s="655">
        <v>0</v>
      </c>
      <c r="AC350" s="655">
        <v>0</v>
      </c>
      <c r="AD350" s="655">
        <v>0</v>
      </c>
      <c r="AE350" s="655">
        <v>0</v>
      </c>
      <c r="AF350" s="655">
        <v>403446109</v>
      </c>
      <c r="AG350" s="655">
        <v>2836308930</v>
      </c>
      <c r="AH350" s="655">
        <v>208403768</v>
      </c>
      <c r="AI350" s="655">
        <v>13312000</v>
      </c>
      <c r="AJ350" s="655">
        <v>607640</v>
      </c>
      <c r="AK350" s="655">
        <v>0</v>
      </c>
      <c r="AL350" s="655">
        <v>787742</v>
      </c>
      <c r="AM350" s="655">
        <v>2613197780</v>
      </c>
      <c r="AN350" s="654">
        <v>323</v>
      </c>
    </row>
    <row r="351" spans="3:40" ht="19.5" customHeight="1">
      <c r="C351" s="1610"/>
      <c r="D351" s="654" t="s">
        <v>217</v>
      </c>
      <c r="E351" s="655">
        <v>3167.400000000001</v>
      </c>
      <c r="F351" s="655">
        <v>868883668</v>
      </c>
      <c r="G351" s="655">
        <v>231</v>
      </c>
      <c r="H351" s="655">
        <v>62276640</v>
      </c>
      <c r="I351" s="655">
        <v>1319.5</v>
      </c>
      <c r="J351" s="655">
        <v>12658304</v>
      </c>
      <c r="K351" s="655">
        <v>943818612</v>
      </c>
      <c r="L351" s="655">
        <v>2087600</v>
      </c>
      <c r="M351" s="655">
        <v>27400000</v>
      </c>
      <c r="N351" s="655">
        <v>0</v>
      </c>
      <c r="O351" s="655">
        <v>61000000</v>
      </c>
      <c r="P351" s="655">
        <v>0</v>
      </c>
      <c r="Q351" s="655">
        <v>47750000</v>
      </c>
      <c r="R351" s="655">
        <v>42230472</v>
      </c>
      <c r="S351" s="655">
        <v>0</v>
      </c>
      <c r="T351" s="655">
        <v>0</v>
      </c>
      <c r="U351" s="655">
        <v>2800000</v>
      </c>
      <c r="V351" s="655">
        <v>368871</v>
      </c>
      <c r="W351" s="655">
        <v>2734185</v>
      </c>
      <c r="X351" s="655">
        <v>6090000</v>
      </c>
      <c r="Y351" s="655">
        <v>0</v>
      </c>
      <c r="Z351" s="655">
        <v>1136279748</v>
      </c>
      <c r="AA351" s="655">
        <v>2196.5</v>
      </c>
      <c r="AB351" s="655">
        <v>0</v>
      </c>
      <c r="AC351" s="655">
        <v>1</v>
      </c>
      <c r="AD351" s="655">
        <v>0</v>
      </c>
      <c r="AE351" s="655">
        <v>0</v>
      </c>
      <c r="AF351" s="655">
        <v>108877176</v>
      </c>
      <c r="AG351" s="655">
        <v>1245156924</v>
      </c>
      <c r="AH351" s="655">
        <v>99066240</v>
      </c>
      <c r="AI351" s="655">
        <v>5782400</v>
      </c>
      <c r="AJ351" s="655">
        <v>210303</v>
      </c>
      <c r="AK351" s="655">
        <v>0</v>
      </c>
      <c r="AL351" s="655">
        <v>41040</v>
      </c>
      <c r="AM351" s="655">
        <v>1140056941</v>
      </c>
      <c r="AN351" s="654">
        <v>141</v>
      </c>
    </row>
    <row r="352" spans="3:40" ht="19.5" customHeight="1">
      <c r="C352" s="1610"/>
      <c r="D352" s="654" t="s">
        <v>218</v>
      </c>
      <c r="E352" s="655">
        <v>5412.3999999999987</v>
      </c>
      <c r="F352" s="655">
        <v>1310933968</v>
      </c>
      <c r="G352" s="655">
        <v>336</v>
      </c>
      <c r="H352" s="655">
        <v>80076880</v>
      </c>
      <c r="I352" s="655">
        <v>0</v>
      </c>
      <c r="J352" s="655">
        <v>0</v>
      </c>
      <c r="K352" s="655">
        <v>1391010848</v>
      </c>
      <c r="L352" s="655">
        <v>660800</v>
      </c>
      <c r="M352" s="655">
        <v>46200000</v>
      </c>
      <c r="N352" s="655">
        <v>0</v>
      </c>
      <c r="O352" s="655">
        <v>99500000</v>
      </c>
      <c r="P352" s="655">
        <v>200000</v>
      </c>
      <c r="Q352" s="655">
        <v>81800000</v>
      </c>
      <c r="R352" s="655">
        <v>130640725</v>
      </c>
      <c r="S352" s="655">
        <v>0</v>
      </c>
      <c r="T352" s="655">
        <v>0</v>
      </c>
      <c r="U352" s="655">
        <v>6400000</v>
      </c>
      <c r="V352" s="655">
        <v>178000</v>
      </c>
      <c r="W352" s="655">
        <v>7961295</v>
      </c>
      <c r="X352" s="655">
        <v>0</v>
      </c>
      <c r="Y352" s="655">
        <v>0</v>
      </c>
      <c r="Z352" s="655">
        <v>1764551684</v>
      </c>
      <c r="AA352" s="655">
        <v>6790.5</v>
      </c>
      <c r="AB352" s="655">
        <v>0</v>
      </c>
      <c r="AC352" s="655">
        <v>0</v>
      </c>
      <c r="AD352" s="655">
        <v>0</v>
      </c>
      <c r="AE352" s="655">
        <v>0</v>
      </c>
      <c r="AF352" s="655">
        <v>298249625</v>
      </c>
      <c r="AG352" s="655">
        <v>2062801309</v>
      </c>
      <c r="AH352" s="655">
        <v>148217475</v>
      </c>
      <c r="AI352" s="655">
        <v>9817600</v>
      </c>
      <c r="AJ352" s="655">
        <v>568683</v>
      </c>
      <c r="AK352" s="655">
        <v>61000</v>
      </c>
      <c r="AL352" s="655">
        <v>225040</v>
      </c>
      <c r="AM352" s="655">
        <v>1903911511</v>
      </c>
      <c r="AN352" s="654">
        <v>238</v>
      </c>
    </row>
    <row r="353" spans="3:40" ht="19.5" customHeight="1">
      <c r="C353" s="1610"/>
      <c r="D353" s="654" t="s">
        <v>220</v>
      </c>
      <c r="E353" s="655">
        <v>3215.2000000000012</v>
      </c>
      <c r="F353" s="655">
        <v>1375342200</v>
      </c>
      <c r="G353" s="655">
        <v>186</v>
      </c>
      <c r="H353" s="655">
        <v>75800160</v>
      </c>
      <c r="I353" s="655">
        <v>0</v>
      </c>
      <c r="J353" s="655">
        <v>0</v>
      </c>
      <c r="K353" s="655">
        <v>1451142360</v>
      </c>
      <c r="L353" s="655">
        <v>28808800</v>
      </c>
      <c r="M353" s="655">
        <v>15800000</v>
      </c>
      <c r="N353" s="655">
        <v>0</v>
      </c>
      <c r="O353" s="655">
        <v>36000000</v>
      </c>
      <c r="P353" s="655">
        <v>3096000</v>
      </c>
      <c r="Q353" s="655">
        <v>29800000</v>
      </c>
      <c r="R353" s="655">
        <v>10246005</v>
      </c>
      <c r="S353" s="655">
        <v>0</v>
      </c>
      <c r="T353" s="655">
        <v>0</v>
      </c>
      <c r="U353" s="655">
        <v>3000000</v>
      </c>
      <c r="V353" s="655">
        <v>4248388</v>
      </c>
      <c r="W353" s="655">
        <v>5695695</v>
      </c>
      <c r="X353" s="655">
        <v>414000</v>
      </c>
      <c r="Y353" s="655">
        <v>0</v>
      </c>
      <c r="Z353" s="655">
        <v>1588251251</v>
      </c>
      <c r="AA353" s="655">
        <v>1689</v>
      </c>
      <c r="AB353" s="655">
        <v>70.5</v>
      </c>
      <c r="AC353" s="655">
        <v>0</v>
      </c>
      <c r="AD353" s="655">
        <v>0</v>
      </c>
      <c r="AE353" s="655">
        <v>0</v>
      </c>
      <c r="AF353" s="655">
        <v>108314017</v>
      </c>
      <c r="AG353" s="655">
        <v>1696565268</v>
      </c>
      <c r="AH353" s="655">
        <v>154607880</v>
      </c>
      <c r="AI353" s="655">
        <v>5616000</v>
      </c>
      <c r="AJ353" s="655">
        <v>3426175</v>
      </c>
      <c r="AK353" s="655">
        <v>65000</v>
      </c>
      <c r="AL353" s="655">
        <v>356000</v>
      </c>
      <c r="AM353" s="655">
        <v>1532494213</v>
      </c>
      <c r="AN353" s="654">
        <v>143</v>
      </c>
    </row>
    <row r="354" spans="3:40" ht="19.5" customHeight="1">
      <c r="C354" s="1610"/>
      <c r="D354" s="654" t="s">
        <v>221</v>
      </c>
      <c r="E354" s="655">
        <v>10866.999999999996</v>
      </c>
      <c r="F354" s="655">
        <v>3267468468</v>
      </c>
      <c r="G354" s="655">
        <v>684</v>
      </c>
      <c r="H354" s="655">
        <v>200527720</v>
      </c>
      <c r="I354" s="655">
        <v>3458</v>
      </c>
      <c r="J354" s="655">
        <v>40878075</v>
      </c>
      <c r="K354" s="655">
        <v>3508874263</v>
      </c>
      <c r="L354" s="655">
        <v>24198400</v>
      </c>
      <c r="M354" s="655">
        <v>86600000</v>
      </c>
      <c r="N354" s="655">
        <v>0</v>
      </c>
      <c r="O354" s="655">
        <v>179500000</v>
      </c>
      <c r="P354" s="655">
        <v>2464000</v>
      </c>
      <c r="Q354" s="655">
        <v>142000000</v>
      </c>
      <c r="R354" s="655">
        <v>147648442</v>
      </c>
      <c r="S354" s="655">
        <v>0</v>
      </c>
      <c r="T354" s="655">
        <v>0</v>
      </c>
      <c r="U354" s="655">
        <v>11100000</v>
      </c>
      <c r="V354" s="655">
        <v>1074338</v>
      </c>
      <c r="W354" s="655">
        <v>11617912.5</v>
      </c>
      <c r="X354" s="655">
        <v>18861000</v>
      </c>
      <c r="Y354" s="655">
        <v>0</v>
      </c>
      <c r="Z354" s="655">
        <v>4133938387</v>
      </c>
      <c r="AA354" s="655">
        <v>10033</v>
      </c>
      <c r="AB354" s="655">
        <v>240</v>
      </c>
      <c r="AC354" s="655">
        <v>737</v>
      </c>
      <c r="AD354" s="655">
        <v>0</v>
      </c>
      <c r="AE354" s="655">
        <v>0</v>
      </c>
      <c r="AF354" s="655">
        <v>615486157</v>
      </c>
      <c r="AG354" s="655">
        <v>4749424544</v>
      </c>
      <c r="AH354" s="655">
        <v>368812678</v>
      </c>
      <c r="AI354" s="655">
        <v>19385600</v>
      </c>
      <c r="AJ354" s="655">
        <v>6363931</v>
      </c>
      <c r="AK354" s="655">
        <v>498000</v>
      </c>
      <c r="AL354" s="655">
        <v>1236720</v>
      </c>
      <c r="AM354" s="655">
        <v>4353127615</v>
      </c>
      <c r="AN354" s="654">
        <v>476</v>
      </c>
    </row>
    <row r="355" spans="3:40" ht="19.5" customHeight="1">
      <c r="D355" s="272"/>
      <c r="E355" s="659">
        <f>SUM(E350:E354)</f>
        <v>30046.3</v>
      </c>
      <c r="F355" s="659">
        <f t="shared" ref="F355:AN355" si="824">SUM(F350:F354)</f>
        <v>8657828224</v>
      </c>
      <c r="G355" s="659">
        <f t="shared" si="824"/>
        <v>1900</v>
      </c>
      <c r="H355" s="659">
        <f t="shared" si="824"/>
        <v>531889760</v>
      </c>
      <c r="I355" s="659">
        <f t="shared" si="824"/>
        <v>4777.5</v>
      </c>
      <c r="J355" s="659">
        <f t="shared" si="824"/>
        <v>53536379</v>
      </c>
      <c r="K355" s="659">
        <f t="shared" si="824"/>
        <v>9243254363</v>
      </c>
      <c r="L355" s="659">
        <f t="shared" si="824"/>
        <v>57105000</v>
      </c>
      <c r="M355" s="659">
        <f t="shared" si="824"/>
        <v>239200000</v>
      </c>
      <c r="N355" s="659">
        <f t="shared" si="824"/>
        <v>0</v>
      </c>
      <c r="O355" s="659">
        <f t="shared" si="824"/>
        <v>517500000</v>
      </c>
      <c r="P355" s="659">
        <f t="shared" si="824"/>
        <v>5960000</v>
      </c>
      <c r="Q355" s="659">
        <f t="shared" si="824"/>
        <v>413300000</v>
      </c>
      <c r="R355" s="659">
        <f t="shared" si="824"/>
        <v>480325630</v>
      </c>
      <c r="S355" s="659">
        <f t="shared" si="824"/>
        <v>0</v>
      </c>
      <c r="T355" s="659">
        <f t="shared" si="824"/>
        <v>0</v>
      </c>
      <c r="U355" s="659">
        <f t="shared" si="824"/>
        <v>29400000</v>
      </c>
      <c r="V355" s="659">
        <f t="shared" si="824"/>
        <v>5869597</v>
      </c>
      <c r="W355" s="659">
        <f t="shared" si="824"/>
        <v>38604210</v>
      </c>
      <c r="X355" s="659">
        <f t="shared" si="824"/>
        <v>25365000</v>
      </c>
      <c r="Y355" s="659">
        <f t="shared" si="824"/>
        <v>0</v>
      </c>
      <c r="Z355" s="659">
        <f t="shared" si="824"/>
        <v>11055883891</v>
      </c>
      <c r="AA355" s="659">
        <f t="shared" si="824"/>
        <v>29708</v>
      </c>
      <c r="AB355" s="659">
        <f t="shared" si="824"/>
        <v>310.5</v>
      </c>
      <c r="AC355" s="659">
        <f t="shared" si="824"/>
        <v>738</v>
      </c>
      <c r="AD355" s="659">
        <f t="shared" si="824"/>
        <v>0</v>
      </c>
      <c r="AE355" s="659">
        <f t="shared" si="824"/>
        <v>0</v>
      </c>
      <c r="AF355" s="659">
        <f t="shared" si="824"/>
        <v>1534373084</v>
      </c>
      <c r="AG355" s="659">
        <f t="shared" si="824"/>
        <v>12590256975</v>
      </c>
      <c r="AH355" s="659">
        <f t="shared" si="824"/>
        <v>979108041</v>
      </c>
      <c r="AI355" s="659">
        <f t="shared" si="824"/>
        <v>53913600</v>
      </c>
      <c r="AJ355" s="659">
        <f t="shared" si="824"/>
        <v>11176732</v>
      </c>
      <c r="AK355" s="659">
        <f t="shared" si="824"/>
        <v>624000</v>
      </c>
      <c r="AL355" s="659">
        <f t="shared" si="824"/>
        <v>2646542</v>
      </c>
      <c r="AM355" s="659">
        <f t="shared" si="824"/>
        <v>11542788060</v>
      </c>
      <c r="AN355" s="659">
        <f t="shared" si="824"/>
        <v>1321</v>
      </c>
    </row>
    <row r="356" spans="3:40" ht="19.5" customHeight="1">
      <c r="D356" s="665"/>
      <c r="E356" s="665"/>
      <c r="F356" s="666"/>
      <c r="G356" s="667"/>
      <c r="H356" s="666"/>
      <c r="I356" s="667"/>
      <c r="J356" s="666"/>
      <c r="K356" s="666"/>
      <c r="L356" s="666"/>
      <c r="M356" s="666"/>
      <c r="N356" s="666"/>
      <c r="O356" s="666"/>
      <c r="P356" s="666"/>
      <c r="Q356" s="666"/>
      <c r="R356" s="666"/>
      <c r="S356" s="668"/>
      <c r="T356" s="666"/>
      <c r="U356" s="666"/>
      <c r="V356" s="666"/>
      <c r="W356" s="666"/>
      <c r="X356" s="669"/>
      <c r="Y356" s="669"/>
      <c r="Z356" s="669"/>
      <c r="AA356" s="670"/>
      <c r="AB356" s="670"/>
      <c r="AC356" s="670"/>
      <c r="AD356" s="670"/>
      <c r="AE356" s="670"/>
      <c r="AF356" s="671"/>
      <c r="AG356" s="672"/>
      <c r="AH356" s="671"/>
      <c r="AI356" s="673"/>
      <c r="AJ356" s="671"/>
      <c r="AK356" s="671"/>
      <c r="AL356" s="674"/>
      <c r="AM356" s="669"/>
      <c r="AN356" s="675"/>
    </row>
    <row r="357" spans="3:40" ht="21.75" customHeight="1">
      <c r="C357" s="1605" t="str">
        <f>C364&amp;" Vs "&amp;C378</f>
        <v>Mar Vs Feb</v>
      </c>
      <c r="D357" s="654" t="s">
        <v>216</v>
      </c>
      <c r="E357" s="657">
        <f>+E364/E378</f>
        <v>1.3154215539636309</v>
      </c>
      <c r="F357" s="657">
        <f t="shared" ref="F357:J357" si="825">+F364/F378</f>
        <v>1.2133616379957766</v>
      </c>
      <c r="G357" s="657">
        <f t="shared" si="825"/>
        <v>0.56000000000000005</v>
      </c>
      <c r="H357" s="657">
        <f t="shared" si="825"/>
        <v>0.58414343231655486</v>
      </c>
      <c r="I357" s="657">
        <f t="shared" si="825"/>
        <v>0</v>
      </c>
      <c r="J357" s="657">
        <f t="shared" si="825"/>
        <v>0</v>
      </c>
      <c r="K357" s="657">
        <f t="shared" ref="K357:R357" si="826">+K364/K378</f>
        <v>1.2096367105261348</v>
      </c>
      <c r="L357" s="657">
        <f t="shared" si="826"/>
        <v>1.0497014083395146</v>
      </c>
      <c r="M357" s="657">
        <f t="shared" si="826"/>
        <v>1.0126582278481013</v>
      </c>
      <c r="N357" s="657" t="e">
        <f t="shared" si="826"/>
        <v>#DIV/0!</v>
      </c>
      <c r="O357" s="657">
        <f t="shared" si="826"/>
        <v>0.96043165467625902</v>
      </c>
      <c r="P357" s="657">
        <f t="shared" si="826"/>
        <v>1.81</v>
      </c>
      <c r="Q357" s="657">
        <f t="shared" si="826"/>
        <v>0.97213622291021673</v>
      </c>
      <c r="R357" s="657">
        <f t="shared" si="826"/>
        <v>0.91345945048907096</v>
      </c>
      <c r="S357" s="657"/>
      <c r="T357" s="657"/>
      <c r="U357" s="657">
        <f t="shared" ref="U357:W358" si="827">+U364/U378</f>
        <v>0.9375</v>
      </c>
      <c r="V357" s="657"/>
      <c r="W357" s="657">
        <f t="shared" si="827"/>
        <v>0.9603348913281663</v>
      </c>
      <c r="X357" s="657">
        <f t="shared" ref="W357:X358" si="828">+X364/X378</f>
        <v>0</v>
      </c>
      <c r="Y357" s="657"/>
      <c r="Z357" s="657">
        <f t="shared" ref="Z357" si="829">+Z364/Z378</f>
        <v>1.1505275384850975</v>
      </c>
      <c r="AA357" s="657">
        <f t="shared" ref="Z357:AC359" si="830">+AA364/AA378</f>
        <v>1.4024877832074634</v>
      </c>
      <c r="AB357" s="657"/>
      <c r="AC357" s="657">
        <f t="shared" si="830"/>
        <v>0</v>
      </c>
      <c r="AD357" s="657" t="e">
        <f t="shared" ref="AD357:AE357" si="831">+AD364/AD378</f>
        <v>#DIV/0!</v>
      </c>
      <c r="AE357" s="657" t="e">
        <f t="shared" si="831"/>
        <v>#DIV/0!</v>
      </c>
      <c r="AF357" s="657">
        <f t="shared" ref="AD357:AK358" si="832">+AF364/AF378</f>
        <v>1.3208603734390763</v>
      </c>
      <c r="AG357" s="657">
        <f>+AG364/AG378</f>
        <v>1.1754894186108822</v>
      </c>
      <c r="AH357" s="657">
        <f t="shared" ref="AH357:AK357" si="833">+AH364/AH378</f>
        <v>0.99547279270635836</v>
      </c>
      <c r="AI357" s="657">
        <f t="shared" si="833"/>
        <v>0.98170731707317072</v>
      </c>
      <c r="AJ357" s="657">
        <f t="shared" si="833"/>
        <v>2.4373006077824093</v>
      </c>
      <c r="AK357" s="657">
        <f t="shared" si="833"/>
        <v>0</v>
      </c>
      <c r="AL357" s="657"/>
      <c r="AM357" s="657">
        <f t="shared" ref="AM357" si="834">+AM364/AM378</f>
        <v>1.1945145211663801</v>
      </c>
      <c r="AN357" s="503">
        <f>+AN364/AN378</f>
        <v>0.96176470588235297</v>
      </c>
    </row>
    <row r="358" spans="3:40" ht="21.75" customHeight="1">
      <c r="C358" s="1605"/>
      <c r="D358" s="654" t="s">
        <v>217</v>
      </c>
      <c r="E358" s="657">
        <f t="shared" ref="E358:R358" si="835">+E365/E379</f>
        <v>1.144462426333628</v>
      </c>
      <c r="F358" s="657">
        <f t="shared" si="835"/>
        <v>1.0571005160549864</v>
      </c>
      <c r="G358" s="657"/>
      <c r="H358" s="657"/>
      <c r="I358" s="657">
        <f t="shared" si="835"/>
        <v>1.4985074626865673</v>
      </c>
      <c r="J358" s="657">
        <f t="shared" si="835"/>
        <v>1.4843684196637303</v>
      </c>
      <c r="K358" s="657">
        <f t="shared" si="835"/>
        <v>1.0618285216259402</v>
      </c>
      <c r="L358" s="657">
        <f t="shared" si="835"/>
        <v>0.94867415961274271</v>
      </c>
      <c r="M358" s="657">
        <f t="shared" si="835"/>
        <v>1.0142857142857142</v>
      </c>
      <c r="N358" s="657" t="e">
        <f t="shared" si="835"/>
        <v>#DIV/0!</v>
      </c>
      <c r="O358" s="657">
        <f t="shared" si="835"/>
        <v>0.94915254237288138</v>
      </c>
      <c r="P358" s="657">
        <f t="shared" si="835"/>
        <v>1.08</v>
      </c>
      <c r="Q358" s="657">
        <f t="shared" si="835"/>
        <v>0.89936440677966101</v>
      </c>
      <c r="R358" s="657">
        <f t="shared" si="835"/>
        <v>1.0119602547001414</v>
      </c>
      <c r="S358" s="657"/>
      <c r="T358" s="657"/>
      <c r="U358" s="657">
        <f t="shared" ref="U358" si="836">+U365/U379</f>
        <v>1</v>
      </c>
      <c r="V358" s="657">
        <f t="shared" si="827"/>
        <v>1</v>
      </c>
      <c r="W358" s="657">
        <f t="shared" si="828"/>
        <v>0.97815097107034987</v>
      </c>
      <c r="X358" s="657">
        <f t="shared" si="828"/>
        <v>1.5112781954887218</v>
      </c>
      <c r="Y358" s="657"/>
      <c r="Z358" s="657">
        <f t="shared" si="830"/>
        <v>1.0469029535540058</v>
      </c>
      <c r="AA358" s="657">
        <f t="shared" si="830"/>
        <v>0.63339005483078081</v>
      </c>
      <c r="AB358" s="657"/>
      <c r="AC358" s="657">
        <f t="shared" ref="AC358" si="837">+AC365/AC379</f>
        <v>2.0833333333333332E-2</v>
      </c>
      <c r="AD358" s="657" t="e">
        <f t="shared" si="832"/>
        <v>#DIV/0!</v>
      </c>
      <c r="AE358" s="657" t="e">
        <f t="shared" si="832"/>
        <v>#DIV/0!</v>
      </c>
      <c r="AF358" s="657">
        <f t="shared" si="832"/>
        <v>0.58367462027390749</v>
      </c>
      <c r="AG358" s="657">
        <f t="shared" si="832"/>
        <v>0.99510711773246063</v>
      </c>
      <c r="AH358" s="657">
        <f t="shared" si="832"/>
        <v>1.0391324534058499</v>
      </c>
      <c r="AI358" s="657">
        <f t="shared" si="832"/>
        <v>1.0283687943262412</v>
      </c>
      <c r="AJ358" s="657">
        <f t="shared" si="832"/>
        <v>0.52048010479089102</v>
      </c>
      <c r="AK358" s="657">
        <f t="shared" si="832"/>
        <v>0</v>
      </c>
      <c r="AL358" s="657"/>
      <c r="AM358" s="657">
        <f t="shared" ref="AM358:AN358" si="838">+AM365/AM379</f>
        <v>0.99227599518590048</v>
      </c>
      <c r="AN358" s="503">
        <f t="shared" si="838"/>
        <v>1.0413793103448277</v>
      </c>
    </row>
    <row r="359" spans="3:40" ht="21.75" customHeight="1">
      <c r="C359" s="1605"/>
      <c r="D359" s="654" t="s">
        <v>218</v>
      </c>
      <c r="E359" s="657">
        <f t="shared" ref="E359:H359" si="839">+E366/E380</f>
        <v>1.2686830523955825</v>
      </c>
      <c r="F359" s="657">
        <f t="shared" si="839"/>
        <v>1.173249974937761</v>
      </c>
      <c r="G359" s="657">
        <f t="shared" si="839"/>
        <v>4</v>
      </c>
      <c r="H359" s="657">
        <f t="shared" si="839"/>
        <v>3.6361119722015962</v>
      </c>
      <c r="I359" s="657"/>
      <c r="J359" s="657"/>
      <c r="K359" s="657">
        <f t="shared" ref="K359:R359" si="840">+K366/K380</f>
        <v>1.175793927722762</v>
      </c>
      <c r="L359" s="657">
        <f t="shared" si="840"/>
        <v>1.2434457505966288</v>
      </c>
      <c r="M359" s="657">
        <f t="shared" si="840"/>
        <v>0.96296296296296291</v>
      </c>
      <c r="N359" s="657" t="e">
        <f t="shared" si="840"/>
        <v>#DIV/0!</v>
      </c>
      <c r="O359" s="657">
        <f t="shared" si="840"/>
        <v>0.88181818181818183</v>
      </c>
      <c r="P359" s="657">
        <f t="shared" si="840"/>
        <v>2.08</v>
      </c>
      <c r="Q359" s="657">
        <f t="shared" si="840"/>
        <v>0.8595473012188044</v>
      </c>
      <c r="R359" s="657">
        <f t="shared" si="840"/>
        <v>0.75983522698516603</v>
      </c>
      <c r="S359" s="657"/>
      <c r="T359" s="657"/>
      <c r="U359" s="657">
        <f t="shared" ref="U359:W359" si="841">+U366/U380</f>
        <v>0.97058823529411764</v>
      </c>
      <c r="V359" s="657">
        <f t="shared" si="841"/>
        <v>0.7674560810810811</v>
      </c>
      <c r="W359" s="657">
        <f t="shared" si="841"/>
        <v>0.91709616539262639</v>
      </c>
      <c r="X359" s="657"/>
      <c r="Y359" s="657"/>
      <c r="Z359" s="657">
        <f t="shared" si="830"/>
        <v>1.084956580140106</v>
      </c>
      <c r="AA359" s="657">
        <f t="shared" ref="AA359" si="842">+AA366/AA380</f>
        <v>0.6599699482441983</v>
      </c>
      <c r="AB359" s="657"/>
      <c r="AC359" s="657"/>
      <c r="AD359" s="657" t="e">
        <f t="shared" ref="AD359:AF359" si="843">+AD366/AD380</f>
        <v>#DIV/0!</v>
      </c>
      <c r="AE359" s="657" t="e">
        <f t="shared" si="843"/>
        <v>#DIV/0!</v>
      </c>
      <c r="AF359" s="657">
        <f t="shared" si="843"/>
        <v>0.62454758951775624</v>
      </c>
      <c r="AG359" s="657">
        <f t="shared" ref="AG359:AK359" si="844">+AG366/AG380</f>
        <v>0.99404036923669814</v>
      </c>
      <c r="AH359" s="657">
        <f t="shared" si="844"/>
        <v>0.94869266379687978</v>
      </c>
      <c r="AI359" s="657">
        <f t="shared" si="844"/>
        <v>0.95161290322580649</v>
      </c>
      <c r="AJ359" s="657">
        <f t="shared" si="844"/>
        <v>3.6815486904869048</v>
      </c>
      <c r="AK359" s="657">
        <f t="shared" si="844"/>
        <v>4.6263345195729534E-2</v>
      </c>
      <c r="AL359" s="657"/>
      <c r="AM359" s="657">
        <f t="shared" ref="AM359:AN359" si="845">+AM366/AM380</f>
        <v>0.99847185774363956</v>
      </c>
      <c r="AN359" s="503">
        <f t="shared" si="845"/>
        <v>0.95199999999999996</v>
      </c>
    </row>
    <row r="360" spans="3:40" ht="21.75" customHeight="1">
      <c r="C360" s="1605"/>
      <c r="D360" s="654" t="s">
        <v>220</v>
      </c>
      <c r="E360" s="657">
        <f t="shared" ref="E360:H360" si="846">+E367/E381</f>
        <v>1.2165093721326514</v>
      </c>
      <c r="F360" s="657">
        <f t="shared" si="846"/>
        <v>1.1195944129554112</v>
      </c>
      <c r="G360" s="657">
        <f t="shared" si="846"/>
        <v>6</v>
      </c>
      <c r="H360" s="657">
        <f t="shared" si="846"/>
        <v>8.2294227391872106</v>
      </c>
      <c r="I360" s="657"/>
      <c r="J360" s="657"/>
      <c r="K360" s="657">
        <f t="shared" ref="K360:R360" si="847">+K367/K381</f>
        <v>1.1244932482617713</v>
      </c>
      <c r="L360" s="657">
        <f t="shared" si="847"/>
        <v>1.046536870708674</v>
      </c>
      <c r="M360" s="657">
        <f t="shared" si="847"/>
        <v>0.98717948717948723</v>
      </c>
      <c r="N360" s="657" t="e">
        <f t="shared" si="847"/>
        <v>#DIV/0!</v>
      </c>
      <c r="O360" s="657">
        <f t="shared" si="847"/>
        <v>0.97142857142857142</v>
      </c>
      <c r="P360" s="657">
        <f t="shared" si="847"/>
        <v>1.0523255813953489</v>
      </c>
      <c r="Q360" s="657">
        <f t="shared" si="847"/>
        <v>1.0836363636363637</v>
      </c>
      <c r="R360" s="657">
        <f t="shared" si="847"/>
        <v>0.94726943588669066</v>
      </c>
      <c r="S360" s="657"/>
      <c r="T360" s="657"/>
      <c r="U360" s="657">
        <f t="shared" ref="U360:X360" si="848">+U367/U381</f>
        <v>0.96969696969696972</v>
      </c>
      <c r="V360" s="657">
        <f t="shared" si="848"/>
        <v>0.46286092131364337</v>
      </c>
      <c r="W360" s="657">
        <f t="shared" si="848"/>
        <v>0.94872016583192575</v>
      </c>
      <c r="X360" s="657">
        <f t="shared" si="848"/>
        <v>2.6</v>
      </c>
      <c r="Y360" s="657"/>
      <c r="Z360" s="657">
        <f t="shared" ref="Z360:AC361" si="849">+Z367/Z381</f>
        <v>1.1124249847327059</v>
      </c>
      <c r="AA360" s="657">
        <f t="shared" si="849"/>
        <v>1.354679802955665</v>
      </c>
      <c r="AB360" s="657"/>
      <c r="AC360" s="657"/>
      <c r="AD360" s="657" t="e">
        <f t="shared" ref="AD360:AK360" si="850">+AD367/AD381</f>
        <v>#DIV/0!</v>
      </c>
      <c r="AE360" s="657" t="e">
        <f t="shared" si="850"/>
        <v>#DIV/0!</v>
      </c>
      <c r="AF360" s="657">
        <f t="shared" si="850"/>
        <v>1.2946505518814664</v>
      </c>
      <c r="AG360" s="657">
        <f t="shared" si="850"/>
        <v>1.1213323070394623</v>
      </c>
      <c r="AH360" s="657">
        <f t="shared" si="850"/>
        <v>0.99101244961740398</v>
      </c>
      <c r="AI360" s="657">
        <f t="shared" si="850"/>
        <v>1</v>
      </c>
      <c r="AJ360" s="657">
        <f t="shared" si="850"/>
        <v>1.2266971890646097</v>
      </c>
      <c r="AK360" s="657">
        <f t="shared" si="850"/>
        <v>0.34482758620689657</v>
      </c>
      <c r="AL360" s="657">
        <f t="shared" ref="AL360" si="851">+AL367/AL381</f>
        <v>0</v>
      </c>
      <c r="AM360" s="657">
        <f t="shared" ref="AM360:AN360" si="852">+AM367/AM381</f>
        <v>1.1360552403726041</v>
      </c>
      <c r="AN360" s="503">
        <f t="shared" si="852"/>
        <v>0.99315068493150682</v>
      </c>
    </row>
    <row r="361" spans="3:40" s="653" customFormat="1" ht="21.75" customHeight="1">
      <c r="C361" s="1605"/>
      <c r="D361" s="656" t="s">
        <v>221</v>
      </c>
      <c r="E361" s="657">
        <f t="shared" ref="E361:R361" si="853">+E368/E382</f>
        <v>1.2127703117538724</v>
      </c>
      <c r="F361" s="657">
        <f t="shared" si="853"/>
        <v>1.1161387988071196</v>
      </c>
      <c r="G361" s="657">
        <f t="shared" si="853"/>
        <v>1.3103448275862069</v>
      </c>
      <c r="H361" s="657">
        <f t="shared" si="853"/>
        <v>1.3771505927912246</v>
      </c>
      <c r="I361" s="657">
        <f t="shared" si="853"/>
        <v>1.4345292182359393</v>
      </c>
      <c r="J361" s="657">
        <f t="shared" si="853"/>
        <v>1.4212661410758327</v>
      </c>
      <c r="K361" s="657">
        <f t="shared" si="853"/>
        <v>1.1201675449978321</v>
      </c>
      <c r="L361" s="657">
        <f t="shared" si="853"/>
        <v>0.9590216077200765</v>
      </c>
      <c r="M361" s="657">
        <f t="shared" si="853"/>
        <v>1</v>
      </c>
      <c r="N361" s="657" t="e">
        <f t="shared" si="853"/>
        <v>#DIV/0!</v>
      </c>
      <c r="O361" s="657">
        <f t="shared" si="853"/>
        <v>0.97333333333333338</v>
      </c>
      <c r="P361" s="657">
        <f t="shared" si="853"/>
        <v>1.3679653679653681</v>
      </c>
      <c r="Q361" s="657">
        <f t="shared" si="853"/>
        <v>1.0337401292175161</v>
      </c>
      <c r="R361" s="657">
        <f t="shared" si="853"/>
        <v>1.0389058830673568</v>
      </c>
      <c r="S361" s="657"/>
      <c r="T361" s="657"/>
      <c r="U361" s="657">
        <f t="shared" ref="U361:X361" si="854">+U368/U382</f>
        <v>0.99137931034482762</v>
      </c>
      <c r="V361" s="657">
        <f t="shared" si="854"/>
        <v>6.3687574166666661</v>
      </c>
      <c r="W361" s="657">
        <f t="shared" si="854"/>
        <v>0.93117216898713473</v>
      </c>
      <c r="X361" s="657">
        <f t="shared" si="854"/>
        <v>1.4778809393773895</v>
      </c>
      <c r="Y361" s="657"/>
      <c r="Z361" s="657">
        <f t="shared" ref="Z361:AA361" si="855">+Z368/Z382</f>
        <v>1.1051519448327833</v>
      </c>
      <c r="AA361" s="657">
        <f t="shared" si="855"/>
        <v>1.2422097437519772</v>
      </c>
      <c r="AB361" s="657"/>
      <c r="AC361" s="657">
        <f t="shared" si="849"/>
        <v>1.4178525226390686</v>
      </c>
      <c r="AD361" s="657" t="e">
        <f t="shared" ref="AD361:AK361" si="856">+AD368/AD382</f>
        <v>#DIV/0!</v>
      </c>
      <c r="AE361" s="657" t="e">
        <f t="shared" si="856"/>
        <v>#DIV/0!</v>
      </c>
      <c r="AF361" s="657">
        <f t="shared" si="856"/>
        <v>1.1879412851318625</v>
      </c>
      <c r="AG361" s="657">
        <f t="shared" si="856"/>
        <v>1.1183616711271387</v>
      </c>
      <c r="AH361" s="657">
        <f t="shared" si="856"/>
        <v>0.99430087794031319</v>
      </c>
      <c r="AI361" s="657">
        <f t="shared" si="856"/>
        <v>0.99789473684210528</v>
      </c>
      <c r="AJ361" s="657">
        <f t="shared" si="856"/>
        <v>1.4095609379198539</v>
      </c>
      <c r="AK361" s="657">
        <f t="shared" si="856"/>
        <v>0.15061162079510704</v>
      </c>
      <c r="AL361" s="657">
        <f t="shared" ref="AL361" si="857">+AL368/AL382</f>
        <v>1.6764270289565124</v>
      </c>
      <c r="AM361" s="657">
        <f t="shared" ref="AM361:AN361" si="858">+AM368/AM382</f>
        <v>1.130050121150564</v>
      </c>
      <c r="AN361" s="503">
        <f t="shared" si="858"/>
        <v>0.97405189620758481</v>
      </c>
    </row>
    <row r="362" spans="3:40" s="492" customFormat="1" ht="21.75" customHeight="1">
      <c r="D362" s="676" t="s">
        <v>79</v>
      </c>
      <c r="E362" s="677">
        <f t="shared" ref="E362:R362" si="859">+E369/E383</f>
        <v>1.2383153495577617</v>
      </c>
      <c r="F362" s="677">
        <f t="shared" si="859"/>
        <v>1.1373383904775796</v>
      </c>
      <c r="G362" s="677">
        <f t="shared" si="859"/>
        <v>1.5161290322580645</v>
      </c>
      <c r="H362" s="677">
        <f t="shared" si="859"/>
        <v>1.725007726520243</v>
      </c>
      <c r="I362" s="677">
        <f t="shared" si="859"/>
        <v>1.3819142689371697</v>
      </c>
      <c r="J362" s="677">
        <f t="shared" si="859"/>
        <v>1.3712442719250102</v>
      </c>
      <c r="K362" s="677">
        <f t="shared" si="859"/>
        <v>1.1397495137102527</v>
      </c>
      <c r="L362" s="677">
        <f t="shared" si="859"/>
        <v>1.0057340579014331</v>
      </c>
      <c r="M362" s="677">
        <f t="shared" si="859"/>
        <v>0.99671052631578949</v>
      </c>
      <c r="N362" s="677" t="e">
        <f t="shared" si="859"/>
        <v>#DIV/0!</v>
      </c>
      <c r="O362" s="677">
        <f t="shared" si="859"/>
        <v>0.94816211121583416</v>
      </c>
      <c r="P362" s="677">
        <f t="shared" si="859"/>
        <v>1.2591991341991342</v>
      </c>
      <c r="Q362" s="677">
        <f t="shared" si="859"/>
        <v>0.96853823814133588</v>
      </c>
      <c r="R362" s="677">
        <f t="shared" si="859"/>
        <v>0.90489064408311615</v>
      </c>
      <c r="S362" s="677"/>
      <c r="T362" s="677"/>
      <c r="U362" s="677">
        <f t="shared" ref="U362:X362" si="860">+U369/U383</f>
        <v>0.97402597402597402</v>
      </c>
      <c r="V362" s="677">
        <f t="shared" si="860"/>
        <v>1.5383802322127369</v>
      </c>
      <c r="W362" s="677">
        <f t="shared" si="860"/>
        <v>0.94182976992360024</v>
      </c>
      <c r="X362" s="677">
        <f t="shared" si="860"/>
        <v>1.4317137686203536</v>
      </c>
      <c r="Y362" s="677"/>
      <c r="Z362" s="677">
        <f t="shared" ref="Z362:AN362" si="861">+Z369/Z383</f>
        <v>1.1059447725600153</v>
      </c>
      <c r="AA362" s="677">
        <f t="shared" si="861"/>
        <v>1.0799796839054705</v>
      </c>
      <c r="AB362" s="677"/>
      <c r="AC362" s="677">
        <f t="shared" si="861"/>
        <v>1.2780996523754344</v>
      </c>
      <c r="AD362" s="677" t="e">
        <f t="shared" si="861"/>
        <v>#DIV/0!</v>
      </c>
      <c r="AE362" s="677" t="e">
        <f t="shared" si="861"/>
        <v>#DIV/0!</v>
      </c>
      <c r="AF362" s="677">
        <f t="shared" si="861"/>
        <v>1.0384955474416997</v>
      </c>
      <c r="AG362" s="677">
        <f t="shared" si="861"/>
        <v>1.0962586307973292</v>
      </c>
      <c r="AH362" s="677">
        <f t="shared" si="861"/>
        <v>0.99133337263817389</v>
      </c>
      <c r="AI362" s="677">
        <f t="shared" si="861"/>
        <v>0.98872180451127822</v>
      </c>
      <c r="AJ362" s="677">
        <f t="shared" si="861"/>
        <v>1.3403402735653096</v>
      </c>
      <c r="AK362" s="677">
        <f t="shared" si="861"/>
        <v>7.6320036891860732E-2</v>
      </c>
      <c r="AL362" s="677">
        <f t="shared" si="861"/>
        <v>2.0980071578116961</v>
      </c>
      <c r="AM362" s="677">
        <f t="shared" si="861"/>
        <v>1.106809616237985</v>
      </c>
      <c r="AN362" s="677">
        <f t="shared" si="861"/>
        <v>0.97612156295224317</v>
      </c>
    </row>
    <row r="363" spans="3:40" ht="21.75" customHeight="1"/>
    <row r="364" spans="3:40" ht="19.5" customHeight="1">
      <c r="C364" s="1610" t="s">
        <v>65</v>
      </c>
      <c r="D364" s="654" t="s">
        <v>216</v>
      </c>
      <c r="E364" s="655">
        <v>8354.9000000000033</v>
      </c>
      <c r="F364" s="655">
        <v>1979763406</v>
      </c>
      <c r="G364" s="655">
        <v>14</v>
      </c>
      <c r="H364" s="655">
        <v>3416461</v>
      </c>
      <c r="I364" s="655">
        <v>0</v>
      </c>
      <c r="J364" s="655">
        <v>0</v>
      </c>
      <c r="K364" s="655">
        <v>1983179867</v>
      </c>
      <c r="L364" s="655">
        <v>1276481</v>
      </c>
      <c r="M364" s="655">
        <v>64000000</v>
      </c>
      <c r="N364" s="655">
        <v>0</v>
      </c>
      <c r="O364" s="655">
        <v>133500000</v>
      </c>
      <c r="P364" s="655">
        <v>362000</v>
      </c>
      <c r="Q364" s="655">
        <v>109900000</v>
      </c>
      <c r="R364" s="655">
        <v>146019482</v>
      </c>
      <c r="S364" s="655">
        <v>0</v>
      </c>
      <c r="T364" s="655">
        <v>0</v>
      </c>
      <c r="U364" s="655">
        <v>6000000</v>
      </c>
      <c r="V364" s="655">
        <v>756691</v>
      </c>
      <c r="W364" s="655">
        <v>10481019.914190412</v>
      </c>
      <c r="X364" s="655">
        <v>0</v>
      </c>
      <c r="Y364" s="655">
        <v>0</v>
      </c>
      <c r="Z364" s="655">
        <v>2455475534</v>
      </c>
      <c r="AA364" s="655">
        <v>11049.5</v>
      </c>
      <c r="AB364" s="655">
        <v>0</v>
      </c>
      <c r="AC364" s="655">
        <v>0</v>
      </c>
      <c r="AD364" s="655">
        <v>0</v>
      </c>
      <c r="AE364" s="655">
        <v>0</v>
      </c>
      <c r="AF364" s="655">
        <v>484055495</v>
      </c>
      <c r="AG364" s="655">
        <v>2939531029</v>
      </c>
      <c r="AH364" s="655">
        <v>205253265</v>
      </c>
      <c r="AI364" s="655">
        <v>13395200</v>
      </c>
      <c r="AJ364" s="655">
        <v>523325</v>
      </c>
      <c r="AK364" s="655">
        <v>0</v>
      </c>
      <c r="AL364" s="655">
        <v>649513</v>
      </c>
      <c r="AM364" s="655">
        <v>2719709726</v>
      </c>
      <c r="AN364" s="654">
        <v>327</v>
      </c>
    </row>
    <row r="365" spans="3:40" ht="19.5" customHeight="1">
      <c r="C365" s="1610"/>
      <c r="D365" s="654" t="s">
        <v>217</v>
      </c>
      <c r="E365" s="655">
        <v>3747.9999999999991</v>
      </c>
      <c r="F365" s="655">
        <v>986969398</v>
      </c>
      <c r="G365" s="655">
        <v>4</v>
      </c>
      <c r="H365" s="655">
        <v>907731</v>
      </c>
      <c r="I365" s="655">
        <v>1305.2</v>
      </c>
      <c r="J365" s="655">
        <v>12318585</v>
      </c>
      <c r="K365" s="655">
        <v>1000195714</v>
      </c>
      <c r="L365" s="655">
        <v>1957037</v>
      </c>
      <c r="M365" s="655">
        <v>28400000</v>
      </c>
      <c r="N365" s="655">
        <v>0</v>
      </c>
      <c r="O365" s="655">
        <v>56000000</v>
      </c>
      <c r="P365" s="655">
        <v>216000</v>
      </c>
      <c r="Q365" s="655">
        <v>42450000</v>
      </c>
      <c r="R365" s="655">
        <v>50674269</v>
      </c>
      <c r="S365" s="655">
        <v>0</v>
      </c>
      <c r="T365" s="655">
        <v>0</v>
      </c>
      <c r="U365" s="655">
        <v>2700000</v>
      </c>
      <c r="V365" s="655">
        <v>200000</v>
      </c>
      <c r="W365" s="655">
        <v>2644859.0905357483</v>
      </c>
      <c r="X365" s="655">
        <v>6030000</v>
      </c>
      <c r="Y365" s="655">
        <v>0</v>
      </c>
      <c r="Z365" s="655">
        <v>1191467876</v>
      </c>
      <c r="AA365" s="655">
        <v>1675</v>
      </c>
      <c r="AB365" s="655">
        <v>0</v>
      </c>
      <c r="AC365" s="655">
        <v>1.5</v>
      </c>
      <c r="AD365" s="655">
        <v>0</v>
      </c>
      <c r="AE365" s="655">
        <v>0</v>
      </c>
      <c r="AF365" s="655">
        <v>83626318</v>
      </c>
      <c r="AG365" s="655">
        <v>1275094194</v>
      </c>
      <c r="AH365" s="655">
        <v>103637205</v>
      </c>
      <c r="AI365" s="655">
        <v>6032000</v>
      </c>
      <c r="AJ365" s="655">
        <v>148608</v>
      </c>
      <c r="AK365" s="655">
        <v>0</v>
      </c>
      <c r="AL365" s="655">
        <v>441824</v>
      </c>
      <c r="AM365" s="655">
        <v>1164834557</v>
      </c>
      <c r="AN365" s="654">
        <v>151</v>
      </c>
    </row>
    <row r="366" spans="3:40" ht="19.5" customHeight="1">
      <c r="C366" s="1610"/>
      <c r="D366" s="654" t="s">
        <v>218</v>
      </c>
      <c r="E366" s="655">
        <v>6111.4999999999991</v>
      </c>
      <c r="F366" s="655">
        <v>1416551710</v>
      </c>
      <c r="G366" s="655">
        <v>20</v>
      </c>
      <c r="H366" s="655">
        <v>4539384</v>
      </c>
      <c r="I366" s="655">
        <v>0</v>
      </c>
      <c r="J366" s="655">
        <v>0</v>
      </c>
      <c r="K366" s="655">
        <v>1421091094</v>
      </c>
      <c r="L366" s="655">
        <v>645556</v>
      </c>
      <c r="M366" s="655">
        <v>46800000</v>
      </c>
      <c r="N366" s="655">
        <v>0</v>
      </c>
      <c r="O366" s="655">
        <v>97000000</v>
      </c>
      <c r="P366" s="655">
        <v>416000</v>
      </c>
      <c r="Q366" s="655">
        <v>74050000</v>
      </c>
      <c r="R366" s="655">
        <v>140389452</v>
      </c>
      <c r="S366" s="655">
        <v>0</v>
      </c>
      <c r="T366" s="655">
        <v>0</v>
      </c>
      <c r="U366" s="655">
        <v>6600000</v>
      </c>
      <c r="V366" s="655">
        <v>227167</v>
      </c>
      <c r="W366" s="655">
        <v>7835325.8307872657</v>
      </c>
      <c r="X366" s="655">
        <v>0</v>
      </c>
      <c r="Y366" s="655">
        <v>0</v>
      </c>
      <c r="Z366" s="655">
        <v>1795054585</v>
      </c>
      <c r="AA366" s="655">
        <v>5929.5</v>
      </c>
      <c r="AB366" s="655">
        <v>0</v>
      </c>
      <c r="AC366" s="655">
        <v>0</v>
      </c>
      <c r="AD366" s="655">
        <v>0</v>
      </c>
      <c r="AE366" s="655">
        <v>0</v>
      </c>
      <c r="AF366" s="655">
        <v>254253072</v>
      </c>
      <c r="AG366" s="655">
        <v>2049307657</v>
      </c>
      <c r="AH366" s="655">
        <v>148492995</v>
      </c>
      <c r="AI366" s="655">
        <v>9817600</v>
      </c>
      <c r="AJ366" s="655">
        <v>654491</v>
      </c>
      <c r="AK366" s="655">
        <v>65000</v>
      </c>
      <c r="AL366" s="655">
        <v>0</v>
      </c>
      <c r="AM366" s="655">
        <v>1890277571</v>
      </c>
      <c r="AN366" s="654">
        <v>238</v>
      </c>
    </row>
    <row r="367" spans="3:40" ht="19.5" customHeight="1">
      <c r="C367" s="1610"/>
      <c r="D367" s="654" t="s">
        <v>220</v>
      </c>
      <c r="E367" s="655">
        <v>3712.2999999999997</v>
      </c>
      <c r="F367" s="655">
        <v>1543133381</v>
      </c>
      <c r="G367" s="655">
        <v>18</v>
      </c>
      <c r="H367" s="655">
        <v>7820692</v>
      </c>
      <c r="I367" s="655">
        <v>0</v>
      </c>
      <c r="J367" s="655">
        <v>0</v>
      </c>
      <c r="K367" s="655">
        <v>1550954073</v>
      </c>
      <c r="L367" s="655">
        <v>30219626</v>
      </c>
      <c r="M367" s="655">
        <v>15400000</v>
      </c>
      <c r="N367" s="655">
        <v>0</v>
      </c>
      <c r="O367" s="655">
        <v>34000000</v>
      </c>
      <c r="P367" s="655">
        <v>3258000</v>
      </c>
      <c r="Q367" s="655">
        <v>29800000</v>
      </c>
      <c r="R367" s="655">
        <v>15488489</v>
      </c>
      <c r="S367" s="655">
        <v>0</v>
      </c>
      <c r="T367" s="655">
        <v>0</v>
      </c>
      <c r="U367" s="655">
        <v>3200000</v>
      </c>
      <c r="V367" s="655">
        <v>2100000</v>
      </c>
      <c r="W367" s="655">
        <v>5942271.6754520591</v>
      </c>
      <c r="X367" s="655">
        <v>468000</v>
      </c>
      <c r="Y367" s="655">
        <v>0</v>
      </c>
      <c r="Z367" s="655">
        <v>1690830459</v>
      </c>
      <c r="AA367" s="655">
        <v>1787.5</v>
      </c>
      <c r="AB367" s="655">
        <v>0</v>
      </c>
      <c r="AC367" s="655">
        <v>5.5</v>
      </c>
      <c r="AD367" s="655">
        <v>0</v>
      </c>
      <c r="AE367" s="655">
        <v>0</v>
      </c>
      <c r="AF367" s="655">
        <v>101131110</v>
      </c>
      <c r="AG367" s="655">
        <v>1791961569</v>
      </c>
      <c r="AH367" s="655">
        <v>153556725</v>
      </c>
      <c r="AI367" s="655">
        <v>5740800</v>
      </c>
      <c r="AJ367" s="655">
        <v>8682126</v>
      </c>
      <c r="AK367" s="655">
        <v>270000</v>
      </c>
      <c r="AL367" s="655">
        <v>0</v>
      </c>
      <c r="AM367" s="655">
        <v>1623711918</v>
      </c>
      <c r="AN367" s="654">
        <v>145</v>
      </c>
    </row>
    <row r="368" spans="3:40" ht="19.5" customHeight="1">
      <c r="C368" s="1610"/>
      <c r="D368" s="654" t="s">
        <v>221</v>
      </c>
      <c r="E368" s="655">
        <v>12444.599999999993</v>
      </c>
      <c r="F368" s="655">
        <v>3581705134</v>
      </c>
      <c r="G368" s="655">
        <v>38</v>
      </c>
      <c r="H368" s="655">
        <v>11094613</v>
      </c>
      <c r="I368" s="655">
        <v>4578.3</v>
      </c>
      <c r="J368" s="655">
        <v>51252645</v>
      </c>
      <c r="K368" s="655">
        <v>3644052392</v>
      </c>
      <c r="L368" s="655">
        <v>25403883</v>
      </c>
      <c r="M368" s="655">
        <v>87800000</v>
      </c>
      <c r="N368" s="655">
        <v>0</v>
      </c>
      <c r="O368" s="655">
        <v>182500000</v>
      </c>
      <c r="P368" s="655">
        <v>5056000</v>
      </c>
      <c r="Q368" s="655">
        <v>144000000</v>
      </c>
      <c r="R368" s="655">
        <v>150210685</v>
      </c>
      <c r="S368" s="655">
        <v>0</v>
      </c>
      <c r="T368" s="655">
        <v>0</v>
      </c>
      <c r="U368" s="655">
        <v>11500000</v>
      </c>
      <c r="V368" s="655">
        <v>5878853</v>
      </c>
      <c r="W368" s="655">
        <v>11534524.339633208</v>
      </c>
      <c r="X368" s="655">
        <v>24354000</v>
      </c>
      <c r="Y368" s="655">
        <v>0</v>
      </c>
      <c r="Z368" s="655">
        <v>4292290321</v>
      </c>
      <c r="AA368" s="655">
        <v>15706.5</v>
      </c>
      <c r="AB368" s="655">
        <v>8</v>
      </c>
      <c r="AC368" s="655">
        <v>1096</v>
      </c>
      <c r="AD368" s="655">
        <v>0</v>
      </c>
      <c r="AE368" s="655">
        <v>0</v>
      </c>
      <c r="AF368" s="655">
        <v>875939027</v>
      </c>
      <c r="AG368" s="655">
        <v>5168229348</v>
      </c>
      <c r="AH368" s="655">
        <v>369677999</v>
      </c>
      <c r="AI368" s="655">
        <v>19718400</v>
      </c>
      <c r="AJ368" s="655">
        <v>7873837</v>
      </c>
      <c r="AK368" s="655">
        <v>492500</v>
      </c>
      <c r="AL368" s="655">
        <v>2174465</v>
      </c>
      <c r="AM368" s="655">
        <v>4768292147</v>
      </c>
      <c r="AN368" s="654">
        <v>488</v>
      </c>
    </row>
    <row r="369" spans="3:40" ht="19.5" customHeight="1">
      <c r="D369" s="272"/>
      <c r="E369" s="659">
        <f>SUM(E364:E368)</f>
        <v>34371.299999999996</v>
      </c>
      <c r="F369" s="659">
        <f t="shared" ref="F369:AN369" si="862">SUM(F364:F368)</f>
        <v>9508123029</v>
      </c>
      <c r="G369" s="659">
        <f t="shared" si="862"/>
        <v>94</v>
      </c>
      <c r="H369" s="659">
        <f t="shared" si="862"/>
        <v>27778881</v>
      </c>
      <c r="I369" s="659">
        <f t="shared" si="862"/>
        <v>5883.5</v>
      </c>
      <c r="J369" s="659">
        <f t="shared" si="862"/>
        <v>63571230</v>
      </c>
      <c r="K369" s="659">
        <f t="shared" si="862"/>
        <v>9599473140</v>
      </c>
      <c r="L369" s="659">
        <f t="shared" si="862"/>
        <v>59502583</v>
      </c>
      <c r="M369" s="659">
        <f t="shared" si="862"/>
        <v>242400000</v>
      </c>
      <c r="N369" s="659">
        <f t="shared" si="862"/>
        <v>0</v>
      </c>
      <c r="O369" s="659">
        <f t="shared" si="862"/>
        <v>503000000</v>
      </c>
      <c r="P369" s="659">
        <f t="shared" si="862"/>
        <v>9308000</v>
      </c>
      <c r="Q369" s="659">
        <f t="shared" si="862"/>
        <v>400200000</v>
      </c>
      <c r="R369" s="659">
        <f t="shared" si="862"/>
        <v>502782377</v>
      </c>
      <c r="S369" s="659">
        <f t="shared" si="862"/>
        <v>0</v>
      </c>
      <c r="T369" s="659">
        <f t="shared" si="862"/>
        <v>0</v>
      </c>
      <c r="U369" s="659">
        <f t="shared" si="862"/>
        <v>30000000</v>
      </c>
      <c r="V369" s="659">
        <f t="shared" si="862"/>
        <v>9162711</v>
      </c>
      <c r="W369" s="659">
        <f t="shared" si="862"/>
        <v>38438000.850598693</v>
      </c>
      <c r="X369" s="659">
        <f t="shared" si="862"/>
        <v>30852000</v>
      </c>
      <c r="Y369" s="659">
        <f t="shared" si="862"/>
        <v>0</v>
      </c>
      <c r="Z369" s="659">
        <f t="shared" si="862"/>
        <v>11425118775</v>
      </c>
      <c r="AA369" s="659">
        <f t="shared" si="862"/>
        <v>36148</v>
      </c>
      <c r="AB369" s="659">
        <f t="shared" si="862"/>
        <v>8</v>
      </c>
      <c r="AC369" s="659">
        <f t="shared" si="862"/>
        <v>1103</v>
      </c>
      <c r="AD369" s="659">
        <f t="shared" si="862"/>
        <v>0</v>
      </c>
      <c r="AE369" s="659">
        <f t="shared" si="862"/>
        <v>0</v>
      </c>
      <c r="AF369" s="659">
        <f t="shared" si="862"/>
        <v>1799005022</v>
      </c>
      <c r="AG369" s="659">
        <f t="shared" si="862"/>
        <v>13224123797</v>
      </c>
      <c r="AH369" s="659">
        <f t="shared" si="862"/>
        <v>980618189</v>
      </c>
      <c r="AI369" s="659">
        <f t="shared" si="862"/>
        <v>54704000</v>
      </c>
      <c r="AJ369" s="659">
        <f t="shared" si="862"/>
        <v>17882387</v>
      </c>
      <c r="AK369" s="659">
        <f t="shared" si="862"/>
        <v>827500</v>
      </c>
      <c r="AL369" s="659">
        <f t="shared" si="862"/>
        <v>3265802</v>
      </c>
      <c r="AM369" s="659">
        <f t="shared" si="862"/>
        <v>12166825919</v>
      </c>
      <c r="AN369" s="659">
        <f t="shared" si="862"/>
        <v>1349</v>
      </c>
    </row>
    <row r="370" spans="3:40" ht="19.5" customHeight="1">
      <c r="D370" s="665"/>
      <c r="E370" s="665"/>
      <c r="F370" s="666"/>
      <c r="G370" s="667"/>
      <c r="H370" s="666"/>
      <c r="I370" s="667"/>
      <c r="J370" s="666"/>
      <c r="K370" s="666"/>
      <c r="L370" s="666"/>
      <c r="M370" s="666"/>
      <c r="N370" s="666"/>
      <c r="O370" s="666"/>
      <c r="P370" s="666"/>
      <c r="Q370" s="666"/>
      <c r="R370" s="666"/>
      <c r="S370" s="668"/>
      <c r="T370" s="666"/>
      <c r="U370" s="666"/>
      <c r="V370" s="666"/>
      <c r="W370" s="666"/>
      <c r="X370" s="669"/>
      <c r="Y370" s="669"/>
      <c r="Z370" s="669"/>
      <c r="AA370" s="670"/>
      <c r="AB370" s="670"/>
      <c r="AC370" s="670"/>
      <c r="AD370" s="670"/>
      <c r="AE370" s="670"/>
      <c r="AF370" s="671"/>
      <c r="AG370" s="672"/>
      <c r="AH370" s="671"/>
      <c r="AI370" s="673"/>
      <c r="AJ370" s="671"/>
      <c r="AK370" s="671"/>
      <c r="AL370" s="674"/>
      <c r="AM370" s="669"/>
      <c r="AN370" s="675"/>
    </row>
    <row r="371" spans="3:40" ht="21.75" customHeight="1">
      <c r="C371" s="1605" t="str">
        <f>C378&amp;" Vs "&amp;C392</f>
        <v>Feb Vs Jan</v>
      </c>
      <c r="D371" s="654" t="s">
        <v>216</v>
      </c>
      <c r="E371" s="657">
        <f>+E378/E392</f>
        <v>2.0361287427069303</v>
      </c>
      <c r="F371" s="657">
        <f t="shared" ref="F371:H371" si="863">+F378/F392</f>
        <v>2.2048894683723876</v>
      </c>
      <c r="G371" s="657">
        <f t="shared" si="863"/>
        <v>9.2250922509225092E-3</v>
      </c>
      <c r="H371" s="657">
        <f t="shared" si="863"/>
        <v>9.1383280711788833E-3</v>
      </c>
      <c r="I371" s="657"/>
      <c r="J371" s="657"/>
      <c r="K371" s="657">
        <f t="shared" ref="K371:V371" si="864">+K378/K392</f>
        <v>1.1880121954945591</v>
      </c>
      <c r="L371" s="657">
        <f t="shared" si="864"/>
        <v>1.302723948831285</v>
      </c>
      <c r="M371" s="657">
        <f t="shared" si="864"/>
        <v>0.96932515337423308</v>
      </c>
      <c r="N371" s="657" t="e">
        <f t="shared" si="864"/>
        <v>#DIV/0!</v>
      </c>
      <c r="O371" s="657">
        <f t="shared" si="864"/>
        <v>0.88817891373801916</v>
      </c>
      <c r="P371" s="657">
        <f t="shared" si="864"/>
        <v>0.27027027027027029</v>
      </c>
      <c r="Q371" s="657">
        <f t="shared" si="864"/>
        <v>0.90730337078651691</v>
      </c>
      <c r="R371" s="657">
        <f t="shared" si="864"/>
        <v>2.5289525441683161</v>
      </c>
      <c r="S371" s="657"/>
      <c r="T371" s="657"/>
      <c r="U371" s="657">
        <f t="shared" si="864"/>
        <v>1.0158730158730158</v>
      </c>
      <c r="V371" s="657">
        <f t="shared" si="864"/>
        <v>0</v>
      </c>
      <c r="W371" s="657">
        <f t="shared" ref="W371" si="865">+W378/W392</f>
        <v>1.0488303318468419</v>
      </c>
      <c r="X371" s="657"/>
      <c r="Y371" s="657"/>
      <c r="Z371" s="657">
        <f t="shared" ref="Z371" si="866">+Z378/Z392</f>
        <v>0.5835660464093394</v>
      </c>
      <c r="AA371" s="657"/>
      <c r="AB371" s="657"/>
      <c r="AC371" s="657"/>
      <c r="AD371" s="657" t="e">
        <f t="shared" ref="AD371:AE371" si="867">+AD378/AD392</f>
        <v>#DIV/0!</v>
      </c>
      <c r="AE371" s="657" t="e">
        <f t="shared" si="867"/>
        <v>#DIV/0!</v>
      </c>
      <c r="AF371" s="657"/>
      <c r="AG371" s="657">
        <f>+AG378/AG392</f>
        <v>0.68377110947137898</v>
      </c>
      <c r="AH371" s="657">
        <f t="shared" ref="AH371:AJ372" si="868">+AH378/AH392</f>
        <v>0.95663139290283172</v>
      </c>
      <c r="AI371" s="657">
        <f t="shared" si="868"/>
        <v>0.97329376854599403</v>
      </c>
      <c r="AJ371" s="657">
        <f t="shared" si="868"/>
        <v>3.2064162073538731E-2</v>
      </c>
      <c r="AK371" s="657"/>
      <c r="AL371" s="657"/>
      <c r="AM371" s="657">
        <f t="shared" ref="AM371" si="869">+AM378/AM392</f>
        <v>1.4461221723880966</v>
      </c>
      <c r="AN371" s="503">
        <f>+AN378/AN392</f>
        <v>1</v>
      </c>
    </row>
    <row r="372" spans="3:40" ht="21.75" customHeight="1">
      <c r="C372" s="1605"/>
      <c r="D372" s="654" t="s">
        <v>217</v>
      </c>
      <c r="E372" s="657">
        <f t="shared" ref="E372:U372" si="870">+E379/E393</f>
        <v>2.6588454980920684</v>
      </c>
      <c r="F372" s="657">
        <f t="shared" si="870"/>
        <v>2.8550482399491455</v>
      </c>
      <c r="G372" s="657">
        <f t="shared" si="870"/>
        <v>0</v>
      </c>
      <c r="H372" s="657">
        <f t="shared" si="870"/>
        <v>0</v>
      </c>
      <c r="I372" s="657">
        <f t="shared" si="870"/>
        <v>4.147619047619048</v>
      </c>
      <c r="J372" s="657">
        <f t="shared" si="870"/>
        <v>4.5254739714463801</v>
      </c>
      <c r="K372" s="657">
        <f t="shared" si="870"/>
        <v>1.4768979804239939</v>
      </c>
      <c r="L372" s="657">
        <f t="shared" si="870"/>
        <v>1.6126247820954793</v>
      </c>
      <c r="M372" s="657">
        <f t="shared" si="870"/>
        <v>1.0144927536231885</v>
      </c>
      <c r="N372" s="657" t="e">
        <f t="shared" si="870"/>
        <v>#DIV/0!</v>
      </c>
      <c r="O372" s="657">
        <f t="shared" si="870"/>
        <v>0.89393939393939392</v>
      </c>
      <c r="P372" s="657">
        <f t="shared" si="870"/>
        <v>0.38167938931297712</v>
      </c>
      <c r="Q372" s="657">
        <f t="shared" si="870"/>
        <v>0.9430569430569431</v>
      </c>
      <c r="R372" s="657">
        <f t="shared" si="870"/>
        <v>3.9681409080611054</v>
      </c>
      <c r="S372" s="657"/>
      <c r="T372" s="657"/>
      <c r="U372" s="657">
        <f t="shared" si="870"/>
        <v>0.9642857142857143</v>
      </c>
      <c r="V372" s="657"/>
      <c r="W372" s="657">
        <f t="shared" ref="W372:X373" si="871">+W379/W393</f>
        <v>1.0538822230415217</v>
      </c>
      <c r="X372" s="657">
        <f t="shared" si="871"/>
        <v>2.2166666666666668</v>
      </c>
      <c r="Y372" s="657"/>
      <c r="Z372" s="657">
        <f t="shared" ref="Z372:AA372" si="872">+Z379/Z393</f>
        <v>0.69859439383771205</v>
      </c>
      <c r="AA372" s="657">
        <f t="shared" si="872"/>
        <v>92.78947368421052</v>
      </c>
      <c r="AB372" s="657"/>
      <c r="AC372" s="657"/>
      <c r="AD372" s="657" t="e">
        <f t="shared" ref="AD372:AI372" si="873">+AD379/AD393</f>
        <v>#DIV/0!</v>
      </c>
      <c r="AE372" s="657" t="e">
        <f t="shared" si="873"/>
        <v>#DIV/0!</v>
      </c>
      <c r="AF372" s="657">
        <f t="shared" si="873"/>
        <v>90.592388689259394</v>
      </c>
      <c r="AG372" s="657">
        <f t="shared" si="873"/>
        <v>0.78577862500963214</v>
      </c>
      <c r="AH372" s="657">
        <f t="shared" si="873"/>
        <v>0.9626201563743052</v>
      </c>
      <c r="AI372" s="657">
        <f t="shared" si="873"/>
        <v>0.96575342465753422</v>
      </c>
      <c r="AJ372" s="657">
        <f t="shared" si="868"/>
        <v>6.1071750713823855E-2</v>
      </c>
      <c r="AK372" s="657"/>
      <c r="AL372" s="657"/>
      <c r="AM372" s="657">
        <f t="shared" ref="AM372:AN372" si="874">+AM379/AM393</f>
        <v>1.7006725397077787</v>
      </c>
      <c r="AN372" s="503">
        <f t="shared" si="874"/>
        <v>0.97315436241610742</v>
      </c>
    </row>
    <row r="373" spans="3:40" ht="21.75" customHeight="1">
      <c r="C373" s="1605"/>
      <c r="D373" s="654" t="s">
        <v>218</v>
      </c>
      <c r="E373" s="657">
        <f t="shared" ref="E373:H373" si="875">+E380/E394</f>
        <v>1.9576543260047936</v>
      </c>
      <c r="F373" s="657">
        <f t="shared" si="875"/>
        <v>2.1243657073770823</v>
      </c>
      <c r="G373" s="657">
        <f t="shared" si="875"/>
        <v>2.4271844660194173E-3</v>
      </c>
      <c r="H373" s="657">
        <f t="shared" si="875"/>
        <v>2.6287222971522811E-3</v>
      </c>
      <c r="I373" s="657"/>
      <c r="J373" s="657"/>
      <c r="K373" s="657">
        <f t="shared" ref="K373:V373" si="876">+K380/K394</f>
        <v>1.1585059448418307</v>
      </c>
      <c r="L373" s="657">
        <f t="shared" si="876"/>
        <v>1.0833335072230301</v>
      </c>
      <c r="M373" s="657">
        <f t="shared" si="876"/>
        <v>0.96047430830039526</v>
      </c>
      <c r="N373" s="657" t="e">
        <f t="shared" si="876"/>
        <v>#DIV/0!</v>
      </c>
      <c r="O373" s="657">
        <f t="shared" si="876"/>
        <v>0.94827586206896552</v>
      </c>
      <c r="P373" s="657">
        <f t="shared" si="876"/>
        <v>0.29154518950437319</v>
      </c>
      <c r="Q373" s="657">
        <f t="shared" si="876"/>
        <v>0.90209424083769629</v>
      </c>
      <c r="R373" s="657">
        <f t="shared" si="876"/>
        <v>3.0716326742492548</v>
      </c>
      <c r="S373" s="657"/>
      <c r="T373" s="657"/>
      <c r="U373" s="657">
        <f t="shared" si="876"/>
        <v>0.98550724637681164</v>
      </c>
      <c r="V373" s="657">
        <f t="shared" si="876"/>
        <v>0.3611225044839364</v>
      </c>
      <c r="W373" s="657">
        <f t="shared" si="871"/>
        <v>1.0704661965723672</v>
      </c>
      <c r="X373" s="657"/>
      <c r="Y373" s="657"/>
      <c r="Z373" s="657">
        <f t="shared" ref="Z373" si="877">+Z380/Z394</f>
        <v>0.59476466739660416</v>
      </c>
      <c r="AA373" s="657"/>
      <c r="AB373" s="657"/>
      <c r="AC373" s="657"/>
      <c r="AD373" s="657" t="e">
        <f t="shared" ref="AD373:AJ373" si="878">+AD380/AD394</f>
        <v>#DIV/0!</v>
      </c>
      <c r="AE373" s="657" t="e">
        <f t="shared" si="878"/>
        <v>#DIV/0!</v>
      </c>
      <c r="AF373" s="657"/>
      <c r="AG373" s="657">
        <f t="shared" si="878"/>
        <v>0.74111055805259107</v>
      </c>
      <c r="AH373" s="657">
        <f t="shared" si="878"/>
        <v>0.97102435796053377</v>
      </c>
      <c r="AI373" s="657">
        <f t="shared" si="878"/>
        <v>0.97637795275590555</v>
      </c>
      <c r="AJ373" s="657">
        <f t="shared" si="878"/>
        <v>2.6768797342032611E-2</v>
      </c>
      <c r="AK373" s="657"/>
      <c r="AL373" s="657"/>
      <c r="AM373" s="657">
        <f t="shared" ref="AM373:AN373" si="879">+AM380/AM394</f>
        <v>1.5724332824791554</v>
      </c>
      <c r="AN373" s="503">
        <f t="shared" si="879"/>
        <v>0.96899224806201545</v>
      </c>
    </row>
    <row r="374" spans="3:40" ht="21.75" customHeight="1">
      <c r="C374" s="1605"/>
      <c r="D374" s="654" t="s">
        <v>220</v>
      </c>
      <c r="E374" s="657">
        <f t="shared" ref="E374:H374" si="880">+E381/E395</f>
        <v>2.023204932705696</v>
      </c>
      <c r="F374" s="657">
        <f t="shared" si="880"/>
        <v>2.2375889609886226</v>
      </c>
      <c r="G374" s="657">
        <f t="shared" si="880"/>
        <v>2.6385224274406332E-3</v>
      </c>
      <c r="H374" s="657">
        <f t="shared" si="880"/>
        <v>2.0918469875538326E-3</v>
      </c>
      <c r="I374" s="657"/>
      <c r="J374" s="657"/>
      <c r="K374" s="657">
        <f t="shared" ref="K374:W374" si="881">+K381/K395</f>
        <v>1.2886819317599367</v>
      </c>
      <c r="L374" s="657">
        <f t="shared" si="881"/>
        <v>1.2792917779692168</v>
      </c>
      <c r="M374" s="657">
        <f t="shared" si="881"/>
        <v>0.98734177215189878</v>
      </c>
      <c r="N374" s="657" t="e">
        <f t="shared" si="881"/>
        <v>#DIV/0!</v>
      </c>
      <c r="O374" s="657">
        <f t="shared" si="881"/>
        <v>1.0606060606060606</v>
      </c>
      <c r="P374" s="657">
        <f t="shared" si="881"/>
        <v>0.89119170984455953</v>
      </c>
      <c r="Q374" s="657">
        <f t="shared" si="881"/>
        <v>0.91210613598673296</v>
      </c>
      <c r="R374" s="657">
        <f t="shared" si="881"/>
        <v>2.7028691393739024</v>
      </c>
      <c r="S374" s="657"/>
      <c r="T374" s="657"/>
      <c r="U374" s="657">
        <f t="shared" si="881"/>
        <v>1.064516129032258</v>
      </c>
      <c r="V374" s="657">
        <f t="shared" si="881"/>
        <v>3.6295999999999999</v>
      </c>
      <c r="W374" s="657">
        <f t="shared" si="881"/>
        <v>1.0929675911197694</v>
      </c>
      <c r="X374" s="657"/>
      <c r="Y374" s="657"/>
      <c r="Z374" s="657">
        <f t="shared" ref="Z374:AA374" si="882">+Z381/Z395</f>
        <v>0.61118915774860405</v>
      </c>
      <c r="AA374" s="657">
        <f t="shared" si="882"/>
        <v>17.248366013071895</v>
      </c>
      <c r="AB374" s="657">
        <f t="shared" ref="AB374" si="883">+AB381/AB395</f>
        <v>0</v>
      </c>
      <c r="AC374" s="657"/>
      <c r="AD374" s="657" t="e">
        <f t="shared" ref="AD374:AJ374" si="884">+AD381/AD395</f>
        <v>#DIV/0!</v>
      </c>
      <c r="AE374" s="657" t="e">
        <f t="shared" si="884"/>
        <v>#DIV/0!</v>
      </c>
      <c r="AF374" s="657">
        <f t="shared" si="884"/>
        <v>6.6388662629811899</v>
      </c>
      <c r="AG374" s="657">
        <f t="shared" si="884"/>
        <v>0.63957387906912444</v>
      </c>
      <c r="AH374" s="657">
        <f t="shared" si="884"/>
        <v>0.99938508048131669</v>
      </c>
      <c r="AI374" s="657">
        <f t="shared" si="884"/>
        <v>1</v>
      </c>
      <c r="AJ374" s="657">
        <f t="shared" si="884"/>
        <v>0.13139862060525345</v>
      </c>
      <c r="AK374" s="657"/>
      <c r="AL374" s="657"/>
      <c r="AM374" s="657">
        <f t="shared" ref="AM374:AN374" si="885">+AM381/AM395</f>
        <v>1.4458526992617111</v>
      </c>
      <c r="AN374" s="503">
        <f t="shared" si="885"/>
        <v>1.020979020979021</v>
      </c>
    </row>
    <row r="375" spans="3:40" s="653" customFormat="1" ht="21.75" customHeight="1">
      <c r="C375" s="1605"/>
      <c r="D375" s="656" t="s">
        <v>221</v>
      </c>
      <c r="E375" s="657">
        <f t="shared" ref="E375:X375" si="886">+E382/E396</f>
        <v>1.982591726722952</v>
      </c>
      <c r="F375" s="657">
        <f t="shared" si="886"/>
        <v>2.1285225411726172</v>
      </c>
      <c r="G375" s="657">
        <f t="shared" si="886"/>
        <v>7.2627097420485849E-3</v>
      </c>
      <c r="H375" s="657">
        <f t="shared" si="886"/>
        <v>7.1889515869393902E-3</v>
      </c>
      <c r="I375" s="657">
        <f t="shared" si="886"/>
        <v>4.1610169491525424</v>
      </c>
      <c r="J375" s="657">
        <f t="shared" si="886"/>
        <v>4.0256559072876676</v>
      </c>
      <c r="K375" s="657">
        <f t="shared" si="886"/>
        <v>1.2335455134775066</v>
      </c>
      <c r="L375" s="657">
        <f t="shared" si="886"/>
        <v>1.2256178874660981</v>
      </c>
      <c r="M375" s="657">
        <f t="shared" si="886"/>
        <v>0.9690949227373068</v>
      </c>
      <c r="N375" s="657" t="e">
        <f t="shared" si="886"/>
        <v>#DIV/0!</v>
      </c>
      <c r="O375" s="657">
        <f t="shared" si="886"/>
        <v>0.98425196850393704</v>
      </c>
      <c r="P375" s="657">
        <f t="shared" si="886"/>
        <v>0.98560000000000003</v>
      </c>
      <c r="Q375" s="657">
        <f t="shared" si="886"/>
        <v>0.90926892950391647</v>
      </c>
      <c r="R375" s="657">
        <f t="shared" si="886"/>
        <v>1.8966966663476328</v>
      </c>
      <c r="S375" s="657"/>
      <c r="T375" s="657"/>
      <c r="U375" s="657">
        <f t="shared" si="886"/>
        <v>0.98305084745762716</v>
      </c>
      <c r="V375" s="657">
        <f t="shared" si="886"/>
        <v>0.99621992681079485</v>
      </c>
      <c r="W375" s="657">
        <f t="shared" si="886"/>
        <v>1.0646430594007266</v>
      </c>
      <c r="X375" s="657">
        <f t="shared" si="886"/>
        <v>4.068888888888889</v>
      </c>
      <c r="Y375" s="657"/>
      <c r="Z375" s="657">
        <f t="shared" ref="Z375:AA375" si="887">+Z382/Z396</f>
        <v>0.61565272659760728</v>
      </c>
      <c r="AA375" s="657">
        <f t="shared" si="887"/>
        <v>26.816542948038176</v>
      </c>
      <c r="AB375" s="657"/>
      <c r="AC375" s="657"/>
      <c r="AD375" s="657" t="e">
        <f t="shared" ref="AD375:AK375" si="888">+AD382/AD396</f>
        <v>#DIV/0!</v>
      </c>
      <c r="AE375" s="657" t="e">
        <f t="shared" si="888"/>
        <v>#DIV/0!</v>
      </c>
      <c r="AF375" s="657">
        <f t="shared" si="888"/>
        <v>22.32466352941319</v>
      </c>
      <c r="AG375" s="657">
        <f t="shared" si="888"/>
        <v>0.72871946983149494</v>
      </c>
      <c r="AH375" s="657">
        <f t="shared" si="888"/>
        <v>0.98675748785754713</v>
      </c>
      <c r="AI375" s="657">
        <f t="shared" si="888"/>
        <v>0.9634888438133874</v>
      </c>
      <c r="AJ375" s="657">
        <f t="shared" si="888"/>
        <v>9.7066908319381251E-2</v>
      </c>
      <c r="AK375" s="657">
        <f t="shared" si="888"/>
        <v>163.5</v>
      </c>
      <c r="AL375" s="657"/>
      <c r="AM375" s="657">
        <f t="shared" ref="AM375:AN375" si="889">+AM382/AM396</f>
        <v>1.5179891640383998</v>
      </c>
      <c r="AN375" s="503">
        <f t="shared" si="889"/>
        <v>0.99207920792079207</v>
      </c>
    </row>
    <row r="376" spans="3:40" s="492" customFormat="1" ht="21.75" customHeight="1">
      <c r="D376" s="676" t="s">
        <v>79</v>
      </c>
      <c r="E376" s="677">
        <f t="shared" ref="E376:R376" si="890">+E383/E397</f>
        <v>2.0566768920701239</v>
      </c>
      <c r="F376" s="677">
        <f t="shared" si="890"/>
        <v>2.2240060627975153</v>
      </c>
      <c r="G376" s="677">
        <f t="shared" si="890"/>
        <v>5.5931438881371221E-3</v>
      </c>
      <c r="H376" s="677">
        <f t="shared" si="890"/>
        <v>5.3700059050491526E-3</v>
      </c>
      <c r="I376" s="677">
        <f t="shared" si="890"/>
        <v>4.3577277379733879</v>
      </c>
      <c r="J376" s="677">
        <f t="shared" si="890"/>
        <v>4.2959285641743001</v>
      </c>
      <c r="K376" s="677">
        <f t="shared" si="890"/>
        <v>1.2443449988484125</v>
      </c>
      <c r="L376" s="677">
        <f t="shared" si="890"/>
        <v>1.2621044746397121</v>
      </c>
      <c r="M376" s="677">
        <f t="shared" si="890"/>
        <v>0.97357886309047237</v>
      </c>
      <c r="N376" s="677" t="e">
        <f t="shared" si="890"/>
        <v>#DIV/0!</v>
      </c>
      <c r="O376" s="677">
        <f t="shared" si="890"/>
        <v>0.94395017793594305</v>
      </c>
      <c r="P376" s="677">
        <f t="shared" si="890"/>
        <v>0.80575539568345322</v>
      </c>
      <c r="Q376" s="677">
        <f t="shared" si="890"/>
        <v>0.91113561190738701</v>
      </c>
      <c r="R376" s="677">
        <f t="shared" si="890"/>
        <v>2.5457202986862146</v>
      </c>
      <c r="S376" s="677"/>
      <c r="T376" s="677"/>
      <c r="U376" s="677">
        <f t="shared" ref="U376:X376" si="891">+U383/U397</f>
        <v>0.99676375404530748</v>
      </c>
      <c r="V376" s="677">
        <f t="shared" si="891"/>
        <v>1.0313951355882793</v>
      </c>
      <c r="W376" s="677">
        <f t="shared" si="891"/>
        <v>1.0650773622490075</v>
      </c>
      <c r="X376" s="677">
        <f t="shared" si="891"/>
        <v>3.6835897435897436</v>
      </c>
      <c r="Y376" s="677"/>
      <c r="Z376" s="677">
        <f t="shared" ref="Z376:AN376" si="892">+Z383/Z397</f>
        <v>0.61260282356138718</v>
      </c>
      <c r="AA376" s="677">
        <f t="shared" si="892"/>
        <v>58.058976582827405</v>
      </c>
      <c r="AB376" s="677">
        <f t="shared" si="892"/>
        <v>0</v>
      </c>
      <c r="AC376" s="677"/>
      <c r="AD376" s="677" t="e">
        <f t="shared" si="892"/>
        <v>#DIV/0!</v>
      </c>
      <c r="AE376" s="677" t="e">
        <f t="shared" si="892"/>
        <v>#DIV/0!</v>
      </c>
      <c r="AF376" s="677">
        <f t="shared" si="892"/>
        <v>37.353217447378249</v>
      </c>
      <c r="AG376" s="677">
        <f t="shared" si="892"/>
        <v>0.71336676033387358</v>
      </c>
      <c r="AH376" s="677">
        <f t="shared" si="892"/>
        <v>0.97730029795576334</v>
      </c>
      <c r="AI376" s="677">
        <f t="shared" si="892"/>
        <v>0.97222222222222221</v>
      </c>
      <c r="AJ376" s="677">
        <f t="shared" si="892"/>
        <v>0.10308437827523638</v>
      </c>
      <c r="AK376" s="677">
        <f t="shared" si="892"/>
        <v>542.125</v>
      </c>
      <c r="AL376" s="677">
        <f t="shared" si="892"/>
        <v>1.8368304225137465E-4</v>
      </c>
      <c r="AM376" s="677">
        <f t="shared" si="892"/>
        <v>1.5189825892105397</v>
      </c>
      <c r="AN376" s="677">
        <f t="shared" si="892"/>
        <v>0.99068100358422939</v>
      </c>
    </row>
    <row r="377" spans="3:40" ht="21.75" customHeight="1"/>
    <row r="378" spans="3:40" ht="19.5" customHeight="1">
      <c r="C378" s="1610" t="s">
        <v>64</v>
      </c>
      <c r="D378" s="654" t="s">
        <v>216</v>
      </c>
      <c r="E378" s="655">
        <v>6351.5000000000009</v>
      </c>
      <c r="F378" s="655">
        <v>1631635074</v>
      </c>
      <c r="G378" s="655">
        <v>25</v>
      </c>
      <c r="H378" s="655">
        <v>5848668</v>
      </c>
      <c r="I378" s="655">
        <v>195</v>
      </c>
      <c r="J378" s="655">
        <v>2000121</v>
      </c>
      <c r="K378" s="655">
        <v>1639483863</v>
      </c>
      <c r="L378" s="655">
        <v>1216042</v>
      </c>
      <c r="M378" s="655">
        <v>63200000</v>
      </c>
      <c r="N378" s="655">
        <v>0</v>
      </c>
      <c r="O378" s="655">
        <v>139000000</v>
      </c>
      <c r="P378" s="655">
        <v>200000</v>
      </c>
      <c r="Q378" s="655">
        <v>113050000</v>
      </c>
      <c r="R378" s="655">
        <v>159853272</v>
      </c>
      <c r="S378" s="655">
        <v>0</v>
      </c>
      <c r="T378" s="655">
        <v>0</v>
      </c>
      <c r="U378" s="655">
        <v>6400000</v>
      </c>
      <c r="V378" s="655">
        <v>0</v>
      </c>
      <c r="W378" s="655">
        <v>10913921.808771217</v>
      </c>
      <c r="X378" s="655">
        <v>900000</v>
      </c>
      <c r="Y378" s="655">
        <v>0</v>
      </c>
      <c r="Z378" s="655">
        <v>2134217089</v>
      </c>
      <c r="AA378" s="655">
        <v>7878.5</v>
      </c>
      <c r="AB378" s="655">
        <v>0</v>
      </c>
      <c r="AC378" s="655">
        <v>18</v>
      </c>
      <c r="AD378" s="655">
        <v>0</v>
      </c>
      <c r="AE378" s="655">
        <v>0</v>
      </c>
      <c r="AF378" s="655">
        <v>366469844</v>
      </c>
      <c r="AG378" s="655">
        <v>2500686933</v>
      </c>
      <c r="AH378" s="655">
        <v>206186715</v>
      </c>
      <c r="AI378" s="655">
        <v>13644800</v>
      </c>
      <c r="AJ378" s="655">
        <v>214715</v>
      </c>
      <c r="AK378" s="655">
        <v>3808000</v>
      </c>
      <c r="AL378" s="655">
        <v>0</v>
      </c>
      <c r="AM378" s="655">
        <v>2276832703</v>
      </c>
      <c r="AN378" s="654">
        <v>340</v>
      </c>
    </row>
    <row r="379" spans="3:40" ht="19.5" customHeight="1">
      <c r="C379" s="1610"/>
      <c r="D379" s="654" t="s">
        <v>217</v>
      </c>
      <c r="E379" s="655">
        <v>3274.9000000000005</v>
      </c>
      <c r="F379" s="655">
        <v>933657096</v>
      </c>
      <c r="G379" s="655">
        <v>0</v>
      </c>
      <c r="H379" s="655">
        <v>0</v>
      </c>
      <c r="I379" s="655">
        <v>871</v>
      </c>
      <c r="J379" s="655">
        <v>8298873</v>
      </c>
      <c r="K379" s="655">
        <v>941955969</v>
      </c>
      <c r="L379" s="655">
        <v>2062918</v>
      </c>
      <c r="M379" s="655">
        <v>28000000</v>
      </c>
      <c r="N379" s="655">
        <v>0</v>
      </c>
      <c r="O379" s="655">
        <v>59000000</v>
      </c>
      <c r="P379" s="655">
        <v>200000</v>
      </c>
      <c r="Q379" s="655">
        <v>47200000</v>
      </c>
      <c r="R379" s="655">
        <v>50075355</v>
      </c>
      <c r="S379" s="655">
        <v>0</v>
      </c>
      <c r="T379" s="655">
        <v>0</v>
      </c>
      <c r="U379" s="655">
        <v>2700000</v>
      </c>
      <c r="V379" s="655">
        <v>200000</v>
      </c>
      <c r="W379" s="655">
        <v>2703937.4991792822</v>
      </c>
      <c r="X379" s="655">
        <v>3990000</v>
      </c>
      <c r="Y379" s="655">
        <v>0</v>
      </c>
      <c r="Z379" s="655">
        <v>1138088179</v>
      </c>
      <c r="AA379" s="655">
        <v>2644.5</v>
      </c>
      <c r="AB379" s="655">
        <v>0</v>
      </c>
      <c r="AC379" s="655">
        <v>72</v>
      </c>
      <c r="AD379" s="655">
        <v>0</v>
      </c>
      <c r="AE379" s="655">
        <v>0</v>
      </c>
      <c r="AF379" s="655">
        <v>143275577</v>
      </c>
      <c r="AG379" s="655">
        <v>1281363756</v>
      </c>
      <c r="AH379" s="655">
        <v>99734355</v>
      </c>
      <c r="AI379" s="655">
        <v>5865600</v>
      </c>
      <c r="AJ379" s="655">
        <v>285521</v>
      </c>
      <c r="AK379" s="655">
        <v>1576500</v>
      </c>
      <c r="AL379" s="655">
        <v>0</v>
      </c>
      <c r="AM379" s="655">
        <v>1173901780</v>
      </c>
      <c r="AN379" s="654">
        <v>145</v>
      </c>
    </row>
    <row r="380" spans="3:40" ht="19.5" customHeight="1">
      <c r="C380" s="1610"/>
      <c r="D380" s="654" t="s">
        <v>218</v>
      </c>
      <c r="E380" s="655">
        <v>4817.1999999999989</v>
      </c>
      <c r="F380" s="655">
        <v>1207374166</v>
      </c>
      <c r="G380" s="655">
        <v>5</v>
      </c>
      <c r="H380" s="655">
        <v>1248417</v>
      </c>
      <c r="I380" s="655">
        <v>0</v>
      </c>
      <c r="J380" s="655">
        <v>0</v>
      </c>
      <c r="K380" s="655">
        <v>1208622583</v>
      </c>
      <c r="L380" s="655">
        <v>519167</v>
      </c>
      <c r="M380" s="655">
        <v>48600000</v>
      </c>
      <c r="N380" s="655">
        <v>0</v>
      </c>
      <c r="O380" s="655">
        <v>110000000</v>
      </c>
      <c r="P380" s="655">
        <v>200000</v>
      </c>
      <c r="Q380" s="655">
        <v>86150000</v>
      </c>
      <c r="R380" s="655">
        <v>184763021</v>
      </c>
      <c r="S380" s="655">
        <v>0</v>
      </c>
      <c r="T380" s="655">
        <v>0</v>
      </c>
      <c r="U380" s="655">
        <v>6800000</v>
      </c>
      <c r="V380" s="655">
        <v>296000</v>
      </c>
      <c r="W380" s="655">
        <v>8543625.1142025143</v>
      </c>
      <c r="X380" s="655">
        <v>0</v>
      </c>
      <c r="Y380" s="655">
        <v>0</v>
      </c>
      <c r="Z380" s="655">
        <v>1654494399</v>
      </c>
      <c r="AA380" s="655">
        <v>8984.5</v>
      </c>
      <c r="AB380" s="655">
        <v>0</v>
      </c>
      <c r="AC380" s="655">
        <v>0</v>
      </c>
      <c r="AD380" s="655">
        <v>0</v>
      </c>
      <c r="AE380" s="655">
        <v>0</v>
      </c>
      <c r="AF380" s="655">
        <v>407099597</v>
      </c>
      <c r="AG380" s="655">
        <v>2061593996</v>
      </c>
      <c r="AH380" s="655">
        <v>156523815</v>
      </c>
      <c r="AI380" s="655">
        <v>10316800</v>
      </c>
      <c r="AJ380" s="655">
        <v>177776</v>
      </c>
      <c r="AK380" s="655">
        <v>1405000</v>
      </c>
      <c r="AL380" s="655">
        <v>0</v>
      </c>
      <c r="AM380" s="655">
        <v>1893170605</v>
      </c>
      <c r="AN380" s="654">
        <v>250</v>
      </c>
    </row>
    <row r="381" spans="3:40" ht="19.5" customHeight="1">
      <c r="C381" s="1610"/>
      <c r="D381" s="654" t="s">
        <v>220</v>
      </c>
      <c r="E381" s="655">
        <v>3051.6000000000004</v>
      </c>
      <c r="F381" s="655">
        <v>1378296786</v>
      </c>
      <c r="G381" s="655">
        <v>3</v>
      </c>
      <c r="H381" s="655">
        <v>950333</v>
      </c>
      <c r="I381" s="655">
        <v>0</v>
      </c>
      <c r="J381" s="655">
        <v>0</v>
      </c>
      <c r="K381" s="655">
        <v>1379247119</v>
      </c>
      <c r="L381" s="655">
        <v>28875835</v>
      </c>
      <c r="M381" s="655">
        <v>15600000</v>
      </c>
      <c r="N381" s="655">
        <v>0</v>
      </c>
      <c r="O381" s="655">
        <v>35000000</v>
      </c>
      <c r="P381" s="655">
        <v>3096000</v>
      </c>
      <c r="Q381" s="655">
        <v>27500000</v>
      </c>
      <c r="R381" s="655">
        <v>16350669</v>
      </c>
      <c r="S381" s="655">
        <v>0</v>
      </c>
      <c r="T381" s="655">
        <v>0</v>
      </c>
      <c r="U381" s="655">
        <v>3300000</v>
      </c>
      <c r="V381" s="655">
        <v>4537000</v>
      </c>
      <c r="W381" s="655">
        <v>6263460.912355884</v>
      </c>
      <c r="X381" s="655">
        <v>180000</v>
      </c>
      <c r="Y381" s="655">
        <v>0</v>
      </c>
      <c r="Z381" s="655">
        <v>1519950093</v>
      </c>
      <c r="AA381" s="655">
        <v>1319.5</v>
      </c>
      <c r="AB381" s="655">
        <v>0</v>
      </c>
      <c r="AC381" s="655">
        <v>0</v>
      </c>
      <c r="AD381" s="655">
        <v>0</v>
      </c>
      <c r="AE381" s="655">
        <v>0</v>
      </c>
      <c r="AF381" s="655">
        <v>78114600</v>
      </c>
      <c r="AG381" s="655">
        <v>1598064693</v>
      </c>
      <c r="AH381" s="655">
        <v>154949340</v>
      </c>
      <c r="AI381" s="655">
        <v>5740800</v>
      </c>
      <c r="AJ381" s="655">
        <v>7077644</v>
      </c>
      <c r="AK381" s="655">
        <v>783000</v>
      </c>
      <c r="AL381" s="655">
        <v>259538</v>
      </c>
      <c r="AM381" s="655">
        <v>1429254371</v>
      </c>
      <c r="AN381" s="654">
        <v>146</v>
      </c>
    </row>
    <row r="382" spans="3:40" ht="19.5" customHeight="1">
      <c r="C382" s="1610"/>
      <c r="D382" s="654" t="s">
        <v>221</v>
      </c>
      <c r="E382" s="655">
        <v>10261.299999999985</v>
      </c>
      <c r="F382" s="655">
        <v>3209014092</v>
      </c>
      <c r="G382" s="655">
        <v>29</v>
      </c>
      <c r="H382" s="655">
        <v>8056209</v>
      </c>
      <c r="I382" s="655">
        <v>3191.5</v>
      </c>
      <c r="J382" s="655">
        <v>36061258</v>
      </c>
      <c r="K382" s="655">
        <v>3253131559</v>
      </c>
      <c r="L382" s="655">
        <v>26489375</v>
      </c>
      <c r="M382" s="655">
        <v>87800000</v>
      </c>
      <c r="N382" s="655">
        <v>0</v>
      </c>
      <c r="O382" s="655">
        <v>187500000</v>
      </c>
      <c r="P382" s="655">
        <v>3696000</v>
      </c>
      <c r="Q382" s="655">
        <v>139300000</v>
      </c>
      <c r="R382" s="655">
        <v>144585460</v>
      </c>
      <c r="S382" s="655">
        <v>0</v>
      </c>
      <c r="T382" s="655">
        <v>0</v>
      </c>
      <c r="U382" s="655">
        <v>11600000</v>
      </c>
      <c r="V382" s="655">
        <v>923076.92307692312</v>
      </c>
      <c r="W382" s="655">
        <v>12387101.680862812</v>
      </c>
      <c r="X382" s="655">
        <v>16479000</v>
      </c>
      <c r="Y382" s="655">
        <v>0</v>
      </c>
      <c r="Z382" s="655">
        <v>3883891569</v>
      </c>
      <c r="AA382" s="655">
        <v>12644</v>
      </c>
      <c r="AB382" s="655">
        <v>0</v>
      </c>
      <c r="AC382" s="655">
        <v>773</v>
      </c>
      <c r="AD382" s="655">
        <v>0</v>
      </c>
      <c r="AE382" s="655">
        <v>0</v>
      </c>
      <c r="AF382" s="655">
        <v>737358856</v>
      </c>
      <c r="AG382" s="655">
        <v>4621250425</v>
      </c>
      <c r="AH382" s="655">
        <v>371796915</v>
      </c>
      <c r="AI382" s="655">
        <v>19760000</v>
      </c>
      <c r="AJ382" s="655">
        <v>5586021</v>
      </c>
      <c r="AK382" s="655">
        <v>3270000</v>
      </c>
      <c r="AL382" s="655">
        <v>1297083</v>
      </c>
      <c r="AM382" s="655">
        <v>4219540406</v>
      </c>
      <c r="AN382" s="654">
        <v>501</v>
      </c>
    </row>
    <row r="383" spans="3:40" ht="19.5" customHeight="1">
      <c r="D383" s="272"/>
      <c r="E383" s="659">
        <f>SUM(E378:E382)</f>
        <v>27756.499999999985</v>
      </c>
      <c r="F383" s="659">
        <f t="shared" ref="F383:AN383" si="893">SUM(F378:F382)</f>
        <v>8359977214</v>
      </c>
      <c r="G383" s="659">
        <f t="shared" si="893"/>
        <v>62</v>
      </c>
      <c r="H383" s="659">
        <f t="shared" si="893"/>
        <v>16103627</v>
      </c>
      <c r="I383" s="659">
        <f t="shared" si="893"/>
        <v>4257.5</v>
      </c>
      <c r="J383" s="659">
        <f t="shared" si="893"/>
        <v>46360252</v>
      </c>
      <c r="K383" s="659">
        <f t="shared" si="893"/>
        <v>8422441093</v>
      </c>
      <c r="L383" s="659">
        <f t="shared" si="893"/>
        <v>59163337</v>
      </c>
      <c r="M383" s="659">
        <f t="shared" si="893"/>
        <v>243200000</v>
      </c>
      <c r="N383" s="659">
        <f t="shared" si="893"/>
        <v>0</v>
      </c>
      <c r="O383" s="659">
        <f t="shared" si="893"/>
        <v>530500000</v>
      </c>
      <c r="P383" s="659">
        <f t="shared" si="893"/>
        <v>7392000</v>
      </c>
      <c r="Q383" s="659">
        <f t="shared" si="893"/>
        <v>413200000</v>
      </c>
      <c r="R383" s="659">
        <f t="shared" si="893"/>
        <v>555627777</v>
      </c>
      <c r="S383" s="659">
        <f t="shared" si="893"/>
        <v>0</v>
      </c>
      <c r="T383" s="659">
        <f t="shared" si="893"/>
        <v>0</v>
      </c>
      <c r="U383" s="659">
        <f t="shared" si="893"/>
        <v>30800000</v>
      </c>
      <c r="V383" s="659">
        <f t="shared" si="893"/>
        <v>5956076.923076923</v>
      </c>
      <c r="W383" s="659">
        <f t="shared" si="893"/>
        <v>40812047.01537171</v>
      </c>
      <c r="X383" s="659">
        <f t="shared" si="893"/>
        <v>21549000</v>
      </c>
      <c r="Y383" s="659">
        <f t="shared" si="893"/>
        <v>0</v>
      </c>
      <c r="Z383" s="659">
        <f t="shared" si="893"/>
        <v>10330641329</v>
      </c>
      <c r="AA383" s="659">
        <f t="shared" si="893"/>
        <v>33471</v>
      </c>
      <c r="AB383" s="659">
        <f t="shared" si="893"/>
        <v>0</v>
      </c>
      <c r="AC383" s="659">
        <f t="shared" si="893"/>
        <v>863</v>
      </c>
      <c r="AD383" s="659">
        <f t="shared" si="893"/>
        <v>0</v>
      </c>
      <c r="AE383" s="659">
        <f t="shared" si="893"/>
        <v>0</v>
      </c>
      <c r="AF383" s="659">
        <f t="shared" si="893"/>
        <v>1732318474</v>
      </c>
      <c r="AG383" s="659">
        <f t="shared" si="893"/>
        <v>12062959803</v>
      </c>
      <c r="AH383" s="659">
        <f t="shared" si="893"/>
        <v>989191140</v>
      </c>
      <c r="AI383" s="659">
        <f t="shared" si="893"/>
        <v>55328000</v>
      </c>
      <c r="AJ383" s="659">
        <f t="shared" si="893"/>
        <v>13341677</v>
      </c>
      <c r="AK383" s="659">
        <f t="shared" si="893"/>
        <v>10842500</v>
      </c>
      <c r="AL383" s="659">
        <f t="shared" si="893"/>
        <v>1556621</v>
      </c>
      <c r="AM383" s="659">
        <f t="shared" si="893"/>
        <v>10992699865</v>
      </c>
      <c r="AN383" s="659">
        <f t="shared" si="893"/>
        <v>1382</v>
      </c>
    </row>
    <row r="384" spans="3:40" ht="19.5" customHeight="1">
      <c r="D384" s="665"/>
      <c r="E384" s="665"/>
      <c r="F384" s="666"/>
      <c r="G384" s="667"/>
      <c r="H384" s="666"/>
      <c r="I384" s="667"/>
      <c r="J384" s="666"/>
      <c r="K384" s="666"/>
      <c r="L384" s="666"/>
      <c r="M384" s="666"/>
      <c r="N384" s="666"/>
      <c r="O384" s="666"/>
      <c r="P384" s="666"/>
      <c r="Q384" s="666"/>
      <c r="R384" s="666"/>
      <c r="S384" s="668"/>
      <c r="T384" s="666"/>
      <c r="U384" s="666"/>
      <c r="V384" s="666"/>
      <c r="W384" s="666"/>
      <c r="X384" s="669"/>
      <c r="Y384" s="669"/>
      <c r="Z384" s="669"/>
      <c r="AA384" s="670"/>
      <c r="AB384" s="670"/>
      <c r="AC384" s="670"/>
      <c r="AD384" s="670"/>
      <c r="AE384" s="670"/>
      <c r="AF384" s="671"/>
      <c r="AG384" s="672"/>
      <c r="AH384" s="671"/>
      <c r="AI384" s="673"/>
      <c r="AJ384" s="671"/>
      <c r="AK384" s="671"/>
      <c r="AL384" s="674"/>
      <c r="AM384" s="669"/>
      <c r="AN384" s="675"/>
    </row>
    <row r="385" spans="3:40" ht="21.75" customHeight="1">
      <c r="C385" s="1605" t="str">
        <f>C392&amp;" Vs "&amp;C406</f>
        <v>Jan Vs Dec</v>
      </c>
      <c r="D385" s="654" t="s">
        <v>216</v>
      </c>
      <c r="E385" s="657">
        <f>+E392/E406</f>
        <v>0.40555403876906293</v>
      </c>
      <c r="F385" s="657">
        <f t="shared" ref="F385:H385" si="894">+F392/F406</f>
        <v>0.40809566044572038</v>
      </c>
      <c r="G385" s="657">
        <f t="shared" si="894"/>
        <v>5.3663366336633667</v>
      </c>
      <c r="H385" s="657">
        <f t="shared" si="894"/>
        <v>5.4539079007867919</v>
      </c>
      <c r="I385" s="657"/>
      <c r="J385" s="657"/>
      <c r="K385" s="657">
        <f t="shared" ref="K385:U385" si="895">+K392/K406</f>
        <v>0.71478996291184371</v>
      </c>
      <c r="L385" s="657">
        <f t="shared" si="895"/>
        <v>0.75617868758834939</v>
      </c>
      <c r="M385" s="657">
        <f t="shared" si="895"/>
        <v>0.91316526610644255</v>
      </c>
      <c r="N385" s="657" t="e">
        <f t="shared" si="895"/>
        <v>#DIV/0!</v>
      </c>
      <c r="O385" s="657">
        <f t="shared" si="895"/>
        <v>1.0433333333333332</v>
      </c>
      <c r="P385" s="657">
        <f t="shared" si="895"/>
        <v>3.7</v>
      </c>
      <c r="Q385" s="657">
        <f t="shared" si="895"/>
        <v>0.98342541436464093</v>
      </c>
      <c r="R385" s="657">
        <f t="shared" si="895"/>
        <v>0.35622011321661701</v>
      </c>
      <c r="S385" s="657">
        <f t="shared" si="895"/>
        <v>0</v>
      </c>
      <c r="T385" s="657">
        <f t="shared" si="895"/>
        <v>0</v>
      </c>
      <c r="U385" s="657">
        <f t="shared" si="895"/>
        <v>0.95454545454545459</v>
      </c>
      <c r="V385" s="657"/>
      <c r="W385" s="657">
        <f t="shared" ref="W385" si="896">+W392/W406</f>
        <v>0.93661206742163827</v>
      </c>
      <c r="X385" s="657"/>
      <c r="Y385" s="657"/>
      <c r="Z385" s="657">
        <f t="shared" ref="Z385:AA385" si="897">+Z392/Z406</f>
        <v>1.4164849990788004</v>
      </c>
      <c r="AA385" s="657">
        <f t="shared" si="897"/>
        <v>0</v>
      </c>
      <c r="AB385" s="657"/>
      <c r="AC385" s="657"/>
      <c r="AD385" s="657" t="e">
        <f t="shared" ref="AD385:AE385" si="898">+AD392/AD406</f>
        <v>#DIV/0!</v>
      </c>
      <c r="AE385" s="657" t="e">
        <f t="shared" si="898"/>
        <v>#DIV/0!</v>
      </c>
      <c r="AF385" s="657"/>
      <c r="AG385" s="657">
        <f>+AG392/AG406</f>
        <v>1.4158544695131525</v>
      </c>
      <c r="AH385" s="657">
        <f t="shared" ref="AH385:AJ385" si="899">+AH392/AH406</f>
        <v>0.93026162540390378</v>
      </c>
      <c r="AI385" s="657">
        <f t="shared" si="899"/>
        <v>0.93351800554016617</v>
      </c>
      <c r="AJ385" s="657">
        <f t="shared" si="899"/>
        <v>14.545444079769061</v>
      </c>
      <c r="AK385" s="657"/>
      <c r="AL385" s="657"/>
      <c r="AM385" s="657">
        <f t="shared" ref="AM385" si="900">+AM392/AM406</f>
        <v>0.67402925621439413</v>
      </c>
      <c r="AN385" s="503">
        <f>+AN392/AN406</f>
        <v>0.9164420485175202</v>
      </c>
    </row>
    <row r="386" spans="3:40" ht="21.75" customHeight="1">
      <c r="C386" s="1605"/>
      <c r="D386" s="654" t="s">
        <v>217</v>
      </c>
      <c r="E386" s="657">
        <f t="shared" ref="E386:U386" si="901">+E393/E407</f>
        <v>0.39566334725345326</v>
      </c>
      <c r="F386" s="657">
        <f t="shared" si="901"/>
        <v>0.40427831674963799</v>
      </c>
      <c r="G386" s="657">
        <f t="shared" si="901"/>
        <v>5.4109589041095889</v>
      </c>
      <c r="H386" s="657">
        <f t="shared" si="901"/>
        <v>5.5793579457906128</v>
      </c>
      <c r="I386" s="657">
        <f t="shared" si="901"/>
        <v>0.19820670127418594</v>
      </c>
      <c r="J386" s="657">
        <f t="shared" si="901"/>
        <v>0.20178262428227273</v>
      </c>
      <c r="K386" s="657">
        <f t="shared" si="901"/>
        <v>0.73027768787568947</v>
      </c>
      <c r="L386" s="657">
        <f t="shared" si="901"/>
        <v>0.75019968496105405</v>
      </c>
      <c r="M386" s="657">
        <f t="shared" si="901"/>
        <v>0.88461538461538458</v>
      </c>
      <c r="N386" s="657" t="e">
        <f t="shared" si="901"/>
        <v>#DIV/0!</v>
      </c>
      <c r="O386" s="657">
        <f t="shared" si="901"/>
        <v>0.97058823529411764</v>
      </c>
      <c r="P386" s="657">
        <f t="shared" si="901"/>
        <v>2.62</v>
      </c>
      <c r="Q386" s="657">
        <f t="shared" si="901"/>
        <v>0.8977578475336323</v>
      </c>
      <c r="R386" s="657">
        <f t="shared" si="901"/>
        <v>0.23924941652455839</v>
      </c>
      <c r="S386" s="657">
        <f t="shared" si="901"/>
        <v>0</v>
      </c>
      <c r="T386" s="657">
        <f t="shared" si="901"/>
        <v>0</v>
      </c>
      <c r="U386" s="657">
        <f t="shared" si="901"/>
        <v>0.96551724137931039</v>
      </c>
      <c r="V386" s="657"/>
      <c r="W386" s="657">
        <f t="shared" ref="W386:AA386" si="902">+W393/W407</f>
        <v>0.93852980574564027</v>
      </c>
      <c r="X386" s="657">
        <f t="shared" si="902"/>
        <v>0.37037037037037035</v>
      </c>
      <c r="Y386" s="657"/>
      <c r="Z386" s="657">
        <f t="shared" si="902"/>
        <v>1.4054428032979325</v>
      </c>
      <c r="AA386" s="657">
        <f t="shared" si="902"/>
        <v>1.6764705882352942</v>
      </c>
      <c r="AB386" s="657"/>
      <c r="AC386" s="657"/>
      <c r="AD386" s="657" t="e">
        <f t="shared" ref="AD386:AN386" si="903">+AD393/AD407</f>
        <v>#DIV/0!</v>
      </c>
      <c r="AE386" s="657" t="e">
        <f t="shared" si="903"/>
        <v>#DIV/0!</v>
      </c>
      <c r="AF386" s="657">
        <f t="shared" si="903"/>
        <v>1.7558163029673248</v>
      </c>
      <c r="AG386" s="657">
        <f t="shared" si="903"/>
        <v>1.4057148588790414</v>
      </c>
      <c r="AH386" s="657">
        <f t="shared" si="903"/>
        <v>0.92723437044833057</v>
      </c>
      <c r="AI386" s="657">
        <f t="shared" si="903"/>
        <v>0.91249999999999998</v>
      </c>
      <c r="AJ386" s="657"/>
      <c r="AK386" s="657"/>
      <c r="AL386" s="657"/>
      <c r="AM386" s="657">
        <f t="shared" si="903"/>
        <v>0.6626567009848412</v>
      </c>
      <c r="AN386" s="503">
        <f t="shared" si="903"/>
        <v>0.90303030303030307</v>
      </c>
    </row>
    <row r="387" spans="3:40" ht="21.75" customHeight="1">
      <c r="C387" s="1605"/>
      <c r="D387" s="654" t="s">
        <v>218</v>
      </c>
      <c r="E387" s="657">
        <f t="shared" ref="E387:H387" si="904">+E394/E408</f>
        <v>0.45008413813286507</v>
      </c>
      <c r="F387" s="657">
        <f t="shared" si="904"/>
        <v>0.45121282911749871</v>
      </c>
      <c r="G387" s="657">
        <f t="shared" si="904"/>
        <v>6.2804878048780486</v>
      </c>
      <c r="H387" s="657">
        <f t="shared" si="904"/>
        <v>6.3512277100407744</v>
      </c>
      <c r="I387" s="657"/>
      <c r="J387" s="657"/>
      <c r="K387" s="657">
        <f t="shared" ref="K387:V387" si="905">+K394/K408</f>
        <v>0.78183643186308482</v>
      </c>
      <c r="L387" s="657">
        <f t="shared" si="905"/>
        <v>0.82890713104602975</v>
      </c>
      <c r="M387" s="657">
        <f t="shared" si="905"/>
        <v>1</v>
      </c>
      <c r="N387" s="657" t="e">
        <f t="shared" si="905"/>
        <v>#DIV/0!</v>
      </c>
      <c r="O387" s="657">
        <f t="shared" si="905"/>
        <v>1.0131004366812226</v>
      </c>
      <c r="P387" s="657">
        <f t="shared" si="905"/>
        <v>3.43</v>
      </c>
      <c r="Q387" s="657">
        <f t="shared" si="905"/>
        <v>1.0143388210302708</v>
      </c>
      <c r="R387" s="657">
        <f t="shared" si="905"/>
        <v>0.25041117366091342</v>
      </c>
      <c r="S387" s="657">
        <f t="shared" si="905"/>
        <v>0</v>
      </c>
      <c r="T387" s="657">
        <f t="shared" si="905"/>
        <v>0</v>
      </c>
      <c r="U387" s="657">
        <f t="shared" si="905"/>
        <v>1.0147058823529411</v>
      </c>
      <c r="V387" s="657">
        <f t="shared" si="905"/>
        <v>2.6621103747495702</v>
      </c>
      <c r="W387" s="657">
        <f t="shared" ref="W387" si="906">+W394/W408</f>
        <v>1.0159078704192805</v>
      </c>
      <c r="X387" s="657"/>
      <c r="Y387" s="657"/>
      <c r="Z387" s="657">
        <f t="shared" ref="Z387:AA387" si="907">+Z394/Z408</f>
        <v>1.4308815150905754</v>
      </c>
      <c r="AA387" s="657">
        <f t="shared" si="907"/>
        <v>0</v>
      </c>
      <c r="AB387" s="657"/>
      <c r="AC387" s="657"/>
      <c r="AD387" s="657" t="e">
        <f t="shared" ref="AD387:AJ387" si="908">+AD394/AD408</f>
        <v>#DIV/0!</v>
      </c>
      <c r="AE387" s="657" t="e">
        <f t="shared" si="908"/>
        <v>#DIV/0!</v>
      </c>
      <c r="AF387" s="657">
        <f t="shared" si="908"/>
        <v>0</v>
      </c>
      <c r="AG387" s="657">
        <f t="shared" si="908"/>
        <v>1.4307277970175709</v>
      </c>
      <c r="AH387" s="657">
        <f t="shared" si="908"/>
        <v>1.0016252418126241</v>
      </c>
      <c r="AI387" s="657">
        <f t="shared" si="908"/>
        <v>0.99607843137254903</v>
      </c>
      <c r="AJ387" s="657">
        <f t="shared" si="908"/>
        <v>11.043943526124988</v>
      </c>
      <c r="AK387" s="657"/>
      <c r="AL387" s="657"/>
      <c r="AM387" s="657">
        <f t="shared" ref="AM387:AN387" si="909">+AM394/AM408</f>
        <v>0.67946070260474323</v>
      </c>
      <c r="AN387" s="503">
        <f t="shared" si="909"/>
        <v>0.97727272727272729</v>
      </c>
    </row>
    <row r="388" spans="3:40" ht="21.75" customHeight="1">
      <c r="C388" s="1605"/>
      <c r="D388" s="654" t="s">
        <v>220</v>
      </c>
      <c r="E388" s="657">
        <f t="shared" ref="E388:H388" si="910">+E395/E409</f>
        <v>0.49024897614249469</v>
      </c>
      <c r="F388" s="657">
        <f t="shared" si="910"/>
        <v>0.49737793882300846</v>
      </c>
      <c r="G388" s="657">
        <f t="shared" si="910"/>
        <v>6.5344827586206895</v>
      </c>
      <c r="H388" s="657">
        <f t="shared" si="910"/>
        <v>6.8461802284295885</v>
      </c>
      <c r="I388" s="657"/>
      <c r="J388" s="657"/>
      <c r="K388" s="657">
        <f t="shared" ref="K388:AA388" si="911">+K395/K409</f>
        <v>0.82026078690162596</v>
      </c>
      <c r="L388" s="657">
        <f t="shared" si="911"/>
        <v>0.87133360617837285</v>
      </c>
      <c r="M388" s="657">
        <f t="shared" si="911"/>
        <v>0.98750000000000004</v>
      </c>
      <c r="N388" s="657" t="e">
        <f t="shared" si="911"/>
        <v>#DIV/0!</v>
      </c>
      <c r="O388" s="657">
        <f t="shared" si="911"/>
        <v>0.91666666666666663</v>
      </c>
      <c r="P388" s="657">
        <f t="shared" si="911"/>
        <v>1.1220930232558139</v>
      </c>
      <c r="Q388" s="657">
        <f t="shared" si="911"/>
        <v>0.95411392405063289</v>
      </c>
      <c r="R388" s="657">
        <f t="shared" si="911"/>
        <v>0.39280201966550587</v>
      </c>
      <c r="S388" s="657">
        <f t="shared" si="911"/>
        <v>0</v>
      </c>
      <c r="T388" s="657">
        <f t="shared" si="911"/>
        <v>0</v>
      </c>
      <c r="U388" s="657">
        <f t="shared" si="911"/>
        <v>0.91176470588235292</v>
      </c>
      <c r="V388" s="657">
        <f t="shared" si="911"/>
        <v>0.5</v>
      </c>
      <c r="W388" s="657">
        <f t="shared" si="911"/>
        <v>1.0076551471419641</v>
      </c>
      <c r="X388" s="657">
        <f t="shared" si="911"/>
        <v>0</v>
      </c>
      <c r="Y388" s="657"/>
      <c r="Z388" s="657">
        <f t="shared" si="911"/>
        <v>1.61170071981964</v>
      </c>
      <c r="AA388" s="657">
        <f t="shared" si="911"/>
        <v>0.37317073170731707</v>
      </c>
      <c r="AB388" s="657"/>
      <c r="AC388" s="657"/>
      <c r="AD388" s="657" t="e">
        <f t="shared" ref="AD388:AN388" si="912">+AD395/AD409</f>
        <v>#DIV/0!</v>
      </c>
      <c r="AE388" s="657" t="e">
        <f t="shared" si="912"/>
        <v>#DIV/0!</v>
      </c>
      <c r="AF388" s="657">
        <f t="shared" si="912"/>
        <v>0.96752783761081906</v>
      </c>
      <c r="AG388" s="657">
        <f t="shared" si="912"/>
        <v>1.6066634115692033</v>
      </c>
      <c r="AH388" s="657">
        <f t="shared" si="912"/>
        <v>0.99584025724582947</v>
      </c>
      <c r="AI388" s="657">
        <f t="shared" si="912"/>
        <v>0.98571428571428577</v>
      </c>
      <c r="AJ388" s="657">
        <f t="shared" si="912"/>
        <v>16.728136600497088</v>
      </c>
      <c r="AK388" s="657"/>
      <c r="AL388" s="657"/>
      <c r="AM388" s="657">
        <f t="shared" si="912"/>
        <v>0.71094207943430776</v>
      </c>
      <c r="AN388" s="503">
        <f t="shared" si="912"/>
        <v>0.96621621621621623</v>
      </c>
    </row>
    <row r="389" spans="3:40" s="653" customFormat="1" ht="21.75" customHeight="1">
      <c r="C389" s="1605"/>
      <c r="D389" s="656" t="s">
        <v>219</v>
      </c>
      <c r="E389" s="657">
        <f t="shared" ref="E389:AA389" si="913">+E396/E410</f>
        <v>0.46148564906868333</v>
      </c>
      <c r="F389" s="657">
        <f t="shared" si="913"/>
        <v>0.47671901780551001</v>
      </c>
      <c r="G389" s="657">
        <f t="shared" si="913"/>
        <v>5.2817460317460316</v>
      </c>
      <c r="H389" s="657">
        <f t="shared" si="913"/>
        <v>5.4312725649735896</v>
      </c>
      <c r="I389" s="657">
        <f t="shared" si="913"/>
        <v>0.3461191335740072</v>
      </c>
      <c r="J389" s="657">
        <f t="shared" si="913"/>
        <v>0.36850960571319824</v>
      </c>
      <c r="K389" s="657">
        <f t="shared" si="913"/>
        <v>0.7772209078589617</v>
      </c>
      <c r="L389" s="657">
        <f t="shared" si="913"/>
        <v>0.83894470274689059</v>
      </c>
      <c r="M389" s="657">
        <f t="shared" si="913"/>
        <v>0.94968553459119498</v>
      </c>
      <c r="N389" s="657" t="e">
        <f t="shared" si="913"/>
        <v>#DIV/0!</v>
      </c>
      <c r="O389" s="657">
        <f t="shared" si="913"/>
        <v>0.91807228915662653</v>
      </c>
      <c r="P389" s="657">
        <f t="shared" si="913"/>
        <v>1.0146103896103895</v>
      </c>
      <c r="Q389" s="657">
        <f t="shared" si="913"/>
        <v>0.89590643274853798</v>
      </c>
      <c r="R389" s="657">
        <f t="shared" si="913"/>
        <v>0.39026370733920307</v>
      </c>
      <c r="S389" s="657">
        <f t="shared" si="913"/>
        <v>0</v>
      </c>
      <c r="T389" s="657">
        <f t="shared" si="913"/>
        <v>0</v>
      </c>
      <c r="U389" s="657">
        <f t="shared" si="913"/>
        <v>0.88059701492537312</v>
      </c>
      <c r="V389" s="657">
        <f t="shared" si="913"/>
        <v>1.6546061808144383</v>
      </c>
      <c r="W389" s="657">
        <f t="shared" si="913"/>
        <v>0.92957053933127065</v>
      </c>
      <c r="X389" s="657">
        <f t="shared" si="913"/>
        <v>0.3381763527054108</v>
      </c>
      <c r="Y389" s="657"/>
      <c r="Z389" s="657">
        <f t="shared" si="913"/>
        <v>1.4332926343441037</v>
      </c>
      <c r="AA389" s="657">
        <f t="shared" si="913"/>
        <v>0.778052805280528</v>
      </c>
      <c r="AB389" s="657"/>
      <c r="AC389" s="657"/>
      <c r="AD389" s="657" t="e">
        <f t="shared" ref="AD389:AK389" si="914">+AD396/AD410</f>
        <v>#DIV/0!</v>
      </c>
      <c r="AE389" s="657" t="e">
        <f t="shared" si="914"/>
        <v>#DIV/0!</v>
      </c>
      <c r="AF389" s="657">
        <f t="shared" si="914"/>
        <v>0.67711604799899339</v>
      </c>
      <c r="AG389" s="657">
        <f t="shared" si="914"/>
        <v>1.4250042263719942</v>
      </c>
      <c r="AH389" s="657">
        <f t="shared" si="914"/>
        <v>0.94334280152419914</v>
      </c>
      <c r="AI389" s="657">
        <f t="shared" si="914"/>
        <v>0.96101364522417154</v>
      </c>
      <c r="AJ389" s="657">
        <f t="shared" si="914"/>
        <v>10.854739674981104</v>
      </c>
      <c r="AK389" s="657">
        <f t="shared" si="914"/>
        <v>0.21390374331550802</v>
      </c>
      <c r="AL389" s="657"/>
      <c r="AM389" s="657">
        <f t="shared" ref="AM389:AN389" si="915">+AM396/AM410</f>
        <v>0.69083242717597626</v>
      </c>
      <c r="AN389" s="503">
        <f t="shared" si="915"/>
        <v>0.94569288389513106</v>
      </c>
    </row>
    <row r="390" spans="3:40" s="492" customFormat="1" ht="21.75" customHeight="1">
      <c r="D390" s="676" t="s">
        <v>79</v>
      </c>
      <c r="E390" s="677">
        <f t="shared" ref="E390:R390" si="916">+E397/E411</f>
        <v>0.44156158592845141</v>
      </c>
      <c r="F390" s="677">
        <f t="shared" si="916"/>
        <v>0.45383101942442905</v>
      </c>
      <c r="G390" s="677">
        <f t="shared" si="916"/>
        <v>5.5928355196770942</v>
      </c>
      <c r="H390" s="677">
        <f t="shared" si="916"/>
        <v>5.7648784902472201</v>
      </c>
      <c r="I390" s="677">
        <f t="shared" si="916"/>
        <v>0.29827507250801405</v>
      </c>
      <c r="J390" s="677">
        <f t="shared" si="916"/>
        <v>0.32313870401870765</v>
      </c>
      <c r="K390" s="677">
        <f t="shared" si="916"/>
        <v>0.76599291241836553</v>
      </c>
      <c r="L390" s="677">
        <f t="shared" si="916"/>
        <v>0.84944992021627397</v>
      </c>
      <c r="M390" s="677">
        <f t="shared" si="916"/>
        <v>0.94406651549508691</v>
      </c>
      <c r="N390" s="677" t="e">
        <f t="shared" si="916"/>
        <v>#DIV/0!</v>
      </c>
      <c r="O390" s="677">
        <f t="shared" si="916"/>
        <v>0.97569444444444442</v>
      </c>
      <c r="P390" s="677">
        <f t="shared" si="916"/>
        <v>1.2410714285714286</v>
      </c>
      <c r="Q390" s="677">
        <f t="shared" si="916"/>
        <v>0.94636894824707851</v>
      </c>
      <c r="R390" s="677">
        <f t="shared" si="916"/>
        <v>0.32043698250609876</v>
      </c>
      <c r="S390" s="677">
        <f>+S397/S411</f>
        <v>0</v>
      </c>
      <c r="T390" s="677">
        <f t="shared" ref="T390:AN390" si="917">+T397/T411</f>
        <v>0</v>
      </c>
      <c r="U390" s="677">
        <f t="shared" si="917"/>
        <v>0.93353474320241692</v>
      </c>
      <c r="V390" s="677">
        <f t="shared" si="917"/>
        <v>1.7146516526696134</v>
      </c>
      <c r="W390" s="677">
        <f t="shared" si="917"/>
        <v>0.9602717173802523</v>
      </c>
      <c r="X390" s="677">
        <f t="shared" si="917"/>
        <v>0.3394058946391274</v>
      </c>
      <c r="Y390" s="677"/>
      <c r="Z390" s="677">
        <f t="shared" si="917"/>
        <v>1.4500534221428099</v>
      </c>
      <c r="AA390" s="677">
        <f t="shared" si="917"/>
        <v>0.67466354593329436</v>
      </c>
      <c r="AB390" s="677" t="e">
        <f t="shared" si="917"/>
        <v>#DIV/0!</v>
      </c>
      <c r="AC390" s="677">
        <f t="shared" si="917"/>
        <v>0</v>
      </c>
      <c r="AD390" s="677" t="e">
        <f t="shared" si="917"/>
        <v>#DIV/0!</v>
      </c>
      <c r="AE390" s="677" t="e">
        <f t="shared" si="917"/>
        <v>#DIV/0!</v>
      </c>
      <c r="AF390" s="677">
        <f t="shared" si="917"/>
        <v>0.73381589737577835</v>
      </c>
      <c r="AG390" s="677">
        <f t="shared" si="917"/>
        <v>1.4461821681500122</v>
      </c>
      <c r="AH390" s="677">
        <f t="shared" si="917"/>
        <v>0.95535095227014244</v>
      </c>
      <c r="AI390" s="677">
        <f t="shared" si="917"/>
        <v>0.95731280615815251</v>
      </c>
      <c r="AJ390" s="677">
        <f t="shared" si="917"/>
        <v>13.505190518669954</v>
      </c>
      <c r="AK390" s="677">
        <f t="shared" si="917"/>
        <v>0.21390374331550802</v>
      </c>
      <c r="AL390" s="677">
        <f t="shared" si="917"/>
        <v>14124.158123333333</v>
      </c>
      <c r="AM390" s="677">
        <f t="shared" si="917"/>
        <v>0.6850779257633336</v>
      </c>
      <c r="AN390" s="677">
        <f t="shared" si="917"/>
        <v>0.9412955465587044</v>
      </c>
    </row>
    <row r="391" spans="3:40" ht="21.75" customHeight="1"/>
    <row r="392" spans="3:40" ht="19.5" customHeight="1">
      <c r="C392" s="1610" t="s">
        <v>63</v>
      </c>
      <c r="D392" s="654" t="s">
        <v>216</v>
      </c>
      <c r="E392" s="655">
        <v>3119.4000000000015</v>
      </c>
      <c r="F392" s="655">
        <v>740007650</v>
      </c>
      <c r="G392" s="655">
        <v>2710</v>
      </c>
      <c r="H392" s="655">
        <v>640015105</v>
      </c>
      <c r="I392" s="655">
        <v>0</v>
      </c>
      <c r="J392" s="655">
        <v>0</v>
      </c>
      <c r="K392" s="655">
        <v>1380022755</v>
      </c>
      <c r="L392" s="655">
        <v>933461</v>
      </c>
      <c r="M392" s="655">
        <v>65200000</v>
      </c>
      <c r="N392" s="655">
        <v>0</v>
      </c>
      <c r="O392" s="655">
        <v>156500000</v>
      </c>
      <c r="P392" s="655">
        <v>740000</v>
      </c>
      <c r="Q392" s="655">
        <v>124600000</v>
      </c>
      <c r="R392" s="655">
        <v>63209281</v>
      </c>
      <c r="S392" s="655">
        <v>0</v>
      </c>
      <c r="T392" s="655">
        <v>0</v>
      </c>
      <c r="U392" s="655">
        <v>6300000</v>
      </c>
      <c r="V392" s="655">
        <v>2778531.1079257913</v>
      </c>
      <c r="W392" s="655">
        <v>10405802.995374233</v>
      </c>
      <c r="X392" s="655">
        <v>0</v>
      </c>
      <c r="Y392" s="655">
        <v>1846509053</v>
      </c>
      <c r="Z392" s="655">
        <v>3657198876</v>
      </c>
      <c r="AA392" s="655">
        <v>0</v>
      </c>
      <c r="AB392" s="655">
        <v>0</v>
      </c>
      <c r="AC392" s="655">
        <v>0</v>
      </c>
      <c r="AD392" s="655">
        <v>0</v>
      </c>
      <c r="AE392" s="655">
        <v>0</v>
      </c>
      <c r="AF392" s="655">
        <v>0</v>
      </c>
      <c r="AG392" s="655">
        <v>3657198876</v>
      </c>
      <c r="AH392" s="655">
        <v>215534130</v>
      </c>
      <c r="AI392" s="655">
        <v>14019200</v>
      </c>
      <c r="AJ392" s="655">
        <v>6696417</v>
      </c>
      <c r="AK392" s="655">
        <v>0</v>
      </c>
      <c r="AL392" s="655">
        <v>1846509053</v>
      </c>
      <c r="AM392" s="655">
        <v>1574440076</v>
      </c>
      <c r="AN392" s="654">
        <v>340</v>
      </c>
    </row>
    <row r="393" spans="3:40" ht="19.5" customHeight="1">
      <c r="C393" s="1610"/>
      <c r="D393" s="654" t="s">
        <v>217</v>
      </c>
      <c r="E393" s="655">
        <v>1231.7</v>
      </c>
      <c r="F393" s="655">
        <v>327019727</v>
      </c>
      <c r="G393" s="655">
        <v>1185</v>
      </c>
      <c r="H393" s="655">
        <v>308939985</v>
      </c>
      <c r="I393" s="655">
        <v>210</v>
      </c>
      <c r="J393" s="655">
        <v>1833813</v>
      </c>
      <c r="K393" s="655">
        <v>637793525</v>
      </c>
      <c r="L393" s="655">
        <v>1279230</v>
      </c>
      <c r="M393" s="655">
        <v>27600000</v>
      </c>
      <c r="N393" s="655">
        <v>0</v>
      </c>
      <c r="O393" s="655">
        <v>66000000</v>
      </c>
      <c r="P393" s="655">
        <v>524000</v>
      </c>
      <c r="Q393" s="655">
        <v>50050000</v>
      </c>
      <c r="R393" s="655">
        <v>12619349</v>
      </c>
      <c r="S393" s="655">
        <v>0</v>
      </c>
      <c r="T393" s="655">
        <v>0</v>
      </c>
      <c r="U393" s="655">
        <v>2800000</v>
      </c>
      <c r="V393" s="655">
        <v>0</v>
      </c>
      <c r="W393" s="655">
        <v>2565692.2947003259</v>
      </c>
      <c r="X393" s="655">
        <v>1800000</v>
      </c>
      <c r="Y393" s="655">
        <v>826079734</v>
      </c>
      <c r="Z393" s="655">
        <v>1629111526</v>
      </c>
      <c r="AA393" s="655">
        <v>28.5</v>
      </c>
      <c r="AB393" s="655">
        <v>0</v>
      </c>
      <c r="AC393" s="655">
        <v>0</v>
      </c>
      <c r="AD393" s="655">
        <v>0</v>
      </c>
      <c r="AE393" s="655">
        <v>0</v>
      </c>
      <c r="AF393" s="655">
        <v>1581541</v>
      </c>
      <c r="AG393" s="655">
        <v>1630693067</v>
      </c>
      <c r="AH393" s="655">
        <v>103607175</v>
      </c>
      <c r="AI393" s="655">
        <v>6073600</v>
      </c>
      <c r="AJ393" s="655">
        <v>4675173</v>
      </c>
      <c r="AK393" s="655">
        <v>0</v>
      </c>
      <c r="AL393" s="655">
        <v>826079734</v>
      </c>
      <c r="AM393" s="655">
        <v>690257385</v>
      </c>
      <c r="AN393" s="654">
        <v>149</v>
      </c>
    </row>
    <row r="394" spans="3:40" ht="19.5" customHeight="1">
      <c r="C394" s="1610"/>
      <c r="D394" s="654" t="s">
        <v>218</v>
      </c>
      <c r="E394" s="655">
        <v>2460.7000000000016</v>
      </c>
      <c r="F394" s="655">
        <v>568345724</v>
      </c>
      <c r="G394" s="655">
        <v>2060</v>
      </c>
      <c r="H394" s="655">
        <v>474913992</v>
      </c>
      <c r="I394" s="655">
        <v>0</v>
      </c>
      <c r="J394" s="655">
        <v>0</v>
      </c>
      <c r="K394" s="655">
        <v>1043259716</v>
      </c>
      <c r="L394" s="655">
        <v>479231</v>
      </c>
      <c r="M394" s="655">
        <v>50600000</v>
      </c>
      <c r="N394" s="655">
        <v>0</v>
      </c>
      <c r="O394" s="655">
        <v>116000000</v>
      </c>
      <c r="P394" s="655">
        <v>686000</v>
      </c>
      <c r="Q394" s="655">
        <v>95500000</v>
      </c>
      <c r="R394" s="655">
        <v>60151405</v>
      </c>
      <c r="S394" s="655">
        <v>0</v>
      </c>
      <c r="T394" s="655">
        <v>0</v>
      </c>
      <c r="U394" s="655">
        <v>6900000</v>
      </c>
      <c r="V394" s="655">
        <v>819666.44649576745</v>
      </c>
      <c r="W394" s="655">
        <v>7981218.9694165047</v>
      </c>
      <c r="X394" s="655">
        <v>0</v>
      </c>
      <c r="Y394" s="655">
        <v>1399385840</v>
      </c>
      <c r="Z394" s="655">
        <v>2781763090</v>
      </c>
      <c r="AA394" s="655">
        <v>0</v>
      </c>
      <c r="AB394" s="655">
        <v>0</v>
      </c>
      <c r="AC394" s="655">
        <v>0</v>
      </c>
      <c r="AD394" s="655">
        <v>0</v>
      </c>
      <c r="AE394" s="655">
        <v>0</v>
      </c>
      <c r="AF394" s="655">
        <v>0</v>
      </c>
      <c r="AG394" s="655">
        <v>2781763090</v>
      </c>
      <c r="AH394" s="655">
        <v>161194530</v>
      </c>
      <c r="AI394" s="655">
        <v>10566400</v>
      </c>
      <c r="AJ394" s="655">
        <v>6641165</v>
      </c>
      <c r="AK394" s="655">
        <v>0</v>
      </c>
      <c r="AL394" s="655">
        <v>1399385840</v>
      </c>
      <c r="AM394" s="655">
        <v>1203975155</v>
      </c>
      <c r="AN394" s="654">
        <v>258</v>
      </c>
    </row>
    <row r="395" spans="3:40" ht="19.5" customHeight="1">
      <c r="C395" s="1610"/>
      <c r="D395" s="654" t="s">
        <v>220</v>
      </c>
      <c r="E395" s="655">
        <v>1508.2999999999995</v>
      </c>
      <c r="F395" s="655">
        <v>615974073</v>
      </c>
      <c r="G395" s="655">
        <v>1137</v>
      </c>
      <c r="H395" s="655">
        <v>454303305</v>
      </c>
      <c r="I395" s="655">
        <v>0</v>
      </c>
      <c r="J395" s="655">
        <v>0</v>
      </c>
      <c r="K395" s="655">
        <v>1070277378</v>
      </c>
      <c r="L395" s="655">
        <v>22571735</v>
      </c>
      <c r="M395" s="655">
        <v>15800000</v>
      </c>
      <c r="N395" s="655">
        <v>0</v>
      </c>
      <c r="O395" s="655">
        <v>33000000</v>
      </c>
      <c r="P395" s="655">
        <v>3474000</v>
      </c>
      <c r="Q395" s="655">
        <v>30150000</v>
      </c>
      <c r="R395" s="655">
        <v>6049375</v>
      </c>
      <c r="S395" s="655">
        <v>0</v>
      </c>
      <c r="T395" s="655">
        <v>0</v>
      </c>
      <c r="U395" s="655">
        <v>3100000</v>
      </c>
      <c r="V395" s="655">
        <v>1250000</v>
      </c>
      <c r="W395" s="655">
        <v>5730692.2577080531</v>
      </c>
      <c r="X395" s="655">
        <v>0</v>
      </c>
      <c r="Y395" s="655">
        <v>1295470276</v>
      </c>
      <c r="Z395" s="655">
        <v>2486873456</v>
      </c>
      <c r="AA395" s="655">
        <v>76.5</v>
      </c>
      <c r="AB395" s="655">
        <v>45.5</v>
      </c>
      <c r="AC395" s="655">
        <v>0</v>
      </c>
      <c r="AD395" s="655">
        <v>0</v>
      </c>
      <c r="AE395" s="655">
        <v>0</v>
      </c>
      <c r="AF395" s="655">
        <v>11766256</v>
      </c>
      <c r="AG395" s="655">
        <v>2498639712</v>
      </c>
      <c r="AH395" s="655">
        <v>155044680</v>
      </c>
      <c r="AI395" s="655">
        <v>5740800</v>
      </c>
      <c r="AJ395" s="655">
        <v>53863914</v>
      </c>
      <c r="AK395" s="655">
        <v>0</v>
      </c>
      <c r="AL395" s="655">
        <v>1295470276</v>
      </c>
      <c r="AM395" s="655">
        <v>988520042</v>
      </c>
      <c r="AN395" s="654">
        <v>143</v>
      </c>
    </row>
    <row r="396" spans="3:40" ht="19.5" customHeight="1">
      <c r="C396" s="1610"/>
      <c r="D396" s="654" t="s">
        <v>219</v>
      </c>
      <c r="E396" s="655">
        <v>5175.7000000000007</v>
      </c>
      <c r="F396" s="655">
        <v>1507625139</v>
      </c>
      <c r="G396" s="655">
        <v>3993</v>
      </c>
      <c r="H396" s="655">
        <v>1120637537</v>
      </c>
      <c r="I396" s="655">
        <v>767</v>
      </c>
      <c r="J396" s="655">
        <v>8957859</v>
      </c>
      <c r="K396" s="655">
        <v>2637220535</v>
      </c>
      <c r="L396" s="655">
        <v>21613078</v>
      </c>
      <c r="M396" s="655">
        <v>90600000</v>
      </c>
      <c r="N396" s="655">
        <v>0</v>
      </c>
      <c r="O396" s="655">
        <v>190500000</v>
      </c>
      <c r="P396" s="655">
        <v>3750000</v>
      </c>
      <c r="Q396" s="655">
        <v>153200000</v>
      </c>
      <c r="R396" s="655">
        <v>76230144</v>
      </c>
      <c r="S396" s="655">
        <v>0</v>
      </c>
      <c r="T396" s="655">
        <v>0</v>
      </c>
      <c r="U396" s="655">
        <v>11800000</v>
      </c>
      <c r="V396" s="655">
        <v>926579.46125608543</v>
      </c>
      <c r="W396" s="655">
        <v>11634980.918238781</v>
      </c>
      <c r="X396" s="655">
        <v>4050000</v>
      </c>
      <c r="Y396" s="655">
        <v>3107049971</v>
      </c>
      <c r="Z396" s="655">
        <v>6308575275</v>
      </c>
      <c r="AA396" s="655">
        <v>471.5</v>
      </c>
      <c r="AB396" s="655">
        <v>0</v>
      </c>
      <c r="AC396" s="655">
        <v>0</v>
      </c>
      <c r="AD396" s="655">
        <v>0</v>
      </c>
      <c r="AE396" s="655">
        <v>0</v>
      </c>
      <c r="AF396" s="655">
        <v>33028890</v>
      </c>
      <c r="AG396" s="655">
        <v>6341604165</v>
      </c>
      <c r="AH396" s="655">
        <v>376786515</v>
      </c>
      <c r="AI396" s="655">
        <v>20508800</v>
      </c>
      <c r="AJ396" s="655">
        <v>57548150</v>
      </c>
      <c r="AK396" s="655">
        <v>20000</v>
      </c>
      <c r="AL396" s="655">
        <v>3107049971</v>
      </c>
      <c r="AM396" s="655">
        <v>2779690729</v>
      </c>
      <c r="AN396" s="654">
        <v>505</v>
      </c>
    </row>
    <row r="397" spans="3:40" ht="19.5" customHeight="1">
      <c r="D397" s="272"/>
      <c r="E397" s="659">
        <f>SUM(E392:E396)</f>
        <v>13495.800000000003</v>
      </c>
      <c r="F397" s="659">
        <f t="shared" ref="F397:AN397" si="918">SUM(F392:F396)</f>
        <v>3758972313</v>
      </c>
      <c r="G397" s="659">
        <f t="shared" si="918"/>
        <v>11085</v>
      </c>
      <c r="H397" s="659">
        <f t="shared" si="918"/>
        <v>2998809924</v>
      </c>
      <c r="I397" s="659">
        <f t="shared" si="918"/>
        <v>977</v>
      </c>
      <c r="J397" s="659">
        <f t="shared" si="918"/>
        <v>10791672</v>
      </c>
      <c r="K397" s="659">
        <f t="shared" si="918"/>
        <v>6768573909</v>
      </c>
      <c r="L397" s="659">
        <f t="shared" si="918"/>
        <v>46876735</v>
      </c>
      <c r="M397" s="659">
        <f t="shared" si="918"/>
        <v>249800000</v>
      </c>
      <c r="N397" s="659">
        <f t="shared" si="918"/>
        <v>0</v>
      </c>
      <c r="O397" s="659">
        <f t="shared" si="918"/>
        <v>562000000</v>
      </c>
      <c r="P397" s="659">
        <f t="shared" si="918"/>
        <v>9174000</v>
      </c>
      <c r="Q397" s="659">
        <f t="shared" si="918"/>
        <v>453500000</v>
      </c>
      <c r="R397" s="659">
        <f t="shared" si="918"/>
        <v>218259554</v>
      </c>
      <c r="S397" s="659">
        <f t="shared" si="918"/>
        <v>0</v>
      </c>
      <c r="T397" s="659">
        <f t="shared" si="918"/>
        <v>0</v>
      </c>
      <c r="U397" s="659">
        <f t="shared" si="918"/>
        <v>30900000</v>
      </c>
      <c r="V397" s="659">
        <f t="shared" si="918"/>
        <v>5774777.0156776439</v>
      </c>
      <c r="W397" s="659">
        <f t="shared" si="918"/>
        <v>38318387.435437903</v>
      </c>
      <c r="X397" s="659">
        <f t="shared" si="918"/>
        <v>5850000</v>
      </c>
      <c r="Y397" s="659">
        <f t="shared" si="918"/>
        <v>8474494874</v>
      </c>
      <c r="Z397" s="659">
        <f t="shared" si="918"/>
        <v>16863522223</v>
      </c>
      <c r="AA397" s="659">
        <f t="shared" si="918"/>
        <v>576.5</v>
      </c>
      <c r="AB397" s="659">
        <f t="shared" si="918"/>
        <v>45.5</v>
      </c>
      <c r="AC397" s="659">
        <f t="shared" si="918"/>
        <v>0</v>
      </c>
      <c r="AD397" s="659">
        <f t="shared" si="918"/>
        <v>0</v>
      </c>
      <c r="AE397" s="659">
        <f t="shared" si="918"/>
        <v>0</v>
      </c>
      <c r="AF397" s="659">
        <f t="shared" si="918"/>
        <v>46376687</v>
      </c>
      <c r="AG397" s="659">
        <f t="shared" si="918"/>
        <v>16909898910</v>
      </c>
      <c r="AH397" s="659">
        <f t="shared" si="918"/>
        <v>1012167030</v>
      </c>
      <c r="AI397" s="659">
        <f t="shared" si="918"/>
        <v>56908800</v>
      </c>
      <c r="AJ397" s="659">
        <f t="shared" si="918"/>
        <v>129424819</v>
      </c>
      <c r="AK397" s="659">
        <f t="shared" si="918"/>
        <v>20000</v>
      </c>
      <c r="AL397" s="659">
        <f t="shared" si="918"/>
        <v>8474494874</v>
      </c>
      <c r="AM397" s="659">
        <f t="shared" si="918"/>
        <v>7236883387</v>
      </c>
      <c r="AN397" s="659">
        <f t="shared" si="918"/>
        <v>1395</v>
      </c>
    </row>
    <row r="398" spans="3:40" ht="19.5" customHeight="1">
      <c r="D398" s="665"/>
      <c r="E398" s="665"/>
      <c r="F398" s="666"/>
      <c r="G398" s="667"/>
      <c r="H398" s="666"/>
      <c r="I398" s="667"/>
      <c r="J398" s="666"/>
      <c r="K398" s="666"/>
      <c r="L398" s="666"/>
      <c r="M398" s="666"/>
      <c r="N398" s="666"/>
      <c r="O398" s="666"/>
      <c r="P398" s="666"/>
      <c r="Q398" s="666"/>
      <c r="R398" s="666"/>
      <c r="S398" s="668"/>
      <c r="T398" s="666"/>
      <c r="U398" s="666"/>
      <c r="V398" s="666"/>
      <c r="W398" s="666"/>
      <c r="X398" s="669"/>
      <c r="Y398" s="669"/>
      <c r="Z398" s="669"/>
      <c r="AA398" s="670"/>
      <c r="AB398" s="670"/>
      <c r="AC398" s="670"/>
      <c r="AD398" s="670"/>
      <c r="AE398" s="670"/>
      <c r="AF398" s="671"/>
      <c r="AG398" s="672"/>
      <c r="AH398" s="671"/>
      <c r="AI398" s="673"/>
      <c r="AJ398" s="671"/>
      <c r="AK398" s="671"/>
      <c r="AL398" s="674"/>
      <c r="AM398" s="669"/>
      <c r="AN398" s="675"/>
    </row>
    <row r="399" spans="3:40" ht="21.75" customHeight="1">
      <c r="C399" s="1605" t="str">
        <f>C406&amp;" Vs "&amp;C420</f>
        <v>Dec Vs Nov</v>
      </c>
      <c r="D399" s="654" t="s">
        <v>216</v>
      </c>
      <c r="E399" s="657">
        <f>+E406/E420</f>
        <v>0.99190147656199534</v>
      </c>
      <c r="F399" s="657">
        <f t="shared" ref="F399:H399" si="919">+F406/F420</f>
        <v>1.0067355736019286</v>
      </c>
      <c r="G399" s="657">
        <f t="shared" si="919"/>
        <v>4.1056910569105689</v>
      </c>
      <c r="H399" s="657">
        <f t="shared" si="919"/>
        <v>4.2091379503600725</v>
      </c>
      <c r="I399" s="657"/>
      <c r="J399" s="657"/>
      <c r="K399" s="657">
        <f t="shared" ref="K399:U399" si="920">+K406/K420</f>
        <v>1.0555485836640284</v>
      </c>
      <c r="L399" s="657">
        <f t="shared" si="920"/>
        <v>1.7717670090752384</v>
      </c>
      <c r="M399" s="657">
        <f t="shared" si="920"/>
        <v>0.99442896935933145</v>
      </c>
      <c r="N399" s="657" t="e">
        <f t="shared" si="920"/>
        <v>#DIV/0!</v>
      </c>
      <c r="O399" s="657">
        <f t="shared" si="920"/>
        <v>0.99337748344370858</v>
      </c>
      <c r="P399" s="657">
        <f t="shared" si="920"/>
        <v>0.31645569620253167</v>
      </c>
      <c r="Q399" s="657">
        <f t="shared" si="920"/>
        <v>0.99685287175452397</v>
      </c>
      <c r="R399" s="657">
        <f t="shared" si="920"/>
        <v>0.92316489391782874</v>
      </c>
      <c r="S399" s="657">
        <f t="shared" si="920"/>
        <v>1.9094827586206897</v>
      </c>
      <c r="T399" s="657">
        <f t="shared" si="920"/>
        <v>1.9803211753691996</v>
      </c>
      <c r="U399" s="657">
        <f t="shared" si="920"/>
        <v>0.97058823529411764</v>
      </c>
      <c r="V399" s="657"/>
      <c r="W399" s="657">
        <f t="shared" ref="W399" si="921">+W406/W420</f>
        <v>0.99197390654113871</v>
      </c>
      <c r="X399" s="657"/>
      <c r="Y399" s="657"/>
      <c r="Z399" s="657">
        <f t="shared" ref="Z399:AE399" si="922">+Z406/Z420</f>
        <v>1.0562870979527719</v>
      </c>
      <c r="AA399" s="657"/>
      <c r="AB399" s="657"/>
      <c r="AC399" s="657"/>
      <c r="AD399" s="657" t="e">
        <f t="shared" si="922"/>
        <v>#DIV/0!</v>
      </c>
      <c r="AE399" s="657" t="e">
        <f t="shared" si="922"/>
        <v>#DIV/0!</v>
      </c>
      <c r="AF399" s="657"/>
      <c r="AG399" s="657">
        <f>+AG406/AG420</f>
        <v>1.0567574995790781</v>
      </c>
      <c r="AH399" s="657">
        <f t="shared" ref="AH399:AJ399" si="923">+AH406/AH420</f>
        <v>1.0024249836002421</v>
      </c>
      <c r="AI399" s="657">
        <f t="shared" si="923"/>
        <v>0.99449035812672182</v>
      </c>
      <c r="AJ399" s="657">
        <f t="shared" si="923"/>
        <v>4.5144933220890779</v>
      </c>
      <c r="AK399" s="657"/>
      <c r="AL399" s="657"/>
      <c r="AM399" s="657">
        <f t="shared" ref="AM399" si="924">+AM406/AM420</f>
        <v>1.062738311819788</v>
      </c>
      <c r="AN399" s="503">
        <f>+AN406/AN420</f>
        <v>1.0108991825613078</v>
      </c>
    </row>
    <row r="400" spans="3:40" ht="21.75" customHeight="1">
      <c r="C400" s="1605"/>
      <c r="D400" s="654" t="s">
        <v>217</v>
      </c>
      <c r="E400" s="657">
        <f t="shared" ref="E400:AJ401" si="925">+E407/E421</f>
        <v>0.87103724222837775</v>
      </c>
      <c r="F400" s="657">
        <f t="shared" si="925"/>
        <v>0.88199722773540334</v>
      </c>
      <c r="G400" s="657">
        <f t="shared" si="925"/>
        <v>4.2941176470588234</v>
      </c>
      <c r="H400" s="657">
        <f t="shared" si="925"/>
        <v>4.5446029149103495</v>
      </c>
      <c r="I400" s="657">
        <f t="shared" si="925"/>
        <v>0.43935309973045822</v>
      </c>
      <c r="J400" s="657">
        <f t="shared" si="925"/>
        <v>0.44091369813647313</v>
      </c>
      <c r="K400" s="657">
        <f t="shared" si="925"/>
        <v>0.91940478104128609</v>
      </c>
      <c r="L400" s="657">
        <f t="shared" si="925"/>
        <v>0.96611104815864024</v>
      </c>
      <c r="M400" s="657">
        <f t="shared" si="925"/>
        <v>0.97499999999999998</v>
      </c>
      <c r="N400" s="657" t="e">
        <f t="shared" si="925"/>
        <v>#DIV/0!</v>
      </c>
      <c r="O400" s="657">
        <f t="shared" si="925"/>
        <v>1</v>
      </c>
      <c r="P400" s="657">
        <f t="shared" si="925"/>
        <v>0.38167938931297712</v>
      </c>
      <c r="Q400" s="657">
        <f t="shared" si="925"/>
        <v>1.0459662288930582</v>
      </c>
      <c r="R400" s="657">
        <f t="shared" si="925"/>
        <v>1.1311130122074158</v>
      </c>
      <c r="S400" s="657">
        <f t="shared" si="925"/>
        <v>2.4123711340206184</v>
      </c>
      <c r="T400" s="657">
        <f t="shared" si="925"/>
        <v>2.5668621308651911</v>
      </c>
      <c r="U400" s="657">
        <f t="shared" si="925"/>
        <v>0.96666666666666667</v>
      </c>
      <c r="V400" s="657"/>
      <c r="W400" s="657">
        <f t="shared" si="925"/>
        <v>0.96953869203769394</v>
      </c>
      <c r="X400" s="657">
        <f t="shared" ref="X400" si="926">+X407/X421</f>
        <v>0.43783783783783786</v>
      </c>
      <c r="Y400" s="657"/>
      <c r="Z400" s="657">
        <f t="shared" si="925"/>
        <v>0.97028051057971698</v>
      </c>
      <c r="AA400" s="657">
        <f t="shared" si="925"/>
        <v>0.13821138211382114</v>
      </c>
      <c r="AB400" s="657"/>
      <c r="AC400" s="657"/>
      <c r="AD400" s="657" t="e">
        <f t="shared" si="925"/>
        <v>#DIV/0!</v>
      </c>
      <c r="AE400" s="657" t="e">
        <f t="shared" si="925"/>
        <v>#DIV/0!</v>
      </c>
      <c r="AF400" s="657">
        <f t="shared" si="925"/>
        <v>0.13749029204460531</v>
      </c>
      <c r="AG400" s="657">
        <f t="shared" si="925"/>
        <v>0.96573848570245713</v>
      </c>
      <c r="AH400" s="657">
        <f t="shared" si="925"/>
        <v>0.979994364090786</v>
      </c>
      <c r="AI400" s="657">
        <f t="shared" si="925"/>
        <v>0.98159509202453987</v>
      </c>
      <c r="AJ400" s="657">
        <f t="shared" si="925"/>
        <v>0</v>
      </c>
      <c r="AK400" s="657">
        <f t="shared" ref="AK400:AL400" si="927">+AK407/AK421</f>
        <v>0</v>
      </c>
      <c r="AL400" s="657">
        <f t="shared" si="927"/>
        <v>0</v>
      </c>
      <c r="AM400" s="657">
        <f t="shared" ref="AM400:AN400" si="928">+AM407/AM421</f>
        <v>0.96440590561648631</v>
      </c>
      <c r="AN400" s="503">
        <f t="shared" si="928"/>
        <v>1.0122699386503067</v>
      </c>
    </row>
    <row r="401" spans="3:40" ht="21.75" customHeight="1">
      <c r="C401" s="1605"/>
      <c r="D401" s="654" t="s">
        <v>218</v>
      </c>
      <c r="E401" s="657">
        <f t="shared" ref="E401:H401" si="929">+E408/E422</f>
        <v>0.95298854782199494</v>
      </c>
      <c r="F401" s="657">
        <f t="shared" si="929"/>
        <v>0.95087028887586333</v>
      </c>
      <c r="G401" s="657">
        <f t="shared" si="929"/>
        <v>5.290322580645161</v>
      </c>
      <c r="H401" s="657">
        <f t="shared" si="929"/>
        <v>5.3485126121647575</v>
      </c>
      <c r="I401" s="657"/>
      <c r="J401" s="657"/>
      <c r="K401" s="657">
        <f t="shared" ref="K401:U401" si="930">+K408/K422</f>
        <v>0.99679799801651536</v>
      </c>
      <c r="L401" s="657">
        <f t="shared" si="930"/>
        <v>0.95440341120129946</v>
      </c>
      <c r="M401" s="657">
        <f t="shared" si="930"/>
        <v>1.0079681274900398</v>
      </c>
      <c r="N401" s="657" t="e">
        <f t="shared" si="930"/>
        <v>#DIV/0!</v>
      </c>
      <c r="O401" s="657">
        <f t="shared" si="930"/>
        <v>1.0361990950226245</v>
      </c>
      <c r="P401" s="657">
        <f t="shared" si="930"/>
        <v>0.38167938931297712</v>
      </c>
      <c r="Q401" s="657">
        <f t="shared" si="930"/>
        <v>1.0183883180097351</v>
      </c>
      <c r="R401" s="657">
        <f t="shared" si="930"/>
        <v>0.84765015932582577</v>
      </c>
      <c r="S401" s="657">
        <f t="shared" si="930"/>
        <v>2.056122448979592</v>
      </c>
      <c r="T401" s="657">
        <f t="shared" si="930"/>
        <v>2.0946265085419546</v>
      </c>
      <c r="U401" s="657">
        <f t="shared" si="930"/>
        <v>1</v>
      </c>
      <c r="V401" s="657"/>
      <c r="W401" s="657">
        <f t="shared" si="925"/>
        <v>1.0058575144783308</v>
      </c>
      <c r="X401" s="657"/>
      <c r="Y401" s="657"/>
      <c r="Z401" s="657">
        <f t="shared" ref="Z401:AA401" si="931">+Z408/Z422</f>
        <v>1.004150433779287</v>
      </c>
      <c r="AA401" s="657">
        <f t="shared" si="931"/>
        <v>0.140625</v>
      </c>
      <c r="AB401" s="657"/>
      <c r="AC401" s="657"/>
      <c r="AD401" s="657" t="e">
        <f t="shared" ref="AD401:AK401" si="932">+AD408/AD422</f>
        <v>#DIV/0!</v>
      </c>
      <c r="AE401" s="657" t="e">
        <f t="shared" si="932"/>
        <v>#DIV/0!</v>
      </c>
      <c r="AF401" s="657">
        <f t="shared" si="932"/>
        <v>0.14624132612374438</v>
      </c>
      <c r="AG401" s="657">
        <f t="shared" si="932"/>
        <v>1.0035179963200775</v>
      </c>
      <c r="AH401" s="657">
        <f t="shared" si="932"/>
        <v>1.0011215053384177</v>
      </c>
      <c r="AI401" s="657">
        <f t="shared" si="932"/>
        <v>1.0323886639676114</v>
      </c>
      <c r="AJ401" s="657">
        <f t="shared" si="932"/>
        <v>0.66944684413490907</v>
      </c>
      <c r="AK401" s="657">
        <f t="shared" si="932"/>
        <v>0</v>
      </c>
      <c r="AL401" s="657"/>
      <c r="AM401" s="657">
        <f t="shared" ref="AM401:AN401" si="933">+AM408/AM422</f>
        <v>1.0036421982859356</v>
      </c>
      <c r="AN401" s="503">
        <f t="shared" si="933"/>
        <v>1.0352941176470589</v>
      </c>
    </row>
    <row r="402" spans="3:40" ht="21.75" customHeight="1">
      <c r="C402" s="1605"/>
      <c r="D402" s="654" t="s">
        <v>220</v>
      </c>
      <c r="E402" s="657">
        <f t="shared" ref="E402:H402" si="934">+E409/E423</f>
        <v>0.97672941998158713</v>
      </c>
      <c r="F402" s="657">
        <f t="shared" si="934"/>
        <v>0.93253551871763629</v>
      </c>
      <c r="G402" s="657">
        <f t="shared" si="934"/>
        <v>6.2142857142857144</v>
      </c>
      <c r="H402" s="657">
        <f t="shared" si="934"/>
        <v>6.0479766665129429</v>
      </c>
      <c r="I402" s="657"/>
      <c r="J402" s="657"/>
      <c r="K402" s="657">
        <f t="shared" ref="K402:AB402" si="935">+K409/K423</f>
        <v>0.97445218065840267</v>
      </c>
      <c r="L402" s="657">
        <f t="shared" si="935"/>
        <v>0.94756592324364619</v>
      </c>
      <c r="M402" s="657">
        <f t="shared" si="935"/>
        <v>0.98765432098765427</v>
      </c>
      <c r="N402" s="657" t="e">
        <f t="shared" si="935"/>
        <v>#DIV/0!</v>
      </c>
      <c r="O402" s="657">
        <f t="shared" si="935"/>
        <v>1.1428571428571428</v>
      </c>
      <c r="P402" s="657">
        <f t="shared" si="935"/>
        <v>0.95027624309392267</v>
      </c>
      <c r="Q402" s="657">
        <f t="shared" si="935"/>
        <v>1.025974025974026</v>
      </c>
      <c r="R402" s="657">
        <f t="shared" si="935"/>
        <v>0.56678805296224866</v>
      </c>
      <c r="S402" s="657">
        <f t="shared" si="935"/>
        <v>2.1981132075471699</v>
      </c>
      <c r="T402" s="657">
        <f t="shared" si="935"/>
        <v>2.3427649552787408</v>
      </c>
      <c r="U402" s="657">
        <f t="shared" si="935"/>
        <v>1.0303030303030303</v>
      </c>
      <c r="V402" s="657">
        <f t="shared" si="935"/>
        <v>1.7857142857142858</v>
      </c>
      <c r="W402" s="657">
        <f t="shared" si="935"/>
        <v>0.99303156266845238</v>
      </c>
      <c r="X402" s="657">
        <f t="shared" si="935"/>
        <v>0.75471698113207553</v>
      </c>
      <c r="Y402" s="657"/>
      <c r="Z402" s="657">
        <f t="shared" si="935"/>
        <v>1.0097182945451557</v>
      </c>
      <c r="AA402" s="657">
        <f t="shared" si="935"/>
        <v>2.9285714285714284</v>
      </c>
      <c r="AB402" s="657">
        <f t="shared" si="935"/>
        <v>0</v>
      </c>
      <c r="AC402" s="657"/>
      <c r="AD402" s="657" t="e">
        <f t="shared" ref="AD402:AL402" si="936">+AD409/AD423</f>
        <v>#DIV/0!</v>
      </c>
      <c r="AE402" s="657" t="e">
        <f t="shared" si="936"/>
        <v>#DIV/0!</v>
      </c>
      <c r="AF402" s="657">
        <f t="shared" si="936"/>
        <v>2.8748755954280583</v>
      </c>
      <c r="AG402" s="657">
        <f t="shared" si="936"/>
        <v>1.0148670426715787</v>
      </c>
      <c r="AH402" s="657">
        <f t="shared" si="936"/>
        <v>0.9592737699063747</v>
      </c>
      <c r="AI402" s="657">
        <f t="shared" si="936"/>
        <v>1</v>
      </c>
      <c r="AJ402" s="657">
        <f t="shared" si="936"/>
        <v>0.63474771512554073</v>
      </c>
      <c r="AK402" s="657">
        <f t="shared" si="936"/>
        <v>0</v>
      </c>
      <c r="AL402" s="657">
        <f t="shared" si="936"/>
        <v>0</v>
      </c>
      <c r="AM402" s="657">
        <f t="shared" ref="AM402:AN402" si="937">+AM409/AM423</f>
        <v>1.0234171901362679</v>
      </c>
      <c r="AN402" s="503">
        <f t="shared" si="937"/>
        <v>1.0136986301369864</v>
      </c>
    </row>
    <row r="403" spans="3:40" s="653" customFormat="1" ht="21.75" customHeight="1">
      <c r="C403" s="1605"/>
      <c r="D403" s="656" t="s">
        <v>219</v>
      </c>
      <c r="E403" s="657">
        <f t="shared" ref="E403:AA403" si="938">+E410/E424</f>
        <v>0.98521557328085962</v>
      </c>
      <c r="F403" s="657">
        <f t="shared" si="938"/>
        <v>0.99565121380423982</v>
      </c>
      <c r="G403" s="657">
        <f t="shared" si="938"/>
        <v>2.9189189189189189</v>
      </c>
      <c r="H403" s="657">
        <f t="shared" si="938"/>
        <v>3.0610703901690193</v>
      </c>
      <c r="I403" s="657">
        <f t="shared" si="938"/>
        <v>0.91931134619373578</v>
      </c>
      <c r="J403" s="657">
        <f t="shared" si="938"/>
        <v>0.88706742849936149</v>
      </c>
      <c r="K403" s="657">
        <f t="shared" si="938"/>
        <v>1.0373015695170564</v>
      </c>
      <c r="L403" s="657">
        <f t="shared" si="938"/>
        <v>1.0423474619934034</v>
      </c>
      <c r="M403" s="657">
        <f t="shared" si="938"/>
        <v>0.98553719008264462</v>
      </c>
      <c r="N403" s="657" t="e">
        <f t="shared" si="938"/>
        <v>#DIV/0!</v>
      </c>
      <c r="O403" s="657">
        <f t="shared" si="938"/>
        <v>0.99045346062052508</v>
      </c>
      <c r="P403" s="657">
        <f t="shared" si="938"/>
        <v>1</v>
      </c>
      <c r="Q403" s="657">
        <f t="shared" si="938"/>
        <v>0.9910170964937699</v>
      </c>
      <c r="R403" s="657">
        <f t="shared" si="938"/>
        <v>1.5196839661462698</v>
      </c>
      <c r="S403" s="657">
        <f t="shared" si="938"/>
        <v>2.7750759878419475</v>
      </c>
      <c r="T403" s="657">
        <f t="shared" si="938"/>
        <v>2.8664546946727731</v>
      </c>
      <c r="U403" s="657">
        <f t="shared" si="938"/>
        <v>0.99259259259259258</v>
      </c>
      <c r="V403" s="657">
        <f t="shared" si="938"/>
        <v>0.41176470588235292</v>
      </c>
      <c r="W403" s="657">
        <f t="shared" si="938"/>
        <v>0.99294547148351431</v>
      </c>
      <c r="X403" s="657">
        <f t="shared" si="938"/>
        <v>0.90933940774487476</v>
      </c>
      <c r="Y403" s="657"/>
      <c r="Z403" s="657">
        <f t="shared" si="938"/>
        <v>1.0888882308572883</v>
      </c>
      <c r="AA403" s="657">
        <f t="shared" si="938"/>
        <v>0.74953617810760664</v>
      </c>
      <c r="AB403" s="657"/>
      <c r="AC403" s="657"/>
      <c r="AD403" s="657" t="e">
        <f t="shared" ref="AD403:AN403" si="939">+AD410/AD424</f>
        <v>#DIV/0!</v>
      </c>
      <c r="AE403" s="657" t="e">
        <f t="shared" si="939"/>
        <v>#DIV/0!</v>
      </c>
      <c r="AF403" s="657">
        <f t="shared" si="939"/>
        <v>0.77522382409509649</v>
      </c>
      <c r="AG403" s="657">
        <f t="shared" si="939"/>
        <v>1.084080418356695</v>
      </c>
      <c r="AH403" s="657">
        <f t="shared" si="939"/>
        <v>0.99055474961571377</v>
      </c>
      <c r="AI403" s="657">
        <f t="shared" si="939"/>
        <v>0.98843930635838151</v>
      </c>
      <c r="AJ403" s="657">
        <f t="shared" si="939"/>
        <v>2.3436764653224662</v>
      </c>
      <c r="AK403" s="657">
        <f t="shared" si="939"/>
        <v>0.43187066974595845</v>
      </c>
      <c r="AL403" s="657"/>
      <c r="AM403" s="657">
        <f t="shared" si="939"/>
        <v>1.0940507305327962</v>
      </c>
      <c r="AN403" s="503">
        <f t="shared" si="939"/>
        <v>0.99626865671641796</v>
      </c>
    </row>
    <row r="404" spans="3:40" s="492" customFormat="1" ht="21.75" customHeight="1">
      <c r="D404" s="676" t="s">
        <v>79</v>
      </c>
      <c r="E404" s="677">
        <f t="shared" ref="E404:R404" si="940">+E411/E425</f>
        <v>0.9672455916047441</v>
      </c>
      <c r="F404" s="677">
        <f t="shared" si="940"/>
        <v>0.96904530850389958</v>
      </c>
      <c r="G404" s="677">
        <f t="shared" si="940"/>
        <v>3.7896749521988529</v>
      </c>
      <c r="H404" s="677">
        <f t="shared" si="940"/>
        <v>3.9282696231884091</v>
      </c>
      <c r="I404" s="677">
        <f t="shared" si="940"/>
        <v>0.67928245541269183</v>
      </c>
      <c r="J404" s="677">
        <f t="shared" si="940"/>
        <v>0.69554221535195115</v>
      </c>
      <c r="K404" s="677">
        <f t="shared" si="940"/>
        <v>1.0124391664250372</v>
      </c>
      <c r="L404" s="677">
        <f t="shared" si="940"/>
        <v>1.0011513506318577</v>
      </c>
      <c r="M404" s="677">
        <f t="shared" si="940"/>
        <v>0.99101123595505614</v>
      </c>
      <c r="N404" s="677" t="e">
        <f t="shared" si="940"/>
        <v>#DIV/0!</v>
      </c>
      <c r="O404" s="677">
        <f t="shared" si="940"/>
        <v>1.0096406660823838</v>
      </c>
      <c r="P404" s="677">
        <f t="shared" si="940"/>
        <v>0.85615010423905491</v>
      </c>
      <c r="Q404" s="677">
        <f t="shared" si="940"/>
        <v>1.00629987400252</v>
      </c>
      <c r="R404" s="677">
        <f t="shared" si="940"/>
        <v>1.0047162771685456</v>
      </c>
      <c r="S404" s="677">
        <f>+S411/S425</f>
        <v>2.318750000000001</v>
      </c>
      <c r="T404" s="677">
        <f t="shared" ref="T404:AN404" si="941">+T411/T425</f>
        <v>2.436944442084195</v>
      </c>
      <c r="U404" s="677">
        <f t="shared" si="941"/>
        <v>0.99101796407185627</v>
      </c>
      <c r="V404" s="677">
        <f t="shared" si="941"/>
        <v>1.2202539855072463</v>
      </c>
      <c r="W404" s="677">
        <f t="shared" si="941"/>
        <v>0.99355456269662823</v>
      </c>
      <c r="X404" s="677">
        <f t="shared" si="941"/>
        <v>0.69499999999999995</v>
      </c>
      <c r="Y404" s="677"/>
      <c r="Z404" s="677">
        <f t="shared" si="941"/>
        <v>1.0434500639778694</v>
      </c>
      <c r="AA404" s="677">
        <f t="shared" si="941"/>
        <v>0.82680212868892111</v>
      </c>
      <c r="AB404" s="677">
        <f t="shared" si="941"/>
        <v>0</v>
      </c>
      <c r="AC404" s="677" t="e">
        <f t="shared" si="941"/>
        <v>#DIV/0!</v>
      </c>
      <c r="AD404" s="677" t="e">
        <f t="shared" si="941"/>
        <v>#DIV/0!</v>
      </c>
      <c r="AE404" s="677" t="e">
        <f t="shared" si="941"/>
        <v>#DIV/0!</v>
      </c>
      <c r="AF404" s="677">
        <f t="shared" si="941"/>
        <v>0.84117817480583923</v>
      </c>
      <c r="AG404" s="677">
        <f t="shared" si="941"/>
        <v>1.0420956553375067</v>
      </c>
      <c r="AH404" s="677">
        <f t="shared" si="941"/>
        <v>0.98883850280921481</v>
      </c>
      <c r="AI404" s="677">
        <f t="shared" si="941"/>
        <v>0.99790502793296088</v>
      </c>
      <c r="AJ404" s="677">
        <f t="shared" si="941"/>
        <v>1.144383952012805</v>
      </c>
      <c r="AK404" s="677">
        <f t="shared" si="941"/>
        <v>0.18625498007968128</v>
      </c>
      <c r="AL404" s="677">
        <f t="shared" si="941"/>
        <v>1.0341921149745847</v>
      </c>
      <c r="AM404" s="677">
        <f t="shared" si="941"/>
        <v>1.0479757608770528</v>
      </c>
      <c r="AN404" s="677">
        <f t="shared" si="941"/>
        <v>1.0102249488752557</v>
      </c>
    </row>
    <row r="405" spans="3:40" ht="21.75" customHeight="1"/>
    <row r="406" spans="3:40" ht="19.5" customHeight="1">
      <c r="C406" s="1610" t="s">
        <v>74</v>
      </c>
      <c r="D406" s="654" t="s">
        <v>216</v>
      </c>
      <c r="E406" s="655">
        <v>7691.7000000000007</v>
      </c>
      <c r="F406" s="655">
        <v>1813319086</v>
      </c>
      <c r="G406" s="655">
        <v>505</v>
      </c>
      <c r="H406" s="655">
        <v>117349819</v>
      </c>
      <c r="I406" s="655">
        <v>0</v>
      </c>
      <c r="J406" s="655">
        <v>0</v>
      </c>
      <c r="K406" s="655">
        <v>1930668905</v>
      </c>
      <c r="L406" s="655">
        <v>1234445</v>
      </c>
      <c r="M406" s="655">
        <v>71400000</v>
      </c>
      <c r="N406" s="655">
        <v>0</v>
      </c>
      <c r="O406" s="655">
        <v>150000000</v>
      </c>
      <c r="P406" s="655">
        <v>200000</v>
      </c>
      <c r="Q406" s="655">
        <v>126700000</v>
      </c>
      <c r="R406" s="655">
        <v>177444447</v>
      </c>
      <c r="S406" s="655">
        <v>443</v>
      </c>
      <c r="T406" s="655">
        <v>106525403</v>
      </c>
      <c r="U406" s="655">
        <v>6600000</v>
      </c>
      <c r="V406" s="655">
        <v>0</v>
      </c>
      <c r="W406" s="655">
        <v>11110045.831482772</v>
      </c>
      <c r="X406" s="655">
        <v>0</v>
      </c>
      <c r="Y406" s="655"/>
      <c r="Z406" s="655">
        <v>2581883238</v>
      </c>
      <c r="AA406" s="655">
        <v>22</v>
      </c>
      <c r="AB406" s="655">
        <v>0</v>
      </c>
      <c r="AC406" s="655">
        <v>2</v>
      </c>
      <c r="AD406" s="655">
        <v>0</v>
      </c>
      <c r="AE406" s="655">
        <v>0</v>
      </c>
      <c r="AF406" s="655">
        <v>1149803</v>
      </c>
      <c r="AG406" s="655">
        <v>2583033041</v>
      </c>
      <c r="AH406" s="655">
        <v>231691950</v>
      </c>
      <c r="AI406" s="655">
        <v>15017600</v>
      </c>
      <c r="AJ406" s="655">
        <v>460379</v>
      </c>
      <c r="AK406" s="655">
        <v>0</v>
      </c>
      <c r="AL406" s="655">
        <v>0</v>
      </c>
      <c r="AM406" s="655">
        <v>2335863112</v>
      </c>
      <c r="AN406" s="654">
        <v>371</v>
      </c>
    </row>
    <row r="407" spans="3:40" ht="19.5" customHeight="1">
      <c r="C407" s="1610"/>
      <c r="D407" s="654" t="s">
        <v>217</v>
      </c>
      <c r="E407" s="655">
        <v>3113</v>
      </c>
      <c r="F407" s="655">
        <v>808897518</v>
      </c>
      <c r="G407" s="655">
        <v>219</v>
      </c>
      <c r="H407" s="655">
        <v>55371960</v>
      </c>
      <c r="I407" s="655">
        <v>1059.5</v>
      </c>
      <c r="J407" s="655">
        <v>9088062</v>
      </c>
      <c r="K407" s="655">
        <v>873357540</v>
      </c>
      <c r="L407" s="655">
        <v>1705186</v>
      </c>
      <c r="M407" s="655">
        <v>31200000</v>
      </c>
      <c r="N407" s="655">
        <v>0</v>
      </c>
      <c r="O407" s="655">
        <v>68000000</v>
      </c>
      <c r="P407" s="655">
        <v>200000</v>
      </c>
      <c r="Q407" s="655">
        <v>55750000</v>
      </c>
      <c r="R407" s="655">
        <v>52745579</v>
      </c>
      <c r="S407" s="655">
        <v>234</v>
      </c>
      <c r="T407" s="655">
        <v>65692627</v>
      </c>
      <c r="U407" s="655">
        <v>2900000</v>
      </c>
      <c r="V407" s="655">
        <v>0</v>
      </c>
      <c r="W407" s="655">
        <v>2733735.5499988012</v>
      </c>
      <c r="X407" s="655">
        <v>4860000</v>
      </c>
      <c r="Y407" s="655"/>
      <c r="Z407" s="655">
        <v>1159144664</v>
      </c>
      <c r="AA407" s="655">
        <v>17</v>
      </c>
      <c r="AB407" s="655">
        <v>0</v>
      </c>
      <c r="AC407" s="655">
        <v>1</v>
      </c>
      <c r="AD407" s="655">
        <v>0</v>
      </c>
      <c r="AE407" s="655">
        <v>0</v>
      </c>
      <c r="AF407" s="655">
        <v>900744</v>
      </c>
      <c r="AG407" s="655">
        <v>1160045408</v>
      </c>
      <c r="AH407" s="655">
        <v>111737850</v>
      </c>
      <c r="AI407" s="655">
        <v>6656000</v>
      </c>
      <c r="AJ407" s="655">
        <v>0</v>
      </c>
      <c r="AK407" s="655">
        <v>0</v>
      </c>
      <c r="AL407" s="655">
        <v>0</v>
      </c>
      <c r="AM407" s="655">
        <v>1041651558</v>
      </c>
      <c r="AN407" s="654">
        <v>165</v>
      </c>
    </row>
    <row r="408" spans="3:40" ht="19.5" customHeight="1">
      <c r="C408" s="1610"/>
      <c r="D408" s="654" t="s">
        <v>218</v>
      </c>
      <c r="E408" s="655">
        <v>5467.2000000000035</v>
      </c>
      <c r="F408" s="655">
        <v>1259595666</v>
      </c>
      <c r="G408" s="655">
        <v>328</v>
      </c>
      <c r="H408" s="655">
        <v>74775148</v>
      </c>
      <c r="I408" s="655">
        <v>0</v>
      </c>
      <c r="J408" s="655">
        <v>0</v>
      </c>
      <c r="K408" s="655">
        <v>1334370814</v>
      </c>
      <c r="L408" s="655">
        <v>578148</v>
      </c>
      <c r="M408" s="655">
        <v>50600000</v>
      </c>
      <c r="N408" s="655">
        <v>0</v>
      </c>
      <c r="O408" s="655">
        <v>114500000</v>
      </c>
      <c r="P408" s="655">
        <v>200000</v>
      </c>
      <c r="Q408" s="655">
        <v>94150000</v>
      </c>
      <c r="R408" s="655">
        <v>240210547</v>
      </c>
      <c r="S408" s="655">
        <v>403</v>
      </c>
      <c r="T408" s="655">
        <v>94516785</v>
      </c>
      <c r="U408" s="655">
        <v>6800000</v>
      </c>
      <c r="V408" s="655">
        <v>307901</v>
      </c>
      <c r="W408" s="655">
        <v>7856242.8757664161</v>
      </c>
      <c r="X408" s="655">
        <v>0</v>
      </c>
      <c r="Y408" s="655"/>
      <c r="Z408" s="655">
        <v>1944090451</v>
      </c>
      <c r="AA408" s="655">
        <v>4.5</v>
      </c>
      <c r="AB408" s="655">
        <v>0</v>
      </c>
      <c r="AC408" s="655">
        <v>0</v>
      </c>
      <c r="AD408" s="655">
        <v>0</v>
      </c>
      <c r="AE408" s="655">
        <v>0</v>
      </c>
      <c r="AF408" s="655">
        <v>208874</v>
      </c>
      <c r="AG408" s="655">
        <v>1944299325</v>
      </c>
      <c r="AH408" s="655">
        <v>160932975</v>
      </c>
      <c r="AI408" s="655">
        <v>10608000</v>
      </c>
      <c r="AJ408" s="655">
        <v>601340</v>
      </c>
      <c r="AK408" s="655">
        <v>0</v>
      </c>
      <c r="AL408" s="655">
        <v>200000</v>
      </c>
      <c r="AM408" s="655">
        <v>1771957010</v>
      </c>
      <c r="AN408" s="654">
        <v>264</v>
      </c>
    </row>
    <row r="409" spans="3:40" ht="19.5" customHeight="1">
      <c r="C409" s="1610"/>
      <c r="D409" s="654" t="s">
        <v>220</v>
      </c>
      <c r="E409" s="655">
        <v>3076.6000000000008</v>
      </c>
      <c r="F409" s="655">
        <v>1238442691</v>
      </c>
      <c r="G409" s="655">
        <v>174</v>
      </c>
      <c r="H409" s="655">
        <v>66358654</v>
      </c>
      <c r="I409" s="655">
        <v>0</v>
      </c>
      <c r="J409" s="655">
        <v>0</v>
      </c>
      <c r="K409" s="655">
        <v>1304801345</v>
      </c>
      <c r="L409" s="655">
        <v>25904814</v>
      </c>
      <c r="M409" s="655">
        <v>16000000</v>
      </c>
      <c r="N409" s="655">
        <v>0</v>
      </c>
      <c r="O409" s="655">
        <v>36000000</v>
      </c>
      <c r="P409" s="655">
        <v>3096000</v>
      </c>
      <c r="Q409" s="655">
        <v>31600000</v>
      </c>
      <c r="R409" s="655">
        <v>15400570</v>
      </c>
      <c r="S409" s="655">
        <v>233</v>
      </c>
      <c r="T409" s="655">
        <v>98222056</v>
      </c>
      <c r="U409" s="655">
        <v>3400000</v>
      </c>
      <c r="V409" s="655">
        <v>2500000</v>
      </c>
      <c r="W409" s="655">
        <v>5687156.2398724891</v>
      </c>
      <c r="X409" s="655">
        <v>400000</v>
      </c>
      <c r="Y409" s="655"/>
      <c r="Z409" s="655">
        <v>1543011941</v>
      </c>
      <c r="AA409" s="655">
        <v>205</v>
      </c>
      <c r="AB409" s="655">
        <v>0</v>
      </c>
      <c r="AC409" s="655">
        <v>4</v>
      </c>
      <c r="AD409" s="655">
        <v>0</v>
      </c>
      <c r="AE409" s="655">
        <v>0</v>
      </c>
      <c r="AF409" s="655">
        <v>12161155</v>
      </c>
      <c r="AG409" s="655">
        <v>1555173096</v>
      </c>
      <c r="AH409" s="655">
        <v>155692320</v>
      </c>
      <c r="AI409" s="655">
        <v>5824000</v>
      </c>
      <c r="AJ409" s="655">
        <v>3219959</v>
      </c>
      <c r="AK409" s="655">
        <v>0</v>
      </c>
      <c r="AL409" s="655">
        <v>0</v>
      </c>
      <c r="AM409" s="655">
        <v>1390436817</v>
      </c>
      <c r="AN409" s="654">
        <v>148</v>
      </c>
    </row>
    <row r="410" spans="3:40" ht="19.5" customHeight="1">
      <c r="C410" s="1610"/>
      <c r="D410" s="654" t="s">
        <v>219</v>
      </c>
      <c r="E410" s="655">
        <v>11215.299999999992</v>
      </c>
      <c r="F410" s="655">
        <v>3162502612</v>
      </c>
      <c r="G410" s="655">
        <v>756</v>
      </c>
      <c r="H410" s="655">
        <v>206330565</v>
      </c>
      <c r="I410" s="655">
        <v>2216</v>
      </c>
      <c r="J410" s="655">
        <v>24308346</v>
      </c>
      <c r="K410" s="655">
        <v>3393141523</v>
      </c>
      <c r="L410" s="655">
        <v>25762220</v>
      </c>
      <c r="M410" s="655">
        <v>95400000</v>
      </c>
      <c r="N410" s="655">
        <v>0</v>
      </c>
      <c r="O410" s="655">
        <v>207500000</v>
      </c>
      <c r="P410" s="655">
        <v>3696000</v>
      </c>
      <c r="Q410" s="655">
        <v>171000000</v>
      </c>
      <c r="R410" s="655">
        <v>195329831</v>
      </c>
      <c r="S410" s="655">
        <v>913.00000000000068</v>
      </c>
      <c r="T410" s="655">
        <v>271174494</v>
      </c>
      <c r="U410" s="655">
        <v>13400000</v>
      </c>
      <c r="V410" s="655">
        <v>560000</v>
      </c>
      <c r="W410" s="655">
        <v>12516512.116023965</v>
      </c>
      <c r="X410" s="655">
        <v>11976000</v>
      </c>
      <c r="Y410" s="655"/>
      <c r="Z410" s="655">
        <v>4401456565</v>
      </c>
      <c r="AA410" s="655">
        <v>606</v>
      </c>
      <c r="AB410" s="655">
        <v>0</v>
      </c>
      <c r="AC410" s="655">
        <v>0</v>
      </c>
      <c r="AD410" s="655">
        <v>0</v>
      </c>
      <c r="AE410" s="655">
        <v>0</v>
      </c>
      <c r="AF410" s="655">
        <v>48778773</v>
      </c>
      <c r="AG410" s="655">
        <v>4450235338</v>
      </c>
      <c r="AH410" s="655">
        <v>399416325</v>
      </c>
      <c r="AI410" s="655">
        <v>21340800</v>
      </c>
      <c r="AJ410" s="655">
        <v>5301661</v>
      </c>
      <c r="AK410" s="655">
        <v>93500</v>
      </c>
      <c r="AL410" s="655">
        <v>400000</v>
      </c>
      <c r="AM410" s="655">
        <v>4023683052</v>
      </c>
      <c r="AN410" s="654">
        <v>534</v>
      </c>
    </row>
    <row r="411" spans="3:40" ht="19.5" customHeight="1">
      <c r="D411" s="272"/>
      <c r="E411" s="659">
        <f>SUM(E406:E410)</f>
        <v>30563.8</v>
      </c>
      <c r="F411" s="659">
        <f t="shared" ref="F411:AN411" si="942">SUM(F406:F410)</f>
        <v>8282757573</v>
      </c>
      <c r="G411" s="659">
        <f t="shared" si="942"/>
        <v>1982</v>
      </c>
      <c r="H411" s="659">
        <f t="shared" si="942"/>
        <v>520186146</v>
      </c>
      <c r="I411" s="659">
        <f t="shared" si="942"/>
        <v>3275.5</v>
      </c>
      <c r="J411" s="659">
        <f t="shared" si="942"/>
        <v>33396408</v>
      </c>
      <c r="K411" s="659">
        <f t="shared" si="942"/>
        <v>8836340127</v>
      </c>
      <c r="L411" s="659">
        <f t="shared" si="942"/>
        <v>55184813</v>
      </c>
      <c r="M411" s="659">
        <f t="shared" si="942"/>
        <v>264600000</v>
      </c>
      <c r="N411" s="659">
        <f t="shared" si="942"/>
        <v>0</v>
      </c>
      <c r="O411" s="659">
        <f t="shared" si="942"/>
        <v>576000000</v>
      </c>
      <c r="P411" s="659">
        <f t="shared" si="942"/>
        <v>7392000</v>
      </c>
      <c r="Q411" s="659">
        <f t="shared" si="942"/>
        <v>479200000</v>
      </c>
      <c r="R411" s="659">
        <f t="shared" si="942"/>
        <v>681130974</v>
      </c>
      <c r="S411" s="659">
        <f t="shared" si="942"/>
        <v>2226.0000000000009</v>
      </c>
      <c r="T411" s="659">
        <f t="shared" si="942"/>
        <v>636131365</v>
      </c>
      <c r="U411" s="659">
        <f t="shared" si="942"/>
        <v>33100000</v>
      </c>
      <c r="V411" s="659">
        <f t="shared" si="942"/>
        <v>3367901</v>
      </c>
      <c r="W411" s="659">
        <f t="shared" si="942"/>
        <v>39903692.613144442</v>
      </c>
      <c r="X411" s="659">
        <f t="shared" si="942"/>
        <v>17236000</v>
      </c>
      <c r="Y411" s="659"/>
      <c r="Z411" s="659">
        <f t="shared" si="942"/>
        <v>11629586859</v>
      </c>
      <c r="AA411" s="659">
        <f t="shared" si="942"/>
        <v>854.5</v>
      </c>
      <c r="AB411" s="659">
        <f t="shared" si="942"/>
        <v>0</v>
      </c>
      <c r="AC411" s="659">
        <f t="shared" si="942"/>
        <v>7</v>
      </c>
      <c r="AD411" s="659">
        <f t="shared" si="942"/>
        <v>0</v>
      </c>
      <c r="AE411" s="659">
        <f t="shared" si="942"/>
        <v>0</v>
      </c>
      <c r="AF411" s="659">
        <f t="shared" si="942"/>
        <v>63199349</v>
      </c>
      <c r="AG411" s="659">
        <f t="shared" si="942"/>
        <v>11692786208</v>
      </c>
      <c r="AH411" s="659">
        <f t="shared" si="942"/>
        <v>1059471420</v>
      </c>
      <c r="AI411" s="659">
        <f t="shared" si="942"/>
        <v>59446400</v>
      </c>
      <c r="AJ411" s="659">
        <f t="shared" si="942"/>
        <v>9583339</v>
      </c>
      <c r="AK411" s="659">
        <f t="shared" si="942"/>
        <v>93500</v>
      </c>
      <c r="AL411" s="659">
        <f t="shared" si="942"/>
        <v>600000</v>
      </c>
      <c r="AM411" s="659">
        <f t="shared" si="942"/>
        <v>10563591549</v>
      </c>
      <c r="AN411" s="659">
        <f t="shared" si="942"/>
        <v>1482</v>
      </c>
    </row>
    <row r="412" spans="3:40" ht="19.5" customHeight="1">
      <c r="D412" s="665"/>
      <c r="E412" s="665"/>
      <c r="F412" s="666"/>
      <c r="G412" s="667"/>
      <c r="H412" s="666"/>
      <c r="I412" s="667"/>
      <c r="J412" s="666"/>
      <c r="K412" s="666"/>
      <c r="L412" s="666"/>
      <c r="M412" s="666"/>
      <c r="N412" s="666"/>
      <c r="O412" s="666"/>
      <c r="P412" s="666"/>
      <c r="Q412" s="666"/>
      <c r="R412" s="666"/>
      <c r="S412" s="668"/>
      <c r="T412" s="666"/>
      <c r="U412" s="666"/>
      <c r="V412" s="666"/>
      <c r="W412" s="666"/>
      <c r="X412" s="669"/>
      <c r="Y412" s="669"/>
      <c r="Z412" s="669"/>
      <c r="AA412" s="670"/>
      <c r="AB412" s="670"/>
      <c r="AC412" s="670"/>
      <c r="AD412" s="670"/>
      <c r="AE412" s="670"/>
      <c r="AF412" s="671"/>
      <c r="AG412" s="672"/>
      <c r="AH412" s="671"/>
      <c r="AI412" s="673"/>
      <c r="AJ412" s="671"/>
      <c r="AK412" s="671"/>
      <c r="AL412" s="674"/>
      <c r="AM412" s="669"/>
      <c r="AN412" s="675"/>
    </row>
    <row r="413" spans="3:40" ht="21.75" customHeight="1">
      <c r="C413" s="1605" t="str">
        <f>C420&amp;" Vs "&amp;C434</f>
        <v>Nov Vs Oct</v>
      </c>
      <c r="D413" s="654" t="s">
        <v>216</v>
      </c>
      <c r="E413" s="657">
        <f>+E420/E434</f>
        <v>0.88859477236527062</v>
      </c>
      <c r="F413" s="657">
        <f t="shared" ref="F413:H413" si="943">+F420/F434</f>
        <v>0.89341056567693888</v>
      </c>
      <c r="G413" s="657">
        <f t="shared" si="943"/>
        <v>1.430232558139535</v>
      </c>
      <c r="H413" s="657">
        <f t="shared" si="943"/>
        <v>1.4295258330170115</v>
      </c>
      <c r="I413" s="657"/>
      <c r="J413" s="657"/>
      <c r="K413" s="657">
        <f t="shared" ref="K413:W413" si="944">+K420/K434</f>
        <v>0.89854705847949723</v>
      </c>
      <c r="L413" s="657">
        <f t="shared" si="944"/>
        <v>0.92992815299954223</v>
      </c>
      <c r="M413" s="657">
        <f t="shared" si="944"/>
        <v>0.95225464190981435</v>
      </c>
      <c r="N413" s="657" t="e">
        <f t="shared" si="944"/>
        <v>#DIV/0!</v>
      </c>
      <c r="O413" s="657">
        <f t="shared" si="944"/>
        <v>1.0522648083623694</v>
      </c>
      <c r="P413" s="657">
        <f t="shared" si="944"/>
        <v>3.16</v>
      </c>
      <c r="Q413" s="657">
        <f t="shared" si="944"/>
        <v>0.99219359875097579</v>
      </c>
      <c r="R413" s="657">
        <f t="shared" si="944"/>
        <v>1.117506276835937</v>
      </c>
      <c r="S413" s="657">
        <f t="shared" si="944"/>
        <v>3.1351351351351351</v>
      </c>
      <c r="T413" s="657">
        <f t="shared" si="944"/>
        <v>3.0217346218252312</v>
      </c>
      <c r="U413" s="657">
        <f t="shared" si="944"/>
        <v>1.0149253731343284</v>
      </c>
      <c r="V413" s="657"/>
      <c r="W413" s="657">
        <f t="shared" si="944"/>
        <v>0.96385463431427287</v>
      </c>
      <c r="X413" s="657"/>
      <c r="Y413" s="657"/>
      <c r="Z413" s="657">
        <f t="shared" ref="Z413:AA413" si="945">+Z420/Z434</f>
        <v>0.94314260796775617</v>
      </c>
      <c r="AA413" s="657">
        <f t="shared" si="945"/>
        <v>0</v>
      </c>
      <c r="AB413" s="657">
        <f t="shared" ref="W413:AJ414" si="946">+AB420/AB434</f>
        <v>0</v>
      </c>
      <c r="AC413" s="657">
        <f t="shared" si="946"/>
        <v>0</v>
      </c>
      <c r="AD413" s="657" t="e">
        <f t="shared" ref="AD413:AN415" si="947">+AD420/AD434</f>
        <v>#DIV/0!</v>
      </c>
      <c r="AE413" s="657" t="e">
        <f t="shared" si="947"/>
        <v>#DIV/0!</v>
      </c>
      <c r="AF413" s="657">
        <f>+AF420/AF434</f>
        <v>0</v>
      </c>
      <c r="AG413" s="657">
        <f>+AG420/AG434</f>
        <v>0.9242689638972732</v>
      </c>
      <c r="AH413" s="657">
        <f t="shared" si="947"/>
        <v>0.96304281440557615</v>
      </c>
      <c r="AI413" s="657">
        <f t="shared" si="947"/>
        <v>0.95778364116094983</v>
      </c>
      <c r="AJ413" s="657">
        <f t="shared" si="947"/>
        <v>0.50583823573178832</v>
      </c>
      <c r="AK413" s="657">
        <f t="shared" si="947"/>
        <v>0</v>
      </c>
      <c r="AL413" s="657"/>
      <c r="AM413" s="657">
        <f t="shared" si="947"/>
        <v>0.92033666082844268</v>
      </c>
      <c r="AN413" s="503">
        <f>+AN420/AN434</f>
        <v>0.95324675324675323</v>
      </c>
    </row>
    <row r="414" spans="3:40" ht="21.75" customHeight="1">
      <c r="C414" s="1605"/>
      <c r="D414" s="654" t="s">
        <v>217</v>
      </c>
      <c r="E414" s="657">
        <f t="shared" ref="E414:U414" si="948">+E421/E435</f>
        <v>0.96631066648641384</v>
      </c>
      <c r="F414" s="657">
        <f t="shared" si="948"/>
        <v>0.97179163107478495</v>
      </c>
      <c r="G414" s="657">
        <f t="shared" si="948"/>
        <v>0.69863013698630139</v>
      </c>
      <c r="H414" s="657">
        <f t="shared" si="948"/>
        <v>0.66958723553571287</v>
      </c>
      <c r="I414" s="657">
        <f t="shared" si="948"/>
        <v>1.5594283497154682</v>
      </c>
      <c r="J414" s="657">
        <f t="shared" si="948"/>
        <v>1.5768756449222054</v>
      </c>
      <c r="K414" s="657">
        <f t="shared" si="948"/>
        <v>0.97426362001807942</v>
      </c>
      <c r="L414" s="657">
        <f t="shared" si="948"/>
        <v>1.0382359048446499</v>
      </c>
      <c r="M414" s="657">
        <f t="shared" si="948"/>
        <v>1</v>
      </c>
      <c r="N414" s="657" t="e">
        <f t="shared" si="948"/>
        <v>#DIV/0!</v>
      </c>
      <c r="O414" s="657">
        <f t="shared" si="948"/>
        <v>1.1724137931034482</v>
      </c>
      <c r="P414" s="657">
        <f t="shared" si="948"/>
        <v>2.62</v>
      </c>
      <c r="Q414" s="657">
        <f t="shared" si="948"/>
        <v>1.0389863547758285</v>
      </c>
      <c r="R414" s="657">
        <f t="shared" si="948"/>
        <v>0.7901948816145663</v>
      </c>
      <c r="S414" s="657">
        <f t="shared" si="948"/>
        <v>1.0543478260869565</v>
      </c>
      <c r="T414" s="657">
        <f t="shared" si="948"/>
        <v>1.0702646318941154</v>
      </c>
      <c r="U414" s="657">
        <f t="shared" si="948"/>
        <v>1.0344827586206897</v>
      </c>
      <c r="V414" s="657">
        <f t="shared" ref="V414" si="949">+V421/V435</f>
        <v>0</v>
      </c>
      <c r="W414" s="657">
        <f t="shared" si="946"/>
        <v>1.0341081011987652</v>
      </c>
      <c r="X414" s="657">
        <f t="shared" si="946"/>
        <v>1.5546218487394958</v>
      </c>
      <c r="Y414" s="657"/>
      <c r="Z414" s="657">
        <f t="shared" si="946"/>
        <v>0.98287581533971924</v>
      </c>
      <c r="AA414" s="657">
        <f t="shared" si="946"/>
        <v>0.13472070098576122</v>
      </c>
      <c r="AB414" s="657">
        <f t="shared" ref="AB414:AC414" si="950">+AB421/AB435</f>
        <v>0</v>
      </c>
      <c r="AC414" s="657">
        <f t="shared" si="950"/>
        <v>0</v>
      </c>
      <c r="AD414" s="657" t="e">
        <f t="shared" si="946"/>
        <v>#DIV/0!</v>
      </c>
      <c r="AE414" s="657" t="e">
        <f t="shared" si="946"/>
        <v>#DIV/0!</v>
      </c>
      <c r="AF414" s="657">
        <f t="shared" si="946"/>
        <v>0.11781179900453924</v>
      </c>
      <c r="AG414" s="657">
        <f t="shared" si="946"/>
        <v>0.94502990935001496</v>
      </c>
      <c r="AH414" s="657">
        <f t="shared" si="946"/>
        <v>1.0070285584453522</v>
      </c>
      <c r="AI414" s="657">
        <f t="shared" si="946"/>
        <v>0.98192771084337349</v>
      </c>
      <c r="AJ414" s="657">
        <f t="shared" si="946"/>
        <v>2.2101391875070724</v>
      </c>
      <c r="AK414" s="657"/>
      <c r="AL414" s="657"/>
      <c r="AM414" s="657">
        <f t="shared" si="947"/>
        <v>0.93845968164053217</v>
      </c>
      <c r="AN414" s="503">
        <f t="shared" si="947"/>
        <v>0.98192771084337349</v>
      </c>
    </row>
    <row r="415" spans="3:40" ht="21.75" customHeight="1">
      <c r="C415" s="1605"/>
      <c r="D415" s="654" t="s">
        <v>218</v>
      </c>
      <c r="E415" s="657">
        <f t="shared" ref="E415:H415" si="951">+E422/E436</f>
        <v>0.90653245686113459</v>
      </c>
      <c r="F415" s="657">
        <f t="shared" si="951"/>
        <v>0.90663192859827735</v>
      </c>
      <c r="G415" s="657">
        <f t="shared" si="951"/>
        <v>0.58490566037735847</v>
      </c>
      <c r="H415" s="657">
        <f t="shared" si="951"/>
        <v>0.59077945338062987</v>
      </c>
      <c r="I415" s="657"/>
      <c r="J415" s="657"/>
      <c r="K415" s="657">
        <f t="shared" ref="K415:U415" si="952">+K422/K436</f>
        <v>0.90159777326153123</v>
      </c>
      <c r="L415" s="657">
        <f t="shared" si="952"/>
        <v>0.98684197665212448</v>
      </c>
      <c r="M415" s="657">
        <f t="shared" si="952"/>
        <v>0.99603174603174605</v>
      </c>
      <c r="N415" s="657" t="e">
        <f t="shared" si="952"/>
        <v>#DIV/0!</v>
      </c>
      <c r="O415" s="657">
        <f t="shared" si="952"/>
        <v>1.0886699507389161</v>
      </c>
      <c r="P415" s="657">
        <f t="shared" si="952"/>
        <v>2.62</v>
      </c>
      <c r="Q415" s="657">
        <f t="shared" si="952"/>
        <v>1.0523619806488331</v>
      </c>
      <c r="R415" s="657">
        <f t="shared" si="952"/>
        <v>1.161042052788291</v>
      </c>
      <c r="S415" s="657">
        <f t="shared" si="952"/>
        <v>1.240506329113924</v>
      </c>
      <c r="T415" s="657">
        <f t="shared" si="952"/>
        <v>1.2279488551655149</v>
      </c>
      <c r="U415" s="657">
        <f t="shared" si="952"/>
        <v>0.95774647887323938</v>
      </c>
      <c r="V415" s="657"/>
      <c r="W415" s="657">
        <f t="shared" ref="W415" si="953">+W422/W436</f>
        <v>0.99488436636229116</v>
      </c>
      <c r="X415" s="657"/>
      <c r="Y415" s="657"/>
      <c r="Z415" s="657">
        <f t="shared" ref="Z415:AA415" si="954">+Z422/Z436</f>
        <v>0.95792149113369063</v>
      </c>
      <c r="AA415" s="657">
        <f t="shared" si="954"/>
        <v>4.0480708412397218E-2</v>
      </c>
      <c r="AB415" s="657"/>
      <c r="AC415" s="657"/>
      <c r="AD415" s="657" t="e">
        <f t="shared" ref="AD415:AK415" si="955">+AD422/AD436</f>
        <v>#DIV/0!</v>
      </c>
      <c r="AE415" s="657" t="e">
        <f t="shared" si="955"/>
        <v>#DIV/0!</v>
      </c>
      <c r="AF415" s="657">
        <f t="shared" si="955"/>
        <v>4.2382757742341577E-2</v>
      </c>
      <c r="AG415" s="657">
        <f t="shared" si="955"/>
        <v>0.94290624928254863</v>
      </c>
      <c r="AH415" s="657">
        <f t="shared" si="955"/>
        <v>0.99582540867805047</v>
      </c>
      <c r="AI415" s="657">
        <f t="shared" si="955"/>
        <v>0.98406374501992033</v>
      </c>
      <c r="AJ415" s="657">
        <f t="shared" si="955"/>
        <v>0.72512807099968835</v>
      </c>
      <c r="AK415" s="657">
        <f t="shared" si="955"/>
        <v>4.4395924308588061E-2</v>
      </c>
      <c r="AL415" s="657"/>
      <c r="AM415" s="657">
        <f t="shared" si="947"/>
        <v>0.93860788008348273</v>
      </c>
      <c r="AN415" s="503">
        <f t="shared" si="947"/>
        <v>0.98076923076923073</v>
      </c>
    </row>
    <row r="416" spans="3:40" ht="21.75" customHeight="1">
      <c r="C416" s="1605"/>
      <c r="D416" s="654" t="s">
        <v>220</v>
      </c>
      <c r="E416" s="657">
        <f t="shared" ref="E416:H416" si="956">+E423/E437</f>
        <v>0.89786785245995038</v>
      </c>
      <c r="F416" s="657">
        <f t="shared" si="956"/>
        <v>0.91099255349566977</v>
      </c>
      <c r="G416" s="657">
        <f t="shared" si="956"/>
        <v>0.42424242424242425</v>
      </c>
      <c r="H416" s="657">
        <f t="shared" si="956"/>
        <v>0.46955677211511065</v>
      </c>
      <c r="I416" s="657"/>
      <c r="J416" s="657"/>
      <c r="K416" s="657">
        <f t="shared" ref="K416:AB416" si="957">+K423/K437</f>
        <v>0.90402845154093503</v>
      </c>
      <c r="L416" s="657">
        <f t="shared" si="957"/>
        <v>0.90753511252669872</v>
      </c>
      <c r="M416" s="657">
        <f t="shared" si="957"/>
        <v>0.98780487804878048</v>
      </c>
      <c r="N416" s="657" t="e">
        <f t="shared" si="957"/>
        <v>#DIV/0!</v>
      </c>
      <c r="O416" s="657">
        <f t="shared" si="957"/>
        <v>1</v>
      </c>
      <c r="P416" s="657">
        <f t="shared" si="957"/>
        <v>1.0523255813953489</v>
      </c>
      <c r="Q416" s="657">
        <f t="shared" si="957"/>
        <v>1.0584192439862543</v>
      </c>
      <c r="R416" s="657">
        <f t="shared" si="957"/>
        <v>1.6171231056203297</v>
      </c>
      <c r="S416" s="657">
        <f t="shared" si="957"/>
        <v>1.65625</v>
      </c>
      <c r="T416" s="657">
        <f t="shared" si="957"/>
        <v>1.4587062699840301</v>
      </c>
      <c r="U416" s="657">
        <f t="shared" si="957"/>
        <v>1</v>
      </c>
      <c r="V416" s="657">
        <f t="shared" si="957"/>
        <v>0.5490196078431373</v>
      </c>
      <c r="W416" s="657">
        <f t="shared" si="957"/>
        <v>0.9926044008303273</v>
      </c>
      <c r="X416" s="657">
        <f t="shared" si="957"/>
        <v>0.50572519083969469</v>
      </c>
      <c r="Y416" s="657"/>
      <c r="Z416" s="657">
        <f t="shared" si="957"/>
        <v>0.92638779855201148</v>
      </c>
      <c r="AA416" s="657">
        <f t="shared" si="957"/>
        <v>0.12037833190025796</v>
      </c>
      <c r="AB416" s="657">
        <f t="shared" si="957"/>
        <v>2.6785714285714284E-2</v>
      </c>
      <c r="AC416" s="657"/>
      <c r="AD416" s="657" t="e">
        <f t="shared" ref="AD416:AN416" si="958">+AD423/AD437</f>
        <v>#DIV/0!</v>
      </c>
      <c r="AE416" s="657" t="e">
        <f t="shared" si="958"/>
        <v>#DIV/0!</v>
      </c>
      <c r="AF416" s="657">
        <f t="shared" si="958"/>
        <v>8.8021970503572688E-2</v>
      </c>
      <c r="AG416" s="657">
        <f t="shared" si="958"/>
        <v>0.90265491996879388</v>
      </c>
      <c r="AH416" s="657">
        <f t="shared" si="958"/>
        <v>0.99748070519604548</v>
      </c>
      <c r="AI416" s="657">
        <f t="shared" si="958"/>
        <v>0.97902097902097907</v>
      </c>
      <c r="AJ416" s="657">
        <f t="shared" si="958"/>
        <v>0.79963684805295665</v>
      </c>
      <c r="AK416" s="657">
        <f t="shared" si="958"/>
        <v>0.78838174273858919</v>
      </c>
      <c r="AL416" s="657"/>
      <c r="AM416" s="657">
        <f t="shared" si="958"/>
        <v>0.89241933382015326</v>
      </c>
      <c r="AN416" s="503">
        <f t="shared" si="958"/>
        <v>0.97333333333333338</v>
      </c>
    </row>
    <row r="417" spans="3:40" s="653" customFormat="1" ht="21.75" customHeight="1">
      <c r="C417" s="1605"/>
      <c r="D417" s="656" t="s">
        <v>219</v>
      </c>
      <c r="E417" s="657">
        <f t="shared" ref="E417:AB417" si="959">+E424/E438</f>
        <v>0.87154516361186452</v>
      </c>
      <c r="F417" s="657">
        <f t="shared" si="959"/>
        <v>0.88154035227121097</v>
      </c>
      <c r="G417" s="657">
        <f t="shared" si="959"/>
        <v>0.77313432835820894</v>
      </c>
      <c r="H417" s="657">
        <f t="shared" si="959"/>
        <v>0.75315032270012294</v>
      </c>
      <c r="I417" s="657">
        <f t="shared" si="959"/>
        <v>0.83729896835596929</v>
      </c>
      <c r="J417" s="657">
        <f t="shared" si="959"/>
        <v>0.8558551389239123</v>
      </c>
      <c r="K417" s="657">
        <f t="shared" si="959"/>
        <v>0.87823456625565477</v>
      </c>
      <c r="L417" s="657">
        <f t="shared" si="959"/>
        <v>0.88265681523512529</v>
      </c>
      <c r="M417" s="657">
        <f t="shared" si="959"/>
        <v>0.96222664015904569</v>
      </c>
      <c r="N417" s="657" t="e">
        <f t="shared" si="959"/>
        <v>#DIV/0!</v>
      </c>
      <c r="O417" s="657">
        <f t="shared" si="959"/>
        <v>1.0911458333333333</v>
      </c>
      <c r="P417" s="657">
        <f t="shared" si="959"/>
        <v>1</v>
      </c>
      <c r="Q417" s="657">
        <f t="shared" si="959"/>
        <v>1.0400843881856541</v>
      </c>
      <c r="R417" s="657">
        <f t="shared" si="959"/>
        <v>0.89936382697380601</v>
      </c>
      <c r="S417" s="657">
        <f t="shared" si="959"/>
        <v>1.2276119402985075</v>
      </c>
      <c r="T417" s="657">
        <f t="shared" si="959"/>
        <v>1.2464984458289428</v>
      </c>
      <c r="U417" s="657">
        <f t="shared" si="959"/>
        <v>0.95744680851063835</v>
      </c>
      <c r="V417" s="657">
        <f t="shared" si="959"/>
        <v>0.22677200226171723</v>
      </c>
      <c r="W417" s="657">
        <f t="shared" si="959"/>
        <v>0.96594245944302981</v>
      </c>
      <c r="X417" s="657">
        <f t="shared" si="959"/>
        <v>0.845368765646062</v>
      </c>
      <c r="Y417" s="657"/>
      <c r="Z417" s="657">
        <f t="shared" si="959"/>
        <v>0.90178557140919402</v>
      </c>
      <c r="AA417" s="657">
        <f t="shared" si="959"/>
        <v>0.51694373401534521</v>
      </c>
      <c r="AB417" s="657">
        <f t="shared" si="959"/>
        <v>0</v>
      </c>
      <c r="AC417" s="657"/>
      <c r="AD417" s="657" t="e">
        <f t="shared" ref="AD417:AN417" si="960">+AD424/AD438</f>
        <v>#DIV/0!</v>
      </c>
      <c r="AE417" s="657" t="e">
        <f t="shared" si="960"/>
        <v>#DIV/0!</v>
      </c>
      <c r="AF417" s="657">
        <f t="shared" si="960"/>
        <v>0.54629673136603174</v>
      </c>
      <c r="AG417" s="657">
        <f t="shared" si="960"/>
        <v>0.89287977753973768</v>
      </c>
      <c r="AH417" s="657">
        <f t="shared" si="960"/>
        <v>0.97190138239377699</v>
      </c>
      <c r="AI417" s="657">
        <f t="shared" si="960"/>
        <v>0.97924528301886793</v>
      </c>
      <c r="AJ417" s="657">
        <f t="shared" si="960"/>
        <v>0.47589667961888094</v>
      </c>
      <c r="AK417" s="657">
        <f t="shared" si="960"/>
        <v>0.33359013867488446</v>
      </c>
      <c r="AL417" s="657">
        <f t="shared" si="960"/>
        <v>0</v>
      </c>
      <c r="AM417" s="657">
        <f t="shared" si="960"/>
        <v>0.88518112409416494</v>
      </c>
      <c r="AN417" s="503">
        <f t="shared" si="960"/>
        <v>0.97454545454545449</v>
      </c>
    </row>
    <row r="418" spans="3:40" s="492" customFormat="1" ht="21.75" customHeight="1">
      <c r="D418" s="676" t="s">
        <v>79</v>
      </c>
      <c r="E418" s="677">
        <f t="shared" ref="E418:R418" si="961">+E425/E439</f>
        <v>0.8945622140689411</v>
      </c>
      <c r="F418" s="677">
        <f t="shared" si="961"/>
        <v>0.90144169394579354</v>
      </c>
      <c r="G418" s="677">
        <f t="shared" si="961"/>
        <v>0.78528528528528529</v>
      </c>
      <c r="H418" s="677">
        <f t="shared" si="961"/>
        <v>0.76004680771735011</v>
      </c>
      <c r="I418" s="677">
        <f t="shared" si="961"/>
        <v>1.0896436399792104</v>
      </c>
      <c r="J418" s="677">
        <f t="shared" si="961"/>
        <v>1.0648766007605024</v>
      </c>
      <c r="K418" s="677">
        <f t="shared" si="961"/>
        <v>0.89966194187615711</v>
      </c>
      <c r="L418" s="677">
        <f t="shared" si="961"/>
        <v>0.90085121492306541</v>
      </c>
      <c r="M418" s="677">
        <f t="shared" si="961"/>
        <v>0.97161572052401746</v>
      </c>
      <c r="N418" s="677" t="e">
        <f t="shared" si="961"/>
        <v>#DIV/0!</v>
      </c>
      <c r="O418" s="677">
        <f t="shared" si="961"/>
        <v>1.083570750237417</v>
      </c>
      <c r="P418" s="677">
        <f t="shared" si="961"/>
        <v>1.1680194805194806</v>
      </c>
      <c r="Q418" s="677">
        <f t="shared" si="961"/>
        <v>1.030178474851271</v>
      </c>
      <c r="R418" s="677">
        <f t="shared" si="961"/>
        <v>1.0679314040350294</v>
      </c>
      <c r="S418" s="677">
        <f>+S425/S439</f>
        <v>1.4634146341463414</v>
      </c>
      <c r="T418" s="677">
        <f t="shared" ref="T418:AN418" si="962">+T425/T439</f>
        <v>1.4256684973297573</v>
      </c>
      <c r="U418" s="677">
        <f t="shared" si="962"/>
        <v>0.97947214076246336</v>
      </c>
      <c r="V418" s="677">
        <f t="shared" si="962"/>
        <v>0.27302868344381764</v>
      </c>
      <c r="W418" s="677">
        <f t="shared" si="962"/>
        <v>0.97917231644478608</v>
      </c>
      <c r="X418" s="677">
        <f t="shared" si="962"/>
        <v>1.0434636260361005</v>
      </c>
      <c r="Y418" s="677"/>
      <c r="Z418" s="677">
        <f t="shared" si="962"/>
        <v>0.93186744668485499</v>
      </c>
      <c r="AA418" s="677">
        <f t="shared" si="962"/>
        <v>0.20935885749012459</v>
      </c>
      <c r="AB418" s="677">
        <f t="shared" si="962"/>
        <v>9.0225563909774441E-3</v>
      </c>
      <c r="AC418" s="677">
        <f t="shared" si="962"/>
        <v>0</v>
      </c>
      <c r="AD418" s="677" t="e">
        <f t="shared" si="962"/>
        <v>#DIV/0!</v>
      </c>
      <c r="AE418" s="677" t="e">
        <f t="shared" si="962"/>
        <v>#DIV/0!</v>
      </c>
      <c r="AF418" s="677">
        <f t="shared" si="962"/>
        <v>0.24595745097095179</v>
      </c>
      <c r="AG418" s="677">
        <f t="shared" si="962"/>
        <v>0.9147853747668393</v>
      </c>
      <c r="AH418" s="677">
        <f t="shared" si="962"/>
        <v>0.98094255532337482</v>
      </c>
      <c r="AI418" s="677">
        <f t="shared" si="962"/>
        <v>0.97481279782164743</v>
      </c>
      <c r="AJ418" s="677">
        <f t="shared" si="962"/>
        <v>0.66698727463027008</v>
      </c>
      <c r="AK418" s="677">
        <f t="shared" si="962"/>
        <v>0.25547073791348601</v>
      </c>
      <c r="AL418" s="677">
        <f t="shared" si="962"/>
        <v>1.4504075000000001</v>
      </c>
      <c r="AM418" s="677">
        <f t="shared" si="962"/>
        <v>0.90832118005578311</v>
      </c>
      <c r="AN418" s="677">
        <f t="shared" si="962"/>
        <v>0.97088021178027795</v>
      </c>
    </row>
    <row r="419" spans="3:40" ht="21.75" customHeight="1"/>
    <row r="420" spans="3:40" ht="19.5" customHeight="1">
      <c r="C420" s="1610" t="s">
        <v>73</v>
      </c>
      <c r="D420" s="654" t="s">
        <v>216</v>
      </c>
      <c r="E420" s="655">
        <v>7754.5000000000082</v>
      </c>
      <c r="F420" s="655">
        <v>1801187058</v>
      </c>
      <c r="G420" s="655">
        <v>123</v>
      </c>
      <c r="H420" s="655">
        <v>27879775</v>
      </c>
      <c r="I420" s="655">
        <v>0</v>
      </c>
      <c r="J420" s="655">
        <v>0</v>
      </c>
      <c r="K420" s="655">
        <v>1829066833</v>
      </c>
      <c r="L420" s="655">
        <v>696731</v>
      </c>
      <c r="M420" s="655">
        <v>71800000</v>
      </c>
      <c r="N420" s="655">
        <v>0</v>
      </c>
      <c r="O420" s="655">
        <v>151000000</v>
      </c>
      <c r="P420" s="655">
        <v>632000</v>
      </c>
      <c r="Q420" s="655">
        <v>127100000</v>
      </c>
      <c r="R420" s="655">
        <v>192213166</v>
      </c>
      <c r="S420" s="655">
        <v>232</v>
      </c>
      <c r="T420" s="655">
        <v>53791983</v>
      </c>
      <c r="U420" s="655">
        <v>6800000</v>
      </c>
      <c r="V420" s="655">
        <v>0</v>
      </c>
      <c r="W420" s="655">
        <v>11199937.577210879</v>
      </c>
      <c r="X420" s="655">
        <v>0</v>
      </c>
      <c r="Y420" s="655"/>
      <c r="Z420" s="655">
        <v>2444300648</v>
      </c>
      <c r="AA420" s="655">
        <v>0</v>
      </c>
      <c r="AB420" s="655">
        <v>0</v>
      </c>
      <c r="AC420" s="655">
        <v>0</v>
      </c>
      <c r="AD420" s="655">
        <v>0</v>
      </c>
      <c r="AE420" s="655">
        <v>0</v>
      </c>
      <c r="AF420" s="655">
        <v>0</v>
      </c>
      <c r="AG420" s="655">
        <v>2444300648</v>
      </c>
      <c r="AH420" s="655">
        <v>231131460</v>
      </c>
      <c r="AI420" s="655">
        <v>15100800</v>
      </c>
      <c r="AJ420" s="655">
        <v>101978</v>
      </c>
      <c r="AK420" s="655">
        <v>0</v>
      </c>
      <c r="AL420" s="655">
        <v>0</v>
      </c>
      <c r="AM420" s="655">
        <v>2197966410</v>
      </c>
      <c r="AN420" s="654">
        <v>367</v>
      </c>
    </row>
    <row r="421" spans="3:40" ht="19.5" customHeight="1">
      <c r="C421" s="1610"/>
      <c r="D421" s="654" t="s">
        <v>217</v>
      </c>
      <c r="E421" s="655">
        <v>3573.900000000001</v>
      </c>
      <c r="F421" s="655">
        <v>917120250</v>
      </c>
      <c r="G421" s="655">
        <v>51</v>
      </c>
      <c r="H421" s="655">
        <v>12184114</v>
      </c>
      <c r="I421" s="655">
        <v>2411.5</v>
      </c>
      <c r="J421" s="655">
        <v>20611884</v>
      </c>
      <c r="K421" s="655">
        <v>949916248</v>
      </c>
      <c r="L421" s="655">
        <v>1765000</v>
      </c>
      <c r="M421" s="655">
        <v>32000000</v>
      </c>
      <c r="N421" s="655">
        <v>0</v>
      </c>
      <c r="O421" s="655">
        <v>68000000</v>
      </c>
      <c r="P421" s="655">
        <v>524000</v>
      </c>
      <c r="Q421" s="655">
        <v>53300000</v>
      </c>
      <c r="R421" s="655">
        <v>46631573</v>
      </c>
      <c r="S421" s="655">
        <v>97</v>
      </c>
      <c r="T421" s="655">
        <v>25592581</v>
      </c>
      <c r="U421" s="655">
        <v>3000000</v>
      </c>
      <c r="V421" s="655">
        <v>0</v>
      </c>
      <c r="W421" s="655">
        <v>2819625.0159478094</v>
      </c>
      <c r="X421" s="655">
        <v>11100000</v>
      </c>
      <c r="Y421" s="655"/>
      <c r="Z421" s="655">
        <v>1194649023</v>
      </c>
      <c r="AA421" s="655">
        <v>123</v>
      </c>
      <c r="AB421" s="655">
        <v>0</v>
      </c>
      <c r="AC421" s="655">
        <v>0</v>
      </c>
      <c r="AD421" s="655">
        <v>0</v>
      </c>
      <c r="AE421" s="655">
        <v>0</v>
      </c>
      <c r="AF421" s="655">
        <v>6551328</v>
      </c>
      <c r="AG421" s="655">
        <v>1201200351</v>
      </c>
      <c r="AH421" s="655">
        <v>114018870</v>
      </c>
      <c r="AI421" s="655">
        <v>6780800</v>
      </c>
      <c r="AJ421" s="655">
        <v>39062</v>
      </c>
      <c r="AK421" s="655">
        <v>65000</v>
      </c>
      <c r="AL421" s="655">
        <v>200000</v>
      </c>
      <c r="AM421" s="655">
        <v>1080096619</v>
      </c>
      <c r="AN421" s="654">
        <v>163</v>
      </c>
    </row>
    <row r="422" spans="3:40" ht="19.5" customHeight="1">
      <c r="C422" s="1610"/>
      <c r="D422" s="654" t="s">
        <v>218</v>
      </c>
      <c r="E422" s="655">
        <v>5736.9000000000005</v>
      </c>
      <c r="F422" s="655">
        <v>1324676647</v>
      </c>
      <c r="G422" s="655">
        <v>62</v>
      </c>
      <c r="H422" s="655">
        <v>13980550</v>
      </c>
      <c r="I422" s="655">
        <v>0</v>
      </c>
      <c r="J422" s="655">
        <v>0</v>
      </c>
      <c r="K422" s="655">
        <v>1338657197</v>
      </c>
      <c r="L422" s="655">
        <v>605769</v>
      </c>
      <c r="M422" s="655">
        <v>50200000</v>
      </c>
      <c r="N422" s="655">
        <v>0</v>
      </c>
      <c r="O422" s="655">
        <v>110500000</v>
      </c>
      <c r="P422" s="655">
        <v>524000</v>
      </c>
      <c r="Q422" s="655">
        <v>92450000</v>
      </c>
      <c r="R422" s="655">
        <v>283384064</v>
      </c>
      <c r="S422" s="655">
        <v>196</v>
      </c>
      <c r="T422" s="655">
        <v>45123455</v>
      </c>
      <c r="U422" s="655">
        <v>6800000</v>
      </c>
      <c r="V422" s="655">
        <v>0</v>
      </c>
      <c r="W422" s="655">
        <v>7810492.8011010671</v>
      </c>
      <c r="X422" s="655">
        <v>0</v>
      </c>
      <c r="Y422" s="655"/>
      <c r="Z422" s="655">
        <v>1936054983</v>
      </c>
      <c r="AA422" s="655">
        <v>32</v>
      </c>
      <c r="AB422" s="655">
        <v>0</v>
      </c>
      <c r="AC422" s="655">
        <v>0</v>
      </c>
      <c r="AD422" s="655">
        <v>0</v>
      </c>
      <c r="AE422" s="655">
        <v>0</v>
      </c>
      <c r="AF422" s="655">
        <v>1428283</v>
      </c>
      <c r="AG422" s="655">
        <v>1937483266</v>
      </c>
      <c r="AH422" s="655">
        <v>160752690</v>
      </c>
      <c r="AI422" s="655">
        <v>10275200</v>
      </c>
      <c r="AJ422" s="655">
        <v>898264</v>
      </c>
      <c r="AK422" s="655">
        <v>30500</v>
      </c>
      <c r="AL422" s="655">
        <v>0</v>
      </c>
      <c r="AM422" s="655">
        <v>1765526612</v>
      </c>
      <c r="AN422" s="654">
        <v>255</v>
      </c>
    </row>
    <row r="423" spans="3:40" ht="19.5" customHeight="1">
      <c r="C423" s="1610"/>
      <c r="D423" s="654" t="s">
        <v>220</v>
      </c>
      <c r="E423" s="655">
        <v>3149.8999999999996</v>
      </c>
      <c r="F423" s="655">
        <v>1328038092</v>
      </c>
      <c r="G423" s="655">
        <v>28</v>
      </c>
      <c r="H423" s="655">
        <v>10972042</v>
      </c>
      <c r="I423" s="655">
        <v>0</v>
      </c>
      <c r="J423" s="655">
        <v>0</v>
      </c>
      <c r="K423" s="655">
        <v>1339010134</v>
      </c>
      <c r="L423" s="655">
        <v>27338271</v>
      </c>
      <c r="M423" s="655">
        <v>16200000</v>
      </c>
      <c r="N423" s="655">
        <v>0</v>
      </c>
      <c r="O423" s="655">
        <v>31500000</v>
      </c>
      <c r="P423" s="655">
        <v>3258000</v>
      </c>
      <c r="Q423" s="655">
        <v>30800000</v>
      </c>
      <c r="R423" s="655">
        <v>27171656</v>
      </c>
      <c r="S423" s="655">
        <v>106</v>
      </c>
      <c r="T423" s="655">
        <v>41925698</v>
      </c>
      <c r="U423" s="655">
        <v>3300000</v>
      </c>
      <c r="V423" s="655">
        <v>1400000</v>
      </c>
      <c r="W423" s="655">
        <v>5727064.9329514652</v>
      </c>
      <c r="X423" s="655">
        <v>530000</v>
      </c>
      <c r="Y423" s="655"/>
      <c r="Z423" s="655">
        <v>1528160824</v>
      </c>
      <c r="AA423" s="655">
        <v>70</v>
      </c>
      <c r="AB423" s="655">
        <v>3</v>
      </c>
      <c r="AC423" s="655">
        <v>0</v>
      </c>
      <c r="AD423" s="655">
        <v>0</v>
      </c>
      <c r="AE423" s="655">
        <v>0</v>
      </c>
      <c r="AF423" s="655">
        <v>4230150</v>
      </c>
      <c r="AG423" s="655">
        <v>1532390974</v>
      </c>
      <c r="AH423" s="655">
        <v>162302280</v>
      </c>
      <c r="AI423" s="655">
        <v>5824000</v>
      </c>
      <c r="AJ423" s="655">
        <v>5072817</v>
      </c>
      <c r="AK423" s="655">
        <v>190000</v>
      </c>
      <c r="AL423" s="655">
        <v>380163</v>
      </c>
      <c r="AM423" s="655">
        <v>1358621714</v>
      </c>
      <c r="AN423" s="654">
        <v>146</v>
      </c>
    </row>
    <row r="424" spans="3:40" ht="19.5" customHeight="1">
      <c r="C424" s="1610"/>
      <c r="D424" s="654" t="s">
        <v>219</v>
      </c>
      <c r="E424" s="655">
        <v>11383.599999999999</v>
      </c>
      <c r="F424" s="655">
        <v>3176315730</v>
      </c>
      <c r="G424" s="655">
        <v>259</v>
      </c>
      <c r="H424" s="655">
        <v>67404711</v>
      </c>
      <c r="I424" s="655">
        <v>2410.5</v>
      </c>
      <c r="J424" s="655">
        <v>27403042</v>
      </c>
      <c r="K424" s="655">
        <v>3271123483</v>
      </c>
      <c r="L424" s="655">
        <v>24715578</v>
      </c>
      <c r="M424" s="655">
        <v>96800000</v>
      </c>
      <c r="N424" s="655">
        <v>0</v>
      </c>
      <c r="O424" s="655">
        <v>209500000</v>
      </c>
      <c r="P424" s="655">
        <v>3696000</v>
      </c>
      <c r="Q424" s="655">
        <v>172550000</v>
      </c>
      <c r="R424" s="655">
        <v>128533192</v>
      </c>
      <c r="S424" s="655">
        <v>329</v>
      </c>
      <c r="T424" s="655">
        <v>94602749</v>
      </c>
      <c r="U424" s="655">
        <v>13500000</v>
      </c>
      <c r="V424" s="655">
        <v>1360000</v>
      </c>
      <c r="W424" s="655">
        <v>12605437.534574399</v>
      </c>
      <c r="X424" s="655">
        <v>13170000</v>
      </c>
      <c r="Y424" s="655"/>
      <c r="Z424" s="655">
        <v>4042156431</v>
      </c>
      <c r="AA424" s="655">
        <v>808.5</v>
      </c>
      <c r="AB424" s="655">
        <v>0</v>
      </c>
      <c r="AC424" s="655">
        <v>0</v>
      </c>
      <c r="AD424" s="655">
        <v>0</v>
      </c>
      <c r="AE424" s="655">
        <v>0</v>
      </c>
      <c r="AF424" s="655">
        <v>62922180</v>
      </c>
      <c r="AG424" s="655">
        <v>4105078611</v>
      </c>
      <c r="AH424" s="655">
        <v>403224885</v>
      </c>
      <c r="AI424" s="655">
        <v>21590400</v>
      </c>
      <c r="AJ424" s="655">
        <v>2262113</v>
      </c>
      <c r="AK424" s="655">
        <v>216500</v>
      </c>
      <c r="AL424" s="655">
        <v>0</v>
      </c>
      <c r="AM424" s="655">
        <v>3677784713</v>
      </c>
      <c r="AN424" s="654">
        <v>536</v>
      </c>
    </row>
    <row r="425" spans="3:40" ht="19.5" customHeight="1">
      <c r="D425" s="272"/>
      <c r="E425" s="659">
        <f>SUM(E420:E424)</f>
        <v>31598.80000000001</v>
      </c>
      <c r="F425" s="659">
        <f t="shared" ref="F425:AN425" si="963">SUM(F420:F424)</f>
        <v>8547337777</v>
      </c>
      <c r="G425" s="659">
        <f t="shared" si="963"/>
        <v>523</v>
      </c>
      <c r="H425" s="659">
        <f t="shared" si="963"/>
        <v>132421192</v>
      </c>
      <c r="I425" s="659">
        <f t="shared" si="963"/>
        <v>4822</v>
      </c>
      <c r="J425" s="659">
        <f t="shared" si="963"/>
        <v>48014926</v>
      </c>
      <c r="K425" s="659">
        <f t="shared" si="963"/>
        <v>8727773895</v>
      </c>
      <c r="L425" s="659">
        <f t="shared" si="963"/>
        <v>55121349</v>
      </c>
      <c r="M425" s="659">
        <f t="shared" si="963"/>
        <v>267000000</v>
      </c>
      <c r="N425" s="659">
        <f t="shared" si="963"/>
        <v>0</v>
      </c>
      <c r="O425" s="659">
        <f t="shared" si="963"/>
        <v>570500000</v>
      </c>
      <c r="P425" s="659">
        <f t="shared" si="963"/>
        <v>8634000</v>
      </c>
      <c r="Q425" s="659">
        <f t="shared" si="963"/>
        <v>476200000</v>
      </c>
      <c r="R425" s="659">
        <f t="shared" si="963"/>
        <v>677933651</v>
      </c>
      <c r="S425" s="659">
        <f t="shared" si="963"/>
        <v>960</v>
      </c>
      <c r="T425" s="659">
        <f t="shared" si="963"/>
        <v>261036466</v>
      </c>
      <c r="U425" s="659">
        <f t="shared" si="963"/>
        <v>33400000</v>
      </c>
      <c r="V425" s="659">
        <f t="shared" si="963"/>
        <v>2760000</v>
      </c>
      <c r="W425" s="659">
        <f t="shared" si="963"/>
        <v>40162557.86178562</v>
      </c>
      <c r="X425" s="659">
        <f t="shared" si="963"/>
        <v>24800000</v>
      </c>
      <c r="Y425" s="659"/>
      <c r="Z425" s="659">
        <f t="shared" si="963"/>
        <v>11145321909</v>
      </c>
      <c r="AA425" s="659">
        <f t="shared" si="963"/>
        <v>1033.5</v>
      </c>
      <c r="AB425" s="659">
        <f t="shared" si="963"/>
        <v>3</v>
      </c>
      <c r="AC425" s="659">
        <f t="shared" si="963"/>
        <v>0</v>
      </c>
      <c r="AD425" s="659">
        <f t="shared" si="963"/>
        <v>0</v>
      </c>
      <c r="AE425" s="659">
        <f t="shared" si="963"/>
        <v>0</v>
      </c>
      <c r="AF425" s="659">
        <f t="shared" si="963"/>
        <v>75131941</v>
      </c>
      <c r="AG425" s="659">
        <f t="shared" si="963"/>
        <v>11220453850</v>
      </c>
      <c r="AH425" s="659">
        <f t="shared" si="963"/>
        <v>1071430185</v>
      </c>
      <c r="AI425" s="659">
        <f t="shared" si="963"/>
        <v>59571200</v>
      </c>
      <c r="AJ425" s="659">
        <f t="shared" si="963"/>
        <v>8374234</v>
      </c>
      <c r="AK425" s="659">
        <f t="shared" si="963"/>
        <v>502000</v>
      </c>
      <c r="AL425" s="659">
        <f t="shared" si="963"/>
        <v>580163</v>
      </c>
      <c r="AM425" s="659">
        <f t="shared" si="963"/>
        <v>10079996068</v>
      </c>
      <c r="AN425" s="659">
        <f t="shared" si="963"/>
        <v>1467</v>
      </c>
    </row>
    <row r="426" spans="3:40" ht="19.5" customHeight="1">
      <c r="D426" s="665"/>
      <c r="E426" s="665"/>
      <c r="F426" s="666"/>
      <c r="G426" s="667"/>
      <c r="H426" s="666"/>
      <c r="I426" s="667"/>
      <c r="J426" s="666"/>
      <c r="K426" s="666"/>
      <c r="L426" s="666"/>
      <c r="M426" s="666"/>
      <c r="N426" s="666"/>
      <c r="O426" s="666"/>
      <c r="P426" s="666"/>
      <c r="Q426" s="666"/>
      <c r="R426" s="666"/>
      <c r="S426" s="668"/>
      <c r="T426" s="666"/>
      <c r="U426" s="666"/>
      <c r="V426" s="666"/>
      <c r="W426" s="666"/>
      <c r="X426" s="669"/>
      <c r="Y426" s="669"/>
      <c r="Z426" s="669"/>
      <c r="AA426" s="670"/>
      <c r="AB426" s="670"/>
      <c r="AC426" s="670"/>
      <c r="AD426" s="670"/>
      <c r="AE426" s="670"/>
      <c r="AF426" s="671"/>
      <c r="AG426" s="672"/>
      <c r="AH426" s="671"/>
      <c r="AI426" s="673"/>
      <c r="AJ426" s="671"/>
      <c r="AK426" s="671"/>
      <c r="AL426" s="674"/>
      <c r="AM426" s="669"/>
      <c r="AN426" s="675"/>
    </row>
    <row r="427" spans="3:40" ht="21.75" customHeight="1">
      <c r="C427" s="1605" t="str">
        <f>C434&amp;" Vs "&amp;C448</f>
        <v>Oct Vs Sep</v>
      </c>
      <c r="D427" s="654" t="s">
        <v>216</v>
      </c>
      <c r="E427" s="657">
        <f>+E434/E448</f>
        <v>1.0153228621291446</v>
      </c>
      <c r="F427" s="657">
        <f>+F434/F448</f>
        <v>1.0231810863703428</v>
      </c>
      <c r="G427" s="657">
        <f t="shared" ref="G427:H427" si="964">+G434/G448</f>
        <v>5.8743169398907107E-2</v>
      </c>
      <c r="H427" s="657">
        <f t="shared" si="964"/>
        <v>5.8529321735231232E-2</v>
      </c>
      <c r="I427" s="657"/>
      <c r="J427" s="657"/>
      <c r="K427" s="657">
        <f t="shared" ref="K427:W427" si="965">+K434/K448</f>
        <v>0.88364586934362321</v>
      </c>
      <c r="L427" s="657">
        <f t="shared" si="965"/>
        <v>0.92191260649791062</v>
      </c>
      <c r="M427" s="657">
        <f t="shared" si="965"/>
        <v>0.94962216624685136</v>
      </c>
      <c r="N427" s="657" t="e">
        <f t="shared" si="965"/>
        <v>#DIV/0!</v>
      </c>
      <c r="O427" s="657">
        <f t="shared" si="965"/>
        <v>0.92282958199356913</v>
      </c>
      <c r="P427" s="657">
        <f t="shared" si="965"/>
        <v>1</v>
      </c>
      <c r="Q427" s="657">
        <f t="shared" si="965"/>
        <v>0.94329896907216493</v>
      </c>
      <c r="R427" s="657">
        <f t="shared" si="965"/>
        <v>0.82059675400065435</v>
      </c>
      <c r="S427" s="657">
        <f t="shared" si="965"/>
        <v>1.088235294117647</v>
      </c>
      <c r="T427" s="657">
        <f t="shared" si="965"/>
        <v>1.1713459138417375</v>
      </c>
      <c r="U427" s="657">
        <f t="shared" si="965"/>
        <v>0.90540540540540537</v>
      </c>
      <c r="V427" s="657">
        <f t="shared" si="965"/>
        <v>0</v>
      </c>
      <c r="W427" s="657">
        <f t="shared" si="965"/>
        <v>0.95782887030209984</v>
      </c>
      <c r="X427" s="657"/>
      <c r="Y427" s="657"/>
      <c r="Z427" s="657">
        <f t="shared" ref="Z427:AA427" si="966">+Z434/Z448</f>
        <v>0.88760744409746195</v>
      </c>
      <c r="AA427" s="657">
        <f t="shared" si="966"/>
        <v>4.3939393939393936</v>
      </c>
      <c r="AB427" s="657"/>
      <c r="AC427" s="657"/>
      <c r="AD427" s="657" t="e">
        <f t="shared" ref="AD427:AL427" si="967">+AD434/AD448</f>
        <v>#DIV/0!</v>
      </c>
      <c r="AE427" s="657" t="e">
        <f t="shared" si="967"/>
        <v>#DIV/0!</v>
      </c>
      <c r="AF427" s="657">
        <f t="shared" si="967"/>
        <v>5.1790164021057876</v>
      </c>
      <c r="AG427" s="657">
        <f t="shared" si="967"/>
        <v>0.90257371822480259</v>
      </c>
      <c r="AH427" s="657">
        <f t="shared" si="967"/>
        <v>0.95986946706028631</v>
      </c>
      <c r="AI427" s="657">
        <f t="shared" si="967"/>
        <v>0.97932816537467704</v>
      </c>
      <c r="AJ427" s="657">
        <f t="shared" si="967"/>
        <v>1.0912683161831971</v>
      </c>
      <c r="AK427" s="657">
        <f t="shared" si="967"/>
        <v>1.9897435897435898</v>
      </c>
      <c r="AL427" s="657">
        <f t="shared" si="967"/>
        <v>0</v>
      </c>
      <c r="AM427" s="657">
        <f t="shared" ref="AM427:AN431" si="968">+AM434/AM448</f>
        <v>0.89678775361790386</v>
      </c>
      <c r="AN427" s="503">
        <f t="shared" si="968"/>
        <v>0.95771144278606968</v>
      </c>
    </row>
    <row r="428" spans="3:40" ht="21.75" customHeight="1">
      <c r="C428" s="1605"/>
      <c r="D428" s="654" t="s">
        <v>217</v>
      </c>
      <c r="E428" s="657">
        <f t="shared" ref="E428:AK428" si="969">+E435/E449</f>
        <v>1.0856228719032524</v>
      </c>
      <c r="F428" s="657">
        <f t="shared" si="969"/>
        <v>1.0808274941076343</v>
      </c>
      <c r="G428" s="657">
        <f t="shared" si="969"/>
        <v>0.14989733059548255</v>
      </c>
      <c r="H428" s="657">
        <f t="shared" si="969"/>
        <v>0.15048648775784659</v>
      </c>
      <c r="I428" s="657">
        <f t="shared" ref="I428:J428" si="970">+I435/I449</f>
        <v>0.92571086501047595</v>
      </c>
      <c r="J428" s="657">
        <f t="shared" si="970"/>
        <v>0.90631736012114417</v>
      </c>
      <c r="K428" s="657">
        <f t="shared" si="969"/>
        <v>0.96678610603107951</v>
      </c>
      <c r="L428" s="657">
        <f t="shared" si="969"/>
        <v>0.81549743453950274</v>
      </c>
      <c r="M428" s="657">
        <f t="shared" si="969"/>
        <v>0.98159509202453987</v>
      </c>
      <c r="N428" s="657" t="e">
        <f t="shared" si="969"/>
        <v>#DIV/0!</v>
      </c>
      <c r="O428" s="657">
        <f t="shared" si="969"/>
        <v>0.95081967213114749</v>
      </c>
      <c r="P428" s="657">
        <f t="shared" si="969"/>
        <v>1</v>
      </c>
      <c r="Q428" s="657">
        <f t="shared" si="969"/>
        <v>0.93956043956043955</v>
      </c>
      <c r="R428" s="657">
        <f t="shared" si="969"/>
        <v>0.84480143288595877</v>
      </c>
      <c r="S428" s="657">
        <f t="shared" si="969"/>
        <v>1.8775510204081634</v>
      </c>
      <c r="T428" s="657">
        <f t="shared" si="969"/>
        <v>1.7973083502085077</v>
      </c>
      <c r="U428" s="657">
        <f t="shared" si="969"/>
        <v>1</v>
      </c>
      <c r="V428" s="657"/>
      <c r="W428" s="657">
        <f t="shared" si="969"/>
        <v>0.99185461732616731</v>
      </c>
      <c r="X428" s="657">
        <f t="shared" si="969"/>
        <v>0.9296875</v>
      </c>
      <c r="Y428" s="657"/>
      <c r="Z428" s="657">
        <f t="shared" si="969"/>
        <v>0.96812751263405017</v>
      </c>
      <c r="AA428" s="657">
        <f t="shared" si="969"/>
        <v>0.33683822173030809</v>
      </c>
      <c r="AB428" s="657">
        <f t="shared" si="969"/>
        <v>0.28380634390651083</v>
      </c>
      <c r="AC428" s="657">
        <f t="shared" si="969"/>
        <v>0.34228187919463088</v>
      </c>
      <c r="AD428" s="657" t="e">
        <f t="shared" si="969"/>
        <v>#DIV/0!</v>
      </c>
      <c r="AE428" s="657" t="e">
        <f t="shared" si="969"/>
        <v>#DIV/0!</v>
      </c>
      <c r="AF428" s="657">
        <f t="shared" si="969"/>
        <v>0.3332522821897741</v>
      </c>
      <c r="AG428" s="657">
        <f t="shared" si="969"/>
        <v>0.89364553490976295</v>
      </c>
      <c r="AH428" s="657">
        <f t="shared" si="969"/>
        <v>0.98623348819124612</v>
      </c>
      <c r="AI428" s="657">
        <f t="shared" si="969"/>
        <v>1.0060606060606061</v>
      </c>
      <c r="AJ428" s="657">
        <f t="shared" si="969"/>
        <v>7.4876187813237419E-2</v>
      </c>
      <c r="AK428" s="657">
        <f t="shared" si="969"/>
        <v>0</v>
      </c>
      <c r="AL428" s="657">
        <f t="shared" ref="AL428" si="971">+AL435/AL449</f>
        <v>0</v>
      </c>
      <c r="AM428" s="657">
        <f t="shared" ref="AM428" si="972">+AM435/AM449</f>
        <v>0.88542744196135248</v>
      </c>
      <c r="AN428" s="503">
        <f t="shared" si="968"/>
        <v>0.98224852071005919</v>
      </c>
    </row>
    <row r="429" spans="3:40" ht="21.75" customHeight="1">
      <c r="C429" s="1605"/>
      <c r="D429" s="654" t="s">
        <v>218</v>
      </c>
      <c r="E429" s="657">
        <f t="shared" ref="E429:H429" si="973">+E436/E450</f>
        <v>1.0262381214932046</v>
      </c>
      <c r="F429" s="657">
        <f t="shared" si="973"/>
        <v>1.0356770932640458</v>
      </c>
      <c r="G429" s="657">
        <f t="shared" si="973"/>
        <v>0.15915915915915915</v>
      </c>
      <c r="H429" s="657">
        <f t="shared" si="973"/>
        <v>0.15526005377859292</v>
      </c>
      <c r="I429" s="657"/>
      <c r="J429" s="657"/>
      <c r="K429" s="657">
        <f t="shared" ref="K429:W429" si="974">+K436/K450</f>
        <v>0.94983157312596855</v>
      </c>
      <c r="L429" s="657">
        <f t="shared" si="974"/>
        <v>0.89411802405693497</v>
      </c>
      <c r="M429" s="657">
        <f t="shared" si="974"/>
        <v>0.95094339622641511</v>
      </c>
      <c r="N429" s="657" t="e">
        <f t="shared" si="974"/>
        <v>#DIV/0!</v>
      </c>
      <c r="O429" s="657">
        <f t="shared" si="974"/>
        <v>0.89035087719298245</v>
      </c>
      <c r="P429" s="657">
        <f t="shared" si="974"/>
        <v>1</v>
      </c>
      <c r="Q429" s="657">
        <f t="shared" si="974"/>
        <v>0.95178764897074752</v>
      </c>
      <c r="R429" s="657">
        <f t="shared" si="974"/>
        <v>1.0455987181629176</v>
      </c>
      <c r="S429" s="657">
        <f t="shared" si="974"/>
        <v>0.95180722891566261</v>
      </c>
      <c r="T429" s="657">
        <f t="shared" si="974"/>
        <v>0.99832650585539573</v>
      </c>
      <c r="U429" s="657">
        <f t="shared" si="974"/>
        <v>1.0923076923076922</v>
      </c>
      <c r="V429" s="657"/>
      <c r="W429" s="657">
        <f t="shared" si="974"/>
        <v>0.9732248524778091</v>
      </c>
      <c r="X429" s="657"/>
      <c r="Y429" s="657"/>
      <c r="Z429" s="657">
        <f t="shared" ref="Z429:AB429" si="975">+Z436/Z450</f>
        <v>0.9586949160819902</v>
      </c>
      <c r="AA429" s="657">
        <f t="shared" si="975"/>
        <v>0.70204262877442269</v>
      </c>
      <c r="AB429" s="657">
        <f t="shared" si="975"/>
        <v>0</v>
      </c>
      <c r="AC429" s="657"/>
      <c r="AD429" s="657" t="e">
        <f t="shared" ref="AD429:AL429" si="976">+AD436/AD450</f>
        <v>#DIV/0!</v>
      </c>
      <c r="AE429" s="657" t="e">
        <f t="shared" si="976"/>
        <v>#DIV/0!</v>
      </c>
      <c r="AF429" s="657">
        <f t="shared" si="976"/>
        <v>0.50066930724883496</v>
      </c>
      <c r="AG429" s="657">
        <f t="shared" si="976"/>
        <v>0.94452369546869386</v>
      </c>
      <c r="AH429" s="657">
        <f t="shared" si="976"/>
        <v>0.96536479057562974</v>
      </c>
      <c r="AI429" s="657">
        <f t="shared" si="976"/>
        <v>0.9580152671755725</v>
      </c>
      <c r="AJ429" s="657">
        <f t="shared" si="976"/>
        <v>0.76274608441542846</v>
      </c>
      <c r="AK429" s="657">
        <f t="shared" si="976"/>
        <v>3.5968586387434556</v>
      </c>
      <c r="AL429" s="657">
        <f t="shared" si="976"/>
        <v>0</v>
      </c>
      <c r="AM429" s="657">
        <f t="shared" ref="AM429" si="977">+AM436/AM450</f>
        <v>0.942925422316094</v>
      </c>
      <c r="AN429" s="503">
        <f t="shared" si="968"/>
        <v>0.95238095238095233</v>
      </c>
    </row>
    <row r="430" spans="3:40" ht="21.75" customHeight="1">
      <c r="C430" s="1605"/>
      <c r="D430" s="654" t="s">
        <v>220</v>
      </c>
      <c r="E430" s="657">
        <f t="shared" ref="E430:H430" si="978">+E437/E451</f>
        <v>1.0471613635006867</v>
      </c>
      <c r="F430" s="657">
        <f t="shared" si="978"/>
        <v>1.0499476880923539</v>
      </c>
      <c r="G430" s="657">
        <f t="shared" si="978"/>
        <v>0.14965986394557823</v>
      </c>
      <c r="H430" s="657">
        <f t="shared" si="978"/>
        <v>0.13004647484529006</v>
      </c>
      <c r="I430" s="657"/>
      <c r="J430" s="657"/>
      <c r="K430" s="657">
        <f t="shared" ref="K430:AB430" si="979">+K437/K451</f>
        <v>0.9445425629988754</v>
      </c>
      <c r="L430" s="657">
        <f t="shared" si="979"/>
        <v>0.93784731286539735</v>
      </c>
      <c r="M430" s="657">
        <f t="shared" si="979"/>
        <v>0.96470588235294119</v>
      </c>
      <c r="N430" s="657" t="e">
        <f t="shared" si="979"/>
        <v>#DIV/0!</v>
      </c>
      <c r="O430" s="657">
        <f t="shared" si="979"/>
        <v>0.91304347826086951</v>
      </c>
      <c r="P430" s="657">
        <f t="shared" si="979"/>
        <v>0.9662921348314607</v>
      </c>
      <c r="Q430" s="657">
        <f t="shared" si="979"/>
        <v>0.95409836065573772</v>
      </c>
      <c r="R430" s="657">
        <f t="shared" si="979"/>
        <v>1.0411863221333206</v>
      </c>
      <c r="S430" s="657">
        <f t="shared" si="979"/>
        <v>1.103448275862069</v>
      </c>
      <c r="T430" s="657">
        <f t="shared" si="979"/>
        <v>1.3734578483527484</v>
      </c>
      <c r="U430" s="657">
        <f t="shared" si="979"/>
        <v>0.97058823529411764</v>
      </c>
      <c r="V430" s="657">
        <f t="shared" si="979"/>
        <v>0.81894952862228598</v>
      </c>
      <c r="W430" s="657">
        <f t="shared" si="979"/>
        <v>0.94324963922824678</v>
      </c>
      <c r="X430" s="657">
        <f t="shared" si="979"/>
        <v>0.68140442132639789</v>
      </c>
      <c r="Y430" s="657"/>
      <c r="Z430" s="657">
        <f t="shared" si="979"/>
        <v>0.94985289103305248</v>
      </c>
      <c r="AA430" s="657">
        <f t="shared" si="979"/>
        <v>1.1606786427145708</v>
      </c>
      <c r="AB430" s="657">
        <f t="shared" si="979"/>
        <v>3.5</v>
      </c>
      <c r="AC430" s="657"/>
      <c r="AD430" s="657" t="e">
        <f t="shared" ref="AD430:AM430" si="980">+AD437/AD451</f>
        <v>#DIV/0!</v>
      </c>
      <c r="AE430" s="657" t="e">
        <f t="shared" si="980"/>
        <v>#DIV/0!</v>
      </c>
      <c r="AF430" s="657">
        <f t="shared" si="980"/>
        <v>1.4094960803669803</v>
      </c>
      <c r="AG430" s="657">
        <f t="shared" si="980"/>
        <v>0.95870319076342148</v>
      </c>
      <c r="AH430" s="657">
        <f t="shared" si="980"/>
        <v>0.97019541084873806</v>
      </c>
      <c r="AI430" s="657">
        <f t="shared" si="980"/>
        <v>0.97278911564625847</v>
      </c>
      <c r="AJ430" s="657">
        <f t="shared" si="980"/>
        <v>0.79129277478800097</v>
      </c>
      <c r="AK430" s="657">
        <f t="shared" si="980"/>
        <v>0.34257285003553661</v>
      </c>
      <c r="AL430" s="657">
        <f t="shared" si="980"/>
        <v>0</v>
      </c>
      <c r="AM430" s="657">
        <f t="shared" si="980"/>
        <v>0.95866893453160484</v>
      </c>
      <c r="AN430" s="503">
        <f t="shared" si="968"/>
        <v>0.97402597402597402</v>
      </c>
    </row>
    <row r="431" spans="3:40" s="653" customFormat="1" ht="21.75" customHeight="1">
      <c r="C431" s="1605"/>
      <c r="D431" s="656" t="s">
        <v>219</v>
      </c>
      <c r="E431" s="657">
        <f t="shared" ref="E431:AM431" si="981">+E438/E452</f>
        <v>1.0165067357754898</v>
      </c>
      <c r="F431" s="657">
        <f t="shared" si="981"/>
        <v>1.030349895626917</v>
      </c>
      <c r="G431" s="657">
        <f t="shared" si="981"/>
        <v>0.22604588394062078</v>
      </c>
      <c r="H431" s="657">
        <f t="shared" si="981"/>
        <v>0.22066803906864574</v>
      </c>
      <c r="I431" s="657">
        <f t="shared" si="981"/>
        <v>1.1842451665981077</v>
      </c>
      <c r="J431" s="657">
        <f t="shared" si="981"/>
        <v>1.2699447426027484</v>
      </c>
      <c r="K431" s="657">
        <f t="shared" si="981"/>
        <v>0.94828235322185483</v>
      </c>
      <c r="L431" s="657">
        <f t="shared" si="981"/>
        <v>0.97981249319194241</v>
      </c>
      <c r="M431" s="657">
        <f t="shared" si="981"/>
        <v>0.96730769230769231</v>
      </c>
      <c r="N431" s="657" t="e">
        <f t="shared" si="981"/>
        <v>#DIV/0!</v>
      </c>
      <c r="O431" s="657">
        <f t="shared" si="981"/>
        <v>0.89095127610208813</v>
      </c>
      <c r="P431" s="657">
        <f t="shared" si="981"/>
        <v>0.9580093312597201</v>
      </c>
      <c r="Q431" s="657">
        <f t="shared" si="981"/>
        <v>0.94718812446474454</v>
      </c>
      <c r="R431" s="657">
        <f t="shared" si="981"/>
        <v>0.8243302761456679</v>
      </c>
      <c r="S431" s="657">
        <f t="shared" si="981"/>
        <v>0.94366197183098588</v>
      </c>
      <c r="T431" s="657">
        <f t="shared" si="981"/>
        <v>0.96312145578106634</v>
      </c>
      <c r="U431" s="657">
        <f t="shared" si="981"/>
        <v>1.036764705882353</v>
      </c>
      <c r="V431" s="657">
        <f t="shared" si="981"/>
        <v>6.7934609738194274</v>
      </c>
      <c r="W431" s="657">
        <f t="shared" si="981"/>
        <v>0.96838434985498034</v>
      </c>
      <c r="X431" s="657">
        <f t="shared" si="981"/>
        <v>1.0981179953478537</v>
      </c>
      <c r="Y431" s="657"/>
      <c r="Z431" s="657">
        <f t="shared" si="981"/>
        <v>0.9438206163451589</v>
      </c>
      <c r="AA431" s="657">
        <f t="shared" si="981"/>
        <v>0.52802160702228229</v>
      </c>
      <c r="AB431" s="657">
        <f t="shared" si="981"/>
        <v>0.49652777777777779</v>
      </c>
      <c r="AC431" s="657"/>
      <c r="AD431" s="657" t="e">
        <f t="shared" si="981"/>
        <v>#DIV/0!</v>
      </c>
      <c r="AE431" s="657" t="e">
        <f t="shared" si="981"/>
        <v>#DIV/0!</v>
      </c>
      <c r="AF431" s="657">
        <f t="shared" si="981"/>
        <v>0.60393347413256526</v>
      </c>
      <c r="AG431" s="657">
        <f t="shared" si="981"/>
        <v>0.93069857653324783</v>
      </c>
      <c r="AH431" s="657">
        <f t="shared" si="981"/>
        <v>0.98658477542584955</v>
      </c>
      <c r="AI431" s="657">
        <f t="shared" si="981"/>
        <v>0.97426470588235292</v>
      </c>
      <c r="AJ431" s="657">
        <f t="shared" si="981"/>
        <v>0.80943710100692401</v>
      </c>
      <c r="AK431" s="657">
        <f t="shared" si="981"/>
        <v>1.6577266922094509</v>
      </c>
      <c r="AL431" s="657">
        <f t="shared" si="981"/>
        <v>0.37670352396729084</v>
      </c>
      <c r="AM431" s="657">
        <f t="shared" si="981"/>
        <v>0.92547037278954247</v>
      </c>
      <c r="AN431" s="503">
        <f t="shared" si="968"/>
        <v>0.96491228070175439</v>
      </c>
    </row>
    <row r="432" spans="3:40" s="492" customFormat="1" ht="21.75" customHeight="1">
      <c r="D432" s="676" t="s">
        <v>79</v>
      </c>
      <c r="E432" s="677">
        <f t="shared" ref="E432:AM432" si="982">+E439/E453</f>
        <v>1.0277962866512065</v>
      </c>
      <c r="F432" s="677">
        <f t="shared" si="982"/>
        <v>1.0374261778523433</v>
      </c>
      <c r="G432" s="677">
        <f t="shared" si="982"/>
        <v>0.14669603524229075</v>
      </c>
      <c r="H432" s="677">
        <f t="shared" si="982"/>
        <v>0.14618813973061409</v>
      </c>
      <c r="I432" s="677">
        <f t="shared" si="982"/>
        <v>1.0789467268072657</v>
      </c>
      <c r="J432" s="677">
        <f t="shared" si="982"/>
        <v>1.1376266306640084</v>
      </c>
      <c r="K432" s="677">
        <f t="shared" si="982"/>
        <v>0.93539290475666248</v>
      </c>
      <c r="L432" s="677">
        <f t="shared" si="982"/>
        <v>0.95186782138918591</v>
      </c>
      <c r="M432" s="677">
        <f t="shared" si="982"/>
        <v>0.96083916083916088</v>
      </c>
      <c r="N432" s="677" t="e">
        <f t="shared" si="982"/>
        <v>#DIV/0!</v>
      </c>
      <c r="O432" s="677">
        <f t="shared" si="982"/>
        <v>0.90697674418604646</v>
      </c>
      <c r="P432" s="677">
        <f t="shared" si="982"/>
        <v>0.9647611589663273</v>
      </c>
      <c r="Q432" s="677">
        <f t="shared" si="982"/>
        <v>0.94655472509470662</v>
      </c>
      <c r="R432" s="677">
        <f t="shared" si="982"/>
        <v>0.90376959398367596</v>
      </c>
      <c r="S432" s="677">
        <f>+S439/S453</f>
        <v>1.0496000000000001</v>
      </c>
      <c r="T432" s="677">
        <f t="shared" si="982"/>
        <v>1.1094255820425563</v>
      </c>
      <c r="U432" s="677">
        <f t="shared" si="982"/>
        <v>1.0088757396449703</v>
      </c>
      <c r="V432" s="677">
        <f t="shared" si="982"/>
        <v>2.4345217151520187</v>
      </c>
      <c r="W432" s="677">
        <f t="shared" si="982"/>
        <v>0.96419456925564695</v>
      </c>
      <c r="X432" s="677">
        <f t="shared" si="982"/>
        <v>1.0154667806024353</v>
      </c>
      <c r="Y432" s="677"/>
      <c r="Z432" s="677">
        <f t="shared" si="982"/>
        <v>0.93663295219569731</v>
      </c>
      <c r="AA432" s="677">
        <f t="shared" si="982"/>
        <v>0.65410096727176359</v>
      </c>
      <c r="AB432" s="677">
        <f t="shared" si="982"/>
        <v>0.42249047013977126</v>
      </c>
      <c r="AC432" s="677">
        <f t="shared" si="982"/>
        <v>0.34899328859060402</v>
      </c>
      <c r="AD432" s="677" t="e">
        <f t="shared" si="982"/>
        <v>#DIV/0!</v>
      </c>
      <c r="AE432" s="677" t="e">
        <f t="shared" si="982"/>
        <v>#DIV/0!</v>
      </c>
      <c r="AF432" s="677">
        <f t="shared" si="982"/>
        <v>0.65103175231948651</v>
      </c>
      <c r="AG432" s="677">
        <f t="shared" si="982"/>
        <v>0.92651059493890531</v>
      </c>
      <c r="AH432" s="677">
        <f t="shared" si="982"/>
        <v>0.97496535587558608</v>
      </c>
      <c r="AI432" s="677">
        <f t="shared" si="982"/>
        <v>0.97607973421926908</v>
      </c>
      <c r="AJ432" s="677">
        <f t="shared" si="982"/>
        <v>0.78793538149587261</v>
      </c>
      <c r="AK432" s="677">
        <f t="shared" si="982"/>
        <v>1.1724343675417661</v>
      </c>
      <c r="AL432" s="677">
        <f t="shared" si="982"/>
        <v>0.1437292198988793</v>
      </c>
      <c r="AM432" s="677">
        <f t="shared" si="982"/>
        <v>0.92207260101030564</v>
      </c>
      <c r="AN432" s="677">
        <f>+AN439/AN453</f>
        <v>0.96364795918367352</v>
      </c>
    </row>
    <row r="433" spans="3:40" ht="21.75" customHeight="1"/>
    <row r="434" spans="3:40" ht="19.5" customHeight="1">
      <c r="C434" s="1610" t="s">
        <v>72</v>
      </c>
      <c r="D434" s="654" t="s">
        <v>216</v>
      </c>
      <c r="E434" s="655">
        <v>8726.7000000000007</v>
      </c>
      <c r="F434" s="655">
        <v>2016079871</v>
      </c>
      <c r="G434" s="655">
        <v>86</v>
      </c>
      <c r="H434" s="655">
        <v>19502813</v>
      </c>
      <c r="I434" s="655">
        <v>0</v>
      </c>
      <c r="J434" s="655">
        <v>0</v>
      </c>
      <c r="K434" s="655">
        <v>2035582684</v>
      </c>
      <c r="L434" s="655">
        <v>749231</v>
      </c>
      <c r="M434" s="655">
        <v>75400000</v>
      </c>
      <c r="N434" s="655">
        <v>0</v>
      </c>
      <c r="O434" s="655">
        <v>143500000</v>
      </c>
      <c r="P434" s="655">
        <v>200000</v>
      </c>
      <c r="Q434" s="655">
        <v>128100000</v>
      </c>
      <c r="R434" s="655">
        <v>172001867</v>
      </c>
      <c r="S434" s="655">
        <v>74</v>
      </c>
      <c r="T434" s="655">
        <v>17801690</v>
      </c>
      <c r="U434" s="655">
        <v>6700000</v>
      </c>
      <c r="V434" s="655">
        <v>0</v>
      </c>
      <c r="W434" s="655">
        <v>11619944.728676841</v>
      </c>
      <c r="X434" s="655">
        <v>0</v>
      </c>
      <c r="Y434" s="655"/>
      <c r="Z434" s="655">
        <v>2591655416</v>
      </c>
      <c r="AA434" s="655">
        <v>1087.5</v>
      </c>
      <c r="AB434" s="655">
        <v>64</v>
      </c>
      <c r="AC434" s="655">
        <v>2</v>
      </c>
      <c r="AD434" s="655">
        <v>0</v>
      </c>
      <c r="AE434" s="655">
        <v>0</v>
      </c>
      <c r="AF434" s="655">
        <v>52921805</v>
      </c>
      <c r="AG434" s="655">
        <v>2644577221</v>
      </c>
      <c r="AH434" s="655">
        <v>240001230</v>
      </c>
      <c r="AI434" s="655">
        <v>15766400</v>
      </c>
      <c r="AJ434" s="655">
        <v>201602</v>
      </c>
      <c r="AK434" s="655">
        <v>388000</v>
      </c>
      <c r="AL434" s="655">
        <v>0</v>
      </c>
      <c r="AM434" s="655">
        <v>2388219989</v>
      </c>
      <c r="AN434" s="654">
        <v>385</v>
      </c>
    </row>
    <row r="435" spans="3:40" ht="19.5" customHeight="1">
      <c r="C435" s="1610"/>
      <c r="D435" s="654" t="s">
        <v>217</v>
      </c>
      <c r="E435" s="655">
        <v>3698.4999999999995</v>
      </c>
      <c r="F435" s="655">
        <v>943741663</v>
      </c>
      <c r="G435" s="655">
        <v>73</v>
      </c>
      <c r="H435" s="655">
        <v>18196455</v>
      </c>
      <c r="I435" s="655">
        <v>1546.4</v>
      </c>
      <c r="J435" s="655">
        <v>13071344</v>
      </c>
      <c r="K435" s="655">
        <v>975009462</v>
      </c>
      <c r="L435" s="655">
        <v>1699999</v>
      </c>
      <c r="M435" s="655">
        <v>32000000</v>
      </c>
      <c r="N435" s="655">
        <v>0</v>
      </c>
      <c r="O435" s="655">
        <v>58000000</v>
      </c>
      <c r="P435" s="655">
        <v>200000</v>
      </c>
      <c r="Q435" s="655">
        <v>51300000</v>
      </c>
      <c r="R435" s="655">
        <v>59012750</v>
      </c>
      <c r="S435" s="655">
        <v>92</v>
      </c>
      <c r="T435" s="655">
        <v>23912386</v>
      </c>
      <c r="U435" s="655">
        <v>2900000</v>
      </c>
      <c r="V435" s="655">
        <v>1561615</v>
      </c>
      <c r="W435" s="655">
        <v>2726625.0140379197</v>
      </c>
      <c r="X435" s="655">
        <v>7140000</v>
      </c>
      <c r="Y435" s="655"/>
      <c r="Z435" s="655">
        <v>1215462833</v>
      </c>
      <c r="AA435" s="655">
        <v>913</v>
      </c>
      <c r="AB435" s="655">
        <v>85</v>
      </c>
      <c r="AC435" s="655">
        <v>102</v>
      </c>
      <c r="AD435" s="655">
        <v>0</v>
      </c>
      <c r="AE435" s="655">
        <v>0</v>
      </c>
      <c r="AF435" s="655">
        <v>55608420</v>
      </c>
      <c r="AG435" s="655">
        <v>1271071253</v>
      </c>
      <c r="AH435" s="655">
        <v>113223075</v>
      </c>
      <c r="AI435" s="655">
        <v>6905600</v>
      </c>
      <c r="AJ435" s="655">
        <v>17674</v>
      </c>
      <c r="AK435" s="655">
        <v>0</v>
      </c>
      <c r="AL435" s="655">
        <v>0</v>
      </c>
      <c r="AM435" s="655">
        <v>1150924904</v>
      </c>
      <c r="AN435" s="654">
        <v>166</v>
      </c>
    </row>
    <row r="436" spans="3:40" ht="19.5" customHeight="1">
      <c r="C436" s="1610"/>
      <c r="D436" s="654" t="s">
        <v>218</v>
      </c>
      <c r="E436" s="655">
        <v>6328.399999999996</v>
      </c>
      <c r="F436" s="655">
        <v>1461096400</v>
      </c>
      <c r="G436" s="655">
        <v>106</v>
      </c>
      <c r="H436" s="655">
        <v>23664584</v>
      </c>
      <c r="I436" s="655">
        <v>0</v>
      </c>
      <c r="J436" s="655">
        <v>0</v>
      </c>
      <c r="K436" s="655">
        <v>1484760984</v>
      </c>
      <c r="L436" s="655">
        <v>613846</v>
      </c>
      <c r="M436" s="655">
        <v>50400000</v>
      </c>
      <c r="N436" s="655">
        <v>0</v>
      </c>
      <c r="O436" s="655">
        <v>101500000</v>
      </c>
      <c r="P436" s="655">
        <v>200000</v>
      </c>
      <c r="Q436" s="655">
        <v>87850000</v>
      </c>
      <c r="R436" s="655">
        <v>244077347</v>
      </c>
      <c r="S436" s="655">
        <v>158</v>
      </c>
      <c r="T436" s="655">
        <v>36747015</v>
      </c>
      <c r="U436" s="655">
        <v>7100000</v>
      </c>
      <c r="V436" s="655">
        <v>0</v>
      </c>
      <c r="W436" s="655">
        <v>7850653.8701170469</v>
      </c>
      <c r="X436" s="655">
        <v>0</v>
      </c>
      <c r="Y436" s="655"/>
      <c r="Z436" s="655">
        <v>2021099851</v>
      </c>
      <c r="AA436" s="655">
        <v>790.5</v>
      </c>
      <c r="AB436" s="655">
        <v>0</v>
      </c>
      <c r="AC436" s="655">
        <v>0</v>
      </c>
      <c r="AD436" s="655">
        <v>0</v>
      </c>
      <c r="AE436" s="655">
        <v>0</v>
      </c>
      <c r="AF436" s="655">
        <v>33699624</v>
      </c>
      <c r="AG436" s="655">
        <v>2054799475</v>
      </c>
      <c r="AH436" s="655">
        <v>161426580</v>
      </c>
      <c r="AI436" s="655">
        <v>10441600</v>
      </c>
      <c r="AJ436" s="655">
        <v>1238766</v>
      </c>
      <c r="AK436" s="655">
        <v>687000</v>
      </c>
      <c r="AL436" s="655">
        <v>0</v>
      </c>
      <c r="AM436" s="655">
        <v>1881005529</v>
      </c>
      <c r="AN436" s="654">
        <v>260</v>
      </c>
    </row>
    <row r="437" spans="3:40" ht="19.5" customHeight="1">
      <c r="C437" s="1610"/>
      <c r="D437" s="654" t="s">
        <v>220</v>
      </c>
      <c r="E437" s="655">
        <v>3508.2000000000021</v>
      </c>
      <c r="F437" s="655">
        <v>1457792478</v>
      </c>
      <c r="G437" s="655">
        <v>66</v>
      </c>
      <c r="H437" s="655">
        <v>23366806</v>
      </c>
      <c r="I437" s="655">
        <v>0</v>
      </c>
      <c r="J437" s="655">
        <v>0</v>
      </c>
      <c r="K437" s="655">
        <v>1481159284</v>
      </c>
      <c r="L437" s="655">
        <v>30123651</v>
      </c>
      <c r="M437" s="655">
        <v>16400000</v>
      </c>
      <c r="N437" s="655">
        <v>0</v>
      </c>
      <c r="O437" s="655">
        <v>31500000</v>
      </c>
      <c r="P437" s="655">
        <v>3096000</v>
      </c>
      <c r="Q437" s="655">
        <v>29100000</v>
      </c>
      <c r="R437" s="655">
        <v>16802466</v>
      </c>
      <c r="S437" s="655">
        <v>64</v>
      </c>
      <c r="T437" s="655">
        <v>28741700</v>
      </c>
      <c r="U437" s="655">
        <v>3300000</v>
      </c>
      <c r="V437" s="655">
        <v>2550000</v>
      </c>
      <c r="W437" s="655">
        <v>5769735.5846505379</v>
      </c>
      <c r="X437" s="655">
        <v>1048000</v>
      </c>
      <c r="Y437" s="655"/>
      <c r="Z437" s="655">
        <v>1649590837</v>
      </c>
      <c r="AA437" s="655">
        <v>581.5</v>
      </c>
      <c r="AB437" s="655">
        <v>112</v>
      </c>
      <c r="AC437" s="655">
        <v>0</v>
      </c>
      <c r="AD437" s="655">
        <v>0</v>
      </c>
      <c r="AE437" s="655">
        <v>0</v>
      </c>
      <c r="AF437" s="655">
        <v>48057888</v>
      </c>
      <c r="AG437" s="655">
        <v>1697648725</v>
      </c>
      <c r="AH437" s="655">
        <v>162712200</v>
      </c>
      <c r="AI437" s="655">
        <v>5948800</v>
      </c>
      <c r="AJ437" s="655">
        <v>6343901</v>
      </c>
      <c r="AK437" s="655">
        <v>241000</v>
      </c>
      <c r="AL437" s="655">
        <v>0</v>
      </c>
      <c r="AM437" s="655">
        <v>1522402824</v>
      </c>
      <c r="AN437" s="654">
        <v>150</v>
      </c>
    </row>
    <row r="438" spans="3:40" ht="19.5" customHeight="1">
      <c r="C438" s="1610"/>
      <c r="D438" s="654" t="s">
        <v>219</v>
      </c>
      <c r="E438" s="655">
        <v>13061.399999999991</v>
      </c>
      <c r="F438" s="655">
        <v>3603142751</v>
      </c>
      <c r="G438" s="655">
        <v>335</v>
      </c>
      <c r="H438" s="655">
        <v>89497022</v>
      </c>
      <c r="I438" s="655">
        <v>2878.9</v>
      </c>
      <c r="J438" s="655">
        <v>32018318</v>
      </c>
      <c r="K438" s="655">
        <v>3724658091</v>
      </c>
      <c r="L438" s="655">
        <v>28001345</v>
      </c>
      <c r="M438" s="655">
        <v>100600000</v>
      </c>
      <c r="N438" s="655">
        <v>0</v>
      </c>
      <c r="O438" s="655">
        <v>192000000</v>
      </c>
      <c r="P438" s="655">
        <v>3696000</v>
      </c>
      <c r="Q438" s="655">
        <v>165900000</v>
      </c>
      <c r="R438" s="655">
        <v>142915679</v>
      </c>
      <c r="S438" s="655">
        <v>268</v>
      </c>
      <c r="T438" s="655">
        <v>75894799</v>
      </c>
      <c r="U438" s="655">
        <v>14100000</v>
      </c>
      <c r="V438" s="655">
        <v>5997213</v>
      </c>
      <c r="W438" s="655">
        <v>13049884.505380161</v>
      </c>
      <c r="X438" s="655">
        <v>15579000</v>
      </c>
      <c r="Y438" s="655"/>
      <c r="Z438" s="655">
        <v>4482392000</v>
      </c>
      <c r="AA438" s="655">
        <v>1564</v>
      </c>
      <c r="AB438" s="655">
        <v>71.5</v>
      </c>
      <c r="AC438" s="655">
        <v>0</v>
      </c>
      <c r="AD438" s="655">
        <v>0</v>
      </c>
      <c r="AE438" s="655">
        <v>0</v>
      </c>
      <c r="AF438" s="655">
        <v>115179492</v>
      </c>
      <c r="AG438" s="655">
        <v>4597571492</v>
      </c>
      <c r="AH438" s="655">
        <v>414882510</v>
      </c>
      <c r="AI438" s="655">
        <v>22048000</v>
      </c>
      <c r="AJ438" s="655">
        <v>4753370</v>
      </c>
      <c r="AK438" s="655">
        <v>649000</v>
      </c>
      <c r="AL438" s="655">
        <v>400000</v>
      </c>
      <c r="AM438" s="655">
        <v>4154838612</v>
      </c>
      <c r="AN438" s="654">
        <v>550</v>
      </c>
    </row>
    <row r="439" spans="3:40" ht="19.5" customHeight="1">
      <c r="D439" s="272"/>
      <c r="E439" s="659">
        <f>SUM(E434:E438)</f>
        <v>35323.19999999999</v>
      </c>
      <c r="F439" s="659">
        <f t="shared" ref="F439:AN439" si="983">SUM(F434:F438)</f>
        <v>9481853163</v>
      </c>
      <c r="G439" s="659">
        <f t="shared" si="983"/>
        <v>666</v>
      </c>
      <c r="H439" s="659">
        <f t="shared" si="983"/>
        <v>174227680</v>
      </c>
      <c r="I439" s="659">
        <f t="shared" si="983"/>
        <v>4425.3</v>
      </c>
      <c r="J439" s="659">
        <f t="shared" si="983"/>
        <v>45089662</v>
      </c>
      <c r="K439" s="659">
        <f t="shared" si="983"/>
        <v>9701170505</v>
      </c>
      <c r="L439" s="659">
        <f t="shared" si="983"/>
        <v>61188072</v>
      </c>
      <c r="M439" s="659">
        <f t="shared" si="983"/>
        <v>274800000</v>
      </c>
      <c r="N439" s="659">
        <f t="shared" si="983"/>
        <v>0</v>
      </c>
      <c r="O439" s="659">
        <f t="shared" si="983"/>
        <v>526500000</v>
      </c>
      <c r="P439" s="659">
        <f t="shared" si="983"/>
        <v>7392000</v>
      </c>
      <c r="Q439" s="659">
        <f t="shared" si="983"/>
        <v>462250000</v>
      </c>
      <c r="R439" s="659">
        <f t="shared" si="983"/>
        <v>634810109</v>
      </c>
      <c r="S439" s="659">
        <f t="shared" si="983"/>
        <v>656</v>
      </c>
      <c r="T439" s="659">
        <f t="shared" si="983"/>
        <v>183097590</v>
      </c>
      <c r="U439" s="659">
        <f t="shared" si="983"/>
        <v>34100000</v>
      </c>
      <c r="V439" s="659">
        <f t="shared" si="983"/>
        <v>10108828</v>
      </c>
      <c r="W439" s="659">
        <f t="shared" si="983"/>
        <v>41016843.702862509</v>
      </c>
      <c r="X439" s="659">
        <f t="shared" si="983"/>
        <v>23767000</v>
      </c>
      <c r="Y439" s="659"/>
      <c r="Z439" s="659">
        <f t="shared" si="983"/>
        <v>11960200937</v>
      </c>
      <c r="AA439" s="659">
        <f t="shared" si="983"/>
        <v>4936.5</v>
      </c>
      <c r="AB439" s="659">
        <f t="shared" si="983"/>
        <v>332.5</v>
      </c>
      <c r="AC439" s="659">
        <f t="shared" si="983"/>
        <v>104</v>
      </c>
      <c r="AD439" s="659">
        <f t="shared" si="983"/>
        <v>0</v>
      </c>
      <c r="AE439" s="659">
        <f t="shared" si="983"/>
        <v>0</v>
      </c>
      <c r="AF439" s="659">
        <f t="shared" si="983"/>
        <v>305467229</v>
      </c>
      <c r="AG439" s="659">
        <f t="shared" si="983"/>
        <v>12265668166</v>
      </c>
      <c r="AH439" s="659">
        <f t="shared" si="983"/>
        <v>1092245595</v>
      </c>
      <c r="AI439" s="659">
        <f t="shared" si="983"/>
        <v>61110400</v>
      </c>
      <c r="AJ439" s="659">
        <f t="shared" si="983"/>
        <v>12555313</v>
      </c>
      <c r="AK439" s="659">
        <f t="shared" si="983"/>
        <v>1965000</v>
      </c>
      <c r="AL439" s="659">
        <f t="shared" si="983"/>
        <v>400000</v>
      </c>
      <c r="AM439" s="659">
        <f t="shared" si="983"/>
        <v>11097391858</v>
      </c>
      <c r="AN439" s="659">
        <f t="shared" si="983"/>
        <v>1511</v>
      </c>
    </row>
    <row r="440" spans="3:40" ht="19.5" customHeight="1">
      <c r="D440" s="665"/>
      <c r="E440" s="665"/>
      <c r="F440" s="666"/>
      <c r="G440" s="667"/>
      <c r="H440" s="666"/>
      <c r="I440" s="667"/>
      <c r="J440" s="666"/>
      <c r="K440" s="666"/>
      <c r="L440" s="666"/>
      <c r="M440" s="666"/>
      <c r="N440" s="666"/>
      <c r="O440" s="666"/>
      <c r="P440" s="666"/>
      <c r="Q440" s="666"/>
      <c r="R440" s="666"/>
      <c r="S440" s="668"/>
      <c r="T440" s="666"/>
      <c r="U440" s="666"/>
      <c r="V440" s="666"/>
      <c r="W440" s="666"/>
      <c r="X440" s="669"/>
      <c r="Y440" s="669"/>
      <c r="Z440" s="669"/>
      <c r="AA440" s="670"/>
      <c r="AB440" s="670"/>
      <c r="AC440" s="670"/>
      <c r="AD440" s="670"/>
      <c r="AE440" s="670"/>
      <c r="AF440" s="671"/>
      <c r="AG440" s="672"/>
      <c r="AH440" s="671"/>
      <c r="AI440" s="673"/>
      <c r="AJ440" s="671"/>
      <c r="AK440" s="671"/>
      <c r="AL440" s="674"/>
      <c r="AM440" s="669"/>
      <c r="AN440" s="675"/>
    </row>
    <row r="441" spans="3:40" ht="21.75" customHeight="1">
      <c r="C441" s="1605" t="str">
        <f>C448&amp;" Vs "&amp;C462</f>
        <v>Sep Vs Aug</v>
      </c>
      <c r="D441" s="654" t="s">
        <v>216</v>
      </c>
      <c r="E441" s="657">
        <f>+E448/E462</f>
        <v>0.79773904327003498</v>
      </c>
      <c r="F441" s="657">
        <f t="shared" ref="F441:AN446" si="984">+F448/F462</f>
        <v>0.80787884276974586</v>
      </c>
      <c r="G441" s="657">
        <f t="shared" si="984"/>
        <v>6.565022421524664</v>
      </c>
      <c r="H441" s="657">
        <f t="shared" si="984"/>
        <v>6.7519949894743743</v>
      </c>
      <c r="I441" s="657"/>
      <c r="J441" s="657"/>
      <c r="K441" s="657">
        <f t="shared" si="984"/>
        <v>0.92576698798015988</v>
      </c>
      <c r="L441" s="657">
        <f t="shared" si="984"/>
        <v>0.96919926680254109</v>
      </c>
      <c r="M441" s="657">
        <f t="shared" si="984"/>
        <v>0.95203836930455632</v>
      </c>
      <c r="N441" s="657" t="e">
        <f t="shared" si="984"/>
        <v>#DIV/0!</v>
      </c>
      <c r="O441" s="657">
        <f t="shared" si="984"/>
        <v>0.92835820895522392</v>
      </c>
      <c r="P441" s="657">
        <f t="shared" si="984"/>
        <v>1</v>
      </c>
      <c r="Q441" s="657">
        <f t="shared" si="984"/>
        <v>0.97662711254944268</v>
      </c>
      <c r="R441" s="657">
        <f t="shared" si="984"/>
        <v>0.79063632759647584</v>
      </c>
      <c r="S441" s="657">
        <f t="shared" si="984"/>
        <v>0.3383084577114428</v>
      </c>
      <c r="T441" s="657">
        <f t="shared" si="984"/>
        <v>0.33030840431322922</v>
      </c>
      <c r="U441" s="657">
        <f t="shared" si="984"/>
        <v>0.98666666666666669</v>
      </c>
      <c r="V441" s="657">
        <f t="shared" si="984"/>
        <v>0.35177175535795352</v>
      </c>
      <c r="W441" s="657">
        <f t="shared" si="984"/>
        <v>0.96057896013234223</v>
      </c>
      <c r="X441" s="657"/>
      <c r="Y441" s="657"/>
      <c r="Z441" s="657">
        <f t="shared" si="984"/>
        <v>0.90931389434899412</v>
      </c>
      <c r="AA441" s="657">
        <f t="shared" si="984"/>
        <v>1.5858268725571858E-2</v>
      </c>
      <c r="AB441" s="657"/>
      <c r="AC441" s="657"/>
      <c r="AD441" s="657" t="e">
        <f t="shared" si="984"/>
        <v>#DIV/0!</v>
      </c>
      <c r="AE441" s="657" t="e">
        <f t="shared" si="984"/>
        <v>#DIV/0!</v>
      </c>
      <c r="AF441" s="657">
        <f t="shared" si="984"/>
        <v>1.5479417393764043E-2</v>
      </c>
      <c r="AG441" s="657">
        <f t="shared" si="984"/>
        <v>0.75689116927103051</v>
      </c>
      <c r="AH441" s="657">
        <f t="shared" si="984"/>
        <v>1.0005791695604336</v>
      </c>
      <c r="AI441" s="657">
        <f t="shared" si="984"/>
        <v>0.96508728179551118</v>
      </c>
      <c r="AJ441" s="657">
        <f t="shared" si="984"/>
        <v>0.36199592428577027</v>
      </c>
      <c r="AK441" s="657">
        <f t="shared" si="984"/>
        <v>3</v>
      </c>
      <c r="AL441" s="657"/>
      <c r="AM441" s="657">
        <f t="shared" si="984"/>
        <v>0.73892342405215117</v>
      </c>
      <c r="AN441" s="503">
        <f t="shared" ref="AN441" si="985">+AN448/AN462</f>
        <v>0.94588235294117651</v>
      </c>
    </row>
    <row r="442" spans="3:40" ht="21.75" customHeight="1">
      <c r="C442" s="1605"/>
      <c r="D442" s="654" t="s">
        <v>217</v>
      </c>
      <c r="E442" s="657">
        <f t="shared" ref="E442:T446" si="986">+E449/E463</f>
        <v>0.75228547453959238</v>
      </c>
      <c r="F442" s="657">
        <f t="shared" si="986"/>
        <v>0.77084931763859121</v>
      </c>
      <c r="G442" s="657">
        <f t="shared" si="986"/>
        <v>5.7976190476190474</v>
      </c>
      <c r="H442" s="657">
        <f t="shared" si="986"/>
        <v>6.1649917383755009</v>
      </c>
      <c r="I442" s="657">
        <f t="shared" si="986"/>
        <v>0.6816976127320955</v>
      </c>
      <c r="J442" s="657">
        <f t="shared" si="986"/>
        <v>0.68608488997556871</v>
      </c>
      <c r="K442" s="657">
        <f t="shared" si="986"/>
        <v>0.85949722970484943</v>
      </c>
      <c r="L442" s="657">
        <f t="shared" si="986"/>
        <v>0.9986629344445046</v>
      </c>
      <c r="M442" s="657">
        <f t="shared" si="986"/>
        <v>0.93142857142857138</v>
      </c>
      <c r="N442" s="657" t="e">
        <f t="shared" si="986"/>
        <v>#DIV/0!</v>
      </c>
      <c r="O442" s="657">
        <f t="shared" si="986"/>
        <v>0.84722222222222221</v>
      </c>
      <c r="P442" s="657">
        <f t="shared" si="986"/>
        <v>1</v>
      </c>
      <c r="Q442" s="657">
        <f t="shared" si="986"/>
        <v>0.95039164490861616</v>
      </c>
      <c r="R442" s="657">
        <f t="shared" si="986"/>
        <v>0.75544736206032315</v>
      </c>
      <c r="S442" s="657">
        <f t="shared" si="986"/>
        <v>0.56321839080459768</v>
      </c>
      <c r="T442" s="657">
        <f t="shared" si="986"/>
        <v>0.58749855659505246</v>
      </c>
      <c r="U442" s="657">
        <f t="shared" si="984"/>
        <v>0.93548387096774188</v>
      </c>
      <c r="V442" s="657">
        <f t="shared" si="984"/>
        <v>0</v>
      </c>
      <c r="W442" s="657">
        <f t="shared" si="984"/>
        <v>0.93038399483411405</v>
      </c>
      <c r="X442" s="657">
        <f t="shared" si="984"/>
        <v>0.67904509283819625</v>
      </c>
      <c r="Y442" s="657"/>
      <c r="Z442" s="657">
        <f t="shared" si="984"/>
        <v>0.8520269622964417</v>
      </c>
      <c r="AA442" s="657">
        <f t="shared" si="984"/>
        <v>0.51069241639189822</v>
      </c>
      <c r="AB442" s="657">
        <f t="shared" si="984"/>
        <v>5.3482142857142856</v>
      </c>
      <c r="AC442" s="657">
        <f t="shared" si="984"/>
        <v>0.53985507246376807</v>
      </c>
      <c r="AD442" s="657" t="e">
        <f t="shared" si="984"/>
        <v>#DIV/0!</v>
      </c>
      <c r="AE442" s="657" t="e">
        <f t="shared" si="984"/>
        <v>#DIV/0!</v>
      </c>
      <c r="AF442" s="657">
        <f t="shared" si="984"/>
        <v>0.57374261126343351</v>
      </c>
      <c r="AG442" s="657">
        <f t="shared" si="984"/>
        <v>0.80615442744049193</v>
      </c>
      <c r="AH442" s="657">
        <f t="shared" si="984"/>
        <v>0.99575316486712351</v>
      </c>
      <c r="AI442" s="657">
        <f t="shared" si="984"/>
        <v>0.9821428571428571</v>
      </c>
      <c r="AJ442" s="657">
        <f t="shared" si="984"/>
        <v>0.2482528183656792</v>
      </c>
      <c r="AK442" s="657">
        <f t="shared" si="984"/>
        <v>3</v>
      </c>
      <c r="AL442" s="657"/>
      <c r="AM442" s="657">
        <f t="shared" si="984"/>
        <v>0.7920814850548249</v>
      </c>
      <c r="AN442" s="503">
        <f t="shared" ref="AN442" si="987">+AN449/AN463</f>
        <v>0.949438202247191</v>
      </c>
    </row>
    <row r="443" spans="3:40" ht="21.75" customHeight="1">
      <c r="C443" s="1605"/>
      <c r="D443" s="654" t="s">
        <v>218</v>
      </c>
      <c r="E443" s="657">
        <f t="shared" si="986"/>
        <v>0.85288300623763935</v>
      </c>
      <c r="F443" s="657">
        <f t="shared" si="984"/>
        <v>0.86254244911183953</v>
      </c>
      <c r="G443" s="657">
        <f t="shared" si="984"/>
        <v>6.283018867924528</v>
      </c>
      <c r="H443" s="657">
        <f t="shared" si="984"/>
        <v>6.3824344149526304</v>
      </c>
      <c r="I443" s="657"/>
      <c r="J443" s="657"/>
      <c r="K443" s="657">
        <f t="shared" si="984"/>
        <v>0.94197785267168921</v>
      </c>
      <c r="L443" s="657">
        <f t="shared" si="984"/>
        <v>1.1316554221673505</v>
      </c>
      <c r="M443" s="657">
        <f t="shared" si="984"/>
        <v>0.96014492753623193</v>
      </c>
      <c r="N443" s="657" t="e">
        <f t="shared" si="984"/>
        <v>#DIV/0!</v>
      </c>
      <c r="O443" s="657">
        <f t="shared" si="984"/>
        <v>0.99130434782608701</v>
      </c>
      <c r="P443" s="657">
        <f t="shared" si="984"/>
        <v>1</v>
      </c>
      <c r="Q443" s="657">
        <f t="shared" si="984"/>
        <v>0.95400516795865631</v>
      </c>
      <c r="R443" s="657">
        <f t="shared" si="984"/>
        <v>0.74798771607892189</v>
      </c>
      <c r="S443" s="657">
        <f t="shared" si="984"/>
        <v>0.9707602339181286</v>
      </c>
      <c r="T443" s="657">
        <f t="shared" si="984"/>
        <v>0.96942263717379351</v>
      </c>
      <c r="U443" s="657">
        <f t="shared" si="984"/>
        <v>1.015625</v>
      </c>
      <c r="V443" s="657">
        <f t="shared" si="984"/>
        <v>0</v>
      </c>
      <c r="W443" s="657">
        <f t="shared" si="984"/>
        <v>0.94059258053661576</v>
      </c>
      <c r="X443" s="657"/>
      <c r="Y443" s="657"/>
      <c r="Z443" s="657">
        <f t="shared" si="984"/>
        <v>0.91911242112944613</v>
      </c>
      <c r="AA443" s="657">
        <f t="shared" si="984"/>
        <v>9.4352270822859061E-2</v>
      </c>
      <c r="AB443" s="657"/>
      <c r="AC443" s="657"/>
      <c r="AD443" s="657" t="e">
        <f t="shared" si="984"/>
        <v>#DIV/0!</v>
      </c>
      <c r="AE443" s="657" t="e">
        <f t="shared" si="984"/>
        <v>#DIV/0!</v>
      </c>
      <c r="AF443" s="657">
        <f t="shared" si="984"/>
        <v>0.13348319641322398</v>
      </c>
      <c r="AG443" s="657">
        <f t="shared" si="984"/>
        <v>0.77752549053986642</v>
      </c>
      <c r="AH443" s="657">
        <f t="shared" si="984"/>
        <v>1.015615038077315</v>
      </c>
      <c r="AI443" s="657">
        <f t="shared" si="984"/>
        <v>0.97761194029850751</v>
      </c>
      <c r="AJ443" s="657">
        <f t="shared" si="984"/>
        <v>1.0560626060720346</v>
      </c>
      <c r="AK443" s="657">
        <f t="shared" si="984"/>
        <v>1.0213903743315509</v>
      </c>
      <c r="AL443" s="657"/>
      <c r="AM443" s="657">
        <f t="shared" si="984"/>
        <v>0.76126905607963147</v>
      </c>
      <c r="AN443" s="503">
        <f t="shared" ref="AN443" si="988">+AN450/AN464</f>
        <v>0.95454545454545459</v>
      </c>
    </row>
    <row r="444" spans="3:40" ht="21.75" customHeight="1">
      <c r="C444" s="1605"/>
      <c r="D444" s="654" t="s">
        <v>220</v>
      </c>
      <c r="E444" s="657">
        <f t="shared" si="986"/>
        <v>0.83498242903073039</v>
      </c>
      <c r="F444" s="657">
        <f t="shared" si="984"/>
        <v>0.84401894545548195</v>
      </c>
      <c r="G444" s="657">
        <f t="shared" si="984"/>
        <v>8.1666666666666661</v>
      </c>
      <c r="H444" s="657">
        <f t="shared" si="984"/>
        <v>8.7058194398529736</v>
      </c>
      <c r="I444" s="657"/>
      <c r="J444" s="657"/>
      <c r="K444" s="657">
        <f t="shared" si="984"/>
        <v>0.9414331744395622</v>
      </c>
      <c r="L444" s="657">
        <f t="shared" si="984"/>
        <v>0.98937874644091583</v>
      </c>
      <c r="M444" s="657">
        <f t="shared" si="984"/>
        <v>0.9550561797752809</v>
      </c>
      <c r="N444" s="657" t="e">
        <f t="shared" si="984"/>
        <v>#DIV/0!</v>
      </c>
      <c r="O444" s="657">
        <f t="shared" si="984"/>
        <v>0.95833333333333337</v>
      </c>
      <c r="P444" s="657">
        <f t="shared" si="984"/>
        <v>1.0348837209302326</v>
      </c>
      <c r="Q444" s="657">
        <f t="shared" si="984"/>
        <v>0.97756410256410253</v>
      </c>
      <c r="R444" s="657">
        <f t="shared" si="984"/>
        <v>0.66313155316551065</v>
      </c>
      <c r="S444" s="657">
        <f t="shared" si="984"/>
        <v>0.63736263736263732</v>
      </c>
      <c r="T444" s="657">
        <f t="shared" si="984"/>
        <v>0.569260162069955</v>
      </c>
      <c r="U444" s="657">
        <f t="shared" si="984"/>
        <v>0.94444444444444442</v>
      </c>
      <c r="V444" s="657">
        <f t="shared" si="984"/>
        <v>1.9470714622491081</v>
      </c>
      <c r="W444" s="657">
        <f t="shared" si="984"/>
        <v>0.99054172048745037</v>
      </c>
      <c r="X444" s="657">
        <f t="shared" si="984"/>
        <v>1.9974025974025975</v>
      </c>
      <c r="Y444" s="657"/>
      <c r="Z444" s="657">
        <f t="shared" si="984"/>
        <v>0.93396083882758985</v>
      </c>
      <c r="AA444" s="657">
        <f t="shared" si="984"/>
        <v>0.15947795639025944</v>
      </c>
      <c r="AB444" s="657">
        <f t="shared" si="984"/>
        <v>4</v>
      </c>
      <c r="AC444" s="657"/>
      <c r="AD444" s="657" t="e">
        <f t="shared" si="984"/>
        <v>#DIV/0!</v>
      </c>
      <c r="AE444" s="657" t="e">
        <f t="shared" si="984"/>
        <v>#DIV/0!</v>
      </c>
      <c r="AF444" s="657">
        <f t="shared" si="984"/>
        <v>0.20531199955989166</v>
      </c>
      <c r="AG444" s="657">
        <f t="shared" si="984"/>
        <v>0.87422122115005962</v>
      </c>
      <c r="AH444" s="657">
        <f t="shared" si="984"/>
        <v>1.0067488065808938</v>
      </c>
      <c r="AI444" s="657">
        <f t="shared" si="984"/>
        <v>1.0279720279720279</v>
      </c>
      <c r="AJ444" s="657">
        <f t="shared" si="984"/>
        <v>0.81405828689156712</v>
      </c>
      <c r="AK444" s="657">
        <f t="shared" si="984"/>
        <v>0.72901554404145075</v>
      </c>
      <c r="AL444" s="657">
        <f t="shared" si="984"/>
        <v>0.8294528294528295</v>
      </c>
      <c r="AM444" s="657">
        <f t="shared" si="984"/>
        <v>0.86214230169681871</v>
      </c>
      <c r="AN444" s="503">
        <f t="shared" ref="AN444" si="989">+AN451/AN465</f>
        <v>0.97468354430379744</v>
      </c>
    </row>
    <row r="445" spans="3:40" s="653" customFormat="1" ht="21.75" customHeight="1">
      <c r="C445" s="1605"/>
      <c r="D445" s="656" t="s">
        <v>219</v>
      </c>
      <c r="E445" s="657">
        <f t="shared" si="986"/>
        <v>0.83244577470263603</v>
      </c>
      <c r="F445" s="657">
        <f t="shared" si="984"/>
        <v>0.85132538522005652</v>
      </c>
      <c r="G445" s="657">
        <f t="shared" si="984"/>
        <v>4.3206997084548107</v>
      </c>
      <c r="H445" s="657">
        <f t="shared" si="984"/>
        <v>4.4460749676144555</v>
      </c>
      <c r="I445" s="657">
        <f t="shared" si="984"/>
        <v>0.65231974669278447</v>
      </c>
      <c r="J445" s="657">
        <f t="shared" si="984"/>
        <v>0.65585497379675262</v>
      </c>
      <c r="K445" s="657">
        <f t="shared" si="984"/>
        <v>0.92693817065514061</v>
      </c>
      <c r="L445" s="657">
        <f t="shared" si="984"/>
        <v>1.0244876337426299</v>
      </c>
      <c r="M445" s="657">
        <f t="shared" si="984"/>
        <v>0.92526690391459077</v>
      </c>
      <c r="N445" s="657" t="e">
        <f t="shared" si="984"/>
        <v>#DIV/0!</v>
      </c>
      <c r="O445" s="657">
        <f t="shared" si="984"/>
        <v>1.0213270142180095</v>
      </c>
      <c r="P445" s="657">
        <f t="shared" si="984"/>
        <v>1.0438311688311688</v>
      </c>
      <c r="Q445" s="657">
        <f t="shared" si="984"/>
        <v>0.9773995535714286</v>
      </c>
      <c r="R445" s="657">
        <f t="shared" si="984"/>
        <v>0.82684908747333408</v>
      </c>
      <c r="S445" s="657">
        <f t="shared" si="984"/>
        <v>0.9015873015873016</v>
      </c>
      <c r="T445" s="657">
        <f t="shared" si="984"/>
        <v>0.92036285259849004</v>
      </c>
      <c r="U445" s="657">
        <f t="shared" si="984"/>
        <v>0.95774647887323938</v>
      </c>
      <c r="V445" s="657">
        <f t="shared" si="984"/>
        <v>9.9657123556423338E-2</v>
      </c>
      <c r="W445" s="657">
        <f t="shared" si="984"/>
        <v>0.93939544789308449</v>
      </c>
      <c r="X445" s="657">
        <f t="shared" si="984"/>
        <v>0.6757645041440411</v>
      </c>
      <c r="Y445" s="657"/>
      <c r="Z445" s="657">
        <f t="shared" si="984"/>
        <v>0.9266239197050381</v>
      </c>
      <c r="AA445" s="657">
        <f t="shared" si="984"/>
        <v>0.15345560045591131</v>
      </c>
      <c r="AB445" s="657">
        <f t="shared" si="984"/>
        <v>0.29508196721311475</v>
      </c>
      <c r="AC445" s="657">
        <f t="shared" si="984"/>
        <v>0</v>
      </c>
      <c r="AD445" s="657" t="e">
        <f t="shared" si="984"/>
        <v>#DIV/0!</v>
      </c>
      <c r="AE445" s="657" t="e">
        <f t="shared" si="984"/>
        <v>#DIV/0!</v>
      </c>
      <c r="AF445" s="657">
        <f t="shared" si="984"/>
        <v>0.20200823004339177</v>
      </c>
      <c r="AG445" s="657">
        <f t="shared" si="984"/>
        <v>0.81390906154165388</v>
      </c>
      <c r="AH445" s="657">
        <f t="shared" si="984"/>
        <v>0.98309437609561001</v>
      </c>
      <c r="AI445" s="657">
        <f t="shared" si="984"/>
        <v>0.94117647058823528</v>
      </c>
      <c r="AJ445" s="657">
        <f t="shared" si="984"/>
        <v>0.67441090213056343</v>
      </c>
      <c r="AK445" s="657">
        <f t="shared" si="984"/>
        <v>0.62291169451073991</v>
      </c>
      <c r="AL445" s="657">
        <f t="shared" si="984"/>
        <v>1.1513213962757596</v>
      </c>
      <c r="AM445" s="657">
        <f t="shared" si="984"/>
        <v>0.80063950652576676</v>
      </c>
      <c r="AN445" s="503">
        <f t="shared" ref="AN445" si="990">+AN452/AN466</f>
        <v>0.92532467532467533</v>
      </c>
    </row>
    <row r="446" spans="3:40" s="492" customFormat="1" ht="21.75" customHeight="1">
      <c r="D446" s="676" t="s">
        <v>79</v>
      </c>
      <c r="E446" s="677">
        <f t="shared" si="986"/>
        <v>0.81865367666325284</v>
      </c>
      <c r="F446" s="677">
        <f t="shared" si="984"/>
        <v>0.83391708280612498</v>
      </c>
      <c r="G446" s="677">
        <f t="shared" si="984"/>
        <v>5.6049382716049383</v>
      </c>
      <c r="H446" s="677">
        <f t="shared" si="984"/>
        <v>5.8220669547688262</v>
      </c>
      <c r="I446" s="677">
        <f t="shared" si="984"/>
        <v>0.66397396878844772</v>
      </c>
      <c r="J446" s="677">
        <f t="shared" si="984"/>
        <v>0.66654181118059941</v>
      </c>
      <c r="K446" s="677">
        <f t="shared" si="984"/>
        <v>0.9240029680679257</v>
      </c>
      <c r="L446" s="677">
        <f t="shared" si="984"/>
        <v>1.0060965288508352</v>
      </c>
      <c r="M446" s="677">
        <f t="shared" si="984"/>
        <v>0.94140882159315342</v>
      </c>
      <c r="N446" s="677" t="e">
        <f t="shared" si="984"/>
        <v>#DIV/0!</v>
      </c>
      <c r="O446" s="677">
        <f t="shared" si="984"/>
        <v>0.96508728179551118</v>
      </c>
      <c r="P446" s="677">
        <f t="shared" si="984"/>
        <v>1.036525974025974</v>
      </c>
      <c r="Q446" s="677">
        <f t="shared" si="984"/>
        <v>0.9696217611436514</v>
      </c>
      <c r="R446" s="677">
        <f t="shared" si="984"/>
        <v>0.77727575965203644</v>
      </c>
      <c r="S446" s="677">
        <f t="shared" si="984"/>
        <v>0.7225433526011561</v>
      </c>
      <c r="T446" s="677">
        <f t="shared" si="984"/>
        <v>0.72067054431030131</v>
      </c>
      <c r="U446" s="677">
        <f t="shared" si="984"/>
        <v>0.97126436781609193</v>
      </c>
      <c r="V446" s="677">
        <f t="shared" si="984"/>
        <v>0.31232673994558574</v>
      </c>
      <c r="W446" s="677">
        <f t="shared" si="984"/>
        <v>0.95208585526629153</v>
      </c>
      <c r="X446" s="677">
        <f t="shared" si="984"/>
        <v>0.7076555602588136</v>
      </c>
      <c r="Y446" s="677"/>
      <c r="Z446" s="677">
        <f t="shared" si="984"/>
        <v>0.91451411375890823</v>
      </c>
      <c r="AA446" s="677">
        <f t="shared" si="984"/>
        <v>0.13649352528394704</v>
      </c>
      <c r="AB446" s="677">
        <f t="shared" si="984"/>
        <v>1.4257246376811594</v>
      </c>
      <c r="AC446" s="677">
        <f t="shared" si="984"/>
        <v>0.52464788732394363</v>
      </c>
      <c r="AD446" s="677" t="e">
        <f t="shared" si="984"/>
        <v>#DIV/0!</v>
      </c>
      <c r="AE446" s="677" t="e">
        <f t="shared" si="984"/>
        <v>#DIV/0!</v>
      </c>
      <c r="AF446" s="677">
        <f t="shared" si="984"/>
        <v>0.18289802222658533</v>
      </c>
      <c r="AG446" s="677">
        <f t="shared" si="984"/>
        <v>0.80095912314712481</v>
      </c>
      <c r="AH446" s="677">
        <f t="shared" si="984"/>
        <v>0.99654755846974563</v>
      </c>
      <c r="AI446" s="677">
        <f t="shared" si="984"/>
        <v>0.96598202824133506</v>
      </c>
      <c r="AJ446" s="677">
        <f t="shared" si="984"/>
        <v>0.73924962088650781</v>
      </c>
      <c r="AK446" s="677">
        <f t="shared" si="984"/>
        <v>0.87725726249672864</v>
      </c>
      <c r="AL446" s="677">
        <f t="shared" si="984"/>
        <v>2.4136061631272163</v>
      </c>
      <c r="AM446" s="677">
        <f t="shared" si="984"/>
        <v>0.7858596015063094</v>
      </c>
      <c r="AN446" s="677">
        <f t="shared" si="984"/>
        <v>0.94287432351172584</v>
      </c>
    </row>
    <row r="448" spans="3:40">
      <c r="C448" s="1610" t="s">
        <v>71</v>
      </c>
      <c r="D448" s="654" t="s">
        <v>216</v>
      </c>
      <c r="E448" s="655">
        <v>8595.0000000000036</v>
      </c>
      <c r="F448" s="655">
        <v>1970403771</v>
      </c>
      <c r="G448" s="655">
        <v>1464</v>
      </c>
      <c r="H448" s="655">
        <v>333214403</v>
      </c>
      <c r="I448" s="655">
        <v>0</v>
      </c>
      <c r="J448" s="655">
        <v>0</v>
      </c>
      <c r="K448" s="655">
        <v>2303618174</v>
      </c>
      <c r="L448" s="655">
        <v>812692</v>
      </c>
      <c r="M448" s="655">
        <v>79400000</v>
      </c>
      <c r="N448" s="655">
        <v>0</v>
      </c>
      <c r="O448" s="655">
        <v>155500000</v>
      </c>
      <c r="P448" s="655">
        <v>200000</v>
      </c>
      <c r="Q448" s="655">
        <v>135800000</v>
      </c>
      <c r="R448" s="655">
        <v>209605834</v>
      </c>
      <c r="S448" s="655">
        <v>68</v>
      </c>
      <c r="T448" s="655">
        <v>15197637</v>
      </c>
      <c r="U448" s="655">
        <v>7400000</v>
      </c>
      <c r="V448" s="655">
        <v>155748</v>
      </c>
      <c r="W448" s="655">
        <v>12131545.716524396</v>
      </c>
      <c r="X448" s="655">
        <v>0</v>
      </c>
      <c r="Y448" s="655"/>
      <c r="Z448" s="655">
        <v>2919821632</v>
      </c>
      <c r="AA448" s="655">
        <v>247.5</v>
      </c>
      <c r="AB448" s="655">
        <v>0</v>
      </c>
      <c r="AC448" s="655">
        <v>0</v>
      </c>
      <c r="AD448" s="655">
        <v>0</v>
      </c>
      <c r="AE448" s="655">
        <v>0</v>
      </c>
      <c r="AF448" s="655">
        <v>10218505</v>
      </c>
      <c r="AG448" s="655">
        <v>2930040137</v>
      </c>
      <c r="AH448" s="655">
        <v>250035279</v>
      </c>
      <c r="AI448" s="655">
        <v>16099200</v>
      </c>
      <c r="AJ448" s="655">
        <v>184741</v>
      </c>
      <c r="AK448" s="655">
        <v>195000</v>
      </c>
      <c r="AL448" s="655">
        <v>443176</v>
      </c>
      <c r="AM448" s="655">
        <v>2663082741</v>
      </c>
      <c r="AN448" s="654">
        <v>402</v>
      </c>
    </row>
    <row r="449" spans="3:40">
      <c r="C449" s="1610"/>
      <c r="D449" s="654" t="s">
        <v>217</v>
      </c>
      <c r="E449" s="655">
        <v>3406.7999999999997</v>
      </c>
      <c r="F449" s="655">
        <v>873165855</v>
      </c>
      <c r="G449" s="655">
        <v>487</v>
      </c>
      <c r="H449" s="655">
        <v>120917534</v>
      </c>
      <c r="I449" s="655">
        <v>1670.5</v>
      </c>
      <c r="J449" s="655">
        <v>14422480</v>
      </c>
      <c r="K449" s="655">
        <v>1008505869</v>
      </c>
      <c r="L449" s="655">
        <v>2084616</v>
      </c>
      <c r="M449" s="655">
        <v>32600000</v>
      </c>
      <c r="N449" s="655">
        <v>0</v>
      </c>
      <c r="O449" s="655">
        <v>61000000</v>
      </c>
      <c r="P449" s="655">
        <v>200000</v>
      </c>
      <c r="Q449" s="655">
        <v>54600000</v>
      </c>
      <c r="R449" s="655">
        <v>69853989</v>
      </c>
      <c r="S449" s="655">
        <v>49</v>
      </c>
      <c r="T449" s="655">
        <v>13304554</v>
      </c>
      <c r="U449" s="655">
        <v>2900000</v>
      </c>
      <c r="V449" s="655">
        <v>0</v>
      </c>
      <c r="W449" s="655">
        <v>2749016.807915187</v>
      </c>
      <c r="X449" s="655">
        <v>7680000</v>
      </c>
      <c r="Y449" s="655"/>
      <c r="Z449" s="655">
        <v>1255478041</v>
      </c>
      <c r="AA449" s="655">
        <v>2710.5</v>
      </c>
      <c r="AB449" s="655">
        <v>299.5</v>
      </c>
      <c r="AC449" s="655">
        <v>298</v>
      </c>
      <c r="AD449" s="655">
        <v>0</v>
      </c>
      <c r="AE449" s="655">
        <v>0</v>
      </c>
      <c r="AF449" s="655">
        <v>166865834</v>
      </c>
      <c r="AG449" s="655">
        <v>1422343875</v>
      </c>
      <c r="AH449" s="655">
        <v>114803519</v>
      </c>
      <c r="AI449" s="655">
        <v>6864000</v>
      </c>
      <c r="AJ449" s="655">
        <v>236043</v>
      </c>
      <c r="AK449" s="655">
        <v>195000</v>
      </c>
      <c r="AL449" s="655">
        <v>393005</v>
      </c>
      <c r="AM449" s="655">
        <v>1299852308</v>
      </c>
      <c r="AN449" s="654">
        <v>169</v>
      </c>
    </row>
    <row r="450" spans="3:40">
      <c r="C450" s="1610"/>
      <c r="D450" s="654" t="s">
        <v>218</v>
      </c>
      <c r="E450" s="655">
        <v>6166.6</v>
      </c>
      <c r="F450" s="655">
        <v>1410764426</v>
      </c>
      <c r="G450" s="655">
        <v>666</v>
      </c>
      <c r="H450" s="655">
        <v>152419012</v>
      </c>
      <c r="I450" s="655">
        <v>0</v>
      </c>
      <c r="J450" s="655">
        <v>0</v>
      </c>
      <c r="K450" s="655">
        <v>1563183438</v>
      </c>
      <c r="L450" s="655">
        <v>686538</v>
      </c>
      <c r="M450" s="655">
        <v>53000000</v>
      </c>
      <c r="N450" s="655">
        <v>0</v>
      </c>
      <c r="O450" s="655">
        <v>114000000</v>
      </c>
      <c r="P450" s="655">
        <v>200000</v>
      </c>
      <c r="Q450" s="655">
        <v>92300000</v>
      </c>
      <c r="R450" s="655">
        <v>233433097</v>
      </c>
      <c r="S450" s="655">
        <v>166</v>
      </c>
      <c r="T450" s="655">
        <v>36808614</v>
      </c>
      <c r="U450" s="655">
        <v>6500000</v>
      </c>
      <c r="V450" s="655">
        <v>0</v>
      </c>
      <c r="W450" s="655">
        <v>8066639.3281362001</v>
      </c>
      <c r="X450" s="655">
        <v>0</v>
      </c>
      <c r="Y450" s="655"/>
      <c r="Z450" s="655">
        <v>2108178334</v>
      </c>
      <c r="AA450" s="655">
        <v>1126</v>
      </c>
      <c r="AB450" s="655">
        <v>311.5</v>
      </c>
      <c r="AC450" s="655">
        <v>0</v>
      </c>
      <c r="AD450" s="655">
        <v>0</v>
      </c>
      <c r="AE450" s="655">
        <v>0</v>
      </c>
      <c r="AF450" s="655">
        <v>67309147</v>
      </c>
      <c r="AG450" s="655">
        <v>2175487481</v>
      </c>
      <c r="AH450" s="655">
        <v>167218218</v>
      </c>
      <c r="AI450" s="655">
        <v>10899200</v>
      </c>
      <c r="AJ450" s="655">
        <v>1624087</v>
      </c>
      <c r="AK450" s="655">
        <v>191000</v>
      </c>
      <c r="AL450" s="655">
        <v>693575</v>
      </c>
      <c r="AM450" s="655">
        <v>1994861401</v>
      </c>
      <c r="AN450" s="654">
        <v>273</v>
      </c>
    </row>
    <row r="451" spans="3:40">
      <c r="C451" s="1610"/>
      <c r="D451" s="654" t="s">
        <v>220</v>
      </c>
      <c r="E451" s="655">
        <v>3350.2000000000012</v>
      </c>
      <c r="F451" s="655">
        <v>1388442962</v>
      </c>
      <c r="G451" s="655">
        <v>441</v>
      </c>
      <c r="H451" s="655">
        <v>179680426</v>
      </c>
      <c r="I451" s="655">
        <v>0</v>
      </c>
      <c r="J451" s="655">
        <v>0</v>
      </c>
      <c r="K451" s="655">
        <v>1568123388</v>
      </c>
      <c r="L451" s="655">
        <v>32119995</v>
      </c>
      <c r="M451" s="655">
        <v>17000000</v>
      </c>
      <c r="N451" s="655">
        <v>0</v>
      </c>
      <c r="O451" s="655">
        <v>34500000</v>
      </c>
      <c r="P451" s="655">
        <v>3204000</v>
      </c>
      <c r="Q451" s="655">
        <v>30500000</v>
      </c>
      <c r="R451" s="655">
        <v>16137809</v>
      </c>
      <c r="S451" s="655">
        <v>58</v>
      </c>
      <c r="T451" s="655">
        <v>20926525</v>
      </c>
      <c r="U451" s="655">
        <v>3400000</v>
      </c>
      <c r="V451" s="655">
        <v>3113745</v>
      </c>
      <c r="W451" s="655">
        <v>6116870.1738081258</v>
      </c>
      <c r="X451" s="655">
        <v>1538000</v>
      </c>
      <c r="Y451" s="655"/>
      <c r="Z451" s="655">
        <v>1736680335</v>
      </c>
      <c r="AA451" s="655">
        <v>501</v>
      </c>
      <c r="AB451" s="655">
        <v>32</v>
      </c>
      <c r="AC451" s="655">
        <v>0</v>
      </c>
      <c r="AD451" s="655">
        <v>0</v>
      </c>
      <c r="AE451" s="655">
        <v>0</v>
      </c>
      <c r="AF451" s="655">
        <v>34095794</v>
      </c>
      <c r="AG451" s="655">
        <v>1770776129</v>
      </c>
      <c r="AH451" s="655">
        <v>167710750</v>
      </c>
      <c r="AI451" s="655">
        <v>6115200</v>
      </c>
      <c r="AJ451" s="655">
        <v>8017135</v>
      </c>
      <c r="AK451" s="655">
        <v>703500</v>
      </c>
      <c r="AL451" s="655">
        <v>191412</v>
      </c>
      <c r="AM451" s="655">
        <v>1588038132</v>
      </c>
      <c r="AN451" s="654">
        <v>154</v>
      </c>
    </row>
    <row r="452" spans="3:40">
      <c r="C452" s="1610"/>
      <c r="D452" s="654" t="s">
        <v>219</v>
      </c>
      <c r="E452" s="655">
        <v>12849.29999999999</v>
      </c>
      <c r="F452" s="655">
        <v>3497008896</v>
      </c>
      <c r="G452" s="655">
        <v>1482</v>
      </c>
      <c r="H452" s="655">
        <v>405573106</v>
      </c>
      <c r="I452" s="655">
        <v>2431</v>
      </c>
      <c r="J452" s="655">
        <v>25212371</v>
      </c>
      <c r="K452" s="655">
        <v>3927794373</v>
      </c>
      <c r="L452" s="655">
        <v>28578269</v>
      </c>
      <c r="M452" s="655">
        <v>104000000</v>
      </c>
      <c r="N452" s="655">
        <v>0</v>
      </c>
      <c r="O452" s="655">
        <v>215500000</v>
      </c>
      <c r="P452" s="655">
        <v>3858000</v>
      </c>
      <c r="Q452" s="655">
        <v>175150000</v>
      </c>
      <c r="R452" s="655">
        <v>173371867</v>
      </c>
      <c r="S452" s="655">
        <v>284</v>
      </c>
      <c r="T452" s="655">
        <v>78800860</v>
      </c>
      <c r="U452" s="655">
        <v>13600000</v>
      </c>
      <c r="V452" s="655">
        <v>882792</v>
      </c>
      <c r="W452" s="655">
        <v>13475934.950140858</v>
      </c>
      <c r="X452" s="655">
        <v>14187000</v>
      </c>
      <c r="Y452" s="655"/>
      <c r="Z452" s="655">
        <v>4749199077</v>
      </c>
      <c r="AA452" s="655">
        <v>2962</v>
      </c>
      <c r="AB452" s="655">
        <v>144</v>
      </c>
      <c r="AC452" s="655">
        <v>0</v>
      </c>
      <c r="AD452" s="655">
        <v>0</v>
      </c>
      <c r="AE452" s="655">
        <v>0</v>
      </c>
      <c r="AF452" s="655">
        <v>190715529</v>
      </c>
      <c r="AG452" s="655">
        <v>4939914606</v>
      </c>
      <c r="AH452" s="655">
        <v>420523933</v>
      </c>
      <c r="AI452" s="655">
        <v>22630400</v>
      </c>
      <c r="AJ452" s="655">
        <v>5872439</v>
      </c>
      <c r="AK452" s="655">
        <v>391500</v>
      </c>
      <c r="AL452" s="655">
        <v>1061843</v>
      </c>
      <c r="AM452" s="655">
        <v>4489434491</v>
      </c>
      <c r="AN452" s="654">
        <v>570</v>
      </c>
    </row>
    <row r="453" spans="3:40">
      <c r="C453" s="117"/>
      <c r="D453" s="658"/>
      <c r="E453" s="659">
        <f>SUM(E448:E452)</f>
        <v>34367.899999999994</v>
      </c>
      <c r="F453" s="659">
        <f t="shared" ref="F453:AN453" si="991">SUM(F448:F452)</f>
        <v>9139785910</v>
      </c>
      <c r="G453" s="659">
        <f t="shared" si="991"/>
        <v>4540</v>
      </c>
      <c r="H453" s="659">
        <f t="shared" si="991"/>
        <v>1191804481</v>
      </c>
      <c r="I453" s="659">
        <f t="shared" si="991"/>
        <v>4101.5</v>
      </c>
      <c r="J453" s="659">
        <f t="shared" si="991"/>
        <v>39634851</v>
      </c>
      <c r="K453" s="659">
        <f t="shared" si="991"/>
        <v>10371225242</v>
      </c>
      <c r="L453" s="659">
        <f t="shared" si="991"/>
        <v>64282110</v>
      </c>
      <c r="M453" s="659">
        <f t="shared" si="991"/>
        <v>286000000</v>
      </c>
      <c r="N453" s="659">
        <f t="shared" si="991"/>
        <v>0</v>
      </c>
      <c r="O453" s="659">
        <f t="shared" si="991"/>
        <v>580500000</v>
      </c>
      <c r="P453" s="659">
        <f t="shared" si="991"/>
        <v>7662000</v>
      </c>
      <c r="Q453" s="659">
        <f t="shared" si="991"/>
        <v>488350000</v>
      </c>
      <c r="R453" s="659">
        <f t="shared" si="991"/>
        <v>702402596</v>
      </c>
      <c r="S453" s="659">
        <f t="shared" si="991"/>
        <v>625</v>
      </c>
      <c r="T453" s="659">
        <f t="shared" si="991"/>
        <v>165038190</v>
      </c>
      <c r="U453" s="659">
        <f t="shared" si="991"/>
        <v>33800000</v>
      </c>
      <c r="V453" s="659">
        <f t="shared" si="991"/>
        <v>4152285</v>
      </c>
      <c r="W453" s="659">
        <f t="shared" si="991"/>
        <v>42540006.976524763</v>
      </c>
      <c r="X453" s="659">
        <f t="shared" si="991"/>
        <v>23405000</v>
      </c>
      <c r="Y453" s="659"/>
      <c r="Z453" s="659">
        <f t="shared" si="991"/>
        <v>12769357419</v>
      </c>
      <c r="AA453" s="659">
        <f t="shared" si="991"/>
        <v>7547</v>
      </c>
      <c r="AB453" s="659">
        <f t="shared" si="991"/>
        <v>787</v>
      </c>
      <c r="AC453" s="659">
        <f t="shared" si="991"/>
        <v>298</v>
      </c>
      <c r="AD453" s="659">
        <f t="shared" si="991"/>
        <v>0</v>
      </c>
      <c r="AE453" s="659">
        <f t="shared" si="991"/>
        <v>0</v>
      </c>
      <c r="AF453" s="659">
        <f t="shared" si="991"/>
        <v>469204809</v>
      </c>
      <c r="AG453" s="659">
        <f t="shared" si="991"/>
        <v>13238562228</v>
      </c>
      <c r="AH453" s="659">
        <f t="shared" si="991"/>
        <v>1120291699</v>
      </c>
      <c r="AI453" s="659">
        <f t="shared" si="991"/>
        <v>62608000</v>
      </c>
      <c r="AJ453" s="659">
        <f t="shared" si="991"/>
        <v>15934445</v>
      </c>
      <c r="AK453" s="659">
        <f t="shared" si="991"/>
        <v>1676000</v>
      </c>
      <c r="AL453" s="659">
        <f t="shared" si="991"/>
        <v>2783011</v>
      </c>
      <c r="AM453" s="659">
        <f t="shared" si="991"/>
        <v>12035269073</v>
      </c>
      <c r="AN453" s="659">
        <f t="shared" si="991"/>
        <v>1568</v>
      </c>
    </row>
    <row r="454" spans="3:40">
      <c r="D454" s="654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55"/>
      <c r="AB454" s="655"/>
      <c r="AC454" s="655"/>
      <c r="AD454" s="655"/>
      <c r="AE454" s="655"/>
      <c r="AF454" s="655"/>
      <c r="AG454" s="655"/>
      <c r="AH454" s="655"/>
      <c r="AI454" s="655"/>
      <c r="AJ454" s="655"/>
      <c r="AK454" s="655"/>
      <c r="AL454" s="655"/>
      <c r="AM454" s="655"/>
    </row>
    <row r="455" spans="3:40" ht="21.75" customHeight="1">
      <c r="C455" s="1605" t="str">
        <f>C462&amp;" Vs "&amp;C469</f>
        <v>Aug Vs Jul</v>
      </c>
      <c r="D455" s="654" t="s">
        <v>216</v>
      </c>
      <c r="E455" s="657">
        <f>+E462/E469</f>
        <v>1.0763651621411017</v>
      </c>
      <c r="F455" s="657">
        <f t="shared" ref="F455:AM460" si="992">+F462/F469</f>
        <v>1.073831035383402</v>
      </c>
      <c r="G455" s="657">
        <f t="shared" si="992"/>
        <v>0.94092827004219415</v>
      </c>
      <c r="H455" s="657">
        <f t="shared" si="992"/>
        <v>0.93341260417774508</v>
      </c>
      <c r="I455" s="657"/>
      <c r="J455" s="657"/>
      <c r="K455" s="657">
        <f t="shared" si="992"/>
        <v>1.0706367372694525</v>
      </c>
      <c r="L455" s="657">
        <f t="shared" si="992"/>
        <v>1.006533617581109</v>
      </c>
      <c r="M455" s="657">
        <f t="shared" si="992"/>
        <v>1.0245700245700247</v>
      </c>
      <c r="N455" s="657" t="e">
        <f t="shared" si="992"/>
        <v>#DIV/0!</v>
      </c>
      <c r="O455" s="657">
        <f t="shared" si="992"/>
        <v>1.1056105610561056</v>
      </c>
      <c r="P455" s="657">
        <f t="shared" si="992"/>
        <v>0.29154518950437319</v>
      </c>
      <c r="Q455" s="657">
        <f t="shared" si="992"/>
        <v>1.0594285714285714</v>
      </c>
      <c r="R455" s="657">
        <f t="shared" si="992"/>
        <v>1.0767800061235493</v>
      </c>
      <c r="S455" s="657">
        <f t="shared" si="992"/>
        <v>1.0307692307692307</v>
      </c>
      <c r="T455" s="657">
        <f t="shared" si="992"/>
        <v>1.0568120431029051</v>
      </c>
      <c r="U455" s="657">
        <f t="shared" si="992"/>
        <v>1.0135135135135136</v>
      </c>
      <c r="V455" s="657">
        <f t="shared" si="992"/>
        <v>0.34140806450120448</v>
      </c>
      <c r="W455" s="657">
        <f t="shared" si="992"/>
        <v>1.0419009780039321</v>
      </c>
      <c r="X455" s="657"/>
      <c r="Y455" s="657"/>
      <c r="Z455" s="657">
        <f t="shared" si="992"/>
        <v>1.0701980154876629</v>
      </c>
      <c r="AA455" s="657">
        <f t="shared" si="992"/>
        <v>1.0938080386866174</v>
      </c>
      <c r="AB455" s="657"/>
      <c r="AC455" s="657"/>
      <c r="AD455" s="657" t="e">
        <f t="shared" si="992"/>
        <v>#DIV/0!</v>
      </c>
      <c r="AE455" s="657" t="e">
        <f t="shared" si="992"/>
        <v>#DIV/0!</v>
      </c>
      <c r="AF455" s="657">
        <f t="shared" si="992"/>
        <v>1.1099903926099495</v>
      </c>
      <c r="AG455" s="657">
        <f t="shared" si="992"/>
        <v>1.0767806619534257</v>
      </c>
      <c r="AH455" s="657">
        <f t="shared" si="992"/>
        <v>0.99071443452530039</v>
      </c>
      <c r="AI455" s="657">
        <f t="shared" si="992"/>
        <v>0.99257425742574257</v>
      </c>
      <c r="AJ455" s="657">
        <f t="shared" si="992"/>
        <v>1.4312718053420985</v>
      </c>
      <c r="AK455" s="657">
        <f t="shared" si="992"/>
        <v>0.18978102189781021</v>
      </c>
      <c r="AL455" s="657">
        <f t="shared" si="992"/>
        <v>0</v>
      </c>
      <c r="AM455" s="657">
        <f t="shared" si="992"/>
        <v>1.0839341484102576</v>
      </c>
      <c r="AN455" s="503">
        <f t="shared" ref="AN455" si="993">+AN462/AN469</f>
        <v>1.0143198090692125</v>
      </c>
    </row>
    <row r="456" spans="3:40" ht="21.75" customHeight="1">
      <c r="C456" s="1605"/>
      <c r="D456" s="654" t="s">
        <v>217</v>
      </c>
      <c r="E456" s="657">
        <f t="shared" ref="E456:T460" si="994">+E463/E470</f>
        <v>1.085474592521573</v>
      </c>
      <c r="F456" s="657">
        <f t="shared" si="994"/>
        <v>1.0706753684952666</v>
      </c>
      <c r="G456" s="657">
        <f t="shared" si="994"/>
        <v>1</v>
      </c>
      <c r="H456" s="657">
        <f t="shared" si="994"/>
        <v>0.9581152809452671</v>
      </c>
      <c r="I456" s="657">
        <f t="shared" si="994"/>
        <v>1.7293577981651376</v>
      </c>
      <c r="J456" s="657">
        <f t="shared" si="994"/>
        <v>1.8042045249341021</v>
      </c>
      <c r="K456" s="657">
        <f t="shared" si="994"/>
        <v>1.0764018958453101</v>
      </c>
      <c r="L456" s="657">
        <f t="shared" si="994"/>
        <v>0.80523109136722948</v>
      </c>
      <c r="M456" s="657">
        <f t="shared" si="994"/>
        <v>1.0670731707317074</v>
      </c>
      <c r="N456" s="657" t="e">
        <f t="shared" si="994"/>
        <v>#DIV/0!</v>
      </c>
      <c r="O456" s="657">
        <f t="shared" si="994"/>
        <v>1.1162790697674418</v>
      </c>
      <c r="P456" s="657">
        <f t="shared" si="994"/>
        <v>0.38167938931297712</v>
      </c>
      <c r="Q456" s="657">
        <f t="shared" si="994"/>
        <v>1.0738317757009346</v>
      </c>
      <c r="R456" s="657">
        <f t="shared" si="994"/>
        <v>1.1235193138985824</v>
      </c>
      <c r="S456" s="657">
        <f t="shared" si="994"/>
        <v>0.96666666666666667</v>
      </c>
      <c r="T456" s="657">
        <f t="shared" si="994"/>
        <v>1.0093494762536326</v>
      </c>
      <c r="U456" s="657">
        <f t="shared" si="992"/>
        <v>1.1071428571428572</v>
      </c>
      <c r="V456" s="657">
        <f t="shared" si="992"/>
        <v>2.0323317667582312</v>
      </c>
      <c r="W456" s="657">
        <f t="shared" si="992"/>
        <v>1.1132759845207316</v>
      </c>
      <c r="X456" s="657">
        <f t="shared" si="992"/>
        <v>1.7293577981651376</v>
      </c>
      <c r="Y456" s="657"/>
      <c r="Z456" s="657">
        <f t="shared" si="992"/>
        <v>1.0825214296070811</v>
      </c>
      <c r="AA456" s="657">
        <f t="shared" si="992"/>
        <v>0.85591033704241248</v>
      </c>
      <c r="AB456" s="657">
        <f t="shared" si="992"/>
        <v>0.77777777777777779</v>
      </c>
      <c r="AC456" s="657">
        <f t="shared" si="992"/>
        <v>2.3193277310924372</v>
      </c>
      <c r="AD456" s="657" t="e">
        <f t="shared" si="992"/>
        <v>#DIV/0!</v>
      </c>
      <c r="AE456" s="657" t="e">
        <f t="shared" si="992"/>
        <v>#DIV/0!</v>
      </c>
      <c r="AF456" s="657">
        <f t="shared" si="992"/>
        <v>0.93127029064530797</v>
      </c>
      <c r="AG456" s="657">
        <f t="shared" si="992"/>
        <v>1.0542954393342432</v>
      </c>
      <c r="AH456" s="657">
        <f t="shared" si="992"/>
        <v>1.0050480732244995</v>
      </c>
      <c r="AI456" s="657">
        <f t="shared" si="992"/>
        <v>1</v>
      </c>
      <c r="AJ456" s="657">
        <f t="shared" si="992"/>
        <v>1.3132595685436588</v>
      </c>
      <c r="AK456" s="657"/>
      <c r="AL456" s="657">
        <f t="shared" si="992"/>
        <v>0</v>
      </c>
      <c r="AM456" s="657">
        <f t="shared" si="992"/>
        <v>1.058385345244911</v>
      </c>
      <c r="AN456" s="503">
        <f t="shared" ref="AN456" si="995">+AN463/AN470</f>
        <v>1.0056497175141244</v>
      </c>
    </row>
    <row r="457" spans="3:40" ht="21.75" customHeight="1">
      <c r="C457" s="1605"/>
      <c r="D457" s="654" t="s">
        <v>218</v>
      </c>
      <c r="E457" s="657">
        <f t="shared" si="994"/>
        <v>1.0512977099236638</v>
      </c>
      <c r="F457" s="657">
        <f t="shared" si="992"/>
        <v>1.0460722864343108</v>
      </c>
      <c r="G457" s="657">
        <f t="shared" si="992"/>
        <v>0.80303030303030298</v>
      </c>
      <c r="H457" s="657">
        <f t="shared" si="992"/>
        <v>0.81122516017279311</v>
      </c>
      <c r="I457" s="657"/>
      <c r="J457" s="657"/>
      <c r="K457" s="657">
        <f t="shared" si="992"/>
        <v>1.041732348515805</v>
      </c>
      <c r="L457" s="657">
        <f t="shared" si="992"/>
        <v>0.87001296414210072</v>
      </c>
      <c r="M457" s="657">
        <f t="shared" si="992"/>
        <v>1.0147058823529411</v>
      </c>
      <c r="N457" s="657" t="e">
        <f t="shared" si="992"/>
        <v>#DIV/0!</v>
      </c>
      <c r="O457" s="657">
        <f t="shared" si="992"/>
        <v>1.1057692307692308</v>
      </c>
      <c r="P457" s="657">
        <f t="shared" si="992"/>
        <v>0.34602076124567471</v>
      </c>
      <c r="Q457" s="657">
        <f t="shared" si="992"/>
        <v>1.1276223776223777</v>
      </c>
      <c r="R457" s="657">
        <f t="shared" si="992"/>
        <v>1.3332489646596848</v>
      </c>
      <c r="S457" s="657">
        <f t="shared" si="992"/>
        <v>1.0621118012422359</v>
      </c>
      <c r="T457" s="657">
        <f t="shared" si="992"/>
        <v>1.0641606058146511</v>
      </c>
      <c r="U457" s="657">
        <f t="shared" si="992"/>
        <v>1</v>
      </c>
      <c r="V457" s="657">
        <f t="shared" si="992"/>
        <v>2.0677786272643583</v>
      </c>
      <c r="W457" s="657">
        <f t="shared" si="992"/>
        <v>1.0566275103146623</v>
      </c>
      <c r="X457" s="657"/>
      <c r="Y457" s="657"/>
      <c r="Z457" s="657">
        <f t="shared" si="992"/>
        <v>1.080184762684647</v>
      </c>
      <c r="AA457" s="657">
        <f t="shared" si="992"/>
        <v>1.3036923749180687</v>
      </c>
      <c r="AB457" s="657"/>
      <c r="AC457" s="657"/>
      <c r="AD457" s="657" t="e">
        <f t="shared" si="992"/>
        <v>#DIV/0!</v>
      </c>
      <c r="AE457" s="657" t="e">
        <f t="shared" si="992"/>
        <v>#DIV/0!</v>
      </c>
      <c r="AF457" s="657">
        <f t="shared" si="992"/>
        <v>1.3271925072571766</v>
      </c>
      <c r="AG457" s="657">
        <f t="shared" si="992"/>
        <v>1.1176731718977104</v>
      </c>
      <c r="AH457" s="657">
        <f t="shared" si="992"/>
        <v>0.97118959875283606</v>
      </c>
      <c r="AI457" s="657">
        <f t="shared" si="992"/>
        <v>1.0268199233716475</v>
      </c>
      <c r="AJ457" s="657">
        <f t="shared" si="992"/>
        <v>0.88180467579470911</v>
      </c>
      <c r="AK457" s="657">
        <f t="shared" si="992"/>
        <v>0.11385083713850837</v>
      </c>
      <c r="AL457" s="657">
        <f t="shared" si="992"/>
        <v>0</v>
      </c>
      <c r="AM457" s="657">
        <f t="shared" si="992"/>
        <v>1.1302124555408011</v>
      </c>
      <c r="AN457" s="503">
        <f t="shared" ref="AN457" si="996">+AN464/AN471</f>
        <v>0.95016611295681064</v>
      </c>
    </row>
    <row r="458" spans="3:40" ht="21.75" customHeight="1">
      <c r="C458" s="1605"/>
      <c r="D458" s="654" t="s">
        <v>220</v>
      </c>
      <c r="E458" s="657">
        <f t="shared" si="994"/>
        <v>1.0896474933463693</v>
      </c>
      <c r="F458" s="657">
        <f t="shared" si="992"/>
        <v>1.0594785425417614</v>
      </c>
      <c r="G458" s="657">
        <f t="shared" si="992"/>
        <v>0.94736842105263153</v>
      </c>
      <c r="H458" s="657">
        <f t="shared" si="992"/>
        <v>0.93899856068656107</v>
      </c>
      <c r="I458" s="657"/>
      <c r="J458" s="657"/>
      <c r="K458" s="657">
        <f t="shared" si="992"/>
        <v>1.057796826737655</v>
      </c>
      <c r="L458" s="657">
        <f t="shared" si="992"/>
        <v>1.0019351208918186</v>
      </c>
      <c r="M458" s="657">
        <f t="shared" si="992"/>
        <v>1.1125</v>
      </c>
      <c r="N458" s="657" t="e">
        <f t="shared" si="992"/>
        <v>#DIV/0!</v>
      </c>
      <c r="O458" s="657">
        <f t="shared" si="992"/>
        <v>1.1428571428571428</v>
      </c>
      <c r="P458" s="657">
        <f t="shared" si="992"/>
        <v>0.87755102040816324</v>
      </c>
      <c r="Q458" s="657">
        <f t="shared" si="992"/>
        <v>1.1345454545454545</v>
      </c>
      <c r="R458" s="657">
        <f t="shared" si="992"/>
        <v>1.3603057319770835</v>
      </c>
      <c r="S458" s="657">
        <f t="shared" si="992"/>
        <v>1.0340909090909092</v>
      </c>
      <c r="T458" s="657">
        <f t="shared" si="992"/>
        <v>1.0094860490225077</v>
      </c>
      <c r="U458" s="657">
        <f t="shared" si="992"/>
        <v>0.97297297297297303</v>
      </c>
      <c r="V458" s="657">
        <f t="shared" si="992"/>
        <v>0.27572310344827589</v>
      </c>
      <c r="W458" s="657">
        <f t="shared" si="992"/>
        <v>1.0292983097321766</v>
      </c>
      <c r="X458" s="657">
        <f t="shared" si="992"/>
        <v>0.91448931116389554</v>
      </c>
      <c r="Y458" s="657"/>
      <c r="Z458" s="657">
        <f t="shared" si="992"/>
        <v>1.0587820986606844</v>
      </c>
      <c r="AA458" s="657">
        <f t="shared" si="992"/>
        <v>1.0698109994891878</v>
      </c>
      <c r="AB458" s="657">
        <f t="shared" si="992"/>
        <v>0.16326530612244897</v>
      </c>
      <c r="AC458" s="657">
        <f t="shared" si="992"/>
        <v>0</v>
      </c>
      <c r="AD458" s="657" t="e">
        <f t="shared" si="992"/>
        <v>#DIV/0!</v>
      </c>
      <c r="AE458" s="657" t="e">
        <f t="shared" si="992"/>
        <v>#DIV/0!</v>
      </c>
      <c r="AF458" s="657">
        <f t="shared" si="992"/>
        <v>0.97899397589416803</v>
      </c>
      <c r="AG458" s="657">
        <f t="shared" si="992"/>
        <v>1.0517543422021565</v>
      </c>
      <c r="AH458" s="657">
        <f t="shared" si="992"/>
        <v>1.0296097821554067</v>
      </c>
      <c r="AI458" s="657">
        <f t="shared" si="992"/>
        <v>1.0514705882352942</v>
      </c>
      <c r="AJ458" s="657">
        <f t="shared" si="992"/>
        <v>1.1369805526533014</v>
      </c>
      <c r="AK458" s="657">
        <f t="shared" si="992"/>
        <v>0.73495811119573495</v>
      </c>
      <c r="AL458" s="657">
        <f t="shared" si="992"/>
        <v>7.333153899025939E-2</v>
      </c>
      <c r="AM458" s="657">
        <f t="shared" si="992"/>
        <v>1.0553876803521525</v>
      </c>
      <c r="AN458" s="503">
        <f t="shared" ref="AN458" si="997">+AN465/AN472</f>
        <v>1.0463576158940397</v>
      </c>
    </row>
    <row r="459" spans="3:40" s="653" customFormat="1" ht="21.75" customHeight="1">
      <c r="C459" s="1605"/>
      <c r="D459" s="656" t="s">
        <v>219</v>
      </c>
      <c r="E459" s="657">
        <f t="shared" si="994"/>
        <v>1.0474613536732671</v>
      </c>
      <c r="F459" s="657">
        <f t="shared" si="992"/>
        <v>1.0459712474849447</v>
      </c>
      <c r="G459" s="657">
        <f t="shared" si="992"/>
        <v>0.85323383084577109</v>
      </c>
      <c r="H459" s="657">
        <f t="shared" si="992"/>
        <v>0.84135009430597341</v>
      </c>
      <c r="I459" s="657">
        <f t="shared" si="992"/>
        <v>1.0621010031919744</v>
      </c>
      <c r="J459" s="657">
        <f t="shared" si="992"/>
        <v>1.073152042191339</v>
      </c>
      <c r="K459" s="657">
        <f t="shared" si="992"/>
        <v>1.0407613600891528</v>
      </c>
      <c r="L459" s="657">
        <f t="shared" si="992"/>
        <v>1.0154211600595073</v>
      </c>
      <c r="M459" s="657">
        <f t="shared" si="992"/>
        <v>1.0126126126126127</v>
      </c>
      <c r="N459" s="657" t="e">
        <f t="shared" si="992"/>
        <v>#DIV/0!</v>
      </c>
      <c r="O459" s="657">
        <f t="shared" si="992"/>
        <v>0.97685185185185186</v>
      </c>
      <c r="P459" s="657">
        <f t="shared" si="992"/>
        <v>1</v>
      </c>
      <c r="Q459" s="657">
        <f t="shared" si="992"/>
        <v>1.014435324087178</v>
      </c>
      <c r="R459" s="657">
        <f t="shared" si="992"/>
        <v>0.85136708689031992</v>
      </c>
      <c r="S459" s="657">
        <f t="shared" si="992"/>
        <v>1.2022900763358779</v>
      </c>
      <c r="T459" s="657">
        <f t="shared" si="992"/>
        <v>1.1962197320857904</v>
      </c>
      <c r="U459" s="657">
        <f t="shared" si="992"/>
        <v>1.0518518518518518</v>
      </c>
      <c r="V459" s="657">
        <f t="shared" si="992"/>
        <v>0.98462357400755329</v>
      </c>
      <c r="W459" s="657">
        <f t="shared" si="992"/>
        <v>1.03639795001307</v>
      </c>
      <c r="X459" s="657">
        <f t="shared" si="992"/>
        <v>1.0661182205971969</v>
      </c>
      <c r="Y459" s="657"/>
      <c r="Z459" s="657">
        <f t="shared" si="992"/>
        <v>1.0291431155971369</v>
      </c>
      <c r="AA459" s="657">
        <f t="shared" si="992"/>
        <v>0.84476344697798589</v>
      </c>
      <c r="AB459" s="657">
        <f t="shared" si="992"/>
        <v>0.80861640430820214</v>
      </c>
      <c r="AC459" s="657">
        <f t="shared" si="992"/>
        <v>0.33333333333333331</v>
      </c>
      <c r="AD459" s="657" t="e">
        <f t="shared" si="992"/>
        <v>#DIV/0!</v>
      </c>
      <c r="AE459" s="657" t="e">
        <f t="shared" si="992"/>
        <v>#DIV/0!</v>
      </c>
      <c r="AF459" s="657">
        <f t="shared" si="992"/>
        <v>0.86905813940687837</v>
      </c>
      <c r="AG459" s="657">
        <f t="shared" si="992"/>
        <v>1.0004761375043159</v>
      </c>
      <c r="AH459" s="657">
        <f t="shared" si="992"/>
        <v>0.98515914218607836</v>
      </c>
      <c r="AI459" s="657">
        <f t="shared" si="992"/>
        <v>0.98634812286689422</v>
      </c>
      <c r="AJ459" s="657">
        <f t="shared" si="992"/>
        <v>1.1482405728656297</v>
      </c>
      <c r="AK459" s="657">
        <f t="shared" si="992"/>
        <v>0.62662013958125629</v>
      </c>
      <c r="AL459" s="657">
        <f t="shared" si="992"/>
        <v>0.58051854290337956</v>
      </c>
      <c r="AM459" s="657">
        <f t="shared" si="992"/>
        <v>1.0017117563896776</v>
      </c>
      <c r="AN459" s="503">
        <f t="shared" ref="AN459" si="998">+AN466/AN473</f>
        <v>1.0098360655737706</v>
      </c>
    </row>
    <row r="460" spans="3:40" s="492" customFormat="1" ht="21.75" customHeight="1">
      <c r="D460" s="676" t="s">
        <v>79</v>
      </c>
      <c r="E460" s="677">
        <f t="shared" si="994"/>
        <v>1.0634104823735933</v>
      </c>
      <c r="F460" s="677">
        <f t="shared" si="992"/>
        <v>1.056628504366607</v>
      </c>
      <c r="G460" s="677">
        <f t="shared" si="992"/>
        <v>0.88815789473684215</v>
      </c>
      <c r="H460" s="677">
        <f t="shared" si="992"/>
        <v>0.87787621311118191</v>
      </c>
      <c r="I460" s="677">
        <f t="shared" si="992"/>
        <v>1.2540501035364815</v>
      </c>
      <c r="J460" s="677">
        <f t="shared" si="992"/>
        <v>1.2525753733886447</v>
      </c>
      <c r="K460" s="677">
        <f t="shared" si="992"/>
        <v>1.0535891170194274</v>
      </c>
      <c r="L460" s="677">
        <f t="shared" si="992"/>
        <v>0.99837875106015828</v>
      </c>
      <c r="M460" s="677">
        <f t="shared" si="992"/>
        <v>1.0277401894451963</v>
      </c>
      <c r="N460" s="677" t="e">
        <f t="shared" si="992"/>
        <v>#DIV/0!</v>
      </c>
      <c r="O460" s="677">
        <f t="shared" si="992"/>
        <v>1.0599118942731278</v>
      </c>
      <c r="P460" s="677">
        <f t="shared" si="992"/>
        <v>0.82023968042609852</v>
      </c>
      <c r="Q460" s="677">
        <f t="shared" si="992"/>
        <v>1.0609858858226249</v>
      </c>
      <c r="R460" s="677">
        <f t="shared" si="992"/>
        <v>1.0930322383908249</v>
      </c>
      <c r="S460" s="677">
        <f t="shared" si="992"/>
        <v>1.0866834170854272</v>
      </c>
      <c r="T460" s="677">
        <f t="shared" si="992"/>
        <v>1.0923580434255173</v>
      </c>
      <c r="U460" s="677">
        <f t="shared" si="992"/>
        <v>1.029585798816568</v>
      </c>
      <c r="V460" s="677">
        <f t="shared" si="992"/>
        <v>0.77028865278371983</v>
      </c>
      <c r="W460" s="677">
        <f t="shared" si="992"/>
        <v>1.0455792081466388</v>
      </c>
      <c r="X460" s="677">
        <f t="shared" si="992"/>
        <v>1.2216148334195169</v>
      </c>
      <c r="Y460" s="677"/>
      <c r="Z460" s="677">
        <f t="shared" si="992"/>
        <v>1.0560900437729599</v>
      </c>
      <c r="AA460" s="677">
        <f t="shared" si="992"/>
        <v>0.99788842967748925</v>
      </c>
      <c r="AB460" s="677">
        <f t="shared" si="992"/>
        <v>0.76190476190476186</v>
      </c>
      <c r="AC460" s="677">
        <f t="shared" si="992"/>
        <v>1.6487663280116109</v>
      </c>
      <c r="AD460" s="677" t="e">
        <f t="shared" si="992"/>
        <v>#DIV/0!</v>
      </c>
      <c r="AE460" s="677" t="e">
        <f t="shared" si="992"/>
        <v>#DIV/0!</v>
      </c>
      <c r="AF460" s="677">
        <f t="shared" si="992"/>
        <v>1.0088287113549999</v>
      </c>
      <c r="AG460" s="677">
        <f t="shared" si="992"/>
        <v>1.0484663402841965</v>
      </c>
      <c r="AH460" s="677">
        <f t="shared" si="992"/>
        <v>0.99267050094219356</v>
      </c>
      <c r="AI460" s="677">
        <f t="shared" si="992"/>
        <v>1.0019292604501608</v>
      </c>
      <c r="AJ460" s="677">
        <f t="shared" si="992"/>
        <v>1.1303167697958114</v>
      </c>
      <c r="AK460" s="677">
        <f t="shared" si="992"/>
        <v>0.44419902348291096</v>
      </c>
      <c r="AL460" s="677">
        <f t="shared" si="992"/>
        <v>0.16986964076148911</v>
      </c>
      <c r="AM460" s="677">
        <f t="shared" si="992"/>
        <v>1.0535017277995702</v>
      </c>
      <c r="AN460" s="677">
        <f t="shared" ref="AN460" si="999">+AN467/AN474</f>
        <v>1.003015681544029</v>
      </c>
    </row>
    <row r="462" spans="3:40">
      <c r="C462" s="1610" t="s">
        <v>70</v>
      </c>
      <c r="D462" s="654" t="s">
        <v>216</v>
      </c>
      <c r="E462" s="655">
        <v>10774.199999999992</v>
      </c>
      <c r="F462" s="655">
        <v>2438984247</v>
      </c>
      <c r="G462" s="655">
        <v>223</v>
      </c>
      <c r="H462" s="655">
        <v>49350511</v>
      </c>
      <c r="I462" s="655">
        <v>0</v>
      </c>
      <c r="J462" s="655">
        <v>0</v>
      </c>
      <c r="K462" s="655">
        <v>2488334758</v>
      </c>
      <c r="L462" s="655">
        <v>838519</v>
      </c>
      <c r="M462" s="655">
        <v>83400000</v>
      </c>
      <c r="N462" s="655">
        <v>0</v>
      </c>
      <c r="O462" s="655">
        <v>167500000</v>
      </c>
      <c r="P462" s="655">
        <v>200000</v>
      </c>
      <c r="Q462" s="655">
        <v>139050000</v>
      </c>
      <c r="R462" s="655">
        <v>265110300</v>
      </c>
      <c r="S462" s="655">
        <v>201</v>
      </c>
      <c r="T462" s="655">
        <v>46010446</v>
      </c>
      <c r="U462" s="655">
        <v>7500000</v>
      </c>
      <c r="V462" s="655">
        <v>442753</v>
      </c>
      <c r="W462" s="655">
        <v>12629410.199504049</v>
      </c>
      <c r="X462" s="655">
        <v>0</v>
      </c>
      <c r="Y462" s="655"/>
      <c r="Z462" s="655">
        <v>3211016185</v>
      </c>
      <c r="AA462" s="655">
        <v>15607</v>
      </c>
      <c r="AB462" s="655">
        <v>0</v>
      </c>
      <c r="AC462" s="655">
        <v>0</v>
      </c>
      <c r="AD462" s="655">
        <v>0</v>
      </c>
      <c r="AE462" s="655">
        <v>0</v>
      </c>
      <c r="AF462" s="655">
        <v>660134987</v>
      </c>
      <c r="AG462" s="655">
        <v>3871151172</v>
      </c>
      <c r="AH462" s="655">
        <v>249890550</v>
      </c>
      <c r="AI462" s="655">
        <v>16681600</v>
      </c>
      <c r="AJ462" s="655">
        <v>510340</v>
      </c>
      <c r="AK462" s="655">
        <v>65000</v>
      </c>
      <c r="AL462" s="655">
        <v>0</v>
      </c>
      <c r="AM462" s="655">
        <v>3604003682</v>
      </c>
      <c r="AN462" s="654">
        <v>425</v>
      </c>
    </row>
    <row r="463" spans="3:40">
      <c r="C463" s="1610"/>
      <c r="D463" s="654" t="s">
        <v>217</v>
      </c>
      <c r="E463" s="655">
        <v>4528.6000000000022</v>
      </c>
      <c r="F463" s="655">
        <v>1132732215</v>
      </c>
      <c r="G463" s="655">
        <v>84</v>
      </c>
      <c r="H463" s="655">
        <v>19613576</v>
      </c>
      <c r="I463" s="655">
        <v>2450.5</v>
      </c>
      <c r="J463" s="655">
        <v>21021422</v>
      </c>
      <c r="K463" s="655">
        <v>1173367213</v>
      </c>
      <c r="L463" s="655">
        <v>2087407</v>
      </c>
      <c r="M463" s="655">
        <v>35000000</v>
      </c>
      <c r="N463" s="655">
        <v>0</v>
      </c>
      <c r="O463" s="655">
        <v>72000000</v>
      </c>
      <c r="P463" s="655">
        <v>200000</v>
      </c>
      <c r="Q463" s="655">
        <v>57450000</v>
      </c>
      <c r="R463" s="655">
        <v>92467050</v>
      </c>
      <c r="S463" s="655">
        <v>87</v>
      </c>
      <c r="T463" s="655">
        <v>22646105</v>
      </c>
      <c r="U463" s="655">
        <v>3100000</v>
      </c>
      <c r="V463" s="655">
        <v>936657</v>
      </c>
      <c r="W463" s="655">
        <v>2954712.0577943004</v>
      </c>
      <c r="X463" s="655">
        <v>11310000</v>
      </c>
      <c r="Y463" s="655"/>
      <c r="Z463" s="655">
        <v>1473519145</v>
      </c>
      <c r="AA463" s="655">
        <v>5307.5</v>
      </c>
      <c r="AB463" s="655">
        <v>56</v>
      </c>
      <c r="AC463" s="655">
        <v>552</v>
      </c>
      <c r="AD463" s="655">
        <v>0</v>
      </c>
      <c r="AE463" s="655">
        <v>0</v>
      </c>
      <c r="AF463" s="655">
        <v>290837443</v>
      </c>
      <c r="AG463" s="655">
        <v>1764356588</v>
      </c>
      <c r="AH463" s="655">
        <v>115293150</v>
      </c>
      <c r="AI463" s="655">
        <v>6988800</v>
      </c>
      <c r="AJ463" s="655">
        <v>950817</v>
      </c>
      <c r="AK463" s="655">
        <v>65000</v>
      </c>
      <c r="AL463" s="655">
        <v>0</v>
      </c>
      <c r="AM463" s="655">
        <v>1641058821</v>
      </c>
      <c r="AN463" s="654">
        <v>178</v>
      </c>
    </row>
    <row r="464" spans="3:40">
      <c r="C464" s="1610"/>
      <c r="D464" s="654" t="s">
        <v>218</v>
      </c>
      <c r="E464" s="655">
        <v>7230.2999999999956</v>
      </c>
      <c r="F464" s="655">
        <v>1635588402</v>
      </c>
      <c r="G464" s="655">
        <v>106</v>
      </c>
      <c r="H464" s="655">
        <v>23881015</v>
      </c>
      <c r="I464" s="655">
        <v>0</v>
      </c>
      <c r="J464" s="655">
        <v>0</v>
      </c>
      <c r="K464" s="655">
        <v>1659469417</v>
      </c>
      <c r="L464" s="655">
        <v>606667</v>
      </c>
      <c r="M464" s="655">
        <v>55200000</v>
      </c>
      <c r="N464" s="655">
        <v>0</v>
      </c>
      <c r="O464" s="655">
        <v>115000000</v>
      </c>
      <c r="P464" s="655">
        <v>200000</v>
      </c>
      <c r="Q464" s="655">
        <v>96750000</v>
      </c>
      <c r="R464" s="655">
        <v>312081458</v>
      </c>
      <c r="S464" s="655">
        <v>171</v>
      </c>
      <c r="T464" s="655">
        <v>37969625</v>
      </c>
      <c r="U464" s="655">
        <v>6400000</v>
      </c>
      <c r="V464" s="655">
        <v>1457786</v>
      </c>
      <c r="W464" s="655">
        <v>8576124.7697000932</v>
      </c>
      <c r="X464" s="655">
        <v>0</v>
      </c>
      <c r="Y464" s="655"/>
      <c r="Z464" s="655">
        <v>2293711069</v>
      </c>
      <c r="AA464" s="655">
        <v>11934</v>
      </c>
      <c r="AB464" s="655">
        <v>0</v>
      </c>
      <c r="AC464" s="655">
        <v>0</v>
      </c>
      <c r="AD464" s="655">
        <v>0</v>
      </c>
      <c r="AE464" s="655">
        <v>0</v>
      </c>
      <c r="AF464" s="655">
        <v>504251837</v>
      </c>
      <c r="AG464" s="655">
        <v>2797962906</v>
      </c>
      <c r="AH464" s="655">
        <v>164647245</v>
      </c>
      <c r="AI464" s="655">
        <v>11148800</v>
      </c>
      <c r="AJ464" s="655">
        <v>1537870</v>
      </c>
      <c r="AK464" s="655">
        <v>187000</v>
      </c>
      <c r="AL464" s="655">
        <v>0</v>
      </c>
      <c r="AM464" s="655">
        <v>2620441991</v>
      </c>
      <c r="AN464" s="654">
        <v>286</v>
      </c>
    </row>
    <row r="465" spans="3:40">
      <c r="C465" s="1610"/>
      <c r="D465" s="654" t="s">
        <v>220</v>
      </c>
      <c r="E465" s="655">
        <v>4012.300000000002</v>
      </c>
      <c r="F465" s="655">
        <v>1645037673</v>
      </c>
      <c r="G465" s="655">
        <v>54</v>
      </c>
      <c r="H465" s="655">
        <v>20639117</v>
      </c>
      <c r="I465" s="655">
        <v>0</v>
      </c>
      <c r="J465" s="655">
        <v>0</v>
      </c>
      <c r="K465" s="655">
        <v>1665676790</v>
      </c>
      <c r="L465" s="655">
        <v>32464812</v>
      </c>
      <c r="M465" s="655">
        <v>17800000</v>
      </c>
      <c r="N465" s="655">
        <v>0</v>
      </c>
      <c r="O465" s="655">
        <v>36000000</v>
      </c>
      <c r="P465" s="655">
        <v>3096000</v>
      </c>
      <c r="Q465" s="655">
        <v>31200000</v>
      </c>
      <c r="R465" s="655">
        <v>24335758</v>
      </c>
      <c r="S465" s="655">
        <v>91</v>
      </c>
      <c r="T465" s="655">
        <v>36760916</v>
      </c>
      <c r="U465" s="655">
        <v>3600000</v>
      </c>
      <c r="V465" s="655">
        <v>1599194</v>
      </c>
      <c r="W465" s="655">
        <v>6175277.6761366343</v>
      </c>
      <c r="X465" s="655">
        <v>770000</v>
      </c>
      <c r="Y465" s="655"/>
      <c r="Z465" s="655">
        <v>1859478752</v>
      </c>
      <c r="AA465" s="655">
        <v>3141.5</v>
      </c>
      <c r="AB465" s="655">
        <v>8</v>
      </c>
      <c r="AC465" s="655">
        <v>0</v>
      </c>
      <c r="AD465" s="655">
        <v>0</v>
      </c>
      <c r="AE465" s="655">
        <v>0</v>
      </c>
      <c r="AF465" s="655">
        <v>166068199</v>
      </c>
      <c r="AG465" s="655">
        <v>2025546951</v>
      </c>
      <c r="AH465" s="655">
        <v>166586490</v>
      </c>
      <c r="AI465" s="655">
        <v>5948800</v>
      </c>
      <c r="AJ465" s="655">
        <v>9848355</v>
      </c>
      <c r="AK465" s="655">
        <v>965000</v>
      </c>
      <c r="AL465" s="655">
        <v>230769</v>
      </c>
      <c r="AM465" s="655">
        <v>1841967537</v>
      </c>
      <c r="AN465" s="654">
        <v>158</v>
      </c>
    </row>
    <row r="466" spans="3:40">
      <c r="C466" s="1610"/>
      <c r="D466" s="654" t="s">
        <v>219</v>
      </c>
      <c r="E466" s="655">
        <v>15435.599999999979</v>
      </c>
      <c r="F466" s="655">
        <v>4107723036</v>
      </c>
      <c r="G466" s="655">
        <v>343</v>
      </c>
      <c r="H466" s="655">
        <v>91220483</v>
      </c>
      <c r="I466" s="655">
        <v>3726.7000000000003</v>
      </c>
      <c r="J466" s="655">
        <v>38441991</v>
      </c>
      <c r="K466" s="655">
        <v>4237385510</v>
      </c>
      <c r="L466" s="655">
        <v>27895182</v>
      </c>
      <c r="M466" s="655">
        <v>112400000</v>
      </c>
      <c r="N466" s="655">
        <v>0</v>
      </c>
      <c r="O466" s="655">
        <v>211000000</v>
      </c>
      <c r="P466" s="655">
        <v>3696000</v>
      </c>
      <c r="Q466" s="655">
        <v>179200000</v>
      </c>
      <c r="R466" s="655">
        <v>209677763</v>
      </c>
      <c r="S466" s="655">
        <v>315</v>
      </c>
      <c r="T466" s="655">
        <v>85619340</v>
      </c>
      <c r="U466" s="655">
        <v>14200000</v>
      </c>
      <c r="V466" s="655">
        <v>8858293</v>
      </c>
      <c r="W466" s="655">
        <v>14345327.072177378</v>
      </c>
      <c r="X466" s="655">
        <v>20994000</v>
      </c>
      <c r="Y466" s="655"/>
      <c r="Z466" s="655">
        <v>5125271403</v>
      </c>
      <c r="AA466" s="655">
        <v>19302</v>
      </c>
      <c r="AB466" s="655">
        <v>488</v>
      </c>
      <c r="AC466" s="655">
        <v>16</v>
      </c>
      <c r="AD466" s="655">
        <v>0</v>
      </c>
      <c r="AE466" s="655">
        <v>0</v>
      </c>
      <c r="AF466" s="655">
        <v>944097817</v>
      </c>
      <c r="AG466" s="655">
        <v>6069369220</v>
      </c>
      <c r="AH466" s="655">
        <v>427755405</v>
      </c>
      <c r="AI466" s="655">
        <v>24044800</v>
      </c>
      <c r="AJ466" s="655">
        <v>8707509</v>
      </c>
      <c r="AK466" s="655">
        <v>628500</v>
      </c>
      <c r="AL466" s="655">
        <v>922282</v>
      </c>
      <c r="AM466" s="655">
        <v>5607310724</v>
      </c>
      <c r="AN466" s="654">
        <v>616</v>
      </c>
    </row>
    <row r="467" spans="3:40">
      <c r="C467" s="117"/>
      <c r="D467" s="658" t="s">
        <v>79</v>
      </c>
      <c r="E467" s="659">
        <f>SUM(E462:E466)</f>
        <v>41980.999999999971</v>
      </c>
      <c r="F467" s="659">
        <f t="shared" ref="F467:AN467" si="1000">SUM(F462:F466)</f>
        <v>10960065573</v>
      </c>
      <c r="G467" s="659">
        <f t="shared" si="1000"/>
        <v>810</v>
      </c>
      <c r="H467" s="659">
        <f t="shared" si="1000"/>
        <v>204704702</v>
      </c>
      <c r="I467" s="659">
        <f t="shared" si="1000"/>
        <v>6177.2000000000007</v>
      </c>
      <c r="J467" s="659">
        <f t="shared" si="1000"/>
        <v>59463413</v>
      </c>
      <c r="K467" s="659">
        <f t="shared" si="1000"/>
        <v>11224233688</v>
      </c>
      <c r="L467" s="659">
        <f t="shared" si="1000"/>
        <v>63892587</v>
      </c>
      <c r="M467" s="659">
        <f t="shared" si="1000"/>
        <v>303800000</v>
      </c>
      <c r="N467" s="659">
        <f t="shared" si="1000"/>
        <v>0</v>
      </c>
      <c r="O467" s="659">
        <f t="shared" si="1000"/>
        <v>601500000</v>
      </c>
      <c r="P467" s="659">
        <f t="shared" si="1000"/>
        <v>7392000</v>
      </c>
      <c r="Q467" s="659">
        <f t="shared" si="1000"/>
        <v>503650000</v>
      </c>
      <c r="R467" s="659">
        <f t="shared" si="1000"/>
        <v>903672329</v>
      </c>
      <c r="S467" s="659">
        <f t="shared" si="1000"/>
        <v>865</v>
      </c>
      <c r="T467" s="659">
        <f t="shared" si="1000"/>
        <v>229006432</v>
      </c>
      <c r="U467" s="659">
        <f t="shared" si="1000"/>
        <v>34800000</v>
      </c>
      <c r="V467" s="659">
        <f t="shared" si="1000"/>
        <v>13294683</v>
      </c>
      <c r="W467" s="659">
        <f t="shared" si="1000"/>
        <v>44680851.775312461</v>
      </c>
      <c r="X467" s="659">
        <f t="shared" si="1000"/>
        <v>33074000</v>
      </c>
      <c r="Y467" s="659"/>
      <c r="Z467" s="659">
        <f t="shared" si="1000"/>
        <v>13962996554</v>
      </c>
      <c r="AA467" s="659">
        <f t="shared" si="1000"/>
        <v>55292</v>
      </c>
      <c r="AB467" s="659">
        <f t="shared" si="1000"/>
        <v>552</v>
      </c>
      <c r="AC467" s="659">
        <f t="shared" si="1000"/>
        <v>568</v>
      </c>
      <c r="AD467" s="659">
        <f t="shared" si="1000"/>
        <v>0</v>
      </c>
      <c r="AE467" s="659">
        <f t="shared" si="1000"/>
        <v>0</v>
      </c>
      <c r="AF467" s="659">
        <f t="shared" si="1000"/>
        <v>2565390283</v>
      </c>
      <c r="AG467" s="659">
        <f t="shared" si="1000"/>
        <v>16528386837</v>
      </c>
      <c r="AH467" s="659">
        <f t="shared" si="1000"/>
        <v>1124172840</v>
      </c>
      <c r="AI467" s="659">
        <f t="shared" si="1000"/>
        <v>64812800</v>
      </c>
      <c r="AJ467" s="659">
        <f t="shared" si="1000"/>
        <v>21554891</v>
      </c>
      <c r="AK467" s="659">
        <f t="shared" si="1000"/>
        <v>1910500</v>
      </c>
      <c r="AL467" s="659">
        <f t="shared" si="1000"/>
        <v>1153051</v>
      </c>
      <c r="AM467" s="659">
        <f t="shared" si="1000"/>
        <v>15314782755</v>
      </c>
      <c r="AN467" s="659">
        <f t="shared" si="1000"/>
        <v>1663</v>
      </c>
    </row>
    <row r="468" spans="3:40">
      <c r="C468" s="607"/>
      <c r="E468" s="105"/>
      <c r="G468" s="105"/>
      <c r="I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76"/>
      <c r="AK468" s="652"/>
      <c r="AL468" s="652"/>
      <c r="AM468" s="652"/>
    </row>
    <row r="469" spans="3:40">
      <c r="C469" s="1613" t="s">
        <v>69</v>
      </c>
      <c r="D469" s="654" t="s">
        <v>216</v>
      </c>
      <c r="E469" s="655">
        <v>10009.799999999992</v>
      </c>
      <c r="F469" s="655">
        <v>2271292379</v>
      </c>
      <c r="G469" s="655">
        <v>237</v>
      </c>
      <c r="H469" s="655">
        <v>52871057</v>
      </c>
      <c r="I469" s="655">
        <v>0</v>
      </c>
      <c r="J469" s="655">
        <v>0</v>
      </c>
      <c r="K469" s="655">
        <v>2324163436</v>
      </c>
      <c r="L469" s="655">
        <v>833076</v>
      </c>
      <c r="M469" s="655">
        <v>81400000</v>
      </c>
      <c r="N469" s="655">
        <v>0</v>
      </c>
      <c r="O469" s="655">
        <v>151500000</v>
      </c>
      <c r="P469" s="655">
        <v>686000</v>
      </c>
      <c r="Q469" s="655">
        <v>131250000</v>
      </c>
      <c r="R469" s="655">
        <v>246206558.90000001</v>
      </c>
      <c r="S469" s="655">
        <v>195</v>
      </c>
      <c r="T469" s="655">
        <v>43537019</v>
      </c>
      <c r="U469" s="655">
        <v>7400000</v>
      </c>
      <c r="V469" s="655">
        <v>1296844</v>
      </c>
      <c r="W469" s="655">
        <v>12121507.193226174</v>
      </c>
      <c r="X469" s="655">
        <v>0</v>
      </c>
      <c r="Y469" s="655"/>
      <c r="Z469" s="655">
        <v>3000394449</v>
      </c>
      <c r="AA469" s="655">
        <v>14268.5</v>
      </c>
      <c r="AB469" s="655">
        <v>0</v>
      </c>
      <c r="AC469" s="655">
        <v>0</v>
      </c>
      <c r="AD469" s="655">
        <v>0</v>
      </c>
      <c r="AE469" s="655">
        <v>0</v>
      </c>
      <c r="AF469" s="655">
        <v>594721352</v>
      </c>
      <c r="AG469" s="655">
        <v>3595115801</v>
      </c>
      <c r="AH469" s="655">
        <v>252232673</v>
      </c>
      <c r="AI469" s="655">
        <v>16806400</v>
      </c>
      <c r="AJ469" s="655">
        <v>356564</v>
      </c>
      <c r="AK469" s="655">
        <v>342500</v>
      </c>
      <c r="AL469" s="655">
        <v>449035</v>
      </c>
      <c r="AM469" s="655">
        <v>3324928629</v>
      </c>
      <c r="AN469" s="654">
        <v>419</v>
      </c>
    </row>
    <row r="470" spans="3:40">
      <c r="C470" s="1605"/>
      <c r="D470" s="654" t="s">
        <v>217</v>
      </c>
      <c r="E470" s="655">
        <v>4172</v>
      </c>
      <c r="F470" s="655">
        <v>1057960469</v>
      </c>
      <c r="G470" s="655">
        <v>84</v>
      </c>
      <c r="H470" s="655">
        <v>20470998</v>
      </c>
      <c r="I470" s="655">
        <v>1417</v>
      </c>
      <c r="J470" s="655">
        <v>11651352</v>
      </c>
      <c r="K470" s="655">
        <v>1090082819</v>
      </c>
      <c r="L470" s="655">
        <v>2592308</v>
      </c>
      <c r="M470" s="655">
        <v>32800000</v>
      </c>
      <c r="N470" s="655">
        <v>0</v>
      </c>
      <c r="O470" s="655">
        <v>64500000</v>
      </c>
      <c r="P470" s="655">
        <v>524000</v>
      </c>
      <c r="Q470" s="655">
        <v>53500000</v>
      </c>
      <c r="R470" s="655">
        <v>82301255.400000006</v>
      </c>
      <c r="S470" s="655">
        <v>90</v>
      </c>
      <c r="T470" s="655">
        <v>22436337</v>
      </c>
      <c r="U470" s="655">
        <v>2800000</v>
      </c>
      <c r="V470" s="655">
        <v>460878</v>
      </c>
      <c r="W470" s="655">
        <v>2654069.6995869465</v>
      </c>
      <c r="X470" s="655">
        <v>6540000</v>
      </c>
      <c r="Y470" s="655"/>
      <c r="Z470" s="655">
        <v>1361191663</v>
      </c>
      <c r="AA470" s="655">
        <v>6201</v>
      </c>
      <c r="AB470" s="655">
        <v>72</v>
      </c>
      <c r="AC470" s="655">
        <v>238</v>
      </c>
      <c r="AD470" s="655">
        <v>0</v>
      </c>
      <c r="AE470" s="655">
        <v>0</v>
      </c>
      <c r="AF470" s="655">
        <v>312301859</v>
      </c>
      <c r="AG470" s="655">
        <v>1673493522</v>
      </c>
      <c r="AH470" s="655">
        <v>114714065</v>
      </c>
      <c r="AI470" s="655">
        <v>6988800</v>
      </c>
      <c r="AJ470" s="655">
        <v>724013</v>
      </c>
      <c r="AK470" s="655">
        <v>0</v>
      </c>
      <c r="AL470" s="655">
        <v>536085</v>
      </c>
      <c r="AM470" s="655">
        <v>1550530559</v>
      </c>
      <c r="AN470" s="654">
        <v>177</v>
      </c>
    </row>
    <row r="471" spans="3:40">
      <c r="C471" s="1605"/>
      <c r="D471" s="654" t="s">
        <v>218</v>
      </c>
      <c r="E471" s="655">
        <v>6877.4999999999982</v>
      </c>
      <c r="F471" s="655">
        <v>1563551987</v>
      </c>
      <c r="G471" s="655">
        <v>132</v>
      </c>
      <c r="H471" s="655">
        <v>29438208</v>
      </c>
      <c r="I471" s="655">
        <v>0</v>
      </c>
      <c r="J471" s="655">
        <v>0</v>
      </c>
      <c r="K471" s="655">
        <v>1592990195</v>
      </c>
      <c r="L471" s="655">
        <v>697308</v>
      </c>
      <c r="M471" s="655">
        <v>54400000</v>
      </c>
      <c r="N471" s="655">
        <v>0</v>
      </c>
      <c r="O471" s="655">
        <v>104000000</v>
      </c>
      <c r="P471" s="655">
        <v>578000</v>
      </c>
      <c r="Q471" s="655">
        <v>85800000</v>
      </c>
      <c r="R471" s="655">
        <v>234075905.00522879</v>
      </c>
      <c r="S471" s="655">
        <v>161</v>
      </c>
      <c r="T471" s="655">
        <v>35680352</v>
      </c>
      <c r="U471" s="655">
        <v>6400000</v>
      </c>
      <c r="V471" s="655">
        <v>705001</v>
      </c>
      <c r="W471" s="655">
        <v>8116507.1758789755</v>
      </c>
      <c r="X471" s="655">
        <v>0</v>
      </c>
      <c r="Y471" s="655"/>
      <c r="Z471" s="655">
        <v>2123443274</v>
      </c>
      <c r="AA471" s="655">
        <v>9154</v>
      </c>
      <c r="AB471" s="655">
        <v>0</v>
      </c>
      <c r="AC471" s="655">
        <v>0</v>
      </c>
      <c r="AD471" s="655">
        <v>0</v>
      </c>
      <c r="AE471" s="655">
        <v>0</v>
      </c>
      <c r="AF471" s="655">
        <v>379938731</v>
      </c>
      <c r="AG471" s="655">
        <v>2503382005</v>
      </c>
      <c r="AH471" s="655">
        <v>169531516</v>
      </c>
      <c r="AI471" s="655">
        <v>10857600</v>
      </c>
      <c r="AJ471" s="655">
        <v>1744003</v>
      </c>
      <c r="AK471" s="655">
        <v>1642500</v>
      </c>
      <c r="AL471" s="655">
        <v>1067090</v>
      </c>
      <c r="AM471" s="655">
        <v>2318539296</v>
      </c>
      <c r="AN471" s="654">
        <v>301</v>
      </c>
    </row>
    <row r="472" spans="3:40">
      <c r="C472" s="1605"/>
      <c r="D472" s="654" t="s">
        <v>220</v>
      </c>
      <c r="E472" s="655">
        <v>3682.2000000000007</v>
      </c>
      <c r="F472" s="655">
        <v>1552686163</v>
      </c>
      <c r="G472" s="655">
        <v>57</v>
      </c>
      <c r="H472" s="655">
        <v>21979924</v>
      </c>
      <c r="I472" s="655">
        <v>0</v>
      </c>
      <c r="J472" s="655">
        <v>0</v>
      </c>
      <c r="K472" s="655">
        <v>1574666087</v>
      </c>
      <c r="L472" s="655">
        <v>32402110</v>
      </c>
      <c r="M472" s="655">
        <v>16000000</v>
      </c>
      <c r="N472" s="655">
        <v>0</v>
      </c>
      <c r="O472" s="655">
        <v>31500000</v>
      </c>
      <c r="P472" s="655">
        <v>3528000</v>
      </c>
      <c r="Q472" s="655">
        <v>27500000</v>
      </c>
      <c r="R472" s="655">
        <v>17889918</v>
      </c>
      <c r="S472" s="655">
        <v>88</v>
      </c>
      <c r="T472" s="655">
        <v>36415477</v>
      </c>
      <c r="U472" s="655">
        <v>3700000</v>
      </c>
      <c r="V472" s="655">
        <v>5800000</v>
      </c>
      <c r="W472" s="655">
        <v>5999502.3966797739</v>
      </c>
      <c r="X472" s="655">
        <v>842000</v>
      </c>
      <c r="Y472" s="655"/>
      <c r="Z472" s="655">
        <v>1756243097</v>
      </c>
      <c r="AA472" s="655">
        <v>2936.5</v>
      </c>
      <c r="AB472" s="655">
        <v>49</v>
      </c>
      <c r="AC472" s="655">
        <v>58.5</v>
      </c>
      <c r="AD472" s="655">
        <v>0</v>
      </c>
      <c r="AE472" s="655">
        <v>0</v>
      </c>
      <c r="AF472" s="655">
        <v>169631482</v>
      </c>
      <c r="AG472" s="655">
        <v>1925874579</v>
      </c>
      <c r="AH472" s="655">
        <v>161795753</v>
      </c>
      <c r="AI472" s="655">
        <v>5657600</v>
      </c>
      <c r="AJ472" s="655">
        <v>8661850</v>
      </c>
      <c r="AK472" s="655">
        <v>1313000</v>
      </c>
      <c r="AL472" s="655">
        <v>3146927</v>
      </c>
      <c r="AM472" s="655">
        <v>1745299449</v>
      </c>
      <c r="AN472" s="654">
        <v>151</v>
      </c>
    </row>
    <row r="473" spans="3:40">
      <c r="C473" s="1605"/>
      <c r="D473" s="654" t="s">
        <v>219</v>
      </c>
      <c r="E473" s="655">
        <v>14736.199999999981</v>
      </c>
      <c r="F473" s="655">
        <v>3927185423</v>
      </c>
      <c r="G473" s="655">
        <v>402</v>
      </c>
      <c r="H473" s="655">
        <v>108421552</v>
      </c>
      <c r="I473" s="655">
        <v>3508.8</v>
      </c>
      <c r="J473" s="655">
        <v>35821570</v>
      </c>
      <c r="K473" s="655">
        <v>4071428545</v>
      </c>
      <c r="L473" s="655">
        <v>27471539</v>
      </c>
      <c r="M473" s="655">
        <v>111000000</v>
      </c>
      <c r="N473" s="655">
        <v>0</v>
      </c>
      <c r="O473" s="655">
        <v>216000000</v>
      </c>
      <c r="P473" s="655">
        <v>3696000</v>
      </c>
      <c r="Q473" s="655">
        <v>176650000</v>
      </c>
      <c r="R473" s="655">
        <v>246283614</v>
      </c>
      <c r="S473" s="655">
        <v>262</v>
      </c>
      <c r="T473" s="655">
        <v>71574927</v>
      </c>
      <c r="U473" s="655">
        <v>13500000</v>
      </c>
      <c r="V473" s="655">
        <v>8996629</v>
      </c>
      <c r="W473" s="655">
        <v>13841523.974450616</v>
      </c>
      <c r="X473" s="655">
        <v>19692000</v>
      </c>
      <c r="Y473" s="655"/>
      <c r="Z473" s="655">
        <v>4980134760</v>
      </c>
      <c r="AA473" s="655">
        <v>22849</v>
      </c>
      <c r="AB473" s="655">
        <v>603.5</v>
      </c>
      <c r="AC473" s="655">
        <v>48</v>
      </c>
      <c r="AD473" s="655">
        <v>0</v>
      </c>
      <c r="AE473" s="655">
        <v>0</v>
      </c>
      <c r="AF473" s="655">
        <v>1086345981</v>
      </c>
      <c r="AG473" s="655">
        <v>6066480741</v>
      </c>
      <c r="AH473" s="655">
        <v>434199295</v>
      </c>
      <c r="AI473" s="655">
        <v>24377600</v>
      </c>
      <c r="AJ473" s="655">
        <v>7583349</v>
      </c>
      <c r="AK473" s="655">
        <v>1003000</v>
      </c>
      <c r="AL473" s="655">
        <v>1588721</v>
      </c>
      <c r="AM473" s="655">
        <v>5597728776</v>
      </c>
      <c r="AN473" s="654">
        <v>610</v>
      </c>
    </row>
    <row r="474" spans="3:40">
      <c r="C474" s="607"/>
      <c r="D474" s="658" t="s">
        <v>79</v>
      </c>
      <c r="E474" s="659">
        <f>SUM(E469:E473)</f>
        <v>39477.699999999968</v>
      </c>
      <c r="F474" s="659">
        <f t="shared" ref="F474:AM474" si="1001">SUM(F469:F473)</f>
        <v>10372676421</v>
      </c>
      <c r="G474" s="659">
        <f t="shared" si="1001"/>
        <v>912</v>
      </c>
      <c r="H474" s="659">
        <f t="shared" si="1001"/>
        <v>233181739</v>
      </c>
      <c r="I474" s="659">
        <f t="shared" si="1001"/>
        <v>4925.8</v>
      </c>
      <c r="J474" s="659">
        <f t="shared" si="1001"/>
        <v>47472922</v>
      </c>
      <c r="K474" s="659">
        <f t="shared" si="1001"/>
        <v>10653331082</v>
      </c>
      <c r="L474" s="659">
        <f t="shared" si="1001"/>
        <v>63996341</v>
      </c>
      <c r="M474" s="659">
        <f t="shared" si="1001"/>
        <v>295600000</v>
      </c>
      <c r="N474" s="659">
        <f t="shared" si="1001"/>
        <v>0</v>
      </c>
      <c r="O474" s="659">
        <f t="shared" si="1001"/>
        <v>567500000</v>
      </c>
      <c r="P474" s="659">
        <f t="shared" si="1001"/>
        <v>9012000</v>
      </c>
      <c r="Q474" s="659">
        <f t="shared" si="1001"/>
        <v>474700000</v>
      </c>
      <c r="R474" s="659">
        <f t="shared" si="1001"/>
        <v>826757251.30522883</v>
      </c>
      <c r="S474" s="659">
        <f t="shared" si="1001"/>
        <v>796</v>
      </c>
      <c r="T474" s="659">
        <f t="shared" si="1001"/>
        <v>209644112</v>
      </c>
      <c r="U474" s="659">
        <f t="shared" si="1001"/>
        <v>33800000</v>
      </c>
      <c r="V474" s="659">
        <f t="shared" si="1001"/>
        <v>17259352</v>
      </c>
      <c r="W474" s="659">
        <f t="shared" si="1001"/>
        <v>42733110.439822488</v>
      </c>
      <c r="X474" s="659">
        <f t="shared" si="1001"/>
        <v>27074000</v>
      </c>
      <c r="Y474" s="659"/>
      <c r="Z474" s="659">
        <f t="shared" si="1001"/>
        <v>13221407243</v>
      </c>
      <c r="AA474" s="659">
        <f t="shared" si="1001"/>
        <v>55409</v>
      </c>
      <c r="AB474" s="659">
        <f t="shared" si="1001"/>
        <v>724.5</v>
      </c>
      <c r="AC474" s="659">
        <f t="shared" si="1001"/>
        <v>344.5</v>
      </c>
      <c r="AD474" s="659">
        <f t="shared" si="1001"/>
        <v>0</v>
      </c>
      <c r="AE474" s="659">
        <f t="shared" si="1001"/>
        <v>0</v>
      </c>
      <c r="AF474" s="659">
        <f t="shared" si="1001"/>
        <v>2542939405</v>
      </c>
      <c r="AG474" s="659">
        <f t="shared" si="1001"/>
        <v>15764346648</v>
      </c>
      <c r="AH474" s="659">
        <f t="shared" si="1001"/>
        <v>1132473302</v>
      </c>
      <c r="AI474" s="659">
        <f t="shared" si="1001"/>
        <v>64688000</v>
      </c>
      <c r="AJ474" s="659">
        <f t="shared" si="1001"/>
        <v>19069779</v>
      </c>
      <c r="AK474" s="659">
        <f t="shared" si="1001"/>
        <v>4301000</v>
      </c>
      <c r="AL474" s="659">
        <f t="shared" si="1001"/>
        <v>6787858</v>
      </c>
      <c r="AM474" s="659">
        <f t="shared" si="1001"/>
        <v>14537026709</v>
      </c>
      <c r="AN474" s="659">
        <v>1658</v>
      </c>
    </row>
    <row r="475" spans="3:40">
      <c r="C475" s="607"/>
    </row>
  </sheetData>
  <mergeCells count="77">
    <mergeCell ref="C469:C473"/>
    <mergeCell ref="C427:C431"/>
    <mergeCell ref="C413:C417"/>
    <mergeCell ref="C434:C438"/>
    <mergeCell ref="C406:C410"/>
    <mergeCell ref="C462:C466"/>
    <mergeCell ref="C420:C424"/>
    <mergeCell ref="C238:C242"/>
    <mergeCell ref="C182:C186"/>
    <mergeCell ref="C399:C403"/>
    <mergeCell ref="C455:C459"/>
    <mergeCell ref="C448:C452"/>
    <mergeCell ref="C441:C445"/>
    <mergeCell ref="C385:C389"/>
    <mergeCell ref="C392:C396"/>
    <mergeCell ref="C322:C326"/>
    <mergeCell ref="C329:C333"/>
    <mergeCell ref="C301:C305"/>
    <mergeCell ref="C308:C312"/>
    <mergeCell ref="C252:C256"/>
    <mergeCell ref="C315:C319"/>
    <mergeCell ref="C245:C249"/>
    <mergeCell ref="C357:C361"/>
    <mergeCell ref="C273:C277"/>
    <mergeCell ref="C280:C284"/>
    <mergeCell ref="C259:C263"/>
    <mergeCell ref="C266:C270"/>
    <mergeCell ref="C378:C382"/>
    <mergeCell ref="C371:C375"/>
    <mergeCell ref="C364:C368"/>
    <mergeCell ref="C343:C347"/>
    <mergeCell ref="C350:C354"/>
    <mergeCell ref="C336:C340"/>
    <mergeCell ref="C287:C291"/>
    <mergeCell ref="C294:C298"/>
    <mergeCell ref="AN4:AN5"/>
    <mergeCell ref="AM4:AM5"/>
    <mergeCell ref="AG4:AG5"/>
    <mergeCell ref="AH4:AL4"/>
    <mergeCell ref="AA4:AF4"/>
    <mergeCell ref="C231:C235"/>
    <mergeCell ref="C203:C207"/>
    <mergeCell ref="C210:C214"/>
    <mergeCell ref="C189:C193"/>
    <mergeCell ref="C196:C200"/>
    <mergeCell ref="Z4:Z5"/>
    <mergeCell ref="G4:H4"/>
    <mergeCell ref="C217:C221"/>
    <mergeCell ref="C224:C228"/>
    <mergeCell ref="C175:C179"/>
    <mergeCell ref="C147:C151"/>
    <mergeCell ref="C154:C158"/>
    <mergeCell ref="C161:C165"/>
    <mergeCell ref="K4:Y4"/>
    <mergeCell ref="C126:C130"/>
    <mergeCell ref="C168:C172"/>
    <mergeCell ref="C42:C46"/>
    <mergeCell ref="C133:C137"/>
    <mergeCell ref="C140:C144"/>
    <mergeCell ref="I4:J4"/>
    <mergeCell ref="E4:F4"/>
    <mergeCell ref="C119:C123"/>
    <mergeCell ref="C105:C109"/>
    <mergeCell ref="C112:C116"/>
    <mergeCell ref="C91:C95"/>
    <mergeCell ref="C98:C102"/>
    <mergeCell ref="C77:C81"/>
    <mergeCell ref="C84:C88"/>
    <mergeCell ref="C63:C67"/>
    <mergeCell ref="C70:C74"/>
    <mergeCell ref="C49:C53"/>
    <mergeCell ref="C56:C60"/>
    <mergeCell ref="C7:C11"/>
    <mergeCell ref="C14:C18"/>
    <mergeCell ref="C21:C25"/>
    <mergeCell ref="C28:C32"/>
    <mergeCell ref="C35:C39"/>
  </mergeCells>
  <conditionalFormatting sqref="A7:XFD12">
    <cfRule type="cellIs" dxfId="78" priority="1" operator="greaterThan">
      <formula>1</formula>
    </cfRule>
  </conditionalFormatting>
  <conditionalFormatting sqref="A21:XFD26">
    <cfRule type="cellIs" dxfId="77" priority="4" operator="greaterThan">
      <formula>1</formula>
    </cfRule>
  </conditionalFormatting>
  <conditionalFormatting sqref="A35:XFD40">
    <cfRule type="cellIs" dxfId="76" priority="5" operator="greaterThan">
      <formula>1</formula>
    </cfRule>
  </conditionalFormatting>
  <conditionalFormatting sqref="A49:XFD54">
    <cfRule type="cellIs" dxfId="75" priority="12" operator="greaterThan">
      <formula>1</formula>
    </cfRule>
  </conditionalFormatting>
  <conditionalFormatting sqref="A63:XFD68">
    <cfRule type="cellIs" dxfId="74" priority="15" operator="greaterThan">
      <formula>1</formula>
    </cfRule>
  </conditionalFormatting>
  <conditionalFormatting sqref="A77:XFD82">
    <cfRule type="cellIs" dxfId="73" priority="18" operator="greaterThan">
      <formula>1</formula>
    </cfRule>
  </conditionalFormatting>
  <conditionalFormatting sqref="A91:XFD96">
    <cfRule type="cellIs" dxfId="72" priority="21" operator="greaterThan">
      <formula>1</formula>
    </cfRule>
  </conditionalFormatting>
  <conditionalFormatting sqref="A105:XFD110">
    <cfRule type="cellIs" dxfId="71" priority="24" operator="greaterThan">
      <formula>1</formula>
    </cfRule>
  </conditionalFormatting>
  <conditionalFormatting sqref="A119:XFD124">
    <cfRule type="cellIs" dxfId="70" priority="27" operator="greaterThan">
      <formula>1</formula>
    </cfRule>
  </conditionalFormatting>
  <conditionalFormatting sqref="A133:XFD138">
    <cfRule type="cellIs" dxfId="69" priority="30" operator="greaterThan">
      <formula>1</formula>
    </cfRule>
  </conditionalFormatting>
  <conditionalFormatting sqref="A147:XFD152">
    <cfRule type="cellIs" dxfId="68" priority="33" operator="greaterThan">
      <formula>1</formula>
    </cfRule>
  </conditionalFormatting>
  <conditionalFormatting sqref="A161:XFD166">
    <cfRule type="cellIs" dxfId="67" priority="36" operator="greaterThan">
      <formula>1</formula>
    </cfRule>
  </conditionalFormatting>
  <conditionalFormatting sqref="A175:XFD180">
    <cfRule type="cellIs" dxfId="66" priority="39" operator="greaterThan">
      <formula>1</formula>
    </cfRule>
  </conditionalFormatting>
  <conditionalFormatting sqref="A189:XFD194">
    <cfRule type="cellIs" dxfId="65" priority="42" operator="greaterThan">
      <formula>1</formula>
    </cfRule>
  </conditionalFormatting>
  <conditionalFormatting sqref="A203:XFD208">
    <cfRule type="cellIs" dxfId="64" priority="45" operator="greaterThan">
      <formula>1</formula>
    </cfRule>
  </conditionalFormatting>
  <conditionalFormatting sqref="A217:XFD222">
    <cfRule type="cellIs" dxfId="63" priority="49" operator="greaterThan">
      <formula>1</formula>
    </cfRule>
  </conditionalFormatting>
  <conditionalFormatting sqref="A259:XFD264">
    <cfRule type="cellIs" dxfId="62" priority="57" operator="greaterThan">
      <formula>1</formula>
    </cfRule>
  </conditionalFormatting>
  <conditionalFormatting sqref="A273:XFD278">
    <cfRule type="cellIs" dxfId="61" priority="59" operator="greaterThan">
      <formula>1</formula>
    </cfRule>
  </conditionalFormatting>
  <conditionalFormatting sqref="A287:XFD292">
    <cfRule type="cellIs" dxfId="60" priority="61" operator="greaterThan">
      <formula>1</formula>
    </cfRule>
  </conditionalFormatting>
  <conditionalFormatting sqref="A301:XFD306">
    <cfRule type="cellIs" dxfId="59" priority="63" operator="greaterThan">
      <formula>1</formula>
    </cfRule>
  </conditionalFormatting>
  <conditionalFormatting sqref="A315:XFD320">
    <cfRule type="cellIs" dxfId="58" priority="65" operator="greaterThan">
      <formula>1</formula>
    </cfRule>
  </conditionalFormatting>
  <conditionalFormatting sqref="A329:XFD334">
    <cfRule type="cellIs" dxfId="57" priority="67" operator="greaterThan">
      <formula>1</formula>
    </cfRule>
  </conditionalFormatting>
  <conditionalFormatting sqref="A343:XFD348">
    <cfRule type="cellIs" dxfId="56" priority="69" operator="greaterThan">
      <formula>1</formula>
    </cfRule>
  </conditionalFormatting>
  <conditionalFormatting sqref="A357:XFD362">
    <cfRule type="cellIs" dxfId="55" priority="70" operator="greaterThan">
      <formula>1</formula>
    </cfRule>
  </conditionalFormatting>
  <conditionalFormatting sqref="A371:XFD376">
    <cfRule type="cellIs" dxfId="54" priority="71" operator="greaterThan">
      <formula>1</formula>
    </cfRule>
  </conditionalFormatting>
  <conditionalFormatting sqref="A385:XFD390">
    <cfRule type="cellIs" dxfId="53" priority="72" operator="greaterThan">
      <formula>1</formula>
    </cfRule>
  </conditionalFormatting>
  <conditionalFormatting sqref="A399:XFD404">
    <cfRule type="cellIs" dxfId="52" priority="74" operator="greaterThan">
      <formula>1</formula>
    </cfRule>
  </conditionalFormatting>
  <conditionalFormatting sqref="A413:XFD418">
    <cfRule type="cellIs" dxfId="51" priority="76" operator="greaterThan">
      <formula>1</formula>
    </cfRule>
  </conditionalFormatting>
  <conditionalFormatting sqref="A427:XFD432">
    <cfRule type="cellIs" dxfId="50" priority="79" operator="greaterThan">
      <formula>1</formula>
    </cfRule>
  </conditionalFormatting>
  <conditionalFormatting sqref="A441:XFD446">
    <cfRule type="cellIs" dxfId="49" priority="78" operator="greaterThan">
      <formula>1</formula>
    </cfRule>
  </conditionalFormatting>
  <conditionalFormatting sqref="A455:XFD460">
    <cfRule type="cellIs" dxfId="48" priority="77" operator="greaterThan">
      <formula>1</formula>
    </cfRule>
  </conditionalFormatting>
  <conditionalFormatting sqref="AA244">
    <cfRule type="cellIs" dxfId="47" priority="54" operator="greaterThan">
      <formula>1</formula>
    </cfRule>
  </conditionalFormatting>
  <conditionalFormatting sqref="AA6:AC6">
    <cfRule type="cellIs" dxfId="46" priority="2" operator="greaterThan">
      <formula>1</formula>
    </cfRule>
  </conditionalFormatting>
  <conditionalFormatting sqref="AA20:AC20">
    <cfRule type="cellIs" dxfId="45" priority="7" operator="greaterThan">
      <formula>1</formula>
    </cfRule>
  </conditionalFormatting>
  <conditionalFormatting sqref="AA34:AC34">
    <cfRule type="cellIs" dxfId="44" priority="10" operator="greaterThan">
      <formula>1</formula>
    </cfRule>
  </conditionalFormatting>
  <conditionalFormatting sqref="AA48:AC48">
    <cfRule type="cellIs" dxfId="43" priority="13" operator="greaterThan">
      <formula>1</formula>
    </cfRule>
  </conditionalFormatting>
  <conditionalFormatting sqref="AA62:AC62">
    <cfRule type="cellIs" dxfId="42" priority="16" operator="greaterThan">
      <formula>1</formula>
    </cfRule>
  </conditionalFormatting>
  <conditionalFormatting sqref="AA76:AC76">
    <cfRule type="cellIs" dxfId="41" priority="19" operator="greaterThan">
      <formula>1</formula>
    </cfRule>
  </conditionalFormatting>
  <conditionalFormatting sqref="AA90:AC90">
    <cfRule type="cellIs" dxfId="40" priority="22" operator="greaterThan">
      <formula>1</formula>
    </cfRule>
  </conditionalFormatting>
  <conditionalFormatting sqref="AA104:AC104">
    <cfRule type="cellIs" dxfId="39" priority="25" operator="greaterThan">
      <formula>1</formula>
    </cfRule>
  </conditionalFormatting>
  <conditionalFormatting sqref="AA118:AC118">
    <cfRule type="cellIs" dxfId="38" priority="28" operator="greaterThan">
      <formula>1</formula>
    </cfRule>
  </conditionalFormatting>
  <conditionalFormatting sqref="AA132:AC132">
    <cfRule type="cellIs" dxfId="37" priority="31" operator="greaterThan">
      <formula>1</formula>
    </cfRule>
  </conditionalFormatting>
  <conditionalFormatting sqref="AA146:AC146">
    <cfRule type="cellIs" dxfId="36" priority="37" operator="greaterThan">
      <formula>1</formula>
    </cfRule>
  </conditionalFormatting>
  <conditionalFormatting sqref="AA160:AC160">
    <cfRule type="cellIs" dxfId="35" priority="34" operator="greaterThan">
      <formula>1</formula>
    </cfRule>
  </conditionalFormatting>
  <conditionalFormatting sqref="AA174:AC174">
    <cfRule type="cellIs" dxfId="34" priority="40" operator="greaterThan">
      <formula>1</formula>
    </cfRule>
  </conditionalFormatting>
  <conditionalFormatting sqref="AA188:AC188">
    <cfRule type="cellIs" dxfId="33" priority="43" operator="greaterThan">
      <formula>1</formula>
    </cfRule>
  </conditionalFormatting>
  <conditionalFormatting sqref="AA202:AC202">
    <cfRule type="cellIs" dxfId="32" priority="48" operator="greaterThan">
      <formula>1</formula>
    </cfRule>
  </conditionalFormatting>
  <conditionalFormatting sqref="AA216:AC216">
    <cfRule type="cellIs" dxfId="31" priority="46" operator="greaterThan">
      <formula>1</formula>
    </cfRule>
  </conditionalFormatting>
  <conditionalFormatting sqref="AA230:AC230">
    <cfRule type="cellIs" dxfId="30" priority="51" operator="greaterThan">
      <formula>1</formula>
    </cfRule>
  </conditionalFormatting>
  <conditionalFormatting sqref="AB244:AC247 AD245:AK245 A245:AA247 AL245:XFD249 AD246:AJ247 AK246:AK249 A248:AJ249 A250:XFD250">
    <cfRule type="cellIs" dxfId="29" priority="55" operator="greaterThan">
      <formula>1</formula>
    </cfRule>
  </conditionalFormatting>
  <conditionalFormatting sqref="AD231:AK231 A231:AC234 AL231:XFD235 AD232:AJ234 AK232:AK235 A235:AJ235 A236:XFD236">
    <cfRule type="cellIs" dxfId="28" priority="52" operator="greaterThan">
      <formula>1</formula>
    </cfRule>
  </conditionalFormatting>
  <conditionalFormatting sqref="AK6:AL6">
    <cfRule type="cellIs" dxfId="27" priority="3" operator="greaterThan">
      <formula>1</formula>
    </cfRule>
  </conditionalFormatting>
  <conditionalFormatting sqref="AK20:AL20">
    <cfRule type="cellIs" dxfId="26" priority="8" operator="greaterThan">
      <formula>1</formula>
    </cfRule>
  </conditionalFormatting>
  <conditionalFormatting sqref="AK34:AL34">
    <cfRule type="cellIs" dxfId="25" priority="11" operator="greaterThan">
      <formula>1</formula>
    </cfRule>
  </conditionalFormatting>
  <conditionalFormatting sqref="AK48:AL48">
    <cfRule type="cellIs" dxfId="24" priority="14" operator="greaterThan">
      <formula>1</formula>
    </cfRule>
  </conditionalFormatting>
  <conditionalFormatting sqref="AK62:AL62">
    <cfRule type="cellIs" dxfId="23" priority="17" operator="greaterThan">
      <formula>1</formula>
    </cfRule>
  </conditionalFormatting>
  <conditionalFormatting sqref="AK76:AL76">
    <cfRule type="cellIs" dxfId="22" priority="20" operator="greaterThan">
      <formula>1</formula>
    </cfRule>
  </conditionalFormatting>
  <conditionalFormatting sqref="AK90:AL90">
    <cfRule type="cellIs" dxfId="21" priority="23" operator="greaterThan">
      <formula>1</formula>
    </cfRule>
  </conditionalFormatting>
  <conditionalFormatting sqref="AK104:AL104">
    <cfRule type="cellIs" dxfId="20" priority="26" operator="greaterThan">
      <formula>1</formula>
    </cfRule>
  </conditionalFormatting>
  <conditionalFormatting sqref="AK118:AL118">
    <cfRule type="cellIs" dxfId="19" priority="29" operator="greaterThan">
      <formula>1</formula>
    </cfRule>
  </conditionalFormatting>
  <conditionalFormatting sqref="AK132:AL132">
    <cfRule type="cellIs" dxfId="18" priority="32" operator="greaterThan">
      <formula>1</formula>
    </cfRule>
  </conditionalFormatting>
  <conditionalFormatting sqref="AK146:AL146">
    <cfRule type="cellIs" dxfId="17" priority="38" operator="greaterThan">
      <formula>1</formula>
    </cfRule>
  </conditionalFormatting>
  <conditionalFormatting sqref="AK160:AL160">
    <cfRule type="cellIs" dxfId="16" priority="35" operator="greaterThan">
      <formula>1</formula>
    </cfRule>
  </conditionalFormatting>
  <conditionalFormatting sqref="AK174:AL174">
    <cfRule type="cellIs" dxfId="15" priority="41" operator="greaterThan">
      <formula>1</formula>
    </cfRule>
  </conditionalFormatting>
  <conditionalFormatting sqref="AK188:AL188">
    <cfRule type="cellIs" dxfId="14" priority="44" operator="greaterThan">
      <formula>1</formula>
    </cfRule>
  </conditionalFormatting>
  <conditionalFormatting sqref="AK202:AL202">
    <cfRule type="cellIs" dxfId="13" priority="50" operator="greaterThan">
      <formula>1</formula>
    </cfRule>
  </conditionalFormatting>
  <conditionalFormatting sqref="AK216:AL216">
    <cfRule type="cellIs" dxfId="12" priority="47" operator="greaterThan">
      <formula>1</formula>
    </cfRule>
  </conditionalFormatting>
  <conditionalFormatting sqref="AK230:AL230">
    <cfRule type="cellIs" dxfId="11" priority="53" operator="greaterThan">
      <formula>1</formula>
    </cfRule>
  </conditionalFormatting>
  <conditionalFormatting sqref="AK244:AL244">
    <cfRule type="cellIs" dxfId="10" priority="58" operator="greaterThan">
      <formula>1</formula>
    </cfRule>
  </conditionalFormatting>
  <conditionalFormatting sqref="AK258:AL258">
    <cfRule type="cellIs" dxfId="9" priority="56" operator="greaterThan">
      <formula>1</formula>
    </cfRule>
  </conditionalFormatting>
  <conditionalFormatting sqref="AK272:AL272">
    <cfRule type="cellIs" dxfId="8" priority="62" operator="greaterThan">
      <formula>1</formula>
    </cfRule>
  </conditionalFormatting>
  <conditionalFormatting sqref="AK286:AL286">
    <cfRule type="cellIs" dxfId="7" priority="60" operator="greaterThan">
      <formula>1</formula>
    </cfRule>
  </conditionalFormatting>
  <conditionalFormatting sqref="AK300:AL300">
    <cfRule type="cellIs" dxfId="6" priority="68" operator="greaterThan">
      <formula>1</formula>
    </cfRule>
  </conditionalFormatting>
  <conditionalFormatting sqref="AK314:AL314">
    <cfRule type="cellIs" dxfId="5" priority="64" operator="greaterThan">
      <formula>1</formula>
    </cfRule>
  </conditionalFormatting>
  <conditionalFormatting sqref="AK328:AL328">
    <cfRule type="cellIs" dxfId="4" priority="66" operator="greaterThan">
      <formula>1</formula>
    </cfRule>
  </conditionalFormatting>
  <conditionalFormatting sqref="AK342:AL342">
    <cfRule type="cellIs" dxfId="3" priority="7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32AE-4414-44C0-8524-B790626170A9}">
  <sheetPr>
    <pageSetUpPr fitToPage="1"/>
  </sheetPr>
  <dimension ref="A1:BT117"/>
  <sheetViews>
    <sheetView zoomScale="85" zoomScaleNormal="85" zoomScaleSheetLayoutView="80" workbookViewId="0">
      <pane xSplit="3" ySplit="3" topLeftCell="D112" activePane="bottomRight" state="frozen"/>
      <selection pane="topRight" activeCell="D1" sqref="D1"/>
      <selection pane="bottomLeft" activeCell="A7" sqref="A7"/>
      <selection pane="bottomRight" activeCell="M116" sqref="M116"/>
    </sheetView>
  </sheetViews>
  <sheetFormatPr defaultColWidth="9.140625" defaultRowHeight="18"/>
  <cols>
    <col min="1" max="1" width="10.5703125" style="19" customWidth="1"/>
    <col min="2" max="2" width="14.42578125" style="127" customWidth="1"/>
    <col min="3" max="3" width="29.5703125" style="19" customWidth="1"/>
    <col min="4" max="4" width="19.140625" style="19" customWidth="1"/>
    <col min="5" max="5" width="8.85546875" style="19" customWidth="1"/>
    <col min="6" max="6" width="17.5703125" style="17" customWidth="1"/>
    <col min="7" max="7" width="15.42578125" style="17" customWidth="1"/>
    <col min="8" max="8" width="12.7109375" style="17" customWidth="1"/>
    <col min="9" max="9" width="14.85546875" style="17" customWidth="1"/>
    <col min="10" max="11" width="11.7109375" style="17" customWidth="1"/>
    <col min="12" max="12" width="16.85546875" style="857" customWidth="1"/>
    <col min="13" max="16" width="12.7109375" style="1296" customWidth="1"/>
    <col min="17" max="17" width="10.28515625" style="1296" bestFit="1" customWidth="1"/>
    <col min="18" max="19" width="7.42578125" style="1296" bestFit="1" customWidth="1"/>
    <col min="20" max="21" width="7.140625" style="1296" bestFit="1" customWidth="1"/>
    <col min="22" max="22" width="8.85546875" style="1397" customWidth="1"/>
    <col min="23" max="23" width="17.5703125" style="1384" customWidth="1"/>
    <col min="24" max="24" width="15.42578125" style="1384" customWidth="1"/>
    <col min="25" max="25" width="12.7109375" style="1384" customWidth="1"/>
    <col min="26" max="26" width="14.85546875" style="1384" customWidth="1"/>
    <col min="27" max="28" width="11.7109375" style="1384" customWidth="1"/>
    <col min="29" max="29" width="16.85546875" style="1398" customWidth="1"/>
    <col min="30" max="33" width="12.7109375" style="1399" customWidth="1"/>
    <col min="34" max="34" width="10.42578125" style="1399" bestFit="1" customWidth="1"/>
    <col min="35" max="36" width="8.5703125" style="1399" bestFit="1" customWidth="1"/>
    <col min="37" max="38" width="7.28515625" style="1399" bestFit="1" customWidth="1"/>
    <col min="39" max="39" width="8.85546875" style="19" customWidth="1"/>
    <col min="40" max="40" width="17.5703125" style="17" customWidth="1"/>
    <col min="41" max="41" width="15.42578125" style="17" customWidth="1"/>
    <col min="42" max="42" width="12.7109375" style="17" customWidth="1"/>
    <col min="43" max="43" width="14.85546875" style="17" customWidth="1"/>
    <col min="44" max="45" width="11.7109375" style="17" customWidth="1"/>
    <col min="46" max="46" width="16.85546875" style="857" customWidth="1"/>
    <col min="47" max="50" width="12.7109375" style="1296" customWidth="1"/>
    <col min="51" max="51" width="10.28515625" style="1296" bestFit="1" customWidth="1"/>
    <col min="52" max="53" width="7.42578125" style="1296" bestFit="1" customWidth="1"/>
    <col min="54" max="55" width="7.140625" style="1296" bestFit="1" customWidth="1"/>
    <col min="56" max="56" width="9.28515625" style="18" bestFit="1" customWidth="1"/>
    <col min="57" max="57" width="17.140625" style="18" bestFit="1" customWidth="1"/>
    <col min="58" max="58" width="17.5703125" style="18" bestFit="1" customWidth="1"/>
    <col min="59" max="59" width="12.85546875" style="18" bestFit="1" customWidth="1"/>
    <col min="60" max="60" width="14.28515625" style="18" bestFit="1" customWidth="1"/>
    <col min="61" max="62" width="10" style="18" bestFit="1" customWidth="1"/>
    <col min="63" max="63" width="17.140625" style="18" bestFit="1" customWidth="1"/>
    <col min="64" max="64" width="10.28515625" style="18" bestFit="1" customWidth="1"/>
    <col min="65" max="65" width="8.5703125" style="18" bestFit="1" customWidth="1"/>
    <col min="66" max="66" width="9.28515625" style="18" bestFit="1" customWidth="1"/>
    <col min="67" max="67" width="8.5703125" style="18" bestFit="1" customWidth="1"/>
    <col min="68" max="68" width="10.28515625" style="18" bestFit="1" customWidth="1"/>
    <col min="69" max="69" width="8.5703125" style="18" bestFit="1" customWidth="1"/>
    <col min="70" max="70" width="7.42578125" style="18" bestFit="1" customWidth="1"/>
    <col min="71" max="72" width="7.140625" style="18" bestFit="1" customWidth="1"/>
    <col min="73" max="16384" width="9.140625" style="18"/>
  </cols>
  <sheetData>
    <row r="1" spans="1:72" s="15" customFormat="1">
      <c r="A1" s="126" t="s">
        <v>25</v>
      </c>
      <c r="B1" s="126"/>
      <c r="C1" s="29"/>
      <c r="D1" s="29"/>
      <c r="E1" s="29"/>
      <c r="F1" s="16"/>
      <c r="G1" s="17"/>
      <c r="H1" s="16"/>
      <c r="I1" s="16"/>
      <c r="J1" s="16"/>
      <c r="K1" s="16"/>
      <c r="L1" s="856"/>
      <c r="M1" s="1295"/>
      <c r="N1" s="1295" t="s">
        <v>764</v>
      </c>
      <c r="O1" s="1295" t="s">
        <v>766</v>
      </c>
      <c r="P1" s="1295" t="s">
        <v>765</v>
      </c>
      <c r="Q1" s="1295" t="s">
        <v>767</v>
      </c>
      <c r="R1" s="1295" t="s">
        <v>768</v>
      </c>
      <c r="S1" s="1295" t="s">
        <v>769</v>
      </c>
      <c r="T1" s="1295" t="s">
        <v>770</v>
      </c>
      <c r="U1" s="1295" t="s">
        <v>771</v>
      </c>
      <c r="V1" s="1382"/>
      <c r="W1" s="1383"/>
      <c r="X1" s="1384"/>
      <c r="Y1" s="1383"/>
      <c r="Z1" s="1383"/>
      <c r="AA1" s="1383"/>
      <c r="AB1" s="1383"/>
      <c r="AC1" s="1385"/>
      <c r="AD1" s="1386"/>
      <c r="AE1" s="1386" t="s">
        <v>764</v>
      </c>
      <c r="AF1" s="1386" t="s">
        <v>766</v>
      </c>
      <c r="AG1" s="1386" t="s">
        <v>765</v>
      </c>
      <c r="AH1" s="1386" t="s">
        <v>767</v>
      </c>
      <c r="AI1" s="1386" t="s">
        <v>768</v>
      </c>
      <c r="AJ1" s="1386" t="s">
        <v>769</v>
      </c>
      <c r="AK1" s="1386" t="s">
        <v>770</v>
      </c>
      <c r="AL1" s="1386" t="s">
        <v>771</v>
      </c>
      <c r="AM1" s="29"/>
      <c r="AN1" s="16"/>
      <c r="AO1" s="17"/>
      <c r="AP1" s="16"/>
      <c r="AQ1" s="16"/>
      <c r="AR1" s="16"/>
      <c r="AS1" s="16"/>
      <c r="AT1" s="856"/>
      <c r="AU1" s="1295"/>
      <c r="AV1" s="1295" t="s">
        <v>764</v>
      </c>
      <c r="AW1" s="1295" t="s">
        <v>766</v>
      </c>
      <c r="AX1" s="1295" t="s">
        <v>765</v>
      </c>
      <c r="AY1" s="1295" t="s">
        <v>767</v>
      </c>
      <c r="AZ1" s="1295" t="s">
        <v>768</v>
      </c>
      <c r="BA1" s="1295" t="s">
        <v>769</v>
      </c>
      <c r="BB1" s="1295" t="s">
        <v>770</v>
      </c>
      <c r="BC1" s="1295" t="s">
        <v>771</v>
      </c>
    </row>
    <row r="2" spans="1:72" ht="53.25" customHeight="1">
      <c r="E2" s="1614">
        <v>45748</v>
      </c>
      <c r="F2" s="1615"/>
      <c r="G2" s="1615"/>
      <c r="H2" s="1615"/>
      <c r="I2" s="1615"/>
      <c r="J2" s="1615"/>
      <c r="K2" s="1615"/>
      <c r="L2" s="1615"/>
      <c r="M2" s="1615"/>
      <c r="N2" s="1615"/>
      <c r="O2" s="1615"/>
      <c r="P2" s="1615"/>
      <c r="Q2" s="1615"/>
      <c r="R2" s="1615"/>
      <c r="S2" s="1615"/>
      <c r="T2" s="1615"/>
      <c r="U2" s="1615"/>
      <c r="V2" s="1620">
        <v>45717</v>
      </c>
      <c r="W2" s="1621"/>
      <c r="X2" s="1621"/>
      <c r="Y2" s="1621"/>
      <c r="Z2" s="1621"/>
      <c r="AA2" s="1621"/>
      <c r="AB2" s="1621"/>
      <c r="AC2" s="1621"/>
      <c r="AD2" s="1621"/>
      <c r="AE2" s="1621"/>
      <c r="AF2" s="1621"/>
      <c r="AG2" s="1621"/>
      <c r="AH2" s="1621"/>
      <c r="AI2" s="1621"/>
      <c r="AJ2" s="1621"/>
      <c r="AK2" s="1621"/>
      <c r="AL2" s="1621"/>
      <c r="AM2" s="1618">
        <v>45689</v>
      </c>
      <c r="AN2" s="1619"/>
      <c r="AO2" s="1619"/>
      <c r="AP2" s="1619"/>
      <c r="AQ2" s="1619"/>
      <c r="AR2" s="1619"/>
      <c r="AS2" s="1619"/>
      <c r="AT2" s="1619"/>
      <c r="AU2" s="1619"/>
      <c r="AV2" s="1619"/>
      <c r="AW2" s="1619"/>
      <c r="AX2" s="1619"/>
      <c r="AY2" s="1619"/>
      <c r="AZ2" s="1619"/>
      <c r="BA2" s="1619"/>
      <c r="BB2" s="1619"/>
      <c r="BC2" s="1619"/>
      <c r="BD2" s="1616">
        <v>45658</v>
      </c>
      <c r="BE2" s="1617"/>
      <c r="BF2" s="1617"/>
      <c r="BG2" s="1617"/>
      <c r="BH2" s="1617"/>
      <c r="BI2" s="1617"/>
      <c r="BJ2" s="1617"/>
      <c r="BK2" s="1617"/>
      <c r="BL2" s="1617"/>
      <c r="BM2" s="1617"/>
      <c r="BN2" s="1617"/>
      <c r="BO2" s="1617"/>
      <c r="BP2" s="1617"/>
      <c r="BQ2" s="1617"/>
      <c r="BR2" s="1617"/>
      <c r="BS2" s="1617"/>
      <c r="BT2" s="1617"/>
    </row>
    <row r="3" spans="1:72" s="21" customFormat="1" ht="73.5" customHeight="1">
      <c r="A3" s="509" t="s">
        <v>118</v>
      </c>
      <c r="B3" s="509" t="s">
        <v>215</v>
      </c>
      <c r="C3" s="509" t="s">
        <v>205</v>
      </c>
      <c r="D3" s="509" t="s">
        <v>270</v>
      </c>
      <c r="E3" s="509" t="s">
        <v>36</v>
      </c>
      <c r="F3" s="509" t="s">
        <v>227</v>
      </c>
      <c r="G3" s="509" t="s">
        <v>21</v>
      </c>
      <c r="H3" s="509" t="s">
        <v>19</v>
      </c>
      <c r="I3" s="509" t="s">
        <v>119</v>
      </c>
      <c r="J3" s="509" t="s">
        <v>116</v>
      </c>
      <c r="K3" s="509" t="s">
        <v>510</v>
      </c>
      <c r="L3" s="859" t="s">
        <v>228</v>
      </c>
      <c r="M3" s="859" t="s">
        <v>763</v>
      </c>
      <c r="N3" s="859" t="s">
        <v>123</v>
      </c>
      <c r="O3" s="859" t="s">
        <v>317</v>
      </c>
      <c r="P3" s="859" t="s">
        <v>318</v>
      </c>
      <c r="Q3" s="1297">
        <v>1.5</v>
      </c>
      <c r="R3" s="1297">
        <v>2</v>
      </c>
      <c r="S3" s="1297">
        <v>2.1</v>
      </c>
      <c r="T3" s="1297">
        <v>2.7</v>
      </c>
      <c r="U3" s="1297">
        <v>3</v>
      </c>
      <c r="V3" s="1387" t="s">
        <v>36</v>
      </c>
      <c r="W3" s="1387" t="s">
        <v>227</v>
      </c>
      <c r="X3" s="1387" t="s">
        <v>21</v>
      </c>
      <c r="Y3" s="1387" t="s">
        <v>19</v>
      </c>
      <c r="Z3" s="1387" t="s">
        <v>119</v>
      </c>
      <c r="AA3" s="1387" t="s">
        <v>116</v>
      </c>
      <c r="AB3" s="1387" t="s">
        <v>510</v>
      </c>
      <c r="AC3" s="1388" t="s">
        <v>228</v>
      </c>
      <c r="AD3" s="1388" t="s">
        <v>763</v>
      </c>
      <c r="AE3" s="1388" t="s">
        <v>123</v>
      </c>
      <c r="AF3" s="1388" t="s">
        <v>317</v>
      </c>
      <c r="AG3" s="1388" t="s">
        <v>318</v>
      </c>
      <c r="AH3" s="1389">
        <v>1.5</v>
      </c>
      <c r="AI3" s="1389">
        <v>2</v>
      </c>
      <c r="AJ3" s="1389">
        <v>2.1</v>
      </c>
      <c r="AK3" s="1389">
        <v>2.7</v>
      </c>
      <c r="AL3" s="1389">
        <v>3</v>
      </c>
      <c r="AM3" s="1369" t="s">
        <v>36</v>
      </c>
      <c r="AN3" s="1369" t="s">
        <v>227</v>
      </c>
      <c r="AO3" s="1369" t="s">
        <v>21</v>
      </c>
      <c r="AP3" s="1369" t="s">
        <v>19</v>
      </c>
      <c r="AQ3" s="1369" t="s">
        <v>119</v>
      </c>
      <c r="AR3" s="1369" t="s">
        <v>116</v>
      </c>
      <c r="AS3" s="1369" t="s">
        <v>510</v>
      </c>
      <c r="AT3" s="1370" t="s">
        <v>228</v>
      </c>
      <c r="AU3" s="1370" t="s">
        <v>763</v>
      </c>
      <c r="AV3" s="1370" t="s">
        <v>123</v>
      </c>
      <c r="AW3" s="1370" t="s">
        <v>317</v>
      </c>
      <c r="AX3" s="1370" t="s">
        <v>318</v>
      </c>
      <c r="AY3" s="1371">
        <v>1.5</v>
      </c>
      <c r="AZ3" s="1371">
        <v>2</v>
      </c>
      <c r="BA3" s="1371">
        <v>2.1</v>
      </c>
      <c r="BB3" s="1371">
        <v>2.7</v>
      </c>
      <c r="BC3" s="1371">
        <v>3</v>
      </c>
      <c r="BD3" s="509" t="s">
        <v>36</v>
      </c>
      <c r="BE3" s="509" t="s">
        <v>227</v>
      </c>
      <c r="BF3" s="509" t="s">
        <v>21</v>
      </c>
      <c r="BG3" s="509" t="s">
        <v>19</v>
      </c>
      <c r="BH3" s="509" t="s">
        <v>119</v>
      </c>
      <c r="BI3" s="509" t="s">
        <v>116</v>
      </c>
      <c r="BJ3" s="509" t="s">
        <v>510</v>
      </c>
      <c r="BK3" s="859" t="s">
        <v>228</v>
      </c>
      <c r="BL3" s="859" t="s">
        <v>763</v>
      </c>
      <c r="BM3" s="859" t="s">
        <v>123</v>
      </c>
      <c r="BN3" s="859" t="s">
        <v>317</v>
      </c>
      <c r="BO3" s="859" t="s">
        <v>318</v>
      </c>
      <c r="BP3" s="1297">
        <v>1.5</v>
      </c>
      <c r="BQ3" s="1297">
        <v>2</v>
      </c>
      <c r="BR3" s="1297">
        <v>2.1</v>
      </c>
      <c r="BS3" s="1297">
        <v>2.7</v>
      </c>
      <c r="BT3" s="1297">
        <v>3</v>
      </c>
    </row>
    <row r="4" spans="1:72" s="22" customFormat="1" ht="26.25" customHeight="1">
      <c r="A4" s="505">
        <f>SUBTOTAL(3,B$4:B4)</f>
        <v>1</v>
      </c>
      <c r="B4" s="506" t="s">
        <v>438</v>
      </c>
      <c r="C4" s="506" t="s">
        <v>438</v>
      </c>
      <c r="D4" s="507"/>
      <c r="E4" s="508">
        <v>3</v>
      </c>
      <c r="F4" s="463">
        <f>+'Foreign Salary'!L11</f>
        <v>686964617</v>
      </c>
      <c r="G4" s="463">
        <f>+'Foreign Salary'!M11</f>
        <v>13338000</v>
      </c>
      <c r="H4" s="463">
        <v>0</v>
      </c>
      <c r="I4" s="463">
        <f>+'Foreign Salary'!P11</f>
        <v>193129316</v>
      </c>
      <c r="J4" s="463">
        <v>0</v>
      </c>
      <c r="K4" s="463">
        <f>+'Foreign Salary'!Q11</f>
        <v>0</v>
      </c>
      <c r="L4" s="460">
        <f>+(F4)-SUM(G4:K4)</f>
        <v>480497301</v>
      </c>
      <c r="M4" s="1298">
        <f>SUMIFS('Salary sheet'!$M$6:$M$13045,'Salary sheet'!$F$6:$F$13045,'So sánh giờ'!$C4)</f>
        <v>0</v>
      </c>
      <c r="N4" s="1298">
        <f>SUMIFS('Salary sheet'!$O$6:$O$13045,'Salary sheet'!$F$6:$F$13045,'So sánh giờ'!$C4)</f>
        <v>0</v>
      </c>
      <c r="O4" s="1298">
        <f>SUMIFS('Salary sheet'!$AA$6:$AA$13045,'Salary sheet'!$F$6:$F$13045,'So sánh giờ'!$C4)</f>
        <v>0</v>
      </c>
      <c r="P4" s="1298">
        <f>SUMIFS('Salary sheet'!$Q$6:$Q$13045,'Salary sheet'!$F$6:$F$13045,'So sánh giờ'!$C4)</f>
        <v>0</v>
      </c>
      <c r="Q4" s="1298">
        <f>SUMIFS('Salary sheet'!$AH$6:$AH$13045,'Salary sheet'!$F$6:$F$13045,'So sánh giờ'!$C4)</f>
        <v>0</v>
      </c>
      <c r="R4" s="1298">
        <f>SUMIFS('Salary sheet'!$AI$6:$AI$13045,'Salary sheet'!$F$6:$F$13045,'So sánh giờ'!$C4)</f>
        <v>0</v>
      </c>
      <c r="S4" s="1298">
        <f>SUMIFS('Salary sheet'!$AJ$6:$AJ$13045,'Salary sheet'!$F$6:$F$13045,'So sánh giờ'!$C4)</f>
        <v>0</v>
      </c>
      <c r="T4" s="1298">
        <f>SUMIFS('Salary sheet'!$AK$6:$AK$13045,'Salary sheet'!$F$6:$F$13045,'So sánh giờ'!$C4)</f>
        <v>0</v>
      </c>
      <c r="U4" s="1298">
        <f>SUMIFS('Salary sheet'!$AL$6:$AL$13045,'Salary sheet'!$F$6:$F$13045,'So sánh giờ'!$C4)</f>
        <v>0</v>
      </c>
      <c r="V4" s="1390">
        <v>3</v>
      </c>
      <c r="W4" s="1391">
        <v>669487099</v>
      </c>
      <c r="X4" s="1391">
        <v>13338000</v>
      </c>
      <c r="Y4" s="1391">
        <v>0</v>
      </c>
      <c r="Z4" s="1391">
        <v>187012185</v>
      </c>
      <c r="AA4" s="1391">
        <v>0</v>
      </c>
      <c r="AB4" s="1391">
        <v>0</v>
      </c>
      <c r="AC4" s="1392">
        <v>469136914</v>
      </c>
      <c r="AD4" s="1393">
        <v>0</v>
      </c>
      <c r="AE4" s="1393">
        <v>0</v>
      </c>
      <c r="AF4" s="1393">
        <v>0</v>
      </c>
      <c r="AG4" s="1393">
        <v>0</v>
      </c>
      <c r="AH4" s="1393">
        <v>0</v>
      </c>
      <c r="AI4" s="1393">
        <v>0</v>
      </c>
      <c r="AJ4" s="1393">
        <v>0</v>
      </c>
      <c r="AK4" s="1393">
        <v>0</v>
      </c>
      <c r="AL4" s="1393">
        <v>0</v>
      </c>
      <c r="AM4" s="1372">
        <v>3</v>
      </c>
      <c r="AN4" s="1373">
        <v>681681739</v>
      </c>
      <c r="AO4" s="1373">
        <v>13338000</v>
      </c>
      <c r="AP4" s="1373">
        <v>0</v>
      </c>
      <c r="AQ4" s="1373">
        <v>191280309</v>
      </c>
      <c r="AR4" s="1373">
        <v>0</v>
      </c>
      <c r="AS4" s="1373">
        <v>0</v>
      </c>
      <c r="AT4" s="1374">
        <v>477063430</v>
      </c>
      <c r="AU4" s="1375">
        <v>0</v>
      </c>
      <c r="AV4" s="1375">
        <v>0</v>
      </c>
      <c r="AW4" s="1375">
        <v>0</v>
      </c>
      <c r="AX4" s="1375">
        <v>0</v>
      </c>
      <c r="AY4" s="1375">
        <v>0</v>
      </c>
      <c r="AZ4" s="1375">
        <v>0</v>
      </c>
      <c r="BA4" s="1375">
        <v>0</v>
      </c>
      <c r="BB4" s="1375">
        <v>0</v>
      </c>
      <c r="BC4" s="1375">
        <v>0</v>
      </c>
      <c r="BD4" s="508">
        <v>3</v>
      </c>
      <c r="BE4" s="463">
        <v>1285996102</v>
      </c>
      <c r="BF4" s="463">
        <v>13338000</v>
      </c>
      <c r="BG4" s="463">
        <v>0</v>
      </c>
      <c r="BH4" s="463">
        <v>402790336</v>
      </c>
      <c r="BI4" s="463">
        <v>0</v>
      </c>
      <c r="BJ4" s="463">
        <v>0</v>
      </c>
      <c r="BK4" s="460">
        <v>869867766</v>
      </c>
      <c r="BL4" s="1298">
        <v>0</v>
      </c>
      <c r="BM4" s="1298">
        <v>0</v>
      </c>
      <c r="BN4" s="1298">
        <v>0</v>
      </c>
      <c r="BO4" s="1298">
        <v>0</v>
      </c>
      <c r="BP4" s="1298">
        <v>0</v>
      </c>
      <c r="BQ4" s="1298">
        <v>0</v>
      </c>
      <c r="BR4" s="1298">
        <v>0</v>
      </c>
      <c r="BS4" s="1298">
        <v>0</v>
      </c>
      <c r="BT4" s="1298">
        <v>0</v>
      </c>
    </row>
    <row r="5" spans="1:72" s="22" customFormat="1" ht="26.25" customHeight="1">
      <c r="A5" s="464">
        <f>SUBTOTAL(3,B$4:B5)</f>
        <v>2</v>
      </c>
      <c r="B5" s="465" t="s">
        <v>221</v>
      </c>
      <c r="C5" s="466" t="s">
        <v>241</v>
      </c>
      <c r="D5" s="467" t="s">
        <v>701</v>
      </c>
      <c r="E5" s="468">
        <f>COUNTIFS('Salary sheet'!$F$6:$F$2288,C5,'Salary sheet'!$E$6:$E$2288,B5)</f>
        <v>4</v>
      </c>
      <c r="F5" s="460">
        <f>+SUMIFS('Salary sheet'!$AN$6:$AN$1292,'Salary sheet'!$F$6:$F$1292,'So sánh giờ'!C5,'Salary sheet'!$E$6:$E$1292,'So sánh giờ'!B5)</f>
        <v>38438407</v>
      </c>
      <c r="G5" s="460">
        <f>+SUMIFS('Salary sheet'!$AO$6:$AO$2288,'Salary sheet'!$F$6:$F$2288,C5,'Salary sheet'!$E$6:$E$2288,B5)</f>
        <v>2962470</v>
      </c>
      <c r="H5" s="460">
        <f>+SUMIFS('Salary sheet'!$AP$6:$AP$2288,'Salary sheet'!$F$6:$F$2288,C5,'Salary sheet'!$E$6:$E$2288,B5)</f>
        <v>176400</v>
      </c>
      <c r="I5" s="460">
        <f>+SUMIFS('Salary sheet'!$AQ$6:$AQ$2288,'Salary sheet'!$F$6:$F$2288,C5,'Salary sheet'!$E$6:$E$2288,B5)</f>
        <v>0</v>
      </c>
      <c r="J5" s="460">
        <f>+SUMIFS('Salary sheet'!$AR$6:$AR$2288,'Salary sheet'!$F$6:$F$2288,C5,'Salary sheet'!$E$6:$E$2288,B5)</f>
        <v>0</v>
      </c>
      <c r="K5" s="460">
        <f>SUMIFS('Salary sheet'!$AS$6:$AS$1291,'Salary sheet'!$F$6:$F$1291,'So sánh giờ'!C5)</f>
        <v>0</v>
      </c>
      <c r="L5" s="460">
        <f>+(F5)-SUM(G5:K5)</f>
        <v>35299537</v>
      </c>
      <c r="M5" s="1299">
        <f>SUMIFS('Salary sheet'!$M$6:$M$13045,'Salary sheet'!$F$6:$F$13045,'So sánh giờ'!$C5)</f>
        <v>94.5</v>
      </c>
      <c r="N5" s="1299">
        <f>SUMIFS('Salary sheet'!$O$6:$O$13045,'Salary sheet'!$F$6:$F$13045,'So sánh giờ'!$C5)</f>
        <v>9</v>
      </c>
      <c r="O5" s="1299">
        <f>SUMIFS('Salary sheet'!$AA$6:$AA$13045,'Salary sheet'!$F$6:$F$13045,'So sánh giờ'!$C5)</f>
        <v>0</v>
      </c>
      <c r="P5" s="1299">
        <f>SUMIFS('Salary sheet'!$Q$6:$Q$13045,'Salary sheet'!$F$6:$F$13045,'So sánh giờ'!$C5)</f>
        <v>0</v>
      </c>
      <c r="Q5" s="1299">
        <f>SUMIFS('Salary sheet'!$AH$6:$AH$13045,'Salary sheet'!$F$6:$F$13045,'So sánh giờ'!$C5)</f>
        <v>98</v>
      </c>
      <c r="R5" s="1299">
        <f>SUMIFS('Salary sheet'!$AI$6:$AI$13045,'Salary sheet'!$F$6:$F$13045,'So sánh giờ'!$C5)</f>
        <v>0</v>
      </c>
      <c r="S5" s="1299">
        <f>SUMIFS('Salary sheet'!$AJ$6:$AJ$13045,'Salary sheet'!$F$6:$F$13045,'So sánh giờ'!$C5)</f>
        <v>0</v>
      </c>
      <c r="T5" s="1299">
        <f>SUMIFS('Salary sheet'!$AK$6:$AK$13045,'Salary sheet'!$F$6:$F$13045,'So sánh giờ'!$C5)</f>
        <v>0</v>
      </c>
      <c r="U5" s="1299">
        <f>SUMIFS('Salary sheet'!$AL$6:$AL$13045,'Salary sheet'!$F$6:$F$13045,'So sánh giờ'!$C5)</f>
        <v>0</v>
      </c>
      <c r="V5" s="1394">
        <v>5</v>
      </c>
      <c r="W5" s="1392">
        <v>45863314</v>
      </c>
      <c r="X5" s="1392">
        <v>3681930</v>
      </c>
      <c r="Y5" s="1392">
        <v>220500</v>
      </c>
      <c r="Z5" s="1392">
        <v>0</v>
      </c>
      <c r="AA5" s="1392">
        <v>0</v>
      </c>
      <c r="AB5" s="1392">
        <v>0</v>
      </c>
      <c r="AC5" s="1392">
        <v>41960884</v>
      </c>
      <c r="AD5" s="1395">
        <v>128.69999999999999</v>
      </c>
      <c r="AE5" s="1395">
        <v>1</v>
      </c>
      <c r="AF5" s="1395">
        <v>0</v>
      </c>
      <c r="AG5" s="1395">
        <v>0</v>
      </c>
      <c r="AH5" s="1395">
        <v>100.5</v>
      </c>
      <c r="AI5" s="1395">
        <v>0</v>
      </c>
      <c r="AJ5" s="1395">
        <v>0</v>
      </c>
      <c r="AK5" s="1395">
        <v>0</v>
      </c>
      <c r="AL5" s="1395">
        <v>0</v>
      </c>
      <c r="AM5" s="1376">
        <v>5</v>
      </c>
      <c r="AN5" s="1374">
        <v>44631780</v>
      </c>
      <c r="AO5" s="1374">
        <v>3681930</v>
      </c>
      <c r="AP5" s="1374">
        <v>220500</v>
      </c>
      <c r="AQ5" s="1374">
        <v>0</v>
      </c>
      <c r="AR5" s="1374">
        <v>0</v>
      </c>
      <c r="AS5" s="1374">
        <v>0</v>
      </c>
      <c r="AT5" s="1374">
        <v>40729350</v>
      </c>
      <c r="AU5" s="1377">
        <v>110</v>
      </c>
      <c r="AV5" s="1377">
        <v>10</v>
      </c>
      <c r="AW5" s="1377">
        <v>0</v>
      </c>
      <c r="AX5" s="1377">
        <v>0</v>
      </c>
      <c r="AY5" s="1377">
        <v>58</v>
      </c>
      <c r="AZ5" s="1377">
        <v>8</v>
      </c>
      <c r="BA5" s="1377">
        <v>0</v>
      </c>
      <c r="BB5" s="1377">
        <v>0</v>
      </c>
      <c r="BC5" s="1377">
        <v>0</v>
      </c>
      <c r="BD5" s="468">
        <v>5</v>
      </c>
      <c r="BE5" s="460">
        <v>71883791</v>
      </c>
      <c r="BF5" s="460">
        <v>3633210</v>
      </c>
      <c r="BG5" s="460">
        <v>220500</v>
      </c>
      <c r="BH5" s="460">
        <v>438426</v>
      </c>
      <c r="BI5" s="460">
        <v>0</v>
      </c>
      <c r="BJ5" s="460">
        <v>0</v>
      </c>
      <c r="BK5" s="460">
        <v>67591655</v>
      </c>
      <c r="BL5" s="1299">
        <v>97.8</v>
      </c>
      <c r="BM5" s="1299">
        <v>35</v>
      </c>
      <c r="BN5" s="1299">
        <v>0</v>
      </c>
      <c r="BO5" s="1299">
        <v>0</v>
      </c>
      <c r="BP5" s="1299">
        <v>72</v>
      </c>
      <c r="BQ5" s="1299">
        <v>0</v>
      </c>
      <c r="BR5" s="1299">
        <v>0</v>
      </c>
      <c r="BS5" s="1299">
        <v>0</v>
      </c>
      <c r="BT5" s="1299">
        <v>0</v>
      </c>
    </row>
    <row r="6" spans="1:72" s="22" customFormat="1" ht="26.25" customHeight="1">
      <c r="A6" s="464">
        <f>SUBTOTAL(3,B$4:B6)</f>
        <v>3</v>
      </c>
      <c r="B6" s="465" t="s">
        <v>221</v>
      </c>
      <c r="C6" s="466" t="s">
        <v>242</v>
      </c>
      <c r="D6" s="467" t="s">
        <v>582</v>
      </c>
      <c r="E6" s="468">
        <f>COUNTIFS('Salary sheet'!$F$6:$F$2288,C6,'Salary sheet'!$E$6:$E$2288,B6)</f>
        <v>4</v>
      </c>
      <c r="F6" s="460">
        <f>+SUMIFS('Salary sheet'!$AN$6:$AN$1292,'Salary sheet'!$F$6:$F$1292,'So sánh giờ'!C6,'Salary sheet'!$E$6:$E$1292,'So sánh giờ'!B6)</f>
        <v>70351442</v>
      </c>
      <c r="G6" s="460">
        <f>+SUMIFS('Salary sheet'!$AO$6:$AO$2288,'Salary sheet'!$F$6:$F$2288,C6,'Salary sheet'!$E$6:$E$2288,B6)</f>
        <v>7350000</v>
      </c>
      <c r="H6" s="460">
        <f>+SUMIFS('Salary sheet'!$AP$6:$AP$2288,'Salary sheet'!$F$6:$F$2288,C6,'Salary sheet'!$E$6:$E$2288,B6)</f>
        <v>176400</v>
      </c>
      <c r="I6" s="460">
        <f>+SUMIFS('Salary sheet'!$AQ$6:$AQ$2288,'Salary sheet'!$F$6:$F$2288,C6,'Salary sheet'!$E$6:$E$2288,B6)</f>
        <v>364524</v>
      </c>
      <c r="J6" s="460">
        <f>+SUMIFS('Salary sheet'!$AR$6:$AR$2288,'Salary sheet'!$F$6:$F$2288,C6,'Salary sheet'!$E$6:$E$2288,B6)</f>
        <v>0</v>
      </c>
      <c r="K6" s="460">
        <f>SUMIFS('Salary sheet'!$AS$6:$AS$1291,'Salary sheet'!$F$6:$F$1291,'So sánh giờ'!C6)</f>
        <v>0</v>
      </c>
      <c r="L6" s="460">
        <f t="shared" ref="L6:L77" si="0">+(F6)-SUM(G6:K6)</f>
        <v>62460518</v>
      </c>
      <c r="M6" s="1299">
        <f>SUMIFS('Salary sheet'!$M$6:$M$13045,'Salary sheet'!$F$6:$F$13045,'So sánh giờ'!$C6)</f>
        <v>91.5</v>
      </c>
      <c r="N6" s="1299">
        <f>SUMIFS('Salary sheet'!$O$6:$O$13045,'Salary sheet'!$F$6:$F$13045,'So sánh giờ'!$C6)</f>
        <v>10</v>
      </c>
      <c r="O6" s="1299">
        <f>SUMIFS('Salary sheet'!$AA$6:$AA$13045,'Salary sheet'!$F$6:$F$13045,'So sánh giờ'!$C6)</f>
        <v>0</v>
      </c>
      <c r="P6" s="1299">
        <f>SUMIFS('Salary sheet'!$Q$6:$Q$13045,'Salary sheet'!$F$6:$F$13045,'So sánh giờ'!$C6)</f>
        <v>0</v>
      </c>
      <c r="Q6" s="1299">
        <f>SUMIFS('Salary sheet'!$AH$6:$AH$13045,'Salary sheet'!$F$6:$F$13045,'So sánh giờ'!$C6)</f>
        <v>0</v>
      </c>
      <c r="R6" s="1299">
        <f>SUMIFS('Salary sheet'!$AI$6:$AI$13045,'Salary sheet'!$F$6:$F$13045,'So sánh giờ'!$C6)</f>
        <v>8</v>
      </c>
      <c r="S6" s="1299">
        <f>SUMIFS('Salary sheet'!$AJ$6:$AJ$13045,'Salary sheet'!$F$6:$F$13045,'So sánh giờ'!$C6)</f>
        <v>0</v>
      </c>
      <c r="T6" s="1299">
        <f>SUMIFS('Salary sheet'!$AK$6:$AK$13045,'Salary sheet'!$F$6:$F$13045,'So sánh giờ'!$C6)</f>
        <v>0</v>
      </c>
      <c r="U6" s="1299">
        <f>SUMIFS('Salary sheet'!$AL$6:$AL$13045,'Salary sheet'!$F$6:$F$13045,'So sánh giờ'!$C6)</f>
        <v>0</v>
      </c>
      <c r="V6" s="1394">
        <v>4</v>
      </c>
      <c r="W6" s="1392">
        <v>70760097</v>
      </c>
      <c r="X6" s="1392">
        <v>7350000</v>
      </c>
      <c r="Y6" s="1392">
        <v>176400</v>
      </c>
      <c r="Z6" s="1392">
        <v>335216</v>
      </c>
      <c r="AA6" s="1392">
        <v>0</v>
      </c>
      <c r="AB6" s="1392">
        <v>0</v>
      </c>
      <c r="AC6" s="1392">
        <v>62898481</v>
      </c>
      <c r="AD6" s="1395">
        <v>100.8</v>
      </c>
      <c r="AE6" s="1395">
        <v>0</v>
      </c>
      <c r="AF6" s="1395">
        <v>0</v>
      </c>
      <c r="AG6" s="1395">
        <v>0</v>
      </c>
      <c r="AH6" s="1395">
        <v>0</v>
      </c>
      <c r="AI6" s="1395">
        <v>16</v>
      </c>
      <c r="AJ6" s="1395">
        <v>0</v>
      </c>
      <c r="AK6" s="1395">
        <v>0</v>
      </c>
      <c r="AL6" s="1395">
        <v>0</v>
      </c>
      <c r="AM6" s="1376">
        <v>4</v>
      </c>
      <c r="AN6" s="1374">
        <v>67950104</v>
      </c>
      <c r="AO6" s="1374">
        <v>7350000</v>
      </c>
      <c r="AP6" s="1374">
        <v>176400</v>
      </c>
      <c r="AQ6" s="1374">
        <v>288734</v>
      </c>
      <c r="AR6" s="1374">
        <v>180000</v>
      </c>
      <c r="AS6" s="1374">
        <v>0</v>
      </c>
      <c r="AT6" s="1374">
        <v>59954970</v>
      </c>
      <c r="AU6" s="1377">
        <v>83.1</v>
      </c>
      <c r="AV6" s="1377">
        <v>8</v>
      </c>
      <c r="AW6" s="1377">
        <v>0</v>
      </c>
      <c r="AX6" s="1377">
        <v>0</v>
      </c>
      <c r="AY6" s="1377">
        <v>0</v>
      </c>
      <c r="AZ6" s="1377">
        <v>0</v>
      </c>
      <c r="BA6" s="1377">
        <v>0</v>
      </c>
      <c r="BB6" s="1377">
        <v>0</v>
      </c>
      <c r="BC6" s="1377">
        <v>0</v>
      </c>
      <c r="BD6" s="468">
        <v>4</v>
      </c>
      <c r="BE6" s="460">
        <v>137095637</v>
      </c>
      <c r="BF6" s="460">
        <v>7350000</v>
      </c>
      <c r="BG6" s="460">
        <v>176400</v>
      </c>
      <c r="BH6" s="460">
        <v>8511746</v>
      </c>
      <c r="BI6" s="460">
        <v>0</v>
      </c>
      <c r="BJ6" s="460">
        <v>0</v>
      </c>
      <c r="BK6" s="460">
        <v>121057491</v>
      </c>
      <c r="BL6" s="1299">
        <v>77.5</v>
      </c>
      <c r="BM6" s="1299">
        <v>28</v>
      </c>
      <c r="BN6" s="1299">
        <v>0</v>
      </c>
      <c r="BO6" s="1299">
        <v>0</v>
      </c>
      <c r="BP6" s="1299">
        <v>0</v>
      </c>
      <c r="BQ6" s="1299">
        <v>0</v>
      </c>
      <c r="BR6" s="1299">
        <v>0</v>
      </c>
      <c r="BS6" s="1299">
        <v>0</v>
      </c>
      <c r="BT6" s="1299">
        <v>0</v>
      </c>
    </row>
    <row r="7" spans="1:72" s="22" customFormat="1" ht="26.25" customHeight="1">
      <c r="A7" s="464">
        <f>SUBTOTAL(3,B$4:B7)</f>
        <v>4</v>
      </c>
      <c r="B7" s="465" t="s">
        <v>221</v>
      </c>
      <c r="C7" s="466" t="s">
        <v>243</v>
      </c>
      <c r="D7" s="467" t="s">
        <v>583</v>
      </c>
      <c r="E7" s="468">
        <f>COUNTIFS('Salary sheet'!$F$6:$F$2288,C7,'Salary sheet'!$E$6:$E$2288,B7)</f>
        <v>13</v>
      </c>
      <c r="F7" s="460">
        <f>+SUMIFS('Salary sheet'!$AN$6:$AN$1292,'Salary sheet'!$F$6:$F$1292,'So sánh giờ'!C7,'Salary sheet'!$E$6:$E$1292,'So sánh giờ'!B7)</f>
        <v>207934161</v>
      </c>
      <c r="G7" s="460">
        <f>+SUMIFS('Salary sheet'!$AO$6:$AO$2288,'Salary sheet'!$F$6:$F$2288,C7,'Salary sheet'!$E$6:$E$2288,B7)</f>
        <v>12238905</v>
      </c>
      <c r="H7" s="460">
        <f>+SUMIFS('Salary sheet'!$AP$6:$AP$2288,'Salary sheet'!$F$6:$F$2288,C7,'Salary sheet'!$E$6:$E$2288,B7)</f>
        <v>573300</v>
      </c>
      <c r="I7" s="460">
        <f>+SUMIFS('Salary sheet'!$AQ$6:$AQ$2288,'Salary sheet'!$F$6:$F$2288,C7,'Salary sheet'!$E$6:$E$2288,B7)</f>
        <v>428727</v>
      </c>
      <c r="J7" s="460">
        <f>+SUMIFS('Salary sheet'!$AR$6:$AR$2288,'Salary sheet'!$F$6:$F$2288,C7,'Salary sheet'!$E$6:$E$2288,B7)</f>
        <v>0</v>
      </c>
      <c r="K7" s="460">
        <f>SUMIFS('Salary sheet'!$AS$6:$AS$1291,'Salary sheet'!$F$6:$F$1291,'So sánh giờ'!C7)</f>
        <v>0</v>
      </c>
      <c r="L7" s="460">
        <f t="shared" si="0"/>
        <v>194693229</v>
      </c>
      <c r="M7" s="1299">
        <f>SUMIFS('Salary sheet'!$M$6:$M$13045,'Salary sheet'!$F$6:$F$13045,'So sánh giờ'!$C7)</f>
        <v>309.5</v>
      </c>
      <c r="N7" s="1299">
        <f>SUMIFS('Salary sheet'!$O$6:$O$13045,'Salary sheet'!$F$6:$F$13045,'So sánh giờ'!$C7)</f>
        <v>28</v>
      </c>
      <c r="O7" s="1299">
        <f>SUMIFS('Salary sheet'!$AA$6:$AA$13045,'Salary sheet'!$F$6:$F$13045,'So sánh giờ'!$C7)</f>
        <v>0</v>
      </c>
      <c r="P7" s="1299">
        <f>SUMIFS('Salary sheet'!$Q$6:$Q$13045,'Salary sheet'!$F$6:$F$13045,'So sánh giờ'!$C7)</f>
        <v>0</v>
      </c>
      <c r="Q7" s="1299">
        <f>SUMIFS('Salary sheet'!$AH$6:$AH$13045,'Salary sheet'!$F$6:$F$13045,'So sánh giờ'!$C7)</f>
        <v>891.5</v>
      </c>
      <c r="R7" s="1299">
        <f>SUMIFS('Salary sheet'!$AI$6:$AI$13045,'Salary sheet'!$F$6:$F$13045,'So sánh giờ'!$C7)</f>
        <v>192</v>
      </c>
      <c r="S7" s="1299">
        <f>SUMIFS('Salary sheet'!$AJ$6:$AJ$13045,'Salary sheet'!$F$6:$F$13045,'So sánh giờ'!$C7)</f>
        <v>0</v>
      </c>
      <c r="T7" s="1299">
        <f>SUMIFS('Salary sheet'!$AK$6:$AK$13045,'Salary sheet'!$F$6:$F$13045,'So sánh giờ'!$C7)</f>
        <v>0</v>
      </c>
      <c r="U7" s="1299">
        <f>SUMIFS('Salary sheet'!$AL$6:$AL$13045,'Salary sheet'!$F$6:$F$13045,'So sánh giờ'!$C7)</f>
        <v>96</v>
      </c>
      <c r="V7" s="1394">
        <v>13</v>
      </c>
      <c r="W7" s="1392">
        <v>156790383</v>
      </c>
      <c r="X7" s="1392">
        <v>12186405</v>
      </c>
      <c r="Y7" s="1392">
        <v>573300</v>
      </c>
      <c r="Z7" s="1392">
        <v>112891</v>
      </c>
      <c r="AA7" s="1392">
        <v>0</v>
      </c>
      <c r="AB7" s="1392">
        <v>24042</v>
      </c>
      <c r="AC7" s="1392">
        <v>143893745</v>
      </c>
      <c r="AD7" s="1395">
        <v>327</v>
      </c>
      <c r="AE7" s="1395">
        <v>0</v>
      </c>
      <c r="AF7" s="1395">
        <v>0</v>
      </c>
      <c r="AG7" s="1395">
        <v>0</v>
      </c>
      <c r="AH7" s="1395">
        <v>579.5</v>
      </c>
      <c r="AI7" s="1395">
        <v>0</v>
      </c>
      <c r="AJ7" s="1395">
        <v>0</v>
      </c>
      <c r="AK7" s="1395">
        <v>0</v>
      </c>
      <c r="AL7" s="1395">
        <v>0</v>
      </c>
      <c r="AM7" s="1376">
        <v>13</v>
      </c>
      <c r="AN7" s="1374">
        <v>138626798</v>
      </c>
      <c r="AO7" s="1374">
        <v>11501490</v>
      </c>
      <c r="AP7" s="1374">
        <v>529200</v>
      </c>
      <c r="AQ7" s="1374">
        <v>36675</v>
      </c>
      <c r="AR7" s="1374">
        <v>905000</v>
      </c>
      <c r="AS7" s="1374">
        <v>0</v>
      </c>
      <c r="AT7" s="1374">
        <v>125654433</v>
      </c>
      <c r="AU7" s="1377">
        <v>274.40000000000003</v>
      </c>
      <c r="AV7" s="1377">
        <v>24</v>
      </c>
      <c r="AW7" s="1377">
        <v>0</v>
      </c>
      <c r="AX7" s="1377">
        <v>0</v>
      </c>
      <c r="AY7" s="1377">
        <v>240</v>
      </c>
      <c r="AZ7" s="1377">
        <v>0</v>
      </c>
      <c r="BA7" s="1377">
        <v>0</v>
      </c>
      <c r="BB7" s="1377">
        <v>0</v>
      </c>
      <c r="BC7" s="1377">
        <v>0</v>
      </c>
      <c r="BD7" s="468">
        <v>12</v>
      </c>
      <c r="BE7" s="460">
        <v>226926078</v>
      </c>
      <c r="BF7" s="460">
        <v>11501490</v>
      </c>
      <c r="BG7" s="460">
        <v>529200</v>
      </c>
      <c r="BH7" s="460">
        <v>4777153</v>
      </c>
      <c r="BI7" s="460">
        <v>0</v>
      </c>
      <c r="BJ7" s="460">
        <v>0</v>
      </c>
      <c r="BK7" s="460">
        <v>210118235</v>
      </c>
      <c r="BL7" s="1299">
        <v>234.8</v>
      </c>
      <c r="BM7" s="1299">
        <v>84</v>
      </c>
      <c r="BN7" s="1299">
        <v>0</v>
      </c>
      <c r="BO7" s="1299">
        <v>0</v>
      </c>
      <c r="BP7" s="1299">
        <v>343.5</v>
      </c>
      <c r="BQ7" s="1299">
        <v>0</v>
      </c>
      <c r="BR7" s="1299">
        <v>0</v>
      </c>
      <c r="BS7" s="1299">
        <v>0</v>
      </c>
      <c r="BT7" s="1299">
        <v>0</v>
      </c>
    </row>
    <row r="8" spans="1:72" s="22" customFormat="1" ht="26.25" customHeight="1">
      <c r="A8" s="464">
        <f>SUBTOTAL(3,B$4:B8)</f>
        <v>5</v>
      </c>
      <c r="B8" s="465" t="s">
        <v>221</v>
      </c>
      <c r="C8" s="466" t="s">
        <v>244</v>
      </c>
      <c r="D8" s="467" t="s">
        <v>584</v>
      </c>
      <c r="E8" s="468">
        <f>COUNTIFS('Salary sheet'!$F$6:$F$2288,C8,'Salary sheet'!$E$6:$E$2288,B8)</f>
        <v>3</v>
      </c>
      <c r="F8" s="460">
        <f>+SUMIFS('Salary sheet'!$AN$6:$AN$1292,'Salary sheet'!$F$6:$F$1292,'So sánh giờ'!C8,'Salary sheet'!$E$6:$E$1292,'So sánh giờ'!B8)</f>
        <v>34202056</v>
      </c>
      <c r="G8" s="460">
        <f>+SUMIFS('Salary sheet'!$AO$6:$AO$2288,'Salary sheet'!$F$6:$F$2288,C8,'Salary sheet'!$E$6:$E$2288,B8)</f>
        <v>2592345</v>
      </c>
      <c r="H8" s="460">
        <f>+SUMIFS('Salary sheet'!$AP$6:$AP$2288,'Salary sheet'!$F$6:$F$2288,C8,'Salary sheet'!$E$6:$E$2288,B8)</f>
        <v>132300</v>
      </c>
      <c r="I8" s="460">
        <f>+SUMIFS('Salary sheet'!$AQ$6:$AQ$2288,'Salary sheet'!$F$6:$F$2288,C8,'Salary sheet'!$E$6:$E$2288,B8)</f>
        <v>0</v>
      </c>
      <c r="J8" s="460">
        <f>+SUMIFS('Salary sheet'!$AR$6:$AR$2288,'Salary sheet'!$F$6:$F$2288,C8,'Salary sheet'!$E$6:$E$2288,B8)</f>
        <v>0</v>
      </c>
      <c r="K8" s="460">
        <f>SUMIFS('Salary sheet'!$AS$6:$AS$1291,'Salary sheet'!$F$6:$F$1291,'So sánh giờ'!C8)</f>
        <v>0</v>
      </c>
      <c r="L8" s="460">
        <f>+(F8)-SUM(G8:K8)</f>
        <v>31477411</v>
      </c>
      <c r="M8" s="1299">
        <f>SUMIFS('Salary sheet'!$M$6:$M$13045,'Salary sheet'!$F$6:$F$13045,'So sánh giờ'!$C8)</f>
        <v>69.8</v>
      </c>
      <c r="N8" s="1299">
        <f>SUMIFS('Salary sheet'!$O$6:$O$13045,'Salary sheet'!$F$6:$F$13045,'So sánh giờ'!$C8)</f>
        <v>8</v>
      </c>
      <c r="O8" s="1299">
        <f>SUMIFS('Salary sheet'!$AA$6:$AA$13045,'Salary sheet'!$F$6:$F$13045,'So sánh giờ'!$C8)</f>
        <v>0</v>
      </c>
      <c r="P8" s="1299">
        <f>SUMIFS('Salary sheet'!$Q$6:$Q$13045,'Salary sheet'!$F$6:$F$13045,'So sánh giờ'!$C8)</f>
        <v>0</v>
      </c>
      <c r="Q8" s="1299">
        <f>SUMIFS('Salary sheet'!$AH$6:$AH$13045,'Salary sheet'!$F$6:$F$13045,'So sánh giờ'!$C8)</f>
        <v>110.5</v>
      </c>
      <c r="R8" s="1299">
        <f>SUMIFS('Salary sheet'!$AI$6:$AI$13045,'Salary sheet'!$F$6:$F$13045,'So sánh giờ'!$C8)</f>
        <v>0</v>
      </c>
      <c r="S8" s="1299">
        <f>SUMIFS('Salary sheet'!$AJ$6:$AJ$13045,'Salary sheet'!$F$6:$F$13045,'So sánh giờ'!$C8)</f>
        <v>0</v>
      </c>
      <c r="T8" s="1299">
        <f>SUMIFS('Salary sheet'!$AK$6:$AK$13045,'Salary sheet'!$F$6:$F$13045,'So sánh giờ'!$C8)</f>
        <v>0</v>
      </c>
      <c r="U8" s="1299">
        <f>SUMIFS('Salary sheet'!$AL$6:$AL$13045,'Salary sheet'!$F$6:$F$13045,'So sánh giờ'!$C8)</f>
        <v>0</v>
      </c>
      <c r="V8" s="1394">
        <v>3</v>
      </c>
      <c r="W8" s="1392">
        <v>31552116</v>
      </c>
      <c r="X8" s="1392">
        <v>2592345</v>
      </c>
      <c r="Y8" s="1392">
        <v>132300</v>
      </c>
      <c r="Z8" s="1392">
        <v>0</v>
      </c>
      <c r="AA8" s="1392">
        <v>0</v>
      </c>
      <c r="AB8" s="1392">
        <v>0</v>
      </c>
      <c r="AC8" s="1392">
        <v>28827471</v>
      </c>
      <c r="AD8" s="1395">
        <v>77.7</v>
      </c>
      <c r="AE8" s="1395">
        <v>0</v>
      </c>
      <c r="AF8" s="1395">
        <v>0</v>
      </c>
      <c r="AG8" s="1395">
        <v>0</v>
      </c>
      <c r="AH8" s="1395">
        <v>64</v>
      </c>
      <c r="AI8" s="1395">
        <v>0</v>
      </c>
      <c r="AJ8" s="1395">
        <v>0</v>
      </c>
      <c r="AK8" s="1395">
        <v>0</v>
      </c>
      <c r="AL8" s="1395">
        <v>0</v>
      </c>
      <c r="AM8" s="1376">
        <v>3</v>
      </c>
      <c r="AN8" s="1374">
        <v>29765637</v>
      </c>
      <c r="AO8" s="1374">
        <v>2592345</v>
      </c>
      <c r="AP8" s="1374">
        <v>132300</v>
      </c>
      <c r="AQ8" s="1374">
        <v>0</v>
      </c>
      <c r="AR8" s="1374">
        <v>65000</v>
      </c>
      <c r="AS8" s="1374">
        <v>0</v>
      </c>
      <c r="AT8" s="1374">
        <v>26975992</v>
      </c>
      <c r="AU8" s="1377">
        <v>64.7</v>
      </c>
      <c r="AV8" s="1377">
        <v>6</v>
      </c>
      <c r="AW8" s="1377">
        <v>0</v>
      </c>
      <c r="AX8" s="1377">
        <v>0</v>
      </c>
      <c r="AY8" s="1377">
        <v>35</v>
      </c>
      <c r="AZ8" s="1377">
        <v>0</v>
      </c>
      <c r="BA8" s="1377">
        <v>0</v>
      </c>
      <c r="BB8" s="1377">
        <v>0</v>
      </c>
      <c r="BC8" s="1377">
        <v>0</v>
      </c>
      <c r="BD8" s="468">
        <v>3</v>
      </c>
      <c r="BE8" s="460">
        <v>49840095</v>
      </c>
      <c r="BF8" s="460">
        <v>2636025</v>
      </c>
      <c r="BG8" s="460">
        <v>132300</v>
      </c>
      <c r="BH8" s="460">
        <v>645046</v>
      </c>
      <c r="BI8" s="460">
        <v>0</v>
      </c>
      <c r="BJ8" s="460">
        <v>0</v>
      </c>
      <c r="BK8" s="460">
        <v>46426724</v>
      </c>
      <c r="BL8" s="1299">
        <v>56.1</v>
      </c>
      <c r="BM8" s="1299">
        <v>21</v>
      </c>
      <c r="BN8" s="1299">
        <v>0</v>
      </c>
      <c r="BO8" s="1299">
        <v>0</v>
      </c>
      <c r="BP8" s="1299">
        <v>68</v>
      </c>
      <c r="BQ8" s="1299">
        <v>0</v>
      </c>
      <c r="BR8" s="1299">
        <v>0</v>
      </c>
      <c r="BS8" s="1299">
        <v>0</v>
      </c>
      <c r="BT8" s="1299">
        <v>0</v>
      </c>
    </row>
    <row r="9" spans="1:72" s="22" customFormat="1" ht="26.25" customHeight="1">
      <c r="A9" s="464">
        <f>SUBTOTAL(3,B$4:B9)</f>
        <v>6</v>
      </c>
      <c r="B9" s="465" t="s">
        <v>221</v>
      </c>
      <c r="C9" s="466" t="s">
        <v>546</v>
      </c>
      <c r="D9" s="467" t="s">
        <v>585</v>
      </c>
      <c r="E9" s="468">
        <f>COUNTIFS('Salary sheet'!$F$6:$F$2288,C9,'Salary sheet'!$E$6:$E$2288,B9)</f>
        <v>3</v>
      </c>
      <c r="F9" s="460">
        <f>+SUMIFS('Salary sheet'!$AN$6:$AN$1292,'Salary sheet'!$F$6:$F$1292,'So sánh giờ'!C9,'Salary sheet'!$E$6:$E$1292,'So sánh giờ'!B9)</f>
        <v>36890624</v>
      </c>
      <c r="G9" s="460">
        <f>+SUMIFS('Salary sheet'!$AO$6:$AO$2288,'Salary sheet'!$F$6:$F$2288,C9,'Salary sheet'!$E$6:$E$2288,B9)</f>
        <v>3727500</v>
      </c>
      <c r="H9" s="460">
        <f>+SUMIFS('Salary sheet'!$AP$6:$AP$2288,'Salary sheet'!$F$6:$F$2288,C9,'Salary sheet'!$E$6:$E$2288,B9)</f>
        <v>132300</v>
      </c>
      <c r="I9" s="460">
        <f>+SUMIFS('Salary sheet'!$AQ$6:$AQ$2288,'Salary sheet'!$F$6:$F$2288,C9,'Salary sheet'!$E$6:$E$2288,B9)</f>
        <v>0</v>
      </c>
      <c r="J9" s="460">
        <f>+SUMIFS('Salary sheet'!$AR$6:$AR$2288,'Salary sheet'!$F$6:$F$2288,C9,'Salary sheet'!$E$6:$E$2288,B9)</f>
        <v>0</v>
      </c>
      <c r="K9" s="460">
        <f>SUMIFS('Salary sheet'!$AS$6:$AS$1291,'Salary sheet'!$F$6:$F$1291,'So sánh giờ'!C9)</f>
        <v>0</v>
      </c>
      <c r="L9" s="460">
        <f>+(F9)-SUM(G9:K9)</f>
        <v>33030824</v>
      </c>
      <c r="M9" s="1299">
        <f>SUMIFS('Salary sheet'!$M$6:$M$13045,'Salary sheet'!$F$6:$F$13045,'So sánh giờ'!$C9)</f>
        <v>71</v>
      </c>
      <c r="N9" s="1299">
        <f>SUMIFS('Salary sheet'!$O$6:$O$13045,'Salary sheet'!$F$6:$F$13045,'So sánh giờ'!$C9)</f>
        <v>6</v>
      </c>
      <c r="O9" s="1299">
        <f>SUMIFS('Salary sheet'!$AA$6:$AA$13045,'Salary sheet'!$F$6:$F$13045,'So sánh giờ'!$C9)</f>
        <v>0</v>
      </c>
      <c r="P9" s="1299">
        <f>SUMIFS('Salary sheet'!$Q$6:$Q$13045,'Salary sheet'!$F$6:$F$13045,'So sánh giờ'!$C9)</f>
        <v>0</v>
      </c>
      <c r="Q9" s="1299">
        <f>SUMIFS('Salary sheet'!$AH$6:$AH$13045,'Salary sheet'!$F$6:$F$13045,'So sánh giờ'!$C9)</f>
        <v>0</v>
      </c>
      <c r="R9" s="1299">
        <f>SUMIFS('Salary sheet'!$AI$6:$AI$13045,'Salary sheet'!$F$6:$F$13045,'So sánh giờ'!$C9)</f>
        <v>0</v>
      </c>
      <c r="S9" s="1299">
        <f>SUMIFS('Salary sheet'!$AJ$6:$AJ$13045,'Salary sheet'!$F$6:$F$13045,'So sánh giờ'!$C9)</f>
        <v>0</v>
      </c>
      <c r="T9" s="1299">
        <f>SUMIFS('Salary sheet'!$AK$6:$AK$13045,'Salary sheet'!$F$6:$F$13045,'So sánh giờ'!$C9)</f>
        <v>0</v>
      </c>
      <c r="U9" s="1299">
        <f>SUMIFS('Salary sheet'!$AL$6:$AL$13045,'Salary sheet'!$F$6:$F$13045,'So sánh giờ'!$C9)</f>
        <v>0</v>
      </c>
      <c r="V9" s="1394">
        <v>3</v>
      </c>
      <c r="W9" s="1392">
        <v>33102162</v>
      </c>
      <c r="X9" s="1392">
        <v>3727500</v>
      </c>
      <c r="Y9" s="1392">
        <v>132300</v>
      </c>
      <c r="Z9" s="1392">
        <v>0</v>
      </c>
      <c r="AA9" s="1392">
        <v>0</v>
      </c>
      <c r="AB9" s="1392">
        <v>0</v>
      </c>
      <c r="AC9" s="1392">
        <v>29242362</v>
      </c>
      <c r="AD9" s="1395">
        <v>70</v>
      </c>
      <c r="AE9" s="1395">
        <v>0</v>
      </c>
      <c r="AF9" s="1395">
        <v>0</v>
      </c>
      <c r="AG9" s="1395">
        <v>0</v>
      </c>
      <c r="AH9" s="1395">
        <v>0</v>
      </c>
      <c r="AI9" s="1395">
        <v>0</v>
      </c>
      <c r="AJ9" s="1395">
        <v>0</v>
      </c>
      <c r="AK9" s="1395">
        <v>0</v>
      </c>
      <c r="AL9" s="1395">
        <v>0</v>
      </c>
      <c r="AM9" s="1376">
        <v>3</v>
      </c>
      <c r="AN9" s="1374">
        <v>36548178</v>
      </c>
      <c r="AO9" s="1374">
        <v>3727500</v>
      </c>
      <c r="AP9" s="1374">
        <v>132300</v>
      </c>
      <c r="AQ9" s="1374">
        <v>0</v>
      </c>
      <c r="AR9" s="1374">
        <v>0</v>
      </c>
      <c r="AS9" s="1374">
        <v>0</v>
      </c>
      <c r="AT9" s="1374">
        <v>32688378</v>
      </c>
      <c r="AU9" s="1377">
        <v>64</v>
      </c>
      <c r="AV9" s="1377">
        <v>6</v>
      </c>
      <c r="AW9" s="1377">
        <v>0</v>
      </c>
      <c r="AX9" s="1377">
        <v>0</v>
      </c>
      <c r="AY9" s="1377">
        <v>0</v>
      </c>
      <c r="AZ9" s="1377">
        <v>0</v>
      </c>
      <c r="BA9" s="1377">
        <v>0</v>
      </c>
      <c r="BB9" s="1377">
        <v>0</v>
      </c>
      <c r="BC9" s="1377">
        <v>0</v>
      </c>
      <c r="BD9" s="468">
        <v>3</v>
      </c>
      <c r="BE9" s="460">
        <v>72784869</v>
      </c>
      <c r="BF9" s="460">
        <v>3727500</v>
      </c>
      <c r="BG9" s="460">
        <v>132300</v>
      </c>
      <c r="BH9" s="460">
        <v>1894101</v>
      </c>
      <c r="BI9" s="460">
        <v>0</v>
      </c>
      <c r="BJ9" s="460">
        <v>0</v>
      </c>
      <c r="BK9" s="460">
        <v>67030968</v>
      </c>
      <c r="BL9" s="1299">
        <v>58.9</v>
      </c>
      <c r="BM9" s="1299">
        <v>21</v>
      </c>
      <c r="BN9" s="1299">
        <v>0</v>
      </c>
      <c r="BO9" s="1299">
        <v>0</v>
      </c>
      <c r="BP9" s="1299">
        <v>0</v>
      </c>
      <c r="BQ9" s="1299">
        <v>0</v>
      </c>
      <c r="BR9" s="1299">
        <v>0</v>
      </c>
      <c r="BS9" s="1299">
        <v>0</v>
      </c>
      <c r="BT9" s="1299">
        <v>0</v>
      </c>
    </row>
    <row r="10" spans="1:72" s="22" customFormat="1" ht="26.25" customHeight="1">
      <c r="A10" s="464">
        <f>SUBTOTAL(3,B$4:B10)</f>
        <v>7</v>
      </c>
      <c r="B10" s="465" t="s">
        <v>221</v>
      </c>
      <c r="C10" s="466" t="s">
        <v>531</v>
      </c>
      <c r="D10" s="467" t="s">
        <v>586</v>
      </c>
      <c r="E10" s="468">
        <f>COUNTIFS('Salary sheet'!$F$6:$F$2288,C10,'Salary sheet'!$E$6:$E$2288,B10)</f>
        <v>10</v>
      </c>
      <c r="F10" s="460">
        <f>+SUMIFS('Salary sheet'!$AN$6:$AN$1292,'Salary sheet'!$F$6:$F$1292,'So sánh giờ'!C10,'Salary sheet'!$E$6:$E$1292,'So sánh giờ'!B10)</f>
        <v>139072979</v>
      </c>
      <c r="G10" s="460">
        <f>+SUMIFS('Salary sheet'!$AO$6:$AO$2288,'Salary sheet'!$F$6:$F$2288,C10,'Salary sheet'!$E$6:$E$2288,B10)</f>
        <v>11025420</v>
      </c>
      <c r="H10" s="460">
        <f>+SUMIFS('Salary sheet'!$AP$6:$AP$2288,'Salary sheet'!$F$6:$F$2288,C10,'Salary sheet'!$E$6:$E$2288,B10)</f>
        <v>441000</v>
      </c>
      <c r="I10" s="460">
        <f>+SUMIFS('Salary sheet'!$AQ$6:$AQ$2288,'Salary sheet'!$F$6:$F$2288,C10,'Salary sheet'!$E$6:$E$2288,B10)</f>
        <v>170615</v>
      </c>
      <c r="J10" s="460">
        <f>+SUMIFS('Salary sheet'!$AR$6:$AR$2288,'Salary sheet'!$F$6:$F$2288,C10,'Salary sheet'!$E$6:$E$2288,B10)</f>
        <v>0</v>
      </c>
      <c r="K10" s="460">
        <f>SUMIFS('Salary sheet'!$AS$6:$AS$1291,'Salary sheet'!$F$6:$F$1291,'So sánh giờ'!C10)</f>
        <v>0</v>
      </c>
      <c r="L10" s="460">
        <f>+(F10)-SUM(G10:K10)</f>
        <v>127435944</v>
      </c>
      <c r="M10" s="1299">
        <f>SUMIFS('Salary sheet'!$M$6:$M$13045,'Salary sheet'!$F$6:$F$13045,'So sánh giờ'!$C10)</f>
        <v>235.4</v>
      </c>
      <c r="N10" s="1299">
        <f>SUMIFS('Salary sheet'!$O$6:$O$13045,'Salary sheet'!$F$6:$F$13045,'So sánh giờ'!$C10)</f>
        <v>23</v>
      </c>
      <c r="O10" s="1299">
        <f>SUMIFS('Salary sheet'!$AA$6:$AA$13045,'Salary sheet'!$F$6:$F$13045,'So sánh giờ'!$C10)</f>
        <v>0</v>
      </c>
      <c r="P10" s="1299">
        <f>SUMIFS('Salary sheet'!$Q$6:$Q$13045,'Salary sheet'!$F$6:$F$13045,'So sánh giờ'!$C10)</f>
        <v>0</v>
      </c>
      <c r="Q10" s="1299">
        <f>SUMIFS('Salary sheet'!$AH$6:$AH$13045,'Salary sheet'!$F$6:$F$13045,'So sánh giờ'!$C10)</f>
        <v>323.5</v>
      </c>
      <c r="R10" s="1299">
        <f>SUMIFS('Salary sheet'!$AI$6:$AI$13045,'Salary sheet'!$F$6:$F$13045,'So sánh giờ'!$C10)</f>
        <v>0</v>
      </c>
      <c r="S10" s="1299">
        <f>SUMIFS('Salary sheet'!$AJ$6:$AJ$13045,'Salary sheet'!$F$6:$F$13045,'So sánh giờ'!$C10)</f>
        <v>0</v>
      </c>
      <c r="T10" s="1299">
        <f>SUMIFS('Salary sheet'!$AK$6:$AK$13045,'Salary sheet'!$F$6:$F$13045,'So sánh giờ'!$C10)</f>
        <v>0</v>
      </c>
      <c r="U10" s="1299">
        <f>SUMIFS('Salary sheet'!$AL$6:$AL$13045,'Salary sheet'!$F$6:$F$13045,'So sánh giờ'!$C10)</f>
        <v>0</v>
      </c>
      <c r="V10" s="1394">
        <v>10</v>
      </c>
      <c r="W10" s="1392">
        <v>128479621</v>
      </c>
      <c r="X10" s="1392">
        <v>11014920</v>
      </c>
      <c r="Y10" s="1392">
        <v>441000</v>
      </c>
      <c r="Z10" s="1392">
        <v>141969</v>
      </c>
      <c r="AA10" s="1392">
        <v>0</v>
      </c>
      <c r="AB10" s="1392">
        <v>0</v>
      </c>
      <c r="AC10" s="1392">
        <v>116881732</v>
      </c>
      <c r="AD10" s="1395">
        <v>253.1</v>
      </c>
      <c r="AE10" s="1395">
        <v>0</v>
      </c>
      <c r="AF10" s="1395">
        <v>0</v>
      </c>
      <c r="AG10" s="1395">
        <v>0</v>
      </c>
      <c r="AH10" s="1395">
        <v>179</v>
      </c>
      <c r="AI10" s="1395">
        <v>0</v>
      </c>
      <c r="AJ10" s="1395">
        <v>0</v>
      </c>
      <c r="AK10" s="1395">
        <v>0</v>
      </c>
      <c r="AL10" s="1395">
        <v>0</v>
      </c>
      <c r="AM10" s="1376">
        <v>10</v>
      </c>
      <c r="AN10" s="1374">
        <v>121958474</v>
      </c>
      <c r="AO10" s="1374">
        <v>11014920</v>
      </c>
      <c r="AP10" s="1374">
        <v>441000</v>
      </c>
      <c r="AQ10" s="1374">
        <v>0</v>
      </c>
      <c r="AR10" s="1374">
        <v>340000</v>
      </c>
      <c r="AS10" s="1374">
        <v>0</v>
      </c>
      <c r="AT10" s="1374">
        <v>110162554</v>
      </c>
      <c r="AU10" s="1377">
        <v>211.10000000000002</v>
      </c>
      <c r="AV10" s="1377">
        <v>20</v>
      </c>
      <c r="AW10" s="1377">
        <v>0</v>
      </c>
      <c r="AX10" s="1377">
        <v>0</v>
      </c>
      <c r="AY10" s="1377">
        <v>129</v>
      </c>
      <c r="AZ10" s="1377">
        <v>0</v>
      </c>
      <c r="BA10" s="1377">
        <v>0</v>
      </c>
      <c r="BB10" s="1377">
        <v>0</v>
      </c>
      <c r="BC10" s="1377">
        <v>0</v>
      </c>
      <c r="BD10" s="468">
        <v>10</v>
      </c>
      <c r="BE10" s="460">
        <v>210754942</v>
      </c>
      <c r="BF10" s="460">
        <v>10991610</v>
      </c>
      <c r="BG10" s="460">
        <v>441000</v>
      </c>
      <c r="BH10" s="460">
        <v>5821339</v>
      </c>
      <c r="BI10" s="460">
        <v>0</v>
      </c>
      <c r="BJ10" s="460">
        <v>0</v>
      </c>
      <c r="BK10" s="460">
        <v>193500993</v>
      </c>
      <c r="BL10" s="1299">
        <v>192.70000000000002</v>
      </c>
      <c r="BM10" s="1299">
        <v>70</v>
      </c>
      <c r="BN10" s="1299">
        <v>0</v>
      </c>
      <c r="BO10" s="1299">
        <v>0</v>
      </c>
      <c r="BP10" s="1299">
        <v>273</v>
      </c>
      <c r="BQ10" s="1299">
        <v>0</v>
      </c>
      <c r="BR10" s="1299">
        <v>0</v>
      </c>
      <c r="BS10" s="1299">
        <v>0</v>
      </c>
      <c r="BT10" s="1299">
        <v>0</v>
      </c>
    </row>
    <row r="11" spans="1:72" s="22" customFormat="1" ht="26.25" customHeight="1">
      <c r="A11" s="464">
        <f>SUBTOTAL(3,B$4:B11)</f>
        <v>8</v>
      </c>
      <c r="B11" s="465" t="s">
        <v>221</v>
      </c>
      <c r="C11" s="466" t="s">
        <v>532</v>
      </c>
      <c r="D11" s="467" t="s">
        <v>587</v>
      </c>
      <c r="E11" s="468">
        <f>COUNTIFS('Salary sheet'!$F$6:$F$2288,C11,'Salary sheet'!$E$6:$E$2288,B11)</f>
        <v>5</v>
      </c>
      <c r="F11" s="460">
        <f>+SUMIFS('Salary sheet'!$AN$6:$AN$1292,'Salary sheet'!$F$6:$F$1292,'So sánh giờ'!C11,'Salary sheet'!$E$6:$E$1292,'So sánh giờ'!B11)</f>
        <v>81855000</v>
      </c>
      <c r="G11" s="460">
        <f>+SUMIFS('Salary sheet'!$AO$6:$AO$2288,'Salary sheet'!$F$6:$F$2288,C11,'Salary sheet'!$E$6:$E$2288,B11)</f>
        <v>6744990</v>
      </c>
      <c r="H11" s="460">
        <f>+SUMIFS('Salary sheet'!$AP$6:$AP$2288,'Salary sheet'!$F$6:$F$2288,C11,'Salary sheet'!$E$6:$E$2288,B11)</f>
        <v>220500</v>
      </c>
      <c r="I11" s="460">
        <f>+SUMIFS('Salary sheet'!$AQ$6:$AQ$2288,'Salary sheet'!$F$6:$F$2288,C11,'Salary sheet'!$E$6:$E$2288,B11)</f>
        <v>132102</v>
      </c>
      <c r="J11" s="460">
        <f>+SUMIFS('Salary sheet'!$AR$6:$AR$2288,'Salary sheet'!$F$6:$F$2288,C11,'Salary sheet'!$E$6:$E$2288,B11)</f>
        <v>0</v>
      </c>
      <c r="K11" s="460">
        <f>SUMIFS('Salary sheet'!$AS$6:$AS$1291,'Salary sheet'!$F$6:$F$1291,'So sánh giờ'!C11)</f>
        <v>0</v>
      </c>
      <c r="L11" s="460">
        <f t="shared" si="0"/>
        <v>74757408</v>
      </c>
      <c r="M11" s="1299">
        <f>SUMIFS('Salary sheet'!$M$6:$M$13045,'Salary sheet'!$F$6:$F$13045,'So sánh giờ'!$C11)</f>
        <v>114.5</v>
      </c>
      <c r="N11" s="1299">
        <f>SUMIFS('Salary sheet'!$O$6:$O$13045,'Salary sheet'!$F$6:$F$13045,'So sánh giờ'!$C11)</f>
        <v>14</v>
      </c>
      <c r="O11" s="1299">
        <f>SUMIFS('Salary sheet'!$AA$6:$AA$13045,'Salary sheet'!$F$6:$F$13045,'So sánh giờ'!$C11)</f>
        <v>0</v>
      </c>
      <c r="P11" s="1299">
        <f>SUMIFS('Salary sheet'!$Q$6:$Q$13045,'Salary sheet'!$F$6:$F$13045,'So sánh giờ'!$C11)</f>
        <v>0</v>
      </c>
      <c r="Q11" s="1299">
        <f>SUMIFS('Salary sheet'!$AH$6:$AH$13045,'Salary sheet'!$F$6:$F$13045,'So sánh giờ'!$C11)</f>
        <v>117.5</v>
      </c>
      <c r="R11" s="1299">
        <f>SUMIFS('Salary sheet'!$AI$6:$AI$13045,'Salary sheet'!$F$6:$F$13045,'So sánh giờ'!$C11)</f>
        <v>16</v>
      </c>
      <c r="S11" s="1299">
        <f>SUMIFS('Salary sheet'!$AJ$6:$AJ$13045,'Salary sheet'!$F$6:$F$13045,'So sánh giờ'!$C11)</f>
        <v>0</v>
      </c>
      <c r="T11" s="1299">
        <f>SUMIFS('Salary sheet'!$AK$6:$AK$13045,'Salary sheet'!$F$6:$F$13045,'So sánh giờ'!$C11)</f>
        <v>0</v>
      </c>
      <c r="U11" s="1299">
        <f>SUMIFS('Salary sheet'!$AL$6:$AL$13045,'Salary sheet'!$F$6:$F$13045,'So sánh giờ'!$C11)</f>
        <v>0</v>
      </c>
      <c r="V11" s="1394">
        <v>5</v>
      </c>
      <c r="W11" s="1392">
        <v>86026463</v>
      </c>
      <c r="X11" s="1392">
        <v>6744990</v>
      </c>
      <c r="Y11" s="1392">
        <v>220500</v>
      </c>
      <c r="Z11" s="1392">
        <v>200315</v>
      </c>
      <c r="AA11" s="1392">
        <v>0</v>
      </c>
      <c r="AB11" s="1392">
        <v>0</v>
      </c>
      <c r="AC11" s="1392">
        <v>78860658</v>
      </c>
      <c r="AD11" s="1395">
        <v>122.7</v>
      </c>
      <c r="AE11" s="1395">
        <v>6</v>
      </c>
      <c r="AF11" s="1395">
        <v>0</v>
      </c>
      <c r="AG11" s="1395">
        <v>0</v>
      </c>
      <c r="AH11" s="1395">
        <v>137.5</v>
      </c>
      <c r="AI11" s="1395">
        <v>28</v>
      </c>
      <c r="AJ11" s="1395">
        <v>0</v>
      </c>
      <c r="AK11" s="1395">
        <v>0</v>
      </c>
      <c r="AL11" s="1395">
        <v>0</v>
      </c>
      <c r="AM11" s="1376">
        <v>5</v>
      </c>
      <c r="AN11" s="1374">
        <v>79483670</v>
      </c>
      <c r="AO11" s="1374">
        <v>6692490</v>
      </c>
      <c r="AP11" s="1374">
        <v>220500</v>
      </c>
      <c r="AQ11" s="1374">
        <v>137079</v>
      </c>
      <c r="AR11" s="1374">
        <v>0</v>
      </c>
      <c r="AS11" s="1374">
        <v>0</v>
      </c>
      <c r="AT11" s="1374">
        <v>72433601</v>
      </c>
      <c r="AU11" s="1377">
        <v>109.7</v>
      </c>
      <c r="AV11" s="1377">
        <v>10</v>
      </c>
      <c r="AW11" s="1377">
        <v>0</v>
      </c>
      <c r="AX11" s="1377">
        <v>0</v>
      </c>
      <c r="AY11" s="1377">
        <v>96</v>
      </c>
      <c r="AZ11" s="1377">
        <v>0</v>
      </c>
      <c r="BA11" s="1377">
        <v>0</v>
      </c>
      <c r="BB11" s="1377">
        <v>0</v>
      </c>
      <c r="BC11" s="1377">
        <v>0</v>
      </c>
      <c r="BD11" s="468">
        <v>5</v>
      </c>
      <c r="BE11" s="460">
        <v>121562174</v>
      </c>
      <c r="BF11" s="460">
        <v>6664770</v>
      </c>
      <c r="BG11" s="460">
        <v>220500</v>
      </c>
      <c r="BH11" s="460">
        <v>2446087</v>
      </c>
      <c r="BI11" s="460">
        <v>0</v>
      </c>
      <c r="BJ11" s="460">
        <v>0</v>
      </c>
      <c r="BK11" s="460">
        <v>112230817</v>
      </c>
      <c r="BL11" s="1299">
        <v>99.800000000000011</v>
      </c>
      <c r="BM11" s="1299">
        <v>35</v>
      </c>
      <c r="BN11" s="1299">
        <v>0</v>
      </c>
      <c r="BO11" s="1299">
        <v>0</v>
      </c>
      <c r="BP11" s="1299">
        <v>92.5</v>
      </c>
      <c r="BQ11" s="1299">
        <v>44.5</v>
      </c>
      <c r="BR11" s="1299">
        <v>0</v>
      </c>
      <c r="BS11" s="1299">
        <v>0</v>
      </c>
      <c r="BT11" s="1299">
        <v>0</v>
      </c>
    </row>
    <row r="12" spans="1:72" s="22" customFormat="1" ht="26.25" customHeight="1">
      <c r="A12" s="464">
        <f>SUBTOTAL(3,B$4:B12)</f>
        <v>9</v>
      </c>
      <c r="B12" s="465" t="s">
        <v>221</v>
      </c>
      <c r="C12" s="466" t="s">
        <v>547</v>
      </c>
      <c r="D12" s="467" t="s">
        <v>588</v>
      </c>
      <c r="E12" s="468">
        <f>COUNTIFS('Salary sheet'!$F$6:$F$2288,C12,'Salary sheet'!$E$6:$E$2288,B12)</f>
        <v>9</v>
      </c>
      <c r="F12" s="460">
        <f>+SUMIFS('Salary sheet'!$AN$6:$AN$1292,'Salary sheet'!$F$6:$F$1292,'So sánh giờ'!C12,'Salary sheet'!$E$6:$E$1292,'So sánh giờ'!B12)</f>
        <v>160153125</v>
      </c>
      <c r="G12" s="460">
        <f>+SUMIFS('Salary sheet'!$AO$6:$AO$2288,'Salary sheet'!$F$6:$F$2288,C12,'Salary sheet'!$E$6:$E$2288,B12)</f>
        <v>16695000</v>
      </c>
      <c r="H12" s="460">
        <f>+SUMIFS('Salary sheet'!$AP$6:$AP$2288,'Salary sheet'!$F$6:$F$2288,C12,'Salary sheet'!$E$6:$E$2288,B12)</f>
        <v>396900</v>
      </c>
      <c r="I12" s="460">
        <f>+SUMIFS('Salary sheet'!$AQ$6:$AQ$2288,'Salary sheet'!$F$6:$F$2288,C12,'Salary sheet'!$E$6:$E$2288,B12)</f>
        <v>659735</v>
      </c>
      <c r="J12" s="460">
        <f>+SUMIFS('Salary sheet'!$AR$6:$AR$2288,'Salary sheet'!$F$6:$F$2288,C12,'Salary sheet'!$E$6:$E$2288,B12)</f>
        <v>0</v>
      </c>
      <c r="K12" s="460">
        <f>SUMIFS('Salary sheet'!$AS$6:$AS$1291,'Salary sheet'!$F$6:$F$1291,'So sánh giờ'!C12)</f>
        <v>0</v>
      </c>
      <c r="L12" s="460">
        <f t="shared" si="0"/>
        <v>142401490</v>
      </c>
      <c r="M12" s="1299">
        <f>SUMIFS('Salary sheet'!$M$6:$M$13045,'Salary sheet'!$F$6:$F$13045,'So sánh giờ'!$C12)</f>
        <v>208.09999999999997</v>
      </c>
      <c r="N12" s="1299">
        <f>SUMIFS('Salary sheet'!$O$6:$O$13045,'Salary sheet'!$F$6:$F$13045,'So sánh giờ'!$C12)</f>
        <v>18</v>
      </c>
      <c r="O12" s="1299">
        <f>SUMIFS('Salary sheet'!$AA$6:$AA$13045,'Salary sheet'!$F$6:$F$13045,'So sánh giờ'!$C12)</f>
        <v>0</v>
      </c>
      <c r="P12" s="1299">
        <f>SUMIFS('Salary sheet'!$Q$6:$Q$13045,'Salary sheet'!$F$6:$F$13045,'So sánh giờ'!$C12)</f>
        <v>0</v>
      </c>
      <c r="Q12" s="1299">
        <f>SUMIFS('Salary sheet'!$AH$6:$AH$13045,'Salary sheet'!$F$6:$F$13045,'So sánh giờ'!$C12)</f>
        <v>0</v>
      </c>
      <c r="R12" s="1299">
        <f>SUMIFS('Salary sheet'!$AI$6:$AI$13045,'Salary sheet'!$F$6:$F$13045,'So sánh giờ'!$C12)</f>
        <v>0</v>
      </c>
      <c r="S12" s="1299">
        <f>SUMIFS('Salary sheet'!$AJ$6:$AJ$13045,'Salary sheet'!$F$6:$F$13045,'So sánh giờ'!$C12)</f>
        <v>0</v>
      </c>
      <c r="T12" s="1299">
        <f>SUMIFS('Salary sheet'!$AK$6:$AK$13045,'Salary sheet'!$F$6:$F$13045,'So sánh giờ'!$C12)</f>
        <v>0</v>
      </c>
      <c r="U12" s="1299">
        <f>SUMIFS('Salary sheet'!$AL$6:$AL$13045,'Salary sheet'!$F$6:$F$13045,'So sánh giờ'!$C12)</f>
        <v>0</v>
      </c>
      <c r="V12" s="1394">
        <v>9</v>
      </c>
      <c r="W12" s="1392">
        <v>159458893</v>
      </c>
      <c r="X12" s="1392">
        <v>16695000</v>
      </c>
      <c r="Y12" s="1392">
        <v>396900</v>
      </c>
      <c r="Z12" s="1392">
        <v>595119</v>
      </c>
      <c r="AA12" s="1392">
        <v>0</v>
      </c>
      <c r="AB12" s="1392">
        <v>0</v>
      </c>
      <c r="AC12" s="1392">
        <v>141771874</v>
      </c>
      <c r="AD12" s="1395">
        <v>225.8</v>
      </c>
      <c r="AE12" s="1395">
        <v>0</v>
      </c>
      <c r="AF12" s="1395">
        <v>0</v>
      </c>
      <c r="AG12" s="1395">
        <v>0</v>
      </c>
      <c r="AH12" s="1395">
        <v>0</v>
      </c>
      <c r="AI12" s="1395">
        <v>0</v>
      </c>
      <c r="AJ12" s="1395">
        <v>0</v>
      </c>
      <c r="AK12" s="1395">
        <v>0</v>
      </c>
      <c r="AL12" s="1395">
        <v>0</v>
      </c>
      <c r="AM12" s="1376">
        <v>9</v>
      </c>
      <c r="AN12" s="1374">
        <v>162130470</v>
      </c>
      <c r="AO12" s="1374">
        <v>16695000</v>
      </c>
      <c r="AP12" s="1374">
        <v>396900</v>
      </c>
      <c r="AQ12" s="1374">
        <v>602788</v>
      </c>
      <c r="AR12" s="1374">
        <v>0</v>
      </c>
      <c r="AS12" s="1374">
        <v>0</v>
      </c>
      <c r="AT12" s="1374">
        <v>144435782</v>
      </c>
      <c r="AU12" s="1377">
        <v>194.2</v>
      </c>
      <c r="AV12" s="1377">
        <v>18</v>
      </c>
      <c r="AW12" s="1377">
        <v>0</v>
      </c>
      <c r="AX12" s="1377">
        <v>0</v>
      </c>
      <c r="AY12" s="1377">
        <v>0</v>
      </c>
      <c r="AZ12" s="1377">
        <v>0</v>
      </c>
      <c r="BA12" s="1377">
        <v>0</v>
      </c>
      <c r="BB12" s="1377">
        <v>0</v>
      </c>
      <c r="BC12" s="1377">
        <v>0</v>
      </c>
      <c r="BD12" s="468">
        <v>9</v>
      </c>
      <c r="BE12" s="460">
        <v>302174193</v>
      </c>
      <c r="BF12" s="460">
        <v>16695000</v>
      </c>
      <c r="BG12" s="460">
        <v>396900</v>
      </c>
      <c r="BH12" s="460">
        <v>15984518</v>
      </c>
      <c r="BI12" s="460">
        <v>0</v>
      </c>
      <c r="BJ12" s="460">
        <v>0</v>
      </c>
      <c r="BK12" s="460">
        <v>269097775</v>
      </c>
      <c r="BL12" s="1299">
        <v>172.2</v>
      </c>
      <c r="BM12" s="1299">
        <v>63</v>
      </c>
      <c r="BN12" s="1299">
        <v>0</v>
      </c>
      <c r="BO12" s="1299">
        <v>0</v>
      </c>
      <c r="BP12" s="1299">
        <v>0</v>
      </c>
      <c r="BQ12" s="1299">
        <v>0</v>
      </c>
      <c r="BR12" s="1299">
        <v>0</v>
      </c>
      <c r="BS12" s="1299">
        <v>0</v>
      </c>
      <c r="BT12" s="1299">
        <v>0</v>
      </c>
    </row>
    <row r="13" spans="1:72" s="22" customFormat="1" ht="26.25" customHeight="1">
      <c r="A13" s="464">
        <f>SUBTOTAL(3,B$4:B13)</f>
        <v>10</v>
      </c>
      <c r="B13" s="465" t="s">
        <v>221</v>
      </c>
      <c r="C13" s="466" t="s">
        <v>245</v>
      </c>
      <c r="D13" s="467" t="s">
        <v>589</v>
      </c>
      <c r="E13" s="468">
        <f>COUNTIFS('Salary sheet'!$F$6:$F$2288,C13,'Salary sheet'!$E$6:$E$2288,B13)</f>
        <v>5</v>
      </c>
      <c r="F13" s="460">
        <f>+SUMIFS('Salary sheet'!$AN$6:$AN$1292,'Salary sheet'!$F$6:$F$1292,'So sánh giờ'!C13,'Salary sheet'!$E$6:$E$1292,'So sánh giờ'!B13)</f>
        <v>56711533</v>
      </c>
      <c r="G13" s="460">
        <f>+SUMIFS('Salary sheet'!$AO$6:$AO$2288,'Salary sheet'!$F$6:$F$2288,C13,'Salary sheet'!$E$6:$E$2288,B13)</f>
        <v>4168306</v>
      </c>
      <c r="H13" s="460">
        <f>+SUMIFS('Salary sheet'!$AP$6:$AP$2288,'Salary sheet'!$F$6:$F$2288,C13,'Salary sheet'!$E$6:$E$2288,B13)</f>
        <v>132300</v>
      </c>
      <c r="I13" s="460">
        <f>+SUMIFS('Salary sheet'!$AQ$6:$AQ$2288,'Salary sheet'!$F$6:$F$2288,C13,'Salary sheet'!$E$6:$E$2288,B13)</f>
        <v>33447</v>
      </c>
      <c r="J13" s="460">
        <f>+SUMIFS('Salary sheet'!$AR$6:$AR$2288,'Salary sheet'!$F$6:$F$2288,C13,'Salary sheet'!$E$6:$E$2288,B13)</f>
        <v>0</v>
      </c>
      <c r="K13" s="460">
        <f>SUMIFS('Salary sheet'!$AS$6:$AS$1291,'Salary sheet'!$F$6:$F$1291,'So sánh giờ'!C13)</f>
        <v>186299</v>
      </c>
      <c r="L13" s="460">
        <f t="shared" si="0"/>
        <v>52191181</v>
      </c>
      <c r="M13" s="1299">
        <f>SUMIFS('Salary sheet'!$M$6:$M$13045,'Salary sheet'!$F$6:$F$13045,'So sánh giờ'!$C13)</f>
        <v>115.9</v>
      </c>
      <c r="N13" s="1299">
        <f>SUMIFS('Salary sheet'!$O$6:$O$13045,'Salary sheet'!$F$6:$F$13045,'So sánh giờ'!$C13)</f>
        <v>13</v>
      </c>
      <c r="O13" s="1299">
        <f>SUMIFS('Salary sheet'!$AA$6:$AA$13045,'Salary sheet'!$F$6:$F$13045,'So sánh giờ'!$C13)</f>
        <v>0</v>
      </c>
      <c r="P13" s="1299">
        <f>SUMIFS('Salary sheet'!$Q$6:$Q$13045,'Salary sheet'!$F$6:$F$13045,'So sánh giờ'!$C13)</f>
        <v>0</v>
      </c>
      <c r="Q13" s="1299">
        <f>SUMIFS('Salary sheet'!$AH$6:$AH$13045,'Salary sheet'!$F$6:$F$13045,'So sánh giờ'!$C13)</f>
        <v>202</v>
      </c>
      <c r="R13" s="1299">
        <f>SUMIFS('Salary sheet'!$AI$6:$AI$13045,'Salary sheet'!$F$6:$F$13045,'So sánh giờ'!$C13)</f>
        <v>0</v>
      </c>
      <c r="S13" s="1299">
        <f>SUMIFS('Salary sheet'!$AJ$6:$AJ$13045,'Salary sheet'!$F$6:$F$13045,'So sánh giờ'!$C13)</f>
        <v>0</v>
      </c>
      <c r="T13" s="1299">
        <f>SUMIFS('Salary sheet'!$AK$6:$AK$13045,'Salary sheet'!$F$6:$F$13045,'So sánh giờ'!$C13)</f>
        <v>0</v>
      </c>
      <c r="U13" s="1299">
        <f>SUMIFS('Salary sheet'!$AL$6:$AL$13045,'Salary sheet'!$F$6:$F$13045,'So sánh giờ'!$C13)</f>
        <v>0</v>
      </c>
      <c r="V13" s="1394">
        <v>5</v>
      </c>
      <c r="W13" s="1392">
        <v>50969259</v>
      </c>
      <c r="X13" s="1392">
        <v>2736405</v>
      </c>
      <c r="Y13" s="1392">
        <v>132300</v>
      </c>
      <c r="Z13" s="1392">
        <v>9125</v>
      </c>
      <c r="AA13" s="1392">
        <v>0</v>
      </c>
      <c r="AB13" s="1392">
        <v>148797</v>
      </c>
      <c r="AC13" s="1392">
        <v>47942632</v>
      </c>
      <c r="AD13" s="1395">
        <v>121.9</v>
      </c>
      <c r="AE13" s="1395">
        <v>1</v>
      </c>
      <c r="AF13" s="1395">
        <v>0</v>
      </c>
      <c r="AG13" s="1395">
        <v>0</v>
      </c>
      <c r="AH13" s="1395">
        <v>155</v>
      </c>
      <c r="AI13" s="1395">
        <v>0</v>
      </c>
      <c r="AJ13" s="1395">
        <v>0</v>
      </c>
      <c r="AK13" s="1395">
        <v>0</v>
      </c>
      <c r="AL13" s="1395">
        <v>0</v>
      </c>
      <c r="AM13" s="1376">
        <v>4</v>
      </c>
      <c r="AN13" s="1374">
        <v>37266492</v>
      </c>
      <c r="AO13" s="1374">
        <v>2679705</v>
      </c>
      <c r="AP13" s="1374">
        <v>132300</v>
      </c>
      <c r="AQ13" s="1374">
        <v>0</v>
      </c>
      <c r="AR13" s="1374">
        <v>70000</v>
      </c>
      <c r="AS13" s="1374">
        <v>0</v>
      </c>
      <c r="AT13" s="1374">
        <v>34384487</v>
      </c>
      <c r="AU13" s="1377">
        <v>81.900000000000006</v>
      </c>
      <c r="AV13" s="1377">
        <v>6</v>
      </c>
      <c r="AW13" s="1377">
        <v>0</v>
      </c>
      <c r="AX13" s="1377">
        <v>0</v>
      </c>
      <c r="AY13" s="1377">
        <v>38</v>
      </c>
      <c r="AZ13" s="1377">
        <v>0</v>
      </c>
      <c r="BA13" s="1377">
        <v>0</v>
      </c>
      <c r="BB13" s="1377">
        <v>0</v>
      </c>
      <c r="BC13" s="1377">
        <v>0</v>
      </c>
      <c r="BD13" s="468">
        <v>4</v>
      </c>
      <c r="BE13" s="460">
        <v>63353889</v>
      </c>
      <c r="BF13" s="460">
        <v>3692325</v>
      </c>
      <c r="BG13" s="460">
        <v>176400</v>
      </c>
      <c r="BH13" s="460">
        <v>595222</v>
      </c>
      <c r="BI13" s="460">
        <v>0</v>
      </c>
      <c r="BJ13" s="460">
        <v>0</v>
      </c>
      <c r="BK13" s="460">
        <v>58889942</v>
      </c>
      <c r="BL13" s="1299">
        <v>78.099999999999994</v>
      </c>
      <c r="BM13" s="1299">
        <v>28</v>
      </c>
      <c r="BN13" s="1299">
        <v>0</v>
      </c>
      <c r="BO13" s="1299">
        <v>0</v>
      </c>
      <c r="BP13" s="1299">
        <v>72</v>
      </c>
      <c r="BQ13" s="1299">
        <v>0</v>
      </c>
      <c r="BR13" s="1299">
        <v>0</v>
      </c>
      <c r="BS13" s="1299">
        <v>0</v>
      </c>
      <c r="BT13" s="1299">
        <v>0</v>
      </c>
    </row>
    <row r="14" spans="1:72" s="22" customFormat="1" ht="26.25" customHeight="1">
      <c r="A14" s="464">
        <f>SUBTOTAL(3,B$4:B14)</f>
        <v>11</v>
      </c>
      <c r="B14" s="465" t="s">
        <v>221</v>
      </c>
      <c r="C14" s="466" t="s">
        <v>246</v>
      </c>
      <c r="D14" s="467" t="s">
        <v>590</v>
      </c>
      <c r="E14" s="468">
        <f>COUNTIFS('Salary sheet'!$F$6:$F$2288,C14,'Salary sheet'!$E$6:$E$2288,B14)</f>
        <v>9</v>
      </c>
      <c r="F14" s="460">
        <f>+SUMIFS('Salary sheet'!$AN$6:$AN$1292,'Salary sheet'!$F$6:$F$1292,'So sánh giờ'!C14,'Salary sheet'!$E$6:$E$1292,'So sánh giờ'!B14)</f>
        <v>104930197</v>
      </c>
      <c r="G14" s="460">
        <f>+SUMIFS('Salary sheet'!$AO$6:$AO$2288,'Salary sheet'!$F$6:$F$2288,C14,'Salary sheet'!$E$6:$E$2288,B14)</f>
        <v>10774995</v>
      </c>
      <c r="H14" s="460">
        <f>+SUMIFS('Salary sheet'!$AP$6:$AP$2288,'Salary sheet'!$F$6:$F$2288,C14,'Salary sheet'!$E$6:$E$2288,B14)</f>
        <v>352800</v>
      </c>
      <c r="I14" s="460">
        <f>+SUMIFS('Salary sheet'!$AQ$6:$AQ$2288,'Salary sheet'!$F$6:$F$2288,C14,'Salary sheet'!$E$6:$E$2288,B14)</f>
        <v>113181</v>
      </c>
      <c r="J14" s="460">
        <f>+SUMIFS('Salary sheet'!$AR$6:$AR$2288,'Salary sheet'!$F$6:$F$2288,C14,'Salary sheet'!$E$6:$E$2288,B14)</f>
        <v>0</v>
      </c>
      <c r="K14" s="460">
        <f>SUMIFS('Salary sheet'!$AS$6:$AS$1291,'Salary sheet'!$F$6:$F$1291,'So sánh giờ'!C14)</f>
        <v>0</v>
      </c>
      <c r="L14" s="460">
        <f t="shared" si="0"/>
        <v>93689221</v>
      </c>
      <c r="M14" s="1299">
        <f>SUMIFS('Salary sheet'!$M$6:$M$13045,'Salary sheet'!$F$6:$F$13045,'So sánh giờ'!$C14)</f>
        <v>190.4</v>
      </c>
      <c r="N14" s="1299">
        <f>SUMIFS('Salary sheet'!$O$6:$O$13045,'Salary sheet'!$F$6:$F$13045,'So sánh giờ'!$C14)</f>
        <v>19</v>
      </c>
      <c r="O14" s="1299">
        <f>SUMIFS('Salary sheet'!$AA$6:$AA$13045,'Salary sheet'!$F$6:$F$13045,'So sánh giờ'!$C14)</f>
        <v>0</v>
      </c>
      <c r="P14" s="1299">
        <f>SUMIFS('Salary sheet'!$Q$6:$Q$13045,'Salary sheet'!$F$6:$F$13045,'So sánh giờ'!$C14)</f>
        <v>0</v>
      </c>
      <c r="Q14" s="1299">
        <f>SUMIFS('Salary sheet'!$AH$6:$AH$13045,'Salary sheet'!$F$6:$F$13045,'So sánh giờ'!$C14)</f>
        <v>0</v>
      </c>
      <c r="R14" s="1299">
        <f>SUMIFS('Salary sheet'!$AI$6:$AI$13045,'Salary sheet'!$F$6:$F$13045,'So sánh giờ'!$C14)</f>
        <v>0</v>
      </c>
      <c r="S14" s="1299">
        <f>SUMIFS('Salary sheet'!$AJ$6:$AJ$13045,'Salary sheet'!$F$6:$F$13045,'So sánh giờ'!$C14)</f>
        <v>0</v>
      </c>
      <c r="T14" s="1299">
        <f>SUMIFS('Salary sheet'!$AK$6:$AK$13045,'Salary sheet'!$F$6:$F$13045,'So sánh giờ'!$C14)</f>
        <v>0</v>
      </c>
      <c r="U14" s="1299">
        <f>SUMIFS('Salary sheet'!$AL$6:$AL$13045,'Salary sheet'!$F$6:$F$13045,'So sánh giờ'!$C14)</f>
        <v>0</v>
      </c>
      <c r="V14" s="1394">
        <v>8</v>
      </c>
      <c r="W14" s="1392">
        <v>101256387</v>
      </c>
      <c r="X14" s="1392">
        <v>10774995</v>
      </c>
      <c r="Y14" s="1392">
        <v>352800</v>
      </c>
      <c r="Z14" s="1392">
        <v>282823</v>
      </c>
      <c r="AA14" s="1392">
        <v>0</v>
      </c>
      <c r="AB14" s="1392">
        <v>0</v>
      </c>
      <c r="AC14" s="1392">
        <v>89845769</v>
      </c>
      <c r="AD14" s="1395">
        <v>194.3</v>
      </c>
      <c r="AE14" s="1395">
        <v>1</v>
      </c>
      <c r="AF14" s="1395">
        <v>0</v>
      </c>
      <c r="AG14" s="1395">
        <v>0</v>
      </c>
      <c r="AH14" s="1395">
        <v>0</v>
      </c>
      <c r="AI14" s="1395">
        <v>0</v>
      </c>
      <c r="AJ14" s="1395">
        <v>0</v>
      </c>
      <c r="AK14" s="1395">
        <v>0</v>
      </c>
      <c r="AL14" s="1395">
        <v>0</v>
      </c>
      <c r="AM14" s="1376">
        <v>8</v>
      </c>
      <c r="AN14" s="1374">
        <v>105053211</v>
      </c>
      <c r="AO14" s="1374">
        <v>10774995</v>
      </c>
      <c r="AP14" s="1374">
        <v>352800</v>
      </c>
      <c r="AQ14" s="1374">
        <v>365817</v>
      </c>
      <c r="AR14" s="1374">
        <v>720000</v>
      </c>
      <c r="AS14" s="1374">
        <v>0</v>
      </c>
      <c r="AT14" s="1374">
        <v>92839599</v>
      </c>
      <c r="AU14" s="1377">
        <v>170.5</v>
      </c>
      <c r="AV14" s="1377">
        <v>17</v>
      </c>
      <c r="AW14" s="1377">
        <v>0</v>
      </c>
      <c r="AX14" s="1377">
        <v>0</v>
      </c>
      <c r="AY14" s="1377">
        <v>0</v>
      </c>
      <c r="AZ14" s="1377">
        <v>0</v>
      </c>
      <c r="BA14" s="1377">
        <v>0</v>
      </c>
      <c r="BB14" s="1377">
        <v>0</v>
      </c>
      <c r="BC14" s="1377">
        <v>0</v>
      </c>
      <c r="BD14" s="468">
        <v>8</v>
      </c>
      <c r="BE14" s="460">
        <v>193104018</v>
      </c>
      <c r="BF14" s="460">
        <v>10774995</v>
      </c>
      <c r="BG14" s="460">
        <v>352800</v>
      </c>
      <c r="BH14" s="460">
        <v>5974371</v>
      </c>
      <c r="BI14" s="460">
        <v>0</v>
      </c>
      <c r="BJ14" s="460">
        <v>0</v>
      </c>
      <c r="BK14" s="460">
        <v>176001852</v>
      </c>
      <c r="BL14" s="1299">
        <v>148.20000000000002</v>
      </c>
      <c r="BM14" s="1299">
        <v>56</v>
      </c>
      <c r="BN14" s="1299">
        <v>0</v>
      </c>
      <c r="BO14" s="1299">
        <v>0</v>
      </c>
      <c r="BP14" s="1299">
        <v>0</v>
      </c>
      <c r="BQ14" s="1299">
        <v>0</v>
      </c>
      <c r="BR14" s="1299">
        <v>0</v>
      </c>
      <c r="BS14" s="1299">
        <v>0</v>
      </c>
      <c r="BT14" s="1299">
        <v>0</v>
      </c>
    </row>
    <row r="15" spans="1:72" s="22" customFormat="1" ht="26.25" customHeight="1">
      <c r="A15" s="464">
        <f>SUBTOTAL(3,B$4:B15)</f>
        <v>12</v>
      </c>
      <c r="B15" s="465" t="s">
        <v>221</v>
      </c>
      <c r="C15" s="466" t="s">
        <v>397</v>
      </c>
      <c r="D15" s="467" t="s">
        <v>476</v>
      </c>
      <c r="E15" s="468">
        <f>COUNTIFS('Salary sheet'!$F$6:$F$2288,C15,'Salary sheet'!$E$6:$E$2288,B15)</f>
        <v>1</v>
      </c>
      <c r="F15" s="460">
        <f>+SUMIFS('Salary sheet'!$AN$6:$AN$1292,'Salary sheet'!$F$6:$F$1292,'So sánh giờ'!C15,'Salary sheet'!$E$6:$E$1292,'So sánh giờ'!B15)</f>
        <v>38500000</v>
      </c>
      <c r="G15" s="460">
        <f>+SUMIFS('Salary sheet'!$AO$6:$AO$2288,'Salary sheet'!$F$6:$F$2288,C15,'Salary sheet'!$E$6:$E$2288,B15)</f>
        <v>3969000</v>
      </c>
      <c r="H15" s="460">
        <f>+SUMIFS('Salary sheet'!$AP$6:$AP$2288,'Salary sheet'!$F$6:$F$2288,C15,'Salary sheet'!$E$6:$E$2288,B15)</f>
        <v>44100</v>
      </c>
      <c r="I15" s="460">
        <f>+SUMIFS('Salary sheet'!$AQ$6:$AQ$2288,'Salary sheet'!$F$6:$F$2288,C15,'Salary sheet'!$E$6:$E$2288,B15)</f>
        <v>283100</v>
      </c>
      <c r="J15" s="460">
        <f>+SUMIFS('Salary sheet'!$AR$6:$AR$2288,'Salary sheet'!$F$6:$F$2288,C15,'Salary sheet'!$E$6:$E$2288,B15)</f>
        <v>0</v>
      </c>
      <c r="K15" s="460">
        <f>SUMIFS('Salary sheet'!$AS$6:$AS$1291,'Salary sheet'!$F$6:$F$1291,'So sánh giờ'!C15)</f>
        <v>0</v>
      </c>
      <c r="L15" s="460">
        <f t="shared" si="0"/>
        <v>34203800</v>
      </c>
      <c r="M15" s="1299">
        <f>SUMIFS('Salary sheet'!$M$6:$M$13045,'Salary sheet'!$F$6:$F$13045,'So sánh giờ'!$C15)</f>
        <v>24</v>
      </c>
      <c r="N15" s="1299">
        <f>SUMIFS('Salary sheet'!$O$6:$O$13045,'Salary sheet'!$F$6:$F$13045,'So sánh giờ'!$C15)</f>
        <v>2</v>
      </c>
      <c r="O15" s="1299">
        <f>SUMIFS('Salary sheet'!$AA$6:$AA$13045,'Salary sheet'!$F$6:$F$13045,'So sánh giờ'!$C15)</f>
        <v>0</v>
      </c>
      <c r="P15" s="1299">
        <f>SUMIFS('Salary sheet'!$Q$6:$Q$13045,'Salary sheet'!$F$6:$F$13045,'So sánh giờ'!$C15)</f>
        <v>0</v>
      </c>
      <c r="Q15" s="1299">
        <f>SUMIFS('Salary sheet'!$AH$6:$AH$13045,'Salary sheet'!$F$6:$F$13045,'So sánh giờ'!$C15)</f>
        <v>0</v>
      </c>
      <c r="R15" s="1299">
        <f>SUMIFS('Salary sheet'!$AI$6:$AI$13045,'Salary sheet'!$F$6:$F$13045,'So sánh giờ'!$C15)</f>
        <v>0</v>
      </c>
      <c r="S15" s="1299">
        <f>SUMIFS('Salary sheet'!$AJ$6:$AJ$13045,'Salary sheet'!$F$6:$F$13045,'So sánh giờ'!$C15)</f>
        <v>0</v>
      </c>
      <c r="T15" s="1299">
        <f>SUMIFS('Salary sheet'!$AK$6:$AK$13045,'Salary sheet'!$F$6:$F$13045,'So sánh giờ'!$C15)</f>
        <v>0</v>
      </c>
      <c r="U15" s="1299">
        <f>SUMIFS('Salary sheet'!$AL$6:$AL$13045,'Salary sheet'!$F$6:$F$13045,'So sánh giờ'!$C15)</f>
        <v>0</v>
      </c>
      <c r="V15" s="1394">
        <v>1</v>
      </c>
      <c r="W15" s="1392">
        <v>37019231</v>
      </c>
      <c r="X15" s="1392">
        <v>3969000</v>
      </c>
      <c r="Y15" s="1392">
        <v>44100</v>
      </c>
      <c r="Z15" s="1392">
        <v>188858</v>
      </c>
      <c r="AA15" s="1392">
        <v>0</v>
      </c>
      <c r="AB15" s="1392">
        <v>0</v>
      </c>
      <c r="AC15" s="1392">
        <v>32817273</v>
      </c>
      <c r="AD15" s="1395">
        <v>25</v>
      </c>
      <c r="AE15" s="1395">
        <v>0</v>
      </c>
      <c r="AF15" s="1395">
        <v>0</v>
      </c>
      <c r="AG15" s="1395">
        <v>0</v>
      </c>
      <c r="AH15" s="1395">
        <v>0</v>
      </c>
      <c r="AI15" s="1395">
        <v>0</v>
      </c>
      <c r="AJ15" s="1395">
        <v>0</v>
      </c>
      <c r="AK15" s="1395">
        <v>0</v>
      </c>
      <c r="AL15" s="1395">
        <v>0</v>
      </c>
      <c r="AM15" s="1376">
        <v>1</v>
      </c>
      <c r="AN15" s="1374">
        <v>38500000</v>
      </c>
      <c r="AO15" s="1374">
        <v>3969000</v>
      </c>
      <c r="AP15" s="1374">
        <v>44100</v>
      </c>
      <c r="AQ15" s="1374">
        <v>273100</v>
      </c>
      <c r="AR15" s="1374">
        <v>180000</v>
      </c>
      <c r="AS15" s="1374">
        <v>0</v>
      </c>
      <c r="AT15" s="1374">
        <v>34033800</v>
      </c>
      <c r="AU15" s="1377">
        <v>22</v>
      </c>
      <c r="AV15" s="1377">
        <v>2</v>
      </c>
      <c r="AW15" s="1377">
        <v>0</v>
      </c>
      <c r="AX15" s="1377">
        <v>0</v>
      </c>
      <c r="AY15" s="1377">
        <v>0</v>
      </c>
      <c r="AZ15" s="1377">
        <v>0</v>
      </c>
      <c r="BA15" s="1377">
        <v>0</v>
      </c>
      <c r="BB15" s="1377">
        <v>0</v>
      </c>
      <c r="BC15" s="1377">
        <v>0</v>
      </c>
      <c r="BD15" s="468">
        <v>1</v>
      </c>
      <c r="BE15" s="460">
        <v>74305868</v>
      </c>
      <c r="BF15" s="460">
        <v>3969000</v>
      </c>
      <c r="BG15" s="460">
        <v>44100</v>
      </c>
      <c r="BH15" s="460">
        <v>7009865</v>
      </c>
      <c r="BI15" s="460">
        <v>0</v>
      </c>
      <c r="BJ15" s="460">
        <v>0</v>
      </c>
      <c r="BK15" s="460">
        <v>63282903</v>
      </c>
      <c r="BL15" s="1299">
        <v>19.899999999999999</v>
      </c>
      <c r="BM15" s="1299">
        <v>7</v>
      </c>
      <c r="BN15" s="1299">
        <v>0</v>
      </c>
      <c r="BO15" s="1299">
        <v>0</v>
      </c>
      <c r="BP15" s="1299">
        <v>0</v>
      </c>
      <c r="BQ15" s="1299">
        <v>0</v>
      </c>
      <c r="BR15" s="1299">
        <v>0</v>
      </c>
      <c r="BS15" s="1299">
        <v>0</v>
      </c>
      <c r="BT15" s="1299">
        <v>0</v>
      </c>
    </row>
    <row r="16" spans="1:72" s="22" customFormat="1" ht="26.25" customHeight="1">
      <c r="A16" s="464">
        <f>SUBTOTAL(3,B$4:B16)</f>
        <v>13</v>
      </c>
      <c r="B16" s="465" t="s">
        <v>221</v>
      </c>
      <c r="C16" s="466" t="s">
        <v>548</v>
      </c>
      <c r="D16" s="467" t="s">
        <v>591</v>
      </c>
      <c r="E16" s="468">
        <f>COUNTIFS('Salary sheet'!$F$6:$F$2288,C16,'Salary sheet'!$E$6:$E$2288,B16)</f>
        <v>1</v>
      </c>
      <c r="F16" s="460">
        <f>+SUMIFS('Salary sheet'!$AN$6:$AN$1292,'Salary sheet'!$F$6:$F$1292,'So sánh giờ'!C16,'Salary sheet'!$E$6:$E$1292,'So sánh giờ'!B16)</f>
        <v>9706348</v>
      </c>
      <c r="G16" s="460">
        <f>+SUMIFS('Salary sheet'!$AO$6:$AO$2288,'Salary sheet'!$F$6:$F$2288,C16,'Salary sheet'!$E$6:$E$2288,B16)</f>
        <v>1012620</v>
      </c>
      <c r="H16" s="460">
        <f>+SUMIFS('Salary sheet'!$AP$6:$AP$2288,'Salary sheet'!$F$6:$F$2288,C16,'Salary sheet'!$E$6:$E$2288,B16)</f>
        <v>44100</v>
      </c>
      <c r="I16" s="460">
        <f>+SUMIFS('Salary sheet'!$AQ$6:$AQ$2288,'Salary sheet'!$F$6:$F$2288,C16,'Salary sheet'!$E$6:$E$2288,B16)</f>
        <v>0</v>
      </c>
      <c r="J16" s="460">
        <f>+SUMIFS('Salary sheet'!$AR$6:$AR$2288,'Salary sheet'!$F$6:$F$2288,C16,'Salary sheet'!$E$6:$E$2288,B16)</f>
        <v>0</v>
      </c>
      <c r="K16" s="460">
        <f>SUMIFS('Salary sheet'!$AS$6:$AS$1291,'Salary sheet'!$F$6:$F$1291,'So sánh giờ'!C16)</f>
        <v>0</v>
      </c>
      <c r="L16" s="460">
        <f t="shared" si="0"/>
        <v>8649628</v>
      </c>
      <c r="M16" s="1299">
        <f>SUMIFS('Salary sheet'!$M$6:$M$13045,'Salary sheet'!$F$6:$F$13045,'So sánh giờ'!$C16)</f>
        <v>22.7</v>
      </c>
      <c r="N16" s="1299">
        <f>SUMIFS('Salary sheet'!$O$6:$O$13045,'Salary sheet'!$F$6:$F$13045,'So sánh giờ'!$C16)</f>
        <v>2</v>
      </c>
      <c r="O16" s="1299">
        <f>SUMIFS('Salary sheet'!$AA$6:$AA$13045,'Salary sheet'!$F$6:$F$13045,'So sánh giờ'!$C16)</f>
        <v>0</v>
      </c>
      <c r="P16" s="1299">
        <f>SUMIFS('Salary sheet'!$Q$6:$Q$13045,'Salary sheet'!$F$6:$F$13045,'So sánh giờ'!$C16)</f>
        <v>0</v>
      </c>
      <c r="Q16" s="1299">
        <f>SUMIFS('Salary sheet'!$AH$6:$AH$13045,'Salary sheet'!$F$6:$F$13045,'So sánh giờ'!$C16)</f>
        <v>0</v>
      </c>
      <c r="R16" s="1299">
        <f>SUMIFS('Salary sheet'!$AI$6:$AI$13045,'Salary sheet'!$F$6:$F$13045,'So sánh giờ'!$C16)</f>
        <v>0</v>
      </c>
      <c r="S16" s="1299">
        <f>SUMIFS('Salary sheet'!$AJ$6:$AJ$13045,'Salary sheet'!$F$6:$F$13045,'So sánh giờ'!$C16)</f>
        <v>0</v>
      </c>
      <c r="T16" s="1299">
        <f>SUMIFS('Salary sheet'!$AK$6:$AK$13045,'Salary sheet'!$F$6:$F$13045,'So sánh giờ'!$C16)</f>
        <v>0</v>
      </c>
      <c r="U16" s="1299">
        <f>SUMIFS('Salary sheet'!$AL$6:$AL$13045,'Salary sheet'!$F$6:$F$13045,'So sánh giờ'!$C16)</f>
        <v>0</v>
      </c>
      <c r="V16" s="1394">
        <v>1</v>
      </c>
      <c r="W16" s="1392">
        <v>9394225</v>
      </c>
      <c r="X16" s="1392">
        <v>1012620</v>
      </c>
      <c r="Y16" s="1392">
        <v>44100</v>
      </c>
      <c r="Z16" s="1392">
        <v>0</v>
      </c>
      <c r="AA16" s="1392">
        <v>0</v>
      </c>
      <c r="AB16" s="1392">
        <v>0</v>
      </c>
      <c r="AC16" s="1392">
        <v>8337505</v>
      </c>
      <c r="AD16" s="1395">
        <v>23.9</v>
      </c>
      <c r="AE16" s="1395">
        <v>0</v>
      </c>
      <c r="AF16" s="1395">
        <v>0</v>
      </c>
      <c r="AG16" s="1395">
        <v>0</v>
      </c>
      <c r="AH16" s="1395">
        <v>0</v>
      </c>
      <c r="AI16" s="1395">
        <v>0</v>
      </c>
      <c r="AJ16" s="1395">
        <v>0</v>
      </c>
      <c r="AK16" s="1395">
        <v>0</v>
      </c>
      <c r="AL16" s="1395">
        <v>0</v>
      </c>
      <c r="AM16" s="1376">
        <v>1</v>
      </c>
      <c r="AN16" s="1374">
        <v>9754411</v>
      </c>
      <c r="AO16" s="1374">
        <v>1012620</v>
      </c>
      <c r="AP16" s="1374">
        <v>44100</v>
      </c>
      <c r="AQ16" s="1374">
        <v>0</v>
      </c>
      <c r="AR16" s="1374">
        <v>90000</v>
      </c>
      <c r="AS16" s="1374">
        <v>0</v>
      </c>
      <c r="AT16" s="1374">
        <v>8607691</v>
      </c>
      <c r="AU16" s="1377">
        <v>20.9</v>
      </c>
      <c r="AV16" s="1377">
        <v>2</v>
      </c>
      <c r="AW16" s="1377">
        <v>0</v>
      </c>
      <c r="AX16" s="1377">
        <v>0</v>
      </c>
      <c r="AY16" s="1377">
        <v>0</v>
      </c>
      <c r="AZ16" s="1377">
        <v>0</v>
      </c>
      <c r="BA16" s="1377">
        <v>0</v>
      </c>
      <c r="BB16" s="1377">
        <v>0</v>
      </c>
      <c r="BC16" s="1377">
        <v>0</v>
      </c>
      <c r="BD16" s="468">
        <v>0</v>
      </c>
      <c r="BE16" s="460">
        <v>0</v>
      </c>
      <c r="BF16" s="460">
        <v>0</v>
      </c>
      <c r="BG16" s="460">
        <v>0</v>
      </c>
      <c r="BH16" s="460">
        <v>0</v>
      </c>
      <c r="BI16" s="460">
        <v>0</v>
      </c>
      <c r="BJ16" s="460">
        <v>0</v>
      </c>
      <c r="BK16" s="460">
        <v>0</v>
      </c>
      <c r="BL16" s="1299">
        <v>0</v>
      </c>
      <c r="BM16" s="1299">
        <v>0</v>
      </c>
      <c r="BN16" s="1299">
        <v>0</v>
      </c>
      <c r="BO16" s="1299">
        <v>0</v>
      </c>
      <c r="BP16" s="1299">
        <v>0</v>
      </c>
      <c r="BQ16" s="1299">
        <v>0</v>
      </c>
      <c r="BR16" s="1299">
        <v>0</v>
      </c>
      <c r="BS16" s="1299">
        <v>0</v>
      </c>
      <c r="BT16" s="1299">
        <v>0</v>
      </c>
    </row>
    <row r="17" spans="1:72" s="22" customFormat="1" ht="26.25" customHeight="1">
      <c r="A17" s="464">
        <f>SUBTOTAL(3,B$4:B17)</f>
        <v>14</v>
      </c>
      <c r="B17" s="465" t="s">
        <v>221</v>
      </c>
      <c r="C17" s="466" t="s">
        <v>247</v>
      </c>
      <c r="D17" s="467" t="s">
        <v>592</v>
      </c>
      <c r="E17" s="468">
        <f>COUNTIFS('Salary sheet'!$F$6:$F$2288,C17,'Salary sheet'!$E$6:$E$2288,B17)</f>
        <v>5</v>
      </c>
      <c r="F17" s="460">
        <f>+SUMIFS('Salary sheet'!$AN$6:$AN$1292,'Salary sheet'!$F$6:$F$1292,'So sánh giờ'!C17,'Salary sheet'!$E$6:$E$1292,'So sánh giờ'!B17)</f>
        <v>68363666</v>
      </c>
      <c r="G17" s="460">
        <f>+SUMIFS('Salary sheet'!$AO$6:$AO$2288,'Salary sheet'!$F$6:$F$2288,C17,'Salary sheet'!$E$6:$E$2288,B17)</f>
        <v>5823825</v>
      </c>
      <c r="H17" s="460">
        <f>+SUMIFS('Salary sheet'!$AP$6:$AP$2288,'Salary sheet'!$F$6:$F$2288,C17,'Salary sheet'!$E$6:$E$2288,B17)</f>
        <v>220500</v>
      </c>
      <c r="I17" s="460">
        <f>+SUMIFS('Salary sheet'!$AQ$6:$AQ$2288,'Salary sheet'!$F$6:$F$2288,C17,'Salary sheet'!$E$6:$E$2288,B17)</f>
        <v>196164</v>
      </c>
      <c r="J17" s="460">
        <f>+SUMIFS('Salary sheet'!$AR$6:$AR$2288,'Salary sheet'!$F$6:$F$2288,C17,'Salary sheet'!$E$6:$E$2288,B17)</f>
        <v>0</v>
      </c>
      <c r="K17" s="460">
        <f>SUMIFS('Salary sheet'!$AS$6:$AS$1291,'Salary sheet'!$F$6:$F$1291,'So sánh giờ'!C17)</f>
        <v>0</v>
      </c>
      <c r="L17" s="460">
        <f t="shared" si="0"/>
        <v>62123177</v>
      </c>
      <c r="M17" s="1299">
        <f>SUMIFS('Salary sheet'!$M$6:$M$13045,'Salary sheet'!$F$6:$F$13045,'So sánh giờ'!$C17)</f>
        <v>117</v>
      </c>
      <c r="N17" s="1299">
        <f>SUMIFS('Salary sheet'!$O$6:$O$13045,'Salary sheet'!$F$6:$F$13045,'So sánh giờ'!$C17)</f>
        <v>10</v>
      </c>
      <c r="O17" s="1299">
        <f>SUMIFS('Salary sheet'!$AA$6:$AA$13045,'Salary sheet'!$F$6:$F$13045,'So sánh giờ'!$C17)</f>
        <v>0</v>
      </c>
      <c r="P17" s="1299">
        <f>SUMIFS('Salary sheet'!$Q$6:$Q$13045,'Salary sheet'!$F$6:$F$13045,'So sánh giờ'!$C17)</f>
        <v>0</v>
      </c>
      <c r="Q17" s="1299">
        <f>SUMIFS('Salary sheet'!$AH$6:$AH$13045,'Salary sheet'!$F$6:$F$13045,'So sánh giờ'!$C17)</f>
        <v>72</v>
      </c>
      <c r="R17" s="1299">
        <f>SUMIFS('Salary sheet'!$AI$6:$AI$13045,'Salary sheet'!$F$6:$F$13045,'So sánh giờ'!$C17)</f>
        <v>0</v>
      </c>
      <c r="S17" s="1299">
        <f>SUMIFS('Salary sheet'!$AJ$6:$AJ$13045,'Salary sheet'!$F$6:$F$13045,'So sánh giờ'!$C17)</f>
        <v>0</v>
      </c>
      <c r="T17" s="1299">
        <f>SUMIFS('Salary sheet'!$AK$6:$AK$13045,'Salary sheet'!$F$6:$F$13045,'So sánh giờ'!$C17)</f>
        <v>0</v>
      </c>
      <c r="U17" s="1299">
        <f>SUMIFS('Salary sheet'!$AL$6:$AL$13045,'Salary sheet'!$F$6:$F$13045,'So sánh giờ'!$C17)</f>
        <v>0</v>
      </c>
      <c r="V17" s="1394">
        <v>5</v>
      </c>
      <c r="W17" s="1392">
        <v>67970931</v>
      </c>
      <c r="X17" s="1392">
        <v>5823825</v>
      </c>
      <c r="Y17" s="1392">
        <v>220500</v>
      </c>
      <c r="Z17" s="1392">
        <v>130761</v>
      </c>
      <c r="AA17" s="1392">
        <v>0</v>
      </c>
      <c r="AB17" s="1392">
        <v>0</v>
      </c>
      <c r="AC17" s="1392">
        <v>61795845</v>
      </c>
      <c r="AD17" s="1395">
        <v>129.1</v>
      </c>
      <c r="AE17" s="1395">
        <v>0</v>
      </c>
      <c r="AF17" s="1395">
        <v>0</v>
      </c>
      <c r="AG17" s="1395">
        <v>0</v>
      </c>
      <c r="AH17" s="1395">
        <v>64</v>
      </c>
      <c r="AI17" s="1395">
        <v>0</v>
      </c>
      <c r="AJ17" s="1395">
        <v>0</v>
      </c>
      <c r="AK17" s="1395">
        <v>0</v>
      </c>
      <c r="AL17" s="1395">
        <v>0</v>
      </c>
      <c r="AM17" s="1376">
        <v>5</v>
      </c>
      <c r="AN17" s="1374">
        <v>64167838</v>
      </c>
      <c r="AO17" s="1374">
        <v>5823825</v>
      </c>
      <c r="AP17" s="1374">
        <v>220500</v>
      </c>
      <c r="AQ17" s="1374">
        <v>26143</v>
      </c>
      <c r="AR17" s="1374">
        <v>0</v>
      </c>
      <c r="AS17" s="1374">
        <v>0</v>
      </c>
      <c r="AT17" s="1374">
        <v>58097370</v>
      </c>
      <c r="AU17" s="1377">
        <v>105.5</v>
      </c>
      <c r="AV17" s="1377">
        <v>11</v>
      </c>
      <c r="AW17" s="1377">
        <v>0</v>
      </c>
      <c r="AX17" s="1377">
        <v>0</v>
      </c>
      <c r="AY17" s="1377">
        <v>32</v>
      </c>
      <c r="AZ17" s="1377">
        <v>0</v>
      </c>
      <c r="BA17" s="1377">
        <v>0</v>
      </c>
      <c r="BB17" s="1377">
        <v>0</v>
      </c>
      <c r="BC17" s="1377">
        <v>0</v>
      </c>
      <c r="BD17" s="468">
        <v>5</v>
      </c>
      <c r="BE17" s="460">
        <v>110478397</v>
      </c>
      <c r="BF17" s="460">
        <v>5823825</v>
      </c>
      <c r="BG17" s="460">
        <v>220500</v>
      </c>
      <c r="BH17" s="460">
        <v>1744505</v>
      </c>
      <c r="BI17" s="460">
        <v>0</v>
      </c>
      <c r="BJ17" s="460">
        <v>0</v>
      </c>
      <c r="BK17" s="460">
        <v>102689567</v>
      </c>
      <c r="BL17" s="1299">
        <v>98.9</v>
      </c>
      <c r="BM17" s="1299">
        <v>35</v>
      </c>
      <c r="BN17" s="1299">
        <v>0</v>
      </c>
      <c r="BO17" s="1299">
        <v>0</v>
      </c>
      <c r="BP17" s="1299">
        <v>56</v>
      </c>
      <c r="BQ17" s="1299">
        <v>0</v>
      </c>
      <c r="BR17" s="1299">
        <v>0</v>
      </c>
      <c r="BS17" s="1299">
        <v>0</v>
      </c>
      <c r="BT17" s="1299">
        <v>0</v>
      </c>
    </row>
    <row r="18" spans="1:72" s="22" customFormat="1" ht="26.25" customHeight="1">
      <c r="A18" s="464">
        <f>SUBTOTAL(3,B$4:B18)</f>
        <v>15</v>
      </c>
      <c r="B18" s="465" t="s">
        <v>221</v>
      </c>
      <c r="C18" s="466" t="s">
        <v>248</v>
      </c>
      <c r="D18" s="467" t="s">
        <v>439</v>
      </c>
      <c r="E18" s="468">
        <f>COUNTIFS('Salary sheet'!$F$6:$F$2288,C18,'Salary sheet'!$E$6:$E$2288,B18)</f>
        <v>11</v>
      </c>
      <c r="F18" s="460">
        <f>+SUMIFS('Salary sheet'!$AN$6:$AN$1292,'Salary sheet'!$F$6:$F$1292,'So sánh giờ'!C18,'Salary sheet'!$E$6:$E$1292,'So sánh giờ'!B18)</f>
        <v>137887624</v>
      </c>
      <c r="G18" s="460">
        <f>+SUMIFS('Salary sheet'!$AO$6:$AO$2288,'Salary sheet'!$F$6:$F$2288,C18,'Salary sheet'!$E$6:$E$2288,B18)</f>
        <v>7931595</v>
      </c>
      <c r="H18" s="460">
        <f>+SUMIFS('Salary sheet'!$AP$6:$AP$2288,'Salary sheet'!$F$6:$F$2288,C18,'Salary sheet'!$E$6:$E$2288,B18)</f>
        <v>396900</v>
      </c>
      <c r="I18" s="460">
        <f>+SUMIFS('Salary sheet'!$AQ$6:$AQ$2288,'Salary sheet'!$F$6:$F$2288,C18,'Salary sheet'!$E$6:$E$2288,B18)</f>
        <v>84402</v>
      </c>
      <c r="J18" s="460">
        <f>+SUMIFS('Salary sheet'!$AR$6:$AR$2288,'Salary sheet'!$F$6:$F$2288,C18,'Salary sheet'!$E$6:$E$2288,B18)</f>
        <v>0</v>
      </c>
      <c r="K18" s="460">
        <f>SUMIFS('Salary sheet'!$AS$6:$AS$1291,'Salary sheet'!$F$6:$F$1291,'So sánh giờ'!C18)</f>
        <v>0</v>
      </c>
      <c r="L18" s="460">
        <f t="shared" si="0"/>
        <v>129474727</v>
      </c>
      <c r="M18" s="1299">
        <f>SUMIFS('Salary sheet'!$M$6:$M$13045,'Salary sheet'!$F$6:$F$13045,'So sánh giờ'!$C18)</f>
        <v>251.50000000000003</v>
      </c>
      <c r="N18" s="1299">
        <f>SUMIFS('Salary sheet'!$O$6:$O$13045,'Salary sheet'!$F$6:$F$13045,'So sánh giờ'!$C18)</f>
        <v>22</v>
      </c>
      <c r="O18" s="1299">
        <f>SUMIFS('Salary sheet'!$AA$6:$AA$13045,'Salary sheet'!$F$6:$F$13045,'So sánh giờ'!$C18)</f>
        <v>0</v>
      </c>
      <c r="P18" s="1299">
        <f>SUMIFS('Salary sheet'!$Q$6:$Q$13045,'Salary sheet'!$F$6:$F$13045,'So sánh giờ'!$C18)</f>
        <v>0</v>
      </c>
      <c r="Q18" s="1299">
        <f>SUMIFS('Salary sheet'!$AH$6:$AH$13045,'Salary sheet'!$F$6:$F$13045,'So sánh giờ'!$C18)</f>
        <v>633</v>
      </c>
      <c r="R18" s="1299">
        <f>SUMIFS('Salary sheet'!$AI$6:$AI$13045,'Salary sheet'!$F$6:$F$13045,'So sánh giờ'!$C18)</f>
        <v>0</v>
      </c>
      <c r="S18" s="1299">
        <f>SUMIFS('Salary sheet'!$AJ$6:$AJ$13045,'Salary sheet'!$F$6:$F$13045,'So sánh giờ'!$C18)</f>
        <v>0</v>
      </c>
      <c r="T18" s="1299">
        <f>SUMIFS('Salary sheet'!$AK$6:$AK$13045,'Salary sheet'!$F$6:$F$13045,'So sánh giờ'!$C18)</f>
        <v>0</v>
      </c>
      <c r="U18" s="1299">
        <f>SUMIFS('Salary sheet'!$AL$6:$AL$13045,'Salary sheet'!$F$6:$F$13045,'So sánh giờ'!$C18)</f>
        <v>0</v>
      </c>
      <c r="V18" s="1394">
        <v>11</v>
      </c>
      <c r="W18" s="1392">
        <v>128525579</v>
      </c>
      <c r="X18" s="1392">
        <v>8189265</v>
      </c>
      <c r="Y18" s="1392">
        <v>396900</v>
      </c>
      <c r="Z18" s="1392">
        <v>28328</v>
      </c>
      <c r="AA18" s="1392">
        <v>0</v>
      </c>
      <c r="AB18" s="1392">
        <v>0</v>
      </c>
      <c r="AC18" s="1392">
        <v>119911086</v>
      </c>
      <c r="AD18" s="1395">
        <v>260.60000000000002</v>
      </c>
      <c r="AE18" s="1395">
        <v>1</v>
      </c>
      <c r="AF18" s="1395">
        <v>0</v>
      </c>
      <c r="AG18" s="1395">
        <v>0</v>
      </c>
      <c r="AH18" s="1395">
        <v>480</v>
      </c>
      <c r="AI18" s="1395">
        <v>0</v>
      </c>
      <c r="AJ18" s="1395">
        <v>0</v>
      </c>
      <c r="AK18" s="1395">
        <v>0</v>
      </c>
      <c r="AL18" s="1395">
        <v>0</v>
      </c>
      <c r="AM18" s="1376">
        <v>9</v>
      </c>
      <c r="AN18" s="1374">
        <v>89872640</v>
      </c>
      <c r="AO18" s="1374">
        <v>8029455</v>
      </c>
      <c r="AP18" s="1374">
        <v>396900</v>
      </c>
      <c r="AQ18" s="1374">
        <v>0</v>
      </c>
      <c r="AR18" s="1374">
        <v>0</v>
      </c>
      <c r="AS18" s="1374">
        <v>0</v>
      </c>
      <c r="AT18" s="1374">
        <v>81446285</v>
      </c>
      <c r="AU18" s="1377">
        <v>194.2</v>
      </c>
      <c r="AV18" s="1377">
        <v>20</v>
      </c>
      <c r="AW18" s="1377">
        <v>0</v>
      </c>
      <c r="AX18" s="1377">
        <v>0</v>
      </c>
      <c r="AY18" s="1377">
        <v>0</v>
      </c>
      <c r="AZ18" s="1377">
        <v>0</v>
      </c>
      <c r="BA18" s="1377">
        <v>0</v>
      </c>
      <c r="BB18" s="1377">
        <v>0</v>
      </c>
      <c r="BC18" s="1377">
        <v>0</v>
      </c>
      <c r="BD18" s="468">
        <v>10</v>
      </c>
      <c r="BE18" s="460">
        <v>183121966</v>
      </c>
      <c r="BF18" s="460">
        <v>8736525</v>
      </c>
      <c r="BG18" s="460">
        <v>441000</v>
      </c>
      <c r="BH18" s="460">
        <v>2162424</v>
      </c>
      <c r="BI18" s="460">
        <v>0</v>
      </c>
      <c r="BJ18" s="460">
        <v>0</v>
      </c>
      <c r="BK18" s="460">
        <v>171782017</v>
      </c>
      <c r="BL18" s="1299">
        <v>186.70000000000002</v>
      </c>
      <c r="BM18" s="1299">
        <v>68</v>
      </c>
      <c r="BN18" s="1299">
        <v>0</v>
      </c>
      <c r="BO18" s="1299">
        <v>0</v>
      </c>
      <c r="BP18" s="1299">
        <v>400</v>
      </c>
      <c r="BQ18" s="1299">
        <v>0</v>
      </c>
      <c r="BR18" s="1299">
        <v>0</v>
      </c>
      <c r="BS18" s="1299">
        <v>0</v>
      </c>
      <c r="BT18" s="1299">
        <v>0</v>
      </c>
    </row>
    <row r="19" spans="1:72" s="22" customFormat="1" ht="26.25" customHeight="1">
      <c r="A19" s="464">
        <f>SUBTOTAL(3,B$4:B19)</f>
        <v>16</v>
      </c>
      <c r="B19" s="465" t="s">
        <v>221</v>
      </c>
      <c r="C19" s="466" t="s">
        <v>533</v>
      </c>
      <c r="D19" s="467" t="s">
        <v>440</v>
      </c>
      <c r="E19" s="468">
        <f>COUNTIFS('Salary sheet'!$F$6:$F$2288,C19,'Salary sheet'!$E$6:$E$2288,B19)</f>
        <v>33</v>
      </c>
      <c r="F19" s="460">
        <f>+SUMIFS('Salary sheet'!$AN$6:$AN$1292,'Salary sheet'!$F$6:$F$1292,'So sánh giờ'!C19,'Salary sheet'!$E$6:$E$1292,'So sánh giờ'!B19)</f>
        <v>650807927</v>
      </c>
      <c r="G19" s="460">
        <f>+SUMIFS('Salary sheet'!$AO$6:$AO$2288,'Salary sheet'!$F$6:$F$2288,C19,'Salary sheet'!$E$6:$E$2288,B19)</f>
        <v>43817921</v>
      </c>
      <c r="H19" s="460">
        <f>+SUMIFS('Salary sheet'!$AP$6:$AP$2288,'Salary sheet'!$F$6:$F$2288,C19,'Salary sheet'!$E$6:$E$2288,B19)</f>
        <v>1411200</v>
      </c>
      <c r="I19" s="460">
        <f>+SUMIFS('Salary sheet'!$AQ$6:$AQ$2288,'Salary sheet'!$F$6:$F$2288,C19,'Salary sheet'!$E$6:$E$2288,B19)</f>
        <v>5243688</v>
      </c>
      <c r="J19" s="460">
        <f>+SUMIFS('Salary sheet'!$AR$6:$AR$2288,'Salary sheet'!$F$6:$F$2288,C19,'Salary sheet'!$E$6:$E$2288,B19)</f>
        <v>0</v>
      </c>
      <c r="K19" s="460">
        <f>SUMIFS('Salary sheet'!$AS$6:$AS$1291,'Salary sheet'!$F$6:$F$1291,'So sánh giờ'!C19)</f>
        <v>420143</v>
      </c>
      <c r="L19" s="460">
        <f t="shared" si="0"/>
        <v>599914975</v>
      </c>
      <c r="M19" s="1299">
        <f>SUMIFS('Salary sheet'!$M$6:$M$13045,'Salary sheet'!$F$6:$F$13045,'So sánh giờ'!$C19)</f>
        <v>752.29999999999984</v>
      </c>
      <c r="N19" s="1299">
        <f>SUMIFS('Salary sheet'!$O$6:$O$13045,'Salary sheet'!$F$6:$F$13045,'So sánh giờ'!$C19)</f>
        <v>81</v>
      </c>
      <c r="O19" s="1299">
        <f>SUMIFS('Salary sheet'!$AA$6:$AA$13045,'Salary sheet'!$F$6:$F$13045,'So sánh giờ'!$C19)</f>
        <v>0</v>
      </c>
      <c r="P19" s="1299">
        <f>SUMIFS('Salary sheet'!$Q$6:$Q$13045,'Salary sheet'!$F$6:$F$13045,'So sánh giờ'!$C19)</f>
        <v>1059</v>
      </c>
      <c r="Q19" s="1299">
        <f>SUMIFS('Salary sheet'!$AH$6:$AH$13045,'Salary sheet'!$F$6:$F$13045,'So sánh giờ'!$C19)</f>
        <v>1385.5</v>
      </c>
      <c r="R19" s="1299">
        <f>SUMIFS('Salary sheet'!$AI$6:$AI$13045,'Salary sheet'!$F$6:$F$13045,'So sánh giờ'!$C19)</f>
        <v>176</v>
      </c>
      <c r="S19" s="1299">
        <f>SUMIFS('Salary sheet'!$AJ$6:$AJ$13045,'Salary sheet'!$F$6:$F$13045,'So sánh giờ'!$C19)</f>
        <v>221</v>
      </c>
      <c r="T19" s="1299">
        <f>SUMIFS('Salary sheet'!$AK$6:$AK$13045,'Salary sheet'!$F$6:$F$13045,'So sánh giờ'!$C19)</f>
        <v>0</v>
      </c>
      <c r="U19" s="1299">
        <f>SUMIFS('Salary sheet'!$AL$6:$AL$13045,'Salary sheet'!$F$6:$F$13045,'So sánh giờ'!$C19)</f>
        <v>0</v>
      </c>
      <c r="V19" s="1394">
        <v>34</v>
      </c>
      <c r="W19" s="1392">
        <v>640848825</v>
      </c>
      <c r="X19" s="1392">
        <v>42227955</v>
      </c>
      <c r="Y19" s="1392">
        <v>1411200</v>
      </c>
      <c r="Z19" s="1392">
        <v>4460635</v>
      </c>
      <c r="AA19" s="1392">
        <v>0</v>
      </c>
      <c r="AB19" s="1392">
        <v>0</v>
      </c>
      <c r="AC19" s="1392">
        <v>592749035</v>
      </c>
      <c r="AD19" s="1395">
        <v>841.5</v>
      </c>
      <c r="AE19" s="1395">
        <v>0</v>
      </c>
      <c r="AF19" s="1395">
        <v>0</v>
      </c>
      <c r="AG19" s="1395">
        <v>819</v>
      </c>
      <c r="AH19" s="1395">
        <v>1505</v>
      </c>
      <c r="AI19" s="1395">
        <v>104</v>
      </c>
      <c r="AJ19" s="1395">
        <v>185</v>
      </c>
      <c r="AK19" s="1395">
        <v>0</v>
      </c>
      <c r="AL19" s="1395">
        <v>0</v>
      </c>
      <c r="AM19" s="1376">
        <v>32</v>
      </c>
      <c r="AN19" s="1374">
        <v>482542549</v>
      </c>
      <c r="AO19" s="1374">
        <v>41435835</v>
      </c>
      <c r="AP19" s="1374">
        <v>1367100</v>
      </c>
      <c r="AQ19" s="1374">
        <v>1478378</v>
      </c>
      <c r="AR19" s="1374">
        <v>0</v>
      </c>
      <c r="AS19" s="1374">
        <v>0</v>
      </c>
      <c r="AT19" s="1374">
        <v>438261236</v>
      </c>
      <c r="AU19" s="1377">
        <v>673.19999999999993</v>
      </c>
      <c r="AV19" s="1377">
        <v>69</v>
      </c>
      <c r="AW19" s="1377">
        <v>0</v>
      </c>
      <c r="AX19" s="1377">
        <v>461.5</v>
      </c>
      <c r="AY19" s="1377">
        <v>319</v>
      </c>
      <c r="AZ19" s="1377">
        <v>0</v>
      </c>
      <c r="BA19" s="1377">
        <v>98</v>
      </c>
      <c r="BB19" s="1377">
        <v>0</v>
      </c>
      <c r="BC19" s="1377">
        <v>0</v>
      </c>
      <c r="BD19" s="468">
        <v>32</v>
      </c>
      <c r="BE19" s="460">
        <v>772447220</v>
      </c>
      <c r="BF19" s="460">
        <v>40277580</v>
      </c>
      <c r="BG19" s="460">
        <v>1323000</v>
      </c>
      <c r="BH19" s="460">
        <v>20646663</v>
      </c>
      <c r="BI19" s="460">
        <v>0</v>
      </c>
      <c r="BJ19" s="460">
        <v>0</v>
      </c>
      <c r="BK19" s="460">
        <v>710199977</v>
      </c>
      <c r="BL19" s="1299">
        <v>576.30000000000007</v>
      </c>
      <c r="BM19" s="1299">
        <v>230</v>
      </c>
      <c r="BN19" s="1299">
        <v>0</v>
      </c>
      <c r="BO19" s="1299">
        <v>468</v>
      </c>
      <c r="BP19" s="1299">
        <v>762</v>
      </c>
      <c r="BQ19" s="1299">
        <v>120</v>
      </c>
      <c r="BR19" s="1299">
        <v>96</v>
      </c>
      <c r="BS19" s="1299">
        <v>0</v>
      </c>
      <c r="BT19" s="1299">
        <v>0</v>
      </c>
    </row>
    <row r="20" spans="1:72" s="22" customFormat="1" ht="26.25" customHeight="1">
      <c r="A20" s="464">
        <f>SUBTOTAL(3,B$4:B20)</f>
        <v>17</v>
      </c>
      <c r="B20" s="465" t="s">
        <v>221</v>
      </c>
      <c r="C20" s="466" t="s">
        <v>249</v>
      </c>
      <c r="D20" s="467" t="s">
        <v>441</v>
      </c>
      <c r="E20" s="468">
        <f>COUNTIFS('Salary sheet'!$F$6:$F$2288,C20,'Salary sheet'!$E$6:$E$2288,B20)</f>
        <v>2</v>
      </c>
      <c r="F20" s="460">
        <f>+SUMIFS('Salary sheet'!$AN$6:$AN$1292,'Salary sheet'!$F$6:$F$1292,'So sánh giờ'!C20,'Salary sheet'!$E$6:$E$1292,'So sánh giờ'!B20)</f>
        <v>54257841</v>
      </c>
      <c r="G20" s="460">
        <f>+SUMIFS('Salary sheet'!$AO$6:$AO$2288,'Salary sheet'!$F$6:$F$2288,C20,'Salary sheet'!$E$6:$E$2288,B20)</f>
        <v>4337340</v>
      </c>
      <c r="H20" s="460">
        <f>+SUMIFS('Salary sheet'!$AP$6:$AP$2288,'Salary sheet'!$F$6:$F$2288,C20,'Salary sheet'!$E$6:$E$2288,B20)</f>
        <v>88200</v>
      </c>
      <c r="I20" s="460">
        <f>+SUMIFS('Salary sheet'!$AQ$6:$AQ$2288,'Salary sheet'!$F$6:$F$2288,C20,'Salary sheet'!$E$6:$E$2288,B20)</f>
        <v>0</v>
      </c>
      <c r="J20" s="460">
        <f>+SUMIFS('Salary sheet'!$AR$6:$AR$2288,'Salary sheet'!$F$6:$F$2288,C20,'Salary sheet'!$E$6:$E$2288,B20)</f>
        <v>0</v>
      </c>
      <c r="K20" s="460">
        <f>SUMIFS('Salary sheet'!$AS$6:$AS$1291,'Salary sheet'!$F$6:$F$1291,'So sánh giờ'!C20)</f>
        <v>0</v>
      </c>
      <c r="L20" s="460">
        <f t="shared" si="0"/>
        <v>49832301</v>
      </c>
      <c r="M20" s="1299">
        <f>SUMIFS('Salary sheet'!$M$6:$M$13045,'Salary sheet'!$F$6:$F$13045,'So sánh giờ'!$C20)</f>
        <v>47</v>
      </c>
      <c r="N20" s="1299">
        <f>SUMIFS('Salary sheet'!$O$6:$O$13045,'Salary sheet'!$F$6:$F$13045,'So sánh giờ'!$C20)</f>
        <v>4</v>
      </c>
      <c r="O20" s="1299">
        <f>SUMIFS('Salary sheet'!$AA$6:$AA$13045,'Salary sheet'!$F$6:$F$13045,'So sánh giờ'!$C20)</f>
        <v>0</v>
      </c>
      <c r="P20" s="1299">
        <f>SUMIFS('Salary sheet'!$Q$6:$Q$13045,'Salary sheet'!$F$6:$F$13045,'So sánh giờ'!$C20)</f>
        <v>0</v>
      </c>
      <c r="Q20" s="1299">
        <f>SUMIFS('Salary sheet'!$AH$6:$AH$13045,'Salary sheet'!$F$6:$F$13045,'So sánh giờ'!$C20)</f>
        <v>64</v>
      </c>
      <c r="R20" s="1299">
        <f>SUMIFS('Salary sheet'!$AI$6:$AI$13045,'Salary sheet'!$F$6:$F$13045,'So sánh giờ'!$C20)</f>
        <v>32</v>
      </c>
      <c r="S20" s="1299">
        <f>SUMIFS('Salary sheet'!$AJ$6:$AJ$13045,'Salary sheet'!$F$6:$F$13045,'So sánh giờ'!$C20)</f>
        <v>0</v>
      </c>
      <c r="T20" s="1299">
        <f>SUMIFS('Salary sheet'!$AK$6:$AK$13045,'Salary sheet'!$F$6:$F$13045,'So sánh giờ'!$C20)</f>
        <v>0</v>
      </c>
      <c r="U20" s="1299">
        <f>SUMIFS('Salary sheet'!$AL$6:$AL$13045,'Salary sheet'!$F$6:$F$13045,'So sánh giờ'!$C20)</f>
        <v>0</v>
      </c>
      <c r="V20" s="1394">
        <v>2</v>
      </c>
      <c r="W20" s="1392">
        <v>50735252</v>
      </c>
      <c r="X20" s="1392">
        <v>4337340</v>
      </c>
      <c r="Y20" s="1392">
        <v>88200</v>
      </c>
      <c r="Z20" s="1392">
        <v>0</v>
      </c>
      <c r="AA20" s="1392">
        <v>0</v>
      </c>
      <c r="AB20" s="1392">
        <v>0</v>
      </c>
      <c r="AC20" s="1392">
        <v>46309712</v>
      </c>
      <c r="AD20" s="1395">
        <v>51</v>
      </c>
      <c r="AE20" s="1395">
        <v>1</v>
      </c>
      <c r="AF20" s="1395">
        <v>0</v>
      </c>
      <c r="AG20" s="1395">
        <v>0</v>
      </c>
      <c r="AH20" s="1395">
        <v>72</v>
      </c>
      <c r="AI20" s="1395">
        <v>8</v>
      </c>
      <c r="AJ20" s="1395">
        <v>0</v>
      </c>
      <c r="AK20" s="1395">
        <v>0</v>
      </c>
      <c r="AL20" s="1395">
        <v>0</v>
      </c>
      <c r="AM20" s="1376">
        <v>2</v>
      </c>
      <c r="AN20" s="1374">
        <v>45455363</v>
      </c>
      <c r="AO20" s="1374">
        <v>4337340</v>
      </c>
      <c r="AP20" s="1374">
        <v>88200</v>
      </c>
      <c r="AQ20" s="1374">
        <v>0</v>
      </c>
      <c r="AR20" s="1374">
        <v>0</v>
      </c>
      <c r="AS20" s="1374">
        <v>0</v>
      </c>
      <c r="AT20" s="1374">
        <v>41029823</v>
      </c>
      <c r="AU20" s="1377">
        <v>43</v>
      </c>
      <c r="AV20" s="1377">
        <v>5</v>
      </c>
      <c r="AW20" s="1377">
        <v>0</v>
      </c>
      <c r="AX20" s="1377">
        <v>0</v>
      </c>
      <c r="AY20" s="1377">
        <v>20</v>
      </c>
      <c r="AZ20" s="1377">
        <v>0</v>
      </c>
      <c r="BA20" s="1377">
        <v>0</v>
      </c>
      <c r="BB20" s="1377">
        <v>0</v>
      </c>
      <c r="BC20" s="1377">
        <v>0</v>
      </c>
      <c r="BD20" s="468">
        <v>2</v>
      </c>
      <c r="BE20" s="460">
        <v>75843046</v>
      </c>
      <c r="BF20" s="460">
        <v>4337340</v>
      </c>
      <c r="BG20" s="460">
        <v>88200</v>
      </c>
      <c r="BH20" s="460">
        <v>3637423</v>
      </c>
      <c r="BI20" s="460">
        <v>0</v>
      </c>
      <c r="BJ20" s="460">
        <v>0</v>
      </c>
      <c r="BK20" s="460">
        <v>67780083</v>
      </c>
      <c r="BL20" s="1299">
        <v>30</v>
      </c>
      <c r="BM20" s="1299">
        <v>14</v>
      </c>
      <c r="BN20" s="1299">
        <v>0</v>
      </c>
      <c r="BO20" s="1299">
        <v>0</v>
      </c>
      <c r="BP20" s="1299">
        <v>0</v>
      </c>
      <c r="BQ20" s="1299">
        <v>0</v>
      </c>
      <c r="BR20" s="1299">
        <v>0</v>
      </c>
      <c r="BS20" s="1299">
        <v>0</v>
      </c>
      <c r="BT20" s="1299">
        <v>0</v>
      </c>
    </row>
    <row r="21" spans="1:72" s="22" customFormat="1" ht="26.25" customHeight="1">
      <c r="A21" s="464">
        <f>SUBTOTAL(3,B$4:B21)</f>
        <v>18</v>
      </c>
      <c r="B21" s="465" t="s">
        <v>221</v>
      </c>
      <c r="C21" s="466" t="s">
        <v>534</v>
      </c>
      <c r="D21" s="467" t="s">
        <v>442</v>
      </c>
      <c r="E21" s="468">
        <f>COUNTIFS('Salary sheet'!$F$6:$F$2288,C21,'Salary sheet'!$E$6:$E$2288,B21)</f>
        <v>15</v>
      </c>
      <c r="F21" s="460">
        <f>+SUMIFS('Salary sheet'!$AN$6:$AN$1292,'Salary sheet'!$F$6:$F$1292,'So sánh giờ'!C21,'Salary sheet'!$E$6:$E$1292,'So sánh giờ'!B21)</f>
        <v>150956917</v>
      </c>
      <c r="G21" s="460">
        <f>+SUMIFS('Salary sheet'!$AO$6:$AO$2288,'Salary sheet'!$F$6:$F$2288,C21,'Salary sheet'!$E$6:$E$2288,B21)</f>
        <v>10831905</v>
      </c>
      <c r="H21" s="460">
        <f>+SUMIFS('Salary sheet'!$AP$6:$AP$2288,'Salary sheet'!$F$6:$F$2288,C21,'Salary sheet'!$E$6:$E$2288,B21)</f>
        <v>661500</v>
      </c>
      <c r="I21" s="460">
        <f>+SUMIFS('Salary sheet'!$AQ$6:$AQ$2288,'Salary sheet'!$F$6:$F$2288,C21,'Salary sheet'!$E$6:$E$2288,B21)</f>
        <v>52140</v>
      </c>
      <c r="J21" s="460">
        <f>+SUMIFS('Salary sheet'!$AR$6:$AR$2288,'Salary sheet'!$F$6:$F$2288,C21,'Salary sheet'!$E$6:$E$2288,B21)</f>
        <v>0</v>
      </c>
      <c r="K21" s="460">
        <f>SUMIFS('Salary sheet'!$AS$6:$AS$1291,'Salary sheet'!$F$6:$F$1291,'So sánh giờ'!C21)</f>
        <v>0</v>
      </c>
      <c r="L21" s="460">
        <f t="shared" si="0"/>
        <v>139411372</v>
      </c>
      <c r="M21" s="1299">
        <f>SUMIFS('Salary sheet'!$M$6:$M$13045,'Salary sheet'!$F$6:$F$13045,'So sánh giờ'!$C21)</f>
        <v>340.4</v>
      </c>
      <c r="N21" s="1299">
        <f>SUMIFS('Salary sheet'!$O$6:$O$13045,'Salary sheet'!$F$6:$F$13045,'So sánh giờ'!$C21)</f>
        <v>37</v>
      </c>
      <c r="O21" s="1299">
        <f>SUMIFS('Salary sheet'!$AA$6:$AA$13045,'Salary sheet'!$F$6:$F$13045,'So sánh giờ'!$C21)</f>
        <v>0</v>
      </c>
      <c r="P21" s="1299">
        <f>SUMIFS('Salary sheet'!$Q$6:$Q$13045,'Salary sheet'!$F$6:$F$13045,'So sánh giờ'!$C21)</f>
        <v>247</v>
      </c>
      <c r="Q21" s="1299">
        <f>SUMIFS('Salary sheet'!$AH$6:$AH$13045,'Salary sheet'!$F$6:$F$13045,'So sánh giờ'!$C21)</f>
        <v>508</v>
      </c>
      <c r="R21" s="1299">
        <f>SUMIFS('Salary sheet'!$AI$6:$AI$13045,'Salary sheet'!$F$6:$F$13045,'So sánh giờ'!$C21)</f>
        <v>0</v>
      </c>
      <c r="S21" s="1299">
        <f>SUMIFS('Salary sheet'!$AJ$6:$AJ$13045,'Salary sheet'!$F$6:$F$13045,'So sánh giờ'!$C21)</f>
        <v>0</v>
      </c>
      <c r="T21" s="1299">
        <f>SUMIFS('Salary sheet'!$AK$6:$AK$13045,'Salary sheet'!$F$6:$F$13045,'So sánh giờ'!$C21)</f>
        <v>0</v>
      </c>
      <c r="U21" s="1299">
        <f>SUMIFS('Salary sheet'!$AL$6:$AL$13045,'Salary sheet'!$F$6:$F$13045,'So sánh giờ'!$C21)</f>
        <v>0</v>
      </c>
      <c r="V21" s="1394">
        <v>15</v>
      </c>
      <c r="W21" s="1392">
        <v>129226713</v>
      </c>
      <c r="X21" s="1392">
        <v>9545282</v>
      </c>
      <c r="Y21" s="1392">
        <v>617400</v>
      </c>
      <c r="Z21" s="1392">
        <v>3554</v>
      </c>
      <c r="AA21" s="1392">
        <v>0</v>
      </c>
      <c r="AB21" s="1392">
        <v>392538</v>
      </c>
      <c r="AC21" s="1392">
        <v>118667939</v>
      </c>
      <c r="AD21" s="1395">
        <v>364.7</v>
      </c>
      <c r="AE21" s="1395">
        <v>0</v>
      </c>
      <c r="AF21" s="1395">
        <v>0</v>
      </c>
      <c r="AG21" s="1395">
        <v>143</v>
      </c>
      <c r="AH21" s="1395">
        <v>231.5</v>
      </c>
      <c r="AI21" s="1395">
        <v>0</v>
      </c>
      <c r="AJ21" s="1395">
        <v>0</v>
      </c>
      <c r="AK21" s="1395">
        <v>0</v>
      </c>
      <c r="AL21" s="1395">
        <v>0</v>
      </c>
      <c r="AM21" s="1376">
        <v>15</v>
      </c>
      <c r="AN21" s="1374">
        <v>132990997</v>
      </c>
      <c r="AO21" s="1374">
        <v>9064440</v>
      </c>
      <c r="AP21" s="1374">
        <v>529200</v>
      </c>
      <c r="AQ21" s="1374">
        <v>2300</v>
      </c>
      <c r="AR21" s="1374">
        <v>0</v>
      </c>
      <c r="AS21" s="1374">
        <v>0</v>
      </c>
      <c r="AT21" s="1374">
        <v>123395057</v>
      </c>
      <c r="AU21" s="1377">
        <v>289.10000000000002</v>
      </c>
      <c r="AV21" s="1377">
        <v>25</v>
      </c>
      <c r="AW21" s="1377">
        <v>0</v>
      </c>
      <c r="AX21" s="1377">
        <v>468</v>
      </c>
      <c r="AY21" s="1377">
        <v>320.5</v>
      </c>
      <c r="AZ21" s="1377">
        <v>0</v>
      </c>
      <c r="BA21" s="1377">
        <v>0</v>
      </c>
      <c r="BB21" s="1377">
        <v>0</v>
      </c>
      <c r="BC21" s="1377">
        <v>0</v>
      </c>
      <c r="BD21" s="468">
        <v>13</v>
      </c>
      <c r="BE21" s="460">
        <v>185254369</v>
      </c>
      <c r="BF21" s="460">
        <v>9515415</v>
      </c>
      <c r="BG21" s="460">
        <v>573300</v>
      </c>
      <c r="BH21" s="460">
        <v>1668915</v>
      </c>
      <c r="BI21" s="460">
        <v>0</v>
      </c>
      <c r="BJ21" s="460">
        <v>0</v>
      </c>
      <c r="BK21" s="460">
        <v>173496739</v>
      </c>
      <c r="BL21" s="1299">
        <v>242</v>
      </c>
      <c r="BM21" s="1299">
        <v>90</v>
      </c>
      <c r="BN21" s="1299">
        <v>0</v>
      </c>
      <c r="BO21" s="1299">
        <v>312</v>
      </c>
      <c r="BP21" s="1299">
        <v>302</v>
      </c>
      <c r="BQ21" s="1299">
        <v>0</v>
      </c>
      <c r="BR21" s="1299">
        <v>0</v>
      </c>
      <c r="BS21" s="1299">
        <v>0</v>
      </c>
      <c r="BT21" s="1299">
        <v>0</v>
      </c>
    </row>
    <row r="22" spans="1:72" s="22" customFormat="1" ht="26.25" customHeight="1">
      <c r="A22" s="464">
        <f>SUBTOTAL(3,B$4:B22)</f>
        <v>19</v>
      </c>
      <c r="B22" s="465" t="s">
        <v>221</v>
      </c>
      <c r="C22" s="466" t="s">
        <v>250</v>
      </c>
      <c r="D22" s="467" t="s">
        <v>443</v>
      </c>
      <c r="E22" s="468">
        <f>COUNTIFS('Salary sheet'!$F$6:$F$2288,C22,'Salary sheet'!$E$6:$E$2288,B22)</f>
        <v>14</v>
      </c>
      <c r="F22" s="460">
        <f>+SUMIFS('Salary sheet'!$AN$6:$AN$1292,'Salary sheet'!$F$6:$F$1292,'So sánh giờ'!C22,'Salary sheet'!$E$6:$E$1292,'So sánh giờ'!B22)</f>
        <v>142669544</v>
      </c>
      <c r="G22" s="460">
        <f>+SUMIFS('Salary sheet'!$AO$6:$AO$2288,'Salary sheet'!$F$6:$F$2288,C22,'Salary sheet'!$E$6:$E$2288,B22)</f>
        <v>9704835</v>
      </c>
      <c r="H22" s="460">
        <f>+SUMIFS('Salary sheet'!$AP$6:$AP$2288,'Salary sheet'!$F$6:$F$2288,C22,'Salary sheet'!$E$6:$E$2288,B22)</f>
        <v>573300</v>
      </c>
      <c r="I22" s="460">
        <f>+SUMIFS('Salary sheet'!$AQ$6:$AQ$2288,'Salary sheet'!$F$6:$F$2288,C22,'Salary sheet'!$E$6:$E$2288,B22)</f>
        <v>35010</v>
      </c>
      <c r="J22" s="460">
        <f>+SUMIFS('Salary sheet'!$AR$6:$AR$2288,'Salary sheet'!$F$6:$F$2288,C22,'Salary sheet'!$E$6:$E$2288,B22)</f>
        <v>0</v>
      </c>
      <c r="K22" s="460">
        <f>SUMIFS('Salary sheet'!$AS$6:$AS$1291,'Salary sheet'!$F$6:$F$1291,'So sánh giờ'!C22)</f>
        <v>0</v>
      </c>
      <c r="L22" s="460">
        <f t="shared" si="0"/>
        <v>132356399</v>
      </c>
      <c r="M22" s="1299">
        <f>SUMIFS('Salary sheet'!$M$6:$M$13045,'Salary sheet'!$F$6:$F$13045,'So sánh giờ'!$C22)</f>
        <v>320.60000000000002</v>
      </c>
      <c r="N22" s="1299">
        <f>SUMIFS('Salary sheet'!$O$6:$O$13045,'Salary sheet'!$F$6:$F$13045,'So sánh giờ'!$C22)</f>
        <v>35</v>
      </c>
      <c r="O22" s="1299">
        <f>SUMIFS('Salary sheet'!$AA$6:$AA$13045,'Salary sheet'!$F$6:$F$13045,'So sánh giờ'!$C22)</f>
        <v>0</v>
      </c>
      <c r="P22" s="1299">
        <f>SUMIFS('Salary sheet'!$Q$6:$Q$13045,'Salary sheet'!$F$6:$F$13045,'So sánh giờ'!$C22)</f>
        <v>442</v>
      </c>
      <c r="Q22" s="1299">
        <f>SUMIFS('Salary sheet'!$AH$6:$AH$13045,'Salary sheet'!$F$6:$F$13045,'So sánh giờ'!$C22)</f>
        <v>596</v>
      </c>
      <c r="R22" s="1299">
        <f>SUMIFS('Salary sheet'!$AI$6:$AI$13045,'Salary sheet'!$F$6:$F$13045,'So sánh giờ'!$C22)</f>
        <v>0</v>
      </c>
      <c r="S22" s="1299">
        <f>SUMIFS('Salary sheet'!$AJ$6:$AJ$13045,'Salary sheet'!$F$6:$F$13045,'So sánh giờ'!$C22)</f>
        <v>30</v>
      </c>
      <c r="T22" s="1299">
        <f>SUMIFS('Salary sheet'!$AK$6:$AK$13045,'Salary sheet'!$F$6:$F$13045,'So sánh giờ'!$C22)</f>
        <v>0</v>
      </c>
      <c r="U22" s="1299">
        <f>SUMIFS('Salary sheet'!$AL$6:$AL$13045,'Salary sheet'!$F$6:$F$13045,'So sánh giờ'!$C22)</f>
        <v>0</v>
      </c>
      <c r="V22" s="1394">
        <v>15</v>
      </c>
      <c r="W22" s="1392">
        <v>150531712</v>
      </c>
      <c r="X22" s="1392">
        <v>9833254</v>
      </c>
      <c r="Y22" s="1392">
        <v>573300</v>
      </c>
      <c r="Z22" s="1392">
        <v>0</v>
      </c>
      <c r="AA22" s="1392">
        <v>20000</v>
      </c>
      <c r="AB22" s="1392">
        <v>1195431</v>
      </c>
      <c r="AC22" s="1392">
        <v>138909727</v>
      </c>
      <c r="AD22" s="1395">
        <v>366.3</v>
      </c>
      <c r="AE22" s="1395">
        <v>1</v>
      </c>
      <c r="AF22" s="1395">
        <v>0</v>
      </c>
      <c r="AG22" s="1395">
        <v>611</v>
      </c>
      <c r="AH22" s="1395">
        <v>520</v>
      </c>
      <c r="AI22" s="1395">
        <v>0</v>
      </c>
      <c r="AJ22" s="1395">
        <v>95.5</v>
      </c>
      <c r="AK22" s="1395">
        <v>0</v>
      </c>
      <c r="AL22" s="1395">
        <v>0</v>
      </c>
      <c r="AM22" s="1376">
        <v>15</v>
      </c>
      <c r="AN22" s="1374">
        <v>114746047</v>
      </c>
      <c r="AO22" s="1374">
        <v>8065050</v>
      </c>
      <c r="AP22" s="1374">
        <v>485100</v>
      </c>
      <c r="AQ22" s="1374">
        <v>0</v>
      </c>
      <c r="AR22" s="1374">
        <v>0</v>
      </c>
      <c r="AS22" s="1374">
        <v>0</v>
      </c>
      <c r="AT22" s="1374">
        <v>106195897</v>
      </c>
      <c r="AU22" s="1377">
        <v>284.79999999999995</v>
      </c>
      <c r="AV22" s="1377">
        <v>22</v>
      </c>
      <c r="AW22" s="1377">
        <v>0</v>
      </c>
      <c r="AX22" s="1377">
        <v>299</v>
      </c>
      <c r="AY22" s="1377">
        <v>198.5</v>
      </c>
      <c r="AZ22" s="1377">
        <v>0</v>
      </c>
      <c r="BA22" s="1377">
        <v>0</v>
      </c>
      <c r="BB22" s="1377">
        <v>0</v>
      </c>
      <c r="BC22" s="1377">
        <v>0</v>
      </c>
      <c r="BD22" s="468">
        <v>12</v>
      </c>
      <c r="BE22" s="460">
        <v>166445543</v>
      </c>
      <c r="BF22" s="460">
        <v>8602965</v>
      </c>
      <c r="BG22" s="460">
        <v>529200</v>
      </c>
      <c r="BH22" s="460">
        <v>1356378</v>
      </c>
      <c r="BI22" s="460">
        <v>0</v>
      </c>
      <c r="BJ22" s="460">
        <v>0</v>
      </c>
      <c r="BK22" s="460">
        <v>155957000</v>
      </c>
      <c r="BL22" s="1299">
        <v>215.5</v>
      </c>
      <c r="BM22" s="1299">
        <v>84</v>
      </c>
      <c r="BN22" s="1299">
        <v>0</v>
      </c>
      <c r="BO22" s="1299">
        <v>240.5</v>
      </c>
      <c r="BP22" s="1299">
        <v>304</v>
      </c>
      <c r="BQ22" s="1299">
        <v>0</v>
      </c>
      <c r="BR22" s="1299">
        <v>0</v>
      </c>
      <c r="BS22" s="1299">
        <v>0</v>
      </c>
      <c r="BT22" s="1299">
        <v>0</v>
      </c>
    </row>
    <row r="23" spans="1:72" s="22" customFormat="1" ht="26.25" customHeight="1">
      <c r="A23" s="464">
        <f>SUBTOTAL(3,B$4:B23)</f>
        <v>20</v>
      </c>
      <c r="B23" s="465" t="s">
        <v>221</v>
      </c>
      <c r="C23" s="466" t="s">
        <v>251</v>
      </c>
      <c r="D23" s="467" t="s">
        <v>444</v>
      </c>
      <c r="E23" s="468">
        <f>COUNTIFS('Salary sheet'!$F$6:$F$2288,C23,'Salary sheet'!$E$6:$E$2288,B23)</f>
        <v>9</v>
      </c>
      <c r="F23" s="460">
        <f>+SUMIFS('Salary sheet'!$AN$6:$AN$1292,'Salary sheet'!$F$6:$F$1292,'So sánh giờ'!C23,'Salary sheet'!$E$6:$E$1292,'So sánh giờ'!B23)</f>
        <v>95130438</v>
      </c>
      <c r="G23" s="460">
        <f>+SUMIFS('Salary sheet'!$AO$6:$AO$2288,'Salary sheet'!$F$6:$F$2288,C23,'Salary sheet'!$E$6:$E$2288,B23)</f>
        <v>6425055</v>
      </c>
      <c r="H23" s="460">
        <f>+SUMIFS('Salary sheet'!$AP$6:$AP$2288,'Salary sheet'!$F$6:$F$2288,C23,'Salary sheet'!$E$6:$E$2288,B23)</f>
        <v>396900</v>
      </c>
      <c r="I23" s="460">
        <f>+SUMIFS('Salary sheet'!$AQ$6:$AQ$2288,'Salary sheet'!$F$6:$F$2288,C23,'Salary sheet'!$E$6:$E$2288,B23)</f>
        <v>0</v>
      </c>
      <c r="J23" s="460">
        <f>+SUMIFS('Salary sheet'!$AR$6:$AR$2288,'Salary sheet'!$F$6:$F$2288,C23,'Salary sheet'!$E$6:$E$2288,B23)</f>
        <v>0</v>
      </c>
      <c r="K23" s="460">
        <f>SUMIFS('Salary sheet'!$AS$6:$AS$1291,'Salary sheet'!$F$6:$F$1291,'So sánh giờ'!C23)</f>
        <v>0</v>
      </c>
      <c r="L23" s="460">
        <f t="shared" si="0"/>
        <v>88308483</v>
      </c>
      <c r="M23" s="1299">
        <f>SUMIFS('Salary sheet'!$M$6:$M$13045,'Salary sheet'!$F$6:$F$13045,'So sánh giờ'!$C23)</f>
        <v>211.6</v>
      </c>
      <c r="N23" s="1299">
        <f>SUMIFS('Salary sheet'!$O$6:$O$13045,'Salary sheet'!$F$6:$F$13045,'So sánh giờ'!$C23)</f>
        <v>22</v>
      </c>
      <c r="O23" s="1299">
        <f>SUMIFS('Salary sheet'!$AA$6:$AA$13045,'Salary sheet'!$F$6:$F$13045,'So sánh giờ'!$C23)</f>
        <v>0</v>
      </c>
      <c r="P23" s="1299">
        <f>SUMIFS('Salary sheet'!$Q$6:$Q$13045,'Salary sheet'!$F$6:$F$13045,'So sánh giờ'!$C23)</f>
        <v>0</v>
      </c>
      <c r="Q23" s="1299">
        <f>SUMIFS('Salary sheet'!$AH$6:$AH$13045,'Salary sheet'!$F$6:$F$13045,'So sánh giờ'!$C23)</f>
        <v>424</v>
      </c>
      <c r="R23" s="1299">
        <f>SUMIFS('Salary sheet'!$AI$6:$AI$13045,'Salary sheet'!$F$6:$F$13045,'So sánh giờ'!$C23)</f>
        <v>0</v>
      </c>
      <c r="S23" s="1299">
        <f>SUMIFS('Salary sheet'!$AJ$6:$AJ$13045,'Salary sheet'!$F$6:$F$13045,'So sánh giờ'!$C23)</f>
        <v>0</v>
      </c>
      <c r="T23" s="1299">
        <f>SUMIFS('Salary sheet'!$AK$6:$AK$13045,'Salary sheet'!$F$6:$F$13045,'So sánh giờ'!$C23)</f>
        <v>0</v>
      </c>
      <c r="U23" s="1299">
        <f>SUMIFS('Salary sheet'!$AL$6:$AL$13045,'Salary sheet'!$F$6:$F$13045,'So sánh giờ'!$C23)</f>
        <v>0</v>
      </c>
      <c r="V23" s="1394">
        <v>9</v>
      </c>
      <c r="W23" s="1392">
        <v>84539688</v>
      </c>
      <c r="X23" s="1392">
        <v>6310891</v>
      </c>
      <c r="Y23" s="1392">
        <v>396900</v>
      </c>
      <c r="Z23" s="1392">
        <v>0</v>
      </c>
      <c r="AA23" s="1392">
        <v>0</v>
      </c>
      <c r="AB23" s="1392">
        <v>162750</v>
      </c>
      <c r="AC23" s="1392">
        <v>77669147</v>
      </c>
      <c r="AD23" s="1395">
        <v>227.3</v>
      </c>
      <c r="AE23" s="1395">
        <v>1</v>
      </c>
      <c r="AF23" s="1395">
        <v>0</v>
      </c>
      <c r="AG23" s="1395">
        <v>0</v>
      </c>
      <c r="AH23" s="1395">
        <v>275</v>
      </c>
      <c r="AI23" s="1395">
        <v>0</v>
      </c>
      <c r="AJ23" s="1395">
        <v>0</v>
      </c>
      <c r="AK23" s="1395">
        <v>0</v>
      </c>
      <c r="AL23" s="1395">
        <v>0</v>
      </c>
      <c r="AM23" s="1376">
        <v>9</v>
      </c>
      <c r="AN23" s="1374">
        <v>73678020</v>
      </c>
      <c r="AO23" s="1374">
        <v>5697510</v>
      </c>
      <c r="AP23" s="1374">
        <v>352800</v>
      </c>
      <c r="AQ23" s="1374">
        <v>0</v>
      </c>
      <c r="AR23" s="1374">
        <v>210000</v>
      </c>
      <c r="AS23" s="1374">
        <v>0</v>
      </c>
      <c r="AT23" s="1374">
        <v>67417710</v>
      </c>
      <c r="AU23" s="1377">
        <v>184.3</v>
      </c>
      <c r="AV23" s="1377">
        <v>16</v>
      </c>
      <c r="AW23" s="1377">
        <v>0</v>
      </c>
      <c r="AX23" s="1377">
        <v>0</v>
      </c>
      <c r="AY23" s="1377">
        <v>144</v>
      </c>
      <c r="AZ23" s="1377">
        <v>0</v>
      </c>
      <c r="BA23" s="1377">
        <v>0</v>
      </c>
      <c r="BB23" s="1377">
        <v>0</v>
      </c>
      <c r="BC23" s="1377">
        <v>0</v>
      </c>
      <c r="BD23" s="468">
        <v>8</v>
      </c>
      <c r="BE23" s="460">
        <v>118833510</v>
      </c>
      <c r="BF23" s="460">
        <v>5697510</v>
      </c>
      <c r="BG23" s="460">
        <v>352800</v>
      </c>
      <c r="BH23" s="460">
        <v>1164356</v>
      </c>
      <c r="BI23" s="460">
        <v>70000</v>
      </c>
      <c r="BJ23" s="460">
        <v>0</v>
      </c>
      <c r="BK23" s="460">
        <v>111548844</v>
      </c>
      <c r="BL23" s="1299">
        <v>152.19999999999999</v>
      </c>
      <c r="BM23" s="1299">
        <v>56</v>
      </c>
      <c r="BN23" s="1299">
        <v>0</v>
      </c>
      <c r="BO23" s="1299">
        <v>0</v>
      </c>
      <c r="BP23" s="1299">
        <v>212</v>
      </c>
      <c r="BQ23" s="1299">
        <v>0</v>
      </c>
      <c r="BR23" s="1299">
        <v>0</v>
      </c>
      <c r="BS23" s="1299">
        <v>0</v>
      </c>
      <c r="BT23" s="1299">
        <v>0</v>
      </c>
    </row>
    <row r="24" spans="1:72" s="22" customFormat="1" ht="26.25" customHeight="1">
      <c r="A24" s="464">
        <f>SUBTOTAL(3,B$4:B24)</f>
        <v>21</v>
      </c>
      <c r="B24" s="465" t="s">
        <v>221</v>
      </c>
      <c r="C24" s="466" t="s">
        <v>5782</v>
      </c>
      <c r="D24" s="467" t="s">
        <v>5916</v>
      </c>
      <c r="E24" s="468">
        <f>COUNTIFS('Salary sheet'!$F$6:$F$2288,C24,'Salary sheet'!$E$6:$E$2288,B24)</f>
        <v>6</v>
      </c>
      <c r="F24" s="460">
        <f>+SUMIFS('Salary sheet'!$AN$6:$AN$1292,'Salary sheet'!$F$6:$F$1292,'So sánh giờ'!C24,'Salary sheet'!$E$6:$E$1292,'So sánh giờ'!B24)</f>
        <v>59300015</v>
      </c>
      <c r="G24" s="460">
        <f>+SUMIFS('Salary sheet'!$AO$6:$AO$2288,'Salary sheet'!$F$6:$F$2288,C24,'Salary sheet'!$E$6:$E$2288,B24)</f>
        <v>4051530</v>
      </c>
      <c r="H24" s="460">
        <f>+SUMIFS('Salary sheet'!$AP$6:$AP$2288,'Salary sheet'!$F$6:$F$2288,C24,'Salary sheet'!$E$6:$E$2288,B24)</f>
        <v>264600</v>
      </c>
      <c r="I24" s="460">
        <f>+SUMIFS('Salary sheet'!$AQ$6:$AQ$2288,'Salary sheet'!$F$6:$F$2288,C24,'Salary sheet'!$E$6:$E$2288,B24)</f>
        <v>0</v>
      </c>
      <c r="J24" s="460">
        <f>+SUMIFS('Salary sheet'!$AR$6:$AR$2288,'Salary sheet'!$F$6:$F$2288,C24,'Salary sheet'!$E$6:$E$2288,B24)</f>
        <v>65000</v>
      </c>
      <c r="K24" s="460">
        <f>SUMIFS('Salary sheet'!$AS$6:$AS$1291,'Salary sheet'!$F$6:$F$1291,'So sánh giờ'!C24)</f>
        <v>0</v>
      </c>
      <c r="L24" s="460">
        <f t="shared" ref="L24" si="1">+(F24)-SUM(G24:K24)</f>
        <v>54918885</v>
      </c>
      <c r="M24" s="1299">
        <f>SUMIFS('Salary sheet'!$M$6:$M$13045,'Salary sheet'!$F$6:$F$13045,'So sánh giờ'!$C24)</f>
        <v>141</v>
      </c>
      <c r="N24" s="1299">
        <f>SUMIFS('Salary sheet'!$O$6:$O$13045,'Salary sheet'!$F$6:$F$13045,'So sánh giờ'!$C24)</f>
        <v>14</v>
      </c>
      <c r="O24" s="1299">
        <f>SUMIFS('Salary sheet'!$AA$6:$AA$13045,'Salary sheet'!$F$6:$F$13045,'So sánh giờ'!$C24)</f>
        <v>0</v>
      </c>
      <c r="P24" s="1299">
        <f>SUMIFS('Salary sheet'!$Q$6:$Q$13045,'Salary sheet'!$F$6:$F$13045,'So sánh giờ'!$C24)</f>
        <v>0</v>
      </c>
      <c r="Q24" s="1299">
        <f>SUMIFS('Salary sheet'!$AH$6:$AH$13045,'Salary sheet'!$F$6:$F$13045,'So sánh giờ'!$C24)</f>
        <v>276</v>
      </c>
      <c r="R24" s="1299">
        <f>SUMIFS('Salary sheet'!$AI$6:$AI$13045,'Salary sheet'!$F$6:$F$13045,'So sánh giờ'!$C24)</f>
        <v>0</v>
      </c>
      <c r="S24" s="1299">
        <f>SUMIFS('Salary sheet'!$AJ$6:$AJ$13045,'Salary sheet'!$F$6:$F$13045,'So sánh giờ'!$C24)</f>
        <v>0</v>
      </c>
      <c r="T24" s="1299">
        <f>SUMIFS('Salary sheet'!$AK$6:$AK$13045,'Salary sheet'!$F$6:$F$13045,'So sánh giờ'!$C24)</f>
        <v>0</v>
      </c>
      <c r="U24" s="1299">
        <f>SUMIFS('Salary sheet'!$AL$6:$AL$13045,'Salary sheet'!$F$6:$F$13045,'So sánh giờ'!$C24)</f>
        <v>0</v>
      </c>
      <c r="V24" s="1394"/>
      <c r="W24" s="1392"/>
      <c r="X24" s="1392"/>
      <c r="Y24" s="1392"/>
      <c r="Z24" s="1392"/>
      <c r="AA24" s="1392"/>
      <c r="AB24" s="1392"/>
      <c r="AC24" s="1392"/>
      <c r="AD24" s="1395"/>
      <c r="AE24" s="1395"/>
      <c r="AF24" s="1395"/>
      <c r="AG24" s="1395"/>
      <c r="AH24" s="1395"/>
      <c r="AI24" s="1395"/>
      <c r="AJ24" s="1395"/>
      <c r="AK24" s="1395"/>
      <c r="AL24" s="1395"/>
      <c r="AM24" s="1376"/>
      <c r="AN24" s="1374"/>
      <c r="AO24" s="1374"/>
      <c r="AP24" s="1374"/>
      <c r="AQ24" s="1374"/>
      <c r="AR24" s="1374"/>
      <c r="AS24" s="1374"/>
      <c r="AT24" s="1374"/>
      <c r="AU24" s="1377"/>
      <c r="AV24" s="1377"/>
      <c r="AW24" s="1377"/>
      <c r="AX24" s="1377"/>
      <c r="AY24" s="1377"/>
      <c r="AZ24" s="1377"/>
      <c r="BA24" s="1377"/>
      <c r="BB24" s="1377"/>
      <c r="BC24" s="1377"/>
      <c r="BD24" s="468"/>
      <c r="BE24" s="460"/>
      <c r="BF24" s="460"/>
      <c r="BG24" s="460"/>
      <c r="BH24" s="460"/>
      <c r="BI24" s="460"/>
      <c r="BJ24" s="460"/>
      <c r="BK24" s="460"/>
      <c r="BL24" s="1299"/>
      <c r="BM24" s="1299"/>
      <c r="BN24" s="1299"/>
      <c r="BO24" s="1299"/>
      <c r="BP24" s="1299"/>
      <c r="BQ24" s="1299"/>
      <c r="BR24" s="1299"/>
      <c r="BS24" s="1299"/>
      <c r="BT24" s="1299"/>
    </row>
    <row r="25" spans="1:72" s="22" customFormat="1" ht="26.25" customHeight="1">
      <c r="A25" s="464">
        <f>SUBTOTAL(3,B$4:B25)</f>
        <v>22</v>
      </c>
      <c r="B25" s="465" t="s">
        <v>221</v>
      </c>
      <c r="C25" s="466" t="s">
        <v>252</v>
      </c>
      <c r="D25" s="467" t="s">
        <v>445</v>
      </c>
      <c r="E25" s="468">
        <f>COUNTIFS('Salary sheet'!$F$6:$F$2288,C25,'Salary sheet'!$E$6:$E$2288,B25)</f>
        <v>19</v>
      </c>
      <c r="F25" s="460">
        <f>+SUMIFS('Salary sheet'!$AN$6:$AN$1292,'Salary sheet'!$F$6:$F$1292,'So sánh giờ'!C25,'Salary sheet'!$E$6:$E$1292,'So sánh giờ'!B25)</f>
        <v>202970169</v>
      </c>
      <c r="G25" s="460">
        <f>+SUMIFS('Salary sheet'!$AO$6:$AO$2288,'Salary sheet'!$F$6:$F$2288,C25,'Salary sheet'!$E$6:$E$2288,B25)</f>
        <v>15775987</v>
      </c>
      <c r="H25" s="460">
        <f>+SUMIFS('Salary sheet'!$AP$6:$AP$2288,'Salary sheet'!$F$6:$F$2288,C25,'Salary sheet'!$E$6:$E$2288,B25)</f>
        <v>837900</v>
      </c>
      <c r="I25" s="460">
        <f>+SUMIFS('Salary sheet'!$AQ$6:$AQ$2288,'Salary sheet'!$F$6:$F$2288,C25,'Salary sheet'!$E$6:$E$2288,B25)</f>
        <v>293746</v>
      </c>
      <c r="J25" s="460">
        <f>+SUMIFS('Salary sheet'!$AR$6:$AR$2288,'Salary sheet'!$F$6:$F$2288,C25,'Salary sheet'!$E$6:$E$2288,B25)</f>
        <v>0</v>
      </c>
      <c r="K25" s="460">
        <f>SUMIFS('Salary sheet'!$AS$6:$AS$1291,'Salary sheet'!$F$6:$F$1291,'So sánh giờ'!C25)</f>
        <v>582153</v>
      </c>
      <c r="L25" s="460">
        <f t="shared" si="0"/>
        <v>185480383</v>
      </c>
      <c r="M25" s="1299">
        <f>SUMIFS('Salary sheet'!$M$6:$M$13045,'Salary sheet'!$F$6:$F$13045,'So sánh giờ'!$C25)</f>
        <v>437.59999999999997</v>
      </c>
      <c r="N25" s="1299">
        <f>SUMIFS('Salary sheet'!$O$6:$O$13045,'Salary sheet'!$F$6:$F$13045,'So sánh giờ'!$C25)</f>
        <v>45</v>
      </c>
      <c r="O25" s="1299">
        <f>SUMIFS('Salary sheet'!$AA$6:$AA$13045,'Salary sheet'!$F$6:$F$13045,'So sánh giờ'!$C25)</f>
        <v>0</v>
      </c>
      <c r="P25" s="1299">
        <f>SUMIFS('Salary sheet'!$Q$6:$Q$13045,'Salary sheet'!$F$6:$F$13045,'So sánh giờ'!$C25)</f>
        <v>0</v>
      </c>
      <c r="Q25" s="1299">
        <f>SUMIFS('Salary sheet'!$AH$6:$AH$13045,'Salary sheet'!$F$6:$F$13045,'So sánh giờ'!$C25)</f>
        <v>492</v>
      </c>
      <c r="R25" s="1299">
        <f>SUMIFS('Salary sheet'!$AI$6:$AI$13045,'Salary sheet'!$F$6:$F$13045,'So sánh giờ'!$C25)</f>
        <v>16</v>
      </c>
      <c r="S25" s="1299">
        <f>SUMIFS('Salary sheet'!$AJ$6:$AJ$13045,'Salary sheet'!$F$6:$F$13045,'So sánh giờ'!$C25)</f>
        <v>0</v>
      </c>
      <c r="T25" s="1299">
        <f>SUMIFS('Salary sheet'!$AK$6:$AK$13045,'Salary sheet'!$F$6:$F$13045,'So sánh giờ'!$C25)</f>
        <v>0</v>
      </c>
      <c r="U25" s="1299">
        <f>SUMIFS('Salary sheet'!$AL$6:$AL$13045,'Salary sheet'!$F$6:$F$13045,'So sánh giờ'!$C25)</f>
        <v>0</v>
      </c>
      <c r="V25" s="1394">
        <v>19</v>
      </c>
      <c r="W25" s="1392">
        <v>181342025</v>
      </c>
      <c r="X25" s="1392">
        <v>13288905</v>
      </c>
      <c r="Y25" s="1392">
        <v>661500</v>
      </c>
      <c r="Z25" s="1392">
        <v>95679</v>
      </c>
      <c r="AA25" s="1392">
        <v>0</v>
      </c>
      <c r="AB25" s="1392">
        <v>0</v>
      </c>
      <c r="AC25" s="1392">
        <v>167295941</v>
      </c>
      <c r="AD25" s="1395">
        <v>471.00000000000006</v>
      </c>
      <c r="AE25" s="1395">
        <v>2</v>
      </c>
      <c r="AF25" s="1395">
        <v>0</v>
      </c>
      <c r="AG25" s="1395">
        <v>0</v>
      </c>
      <c r="AH25" s="1395">
        <v>276</v>
      </c>
      <c r="AI25" s="1395">
        <v>0</v>
      </c>
      <c r="AJ25" s="1395">
        <v>0</v>
      </c>
      <c r="AK25" s="1395">
        <v>0</v>
      </c>
      <c r="AL25" s="1395">
        <v>0</v>
      </c>
      <c r="AM25" s="1376">
        <v>17</v>
      </c>
      <c r="AN25" s="1374">
        <v>151093303</v>
      </c>
      <c r="AO25" s="1374">
        <v>13196820</v>
      </c>
      <c r="AP25" s="1374">
        <v>661500</v>
      </c>
      <c r="AQ25" s="1374">
        <v>74228</v>
      </c>
      <c r="AR25" s="1374">
        <v>130000</v>
      </c>
      <c r="AS25" s="1374">
        <v>0</v>
      </c>
      <c r="AT25" s="1374">
        <v>137030755</v>
      </c>
      <c r="AU25" s="1377">
        <v>313.40000000000003</v>
      </c>
      <c r="AV25" s="1377">
        <v>31</v>
      </c>
      <c r="AW25" s="1377">
        <v>0</v>
      </c>
      <c r="AX25" s="1377">
        <v>318.5</v>
      </c>
      <c r="AY25" s="1377">
        <v>136</v>
      </c>
      <c r="AZ25" s="1377">
        <v>0</v>
      </c>
      <c r="BA25" s="1377">
        <v>0</v>
      </c>
      <c r="BB25" s="1377">
        <v>0</v>
      </c>
      <c r="BC25" s="1377">
        <v>0</v>
      </c>
      <c r="BD25" s="468">
        <v>15</v>
      </c>
      <c r="BE25" s="460">
        <v>244016337</v>
      </c>
      <c r="BF25" s="460">
        <v>13124265</v>
      </c>
      <c r="BG25" s="460">
        <v>661500</v>
      </c>
      <c r="BH25" s="460">
        <v>3034871</v>
      </c>
      <c r="BI25" s="460">
        <v>0</v>
      </c>
      <c r="BJ25" s="460">
        <v>0</v>
      </c>
      <c r="BK25" s="460">
        <v>227195701</v>
      </c>
      <c r="BL25" s="1299">
        <v>271.5</v>
      </c>
      <c r="BM25" s="1299">
        <v>105</v>
      </c>
      <c r="BN25" s="1299">
        <v>0</v>
      </c>
      <c r="BO25" s="1299">
        <v>0</v>
      </c>
      <c r="BP25" s="1299">
        <v>369</v>
      </c>
      <c r="BQ25" s="1299">
        <v>16</v>
      </c>
      <c r="BR25" s="1299">
        <v>0</v>
      </c>
      <c r="BS25" s="1299">
        <v>0</v>
      </c>
      <c r="BT25" s="1299">
        <v>0</v>
      </c>
    </row>
    <row r="26" spans="1:72" s="22" customFormat="1" ht="26.25" customHeight="1">
      <c r="A26" s="464">
        <f>SUBTOTAL(3,B$4:B26)</f>
        <v>23</v>
      </c>
      <c r="B26" s="465" t="s">
        <v>221</v>
      </c>
      <c r="C26" s="466" t="s">
        <v>400</v>
      </c>
      <c r="D26" s="467" t="s">
        <v>477</v>
      </c>
      <c r="E26" s="468">
        <f>COUNTIFS('Salary sheet'!$F$6:$F$2288,C26,'Salary sheet'!$E$6:$E$2288,B26)</f>
        <v>5</v>
      </c>
      <c r="F26" s="460">
        <f>+SUMIFS('Salary sheet'!$AN$6:$AN$1292,'Salary sheet'!$F$6:$F$1292,'So sánh giờ'!C26,'Salary sheet'!$E$6:$E$1292,'So sánh giờ'!B26)</f>
        <v>36253335</v>
      </c>
      <c r="G26" s="460">
        <f>+SUMIFS('Salary sheet'!$AO$6:$AO$2288,'Salary sheet'!$F$6:$F$2288,C26,'Salary sheet'!$E$6:$E$2288,B26)</f>
        <v>1392510</v>
      </c>
      <c r="H26" s="460">
        <f>+SUMIFS('Salary sheet'!$AP$6:$AP$2288,'Salary sheet'!$F$6:$F$2288,C26,'Salary sheet'!$E$6:$E$2288,B26)</f>
        <v>88200</v>
      </c>
      <c r="I26" s="460">
        <f>+SUMIFS('Salary sheet'!$AQ$6:$AQ$2288,'Salary sheet'!$F$6:$F$2288,C26,'Salary sheet'!$E$6:$E$2288,B26)</f>
        <v>0</v>
      </c>
      <c r="J26" s="460">
        <f>+SUMIFS('Salary sheet'!$AR$6:$AR$2288,'Salary sheet'!$F$6:$F$2288,C26,'Salary sheet'!$E$6:$E$2288,B26)</f>
        <v>0</v>
      </c>
      <c r="K26" s="460">
        <f>SUMIFS('Salary sheet'!$AS$6:$AS$1291,'Salary sheet'!$F$6:$F$1291,'So sánh giờ'!C26)</f>
        <v>0</v>
      </c>
      <c r="L26" s="460">
        <f t="shared" si="0"/>
        <v>34772625</v>
      </c>
      <c r="M26" s="1299">
        <f>SUMIFS('Salary sheet'!$M$6:$M$13045,'Salary sheet'!$F$6:$F$13045,'So sánh giờ'!$C26)</f>
        <v>88.9</v>
      </c>
      <c r="N26" s="1299">
        <f>SUMIFS('Salary sheet'!$O$6:$O$13045,'Salary sheet'!$F$6:$F$13045,'So sánh giờ'!$C26)</f>
        <v>9</v>
      </c>
      <c r="O26" s="1299">
        <f>SUMIFS('Salary sheet'!$AA$6:$AA$13045,'Salary sheet'!$F$6:$F$13045,'So sánh giờ'!$C26)</f>
        <v>0</v>
      </c>
      <c r="P26" s="1299">
        <f>SUMIFS('Salary sheet'!$Q$6:$Q$13045,'Salary sheet'!$F$6:$F$13045,'So sánh giờ'!$C26)</f>
        <v>0</v>
      </c>
      <c r="Q26" s="1299">
        <f>SUMIFS('Salary sheet'!$AH$6:$AH$13045,'Salary sheet'!$F$6:$F$13045,'So sánh giờ'!$C26)</f>
        <v>228</v>
      </c>
      <c r="R26" s="1299">
        <f>SUMIFS('Salary sheet'!$AI$6:$AI$13045,'Salary sheet'!$F$6:$F$13045,'So sánh giờ'!$C26)</f>
        <v>0</v>
      </c>
      <c r="S26" s="1299">
        <f>SUMIFS('Salary sheet'!$AJ$6:$AJ$13045,'Salary sheet'!$F$6:$F$13045,'So sánh giờ'!$C26)</f>
        <v>0</v>
      </c>
      <c r="T26" s="1299">
        <f>SUMIFS('Salary sheet'!$AK$6:$AK$13045,'Salary sheet'!$F$6:$F$13045,'So sánh giờ'!$C26)</f>
        <v>0</v>
      </c>
      <c r="U26" s="1299">
        <f>SUMIFS('Salary sheet'!$AL$6:$AL$13045,'Salary sheet'!$F$6:$F$13045,'So sánh giờ'!$C26)</f>
        <v>0</v>
      </c>
      <c r="V26" s="1394">
        <v>3</v>
      </c>
      <c r="W26" s="1392">
        <v>24304620</v>
      </c>
      <c r="X26" s="1392">
        <v>1392510</v>
      </c>
      <c r="Y26" s="1392">
        <v>88200</v>
      </c>
      <c r="Z26" s="1392">
        <v>0</v>
      </c>
      <c r="AA26" s="1392">
        <v>0</v>
      </c>
      <c r="AB26" s="1392">
        <v>0</v>
      </c>
      <c r="AC26" s="1392">
        <v>22823910</v>
      </c>
      <c r="AD26" s="1395">
        <v>60.9</v>
      </c>
      <c r="AE26" s="1395">
        <v>0</v>
      </c>
      <c r="AF26" s="1395">
        <v>0</v>
      </c>
      <c r="AG26" s="1395">
        <v>0</v>
      </c>
      <c r="AH26" s="1395">
        <v>132</v>
      </c>
      <c r="AI26" s="1395">
        <v>0</v>
      </c>
      <c r="AJ26" s="1395">
        <v>0</v>
      </c>
      <c r="AK26" s="1395">
        <v>0</v>
      </c>
      <c r="AL26" s="1395">
        <v>0</v>
      </c>
      <c r="AM26" s="1376">
        <v>3</v>
      </c>
      <c r="AN26" s="1374">
        <v>24565084</v>
      </c>
      <c r="AO26" s="1374">
        <v>2088765</v>
      </c>
      <c r="AP26" s="1374">
        <v>132300</v>
      </c>
      <c r="AQ26" s="1374">
        <v>0</v>
      </c>
      <c r="AR26" s="1374">
        <v>0</v>
      </c>
      <c r="AS26" s="1374">
        <v>0</v>
      </c>
      <c r="AT26" s="1374">
        <v>22344019</v>
      </c>
      <c r="AU26" s="1377">
        <v>65.8</v>
      </c>
      <c r="AV26" s="1377">
        <v>6</v>
      </c>
      <c r="AW26" s="1377">
        <v>0</v>
      </c>
      <c r="AX26" s="1377">
        <v>0</v>
      </c>
      <c r="AY26" s="1377">
        <v>3</v>
      </c>
      <c r="AZ26" s="1377">
        <v>0</v>
      </c>
      <c r="BA26" s="1377">
        <v>0</v>
      </c>
      <c r="BB26" s="1377">
        <v>0</v>
      </c>
      <c r="BC26" s="1377">
        <v>0</v>
      </c>
      <c r="BD26" s="468">
        <v>3</v>
      </c>
      <c r="BE26" s="460">
        <v>49169266</v>
      </c>
      <c r="BF26" s="460">
        <v>2088765</v>
      </c>
      <c r="BG26" s="460">
        <v>132300</v>
      </c>
      <c r="BH26" s="460">
        <v>398308</v>
      </c>
      <c r="BI26" s="460">
        <v>0</v>
      </c>
      <c r="BJ26" s="460">
        <v>0</v>
      </c>
      <c r="BK26" s="460">
        <v>46549893</v>
      </c>
      <c r="BL26" s="1299">
        <v>59.8</v>
      </c>
      <c r="BM26" s="1299">
        <v>21</v>
      </c>
      <c r="BN26" s="1299">
        <v>0</v>
      </c>
      <c r="BO26" s="1299">
        <v>0</v>
      </c>
      <c r="BP26" s="1299">
        <v>132</v>
      </c>
      <c r="BQ26" s="1299">
        <v>0</v>
      </c>
      <c r="BR26" s="1299">
        <v>0</v>
      </c>
      <c r="BS26" s="1299">
        <v>0</v>
      </c>
      <c r="BT26" s="1299">
        <v>0</v>
      </c>
    </row>
    <row r="27" spans="1:72" s="22" customFormat="1" ht="26.25" customHeight="1">
      <c r="A27" s="464">
        <f>SUBTOTAL(3,B$4:B27)</f>
        <v>24</v>
      </c>
      <c r="B27" s="465" t="s">
        <v>221</v>
      </c>
      <c r="C27" s="466" t="s">
        <v>535</v>
      </c>
      <c r="D27" s="467" t="s">
        <v>446</v>
      </c>
      <c r="E27" s="468">
        <f>COUNTIFS('Salary sheet'!$F$6:$F$2288,C27,'Salary sheet'!$E$6:$E$2288,B27)</f>
        <v>16</v>
      </c>
      <c r="F27" s="460">
        <f>+SUMIFS('Salary sheet'!$AN$6:$AN$1292,'Salary sheet'!$F$6:$F$1292,'So sánh giờ'!C27,'Salary sheet'!$E$6:$E$1292,'So sánh giờ'!B27)</f>
        <v>175044927</v>
      </c>
      <c r="G27" s="460">
        <f>+SUMIFS('Salary sheet'!$AO$6:$AO$2288,'Salary sheet'!$F$6:$F$2288,C27,'Salary sheet'!$E$6:$E$2288,B27)</f>
        <v>10573605</v>
      </c>
      <c r="H27" s="460">
        <f>+SUMIFS('Salary sheet'!$AP$6:$AP$2288,'Salary sheet'!$F$6:$F$2288,C27,'Salary sheet'!$E$6:$E$2288,B27)</f>
        <v>573300</v>
      </c>
      <c r="I27" s="460">
        <f>+SUMIFS('Salary sheet'!$AQ$6:$AQ$2288,'Salary sheet'!$F$6:$F$2288,C27,'Salary sheet'!$E$6:$E$2288,B27)</f>
        <v>85355</v>
      </c>
      <c r="J27" s="460">
        <f>+SUMIFS('Salary sheet'!$AR$6:$AR$2288,'Salary sheet'!$F$6:$F$2288,C27,'Salary sheet'!$E$6:$E$2288,B27)</f>
        <v>0</v>
      </c>
      <c r="K27" s="460">
        <f>SUMIFS('Salary sheet'!$AS$6:$AS$1291,'Salary sheet'!$F$6:$F$1291,'So sánh giờ'!C27)</f>
        <v>0</v>
      </c>
      <c r="L27" s="460">
        <f t="shared" si="0"/>
        <v>163812667</v>
      </c>
      <c r="M27" s="1299">
        <f>SUMIFS('Salary sheet'!$M$6:$M$13045,'Salary sheet'!$F$6:$F$13045,'So sánh giờ'!$C27)</f>
        <v>342.8</v>
      </c>
      <c r="N27" s="1299">
        <f>SUMIFS('Salary sheet'!$O$6:$O$13045,'Salary sheet'!$F$6:$F$13045,'So sánh giờ'!$C27)</f>
        <v>35</v>
      </c>
      <c r="O27" s="1299">
        <f>SUMIFS('Salary sheet'!$AA$6:$AA$13045,'Salary sheet'!$F$6:$F$13045,'So sánh giờ'!$C27)</f>
        <v>0</v>
      </c>
      <c r="P27" s="1299">
        <f>SUMIFS('Salary sheet'!$Q$6:$Q$13045,'Salary sheet'!$F$6:$F$13045,'So sánh giờ'!$C27)</f>
        <v>377</v>
      </c>
      <c r="Q27" s="1299">
        <f>SUMIFS('Salary sheet'!$AH$6:$AH$13045,'Salary sheet'!$F$6:$F$13045,'So sánh giờ'!$C27)</f>
        <v>698</v>
      </c>
      <c r="R27" s="1299">
        <f>SUMIFS('Salary sheet'!$AI$6:$AI$13045,'Salary sheet'!$F$6:$F$13045,'So sánh giờ'!$C27)</f>
        <v>0</v>
      </c>
      <c r="S27" s="1299">
        <f>SUMIFS('Salary sheet'!$AJ$6:$AJ$13045,'Salary sheet'!$F$6:$F$13045,'So sánh giờ'!$C27)</f>
        <v>24</v>
      </c>
      <c r="T27" s="1299">
        <f>SUMIFS('Salary sheet'!$AK$6:$AK$13045,'Salary sheet'!$F$6:$F$13045,'So sánh giờ'!$C27)</f>
        <v>0</v>
      </c>
      <c r="U27" s="1299">
        <f>SUMIFS('Salary sheet'!$AL$6:$AL$13045,'Salary sheet'!$F$6:$F$13045,'So sánh giờ'!$C27)</f>
        <v>0</v>
      </c>
      <c r="V27" s="1394">
        <v>15</v>
      </c>
      <c r="W27" s="1392">
        <v>175406581</v>
      </c>
      <c r="X27" s="1392">
        <v>12044130</v>
      </c>
      <c r="Y27" s="1392">
        <v>661500</v>
      </c>
      <c r="Z27" s="1392">
        <v>39937</v>
      </c>
      <c r="AA27" s="1392">
        <v>0</v>
      </c>
      <c r="AB27" s="1392">
        <v>0</v>
      </c>
      <c r="AC27" s="1392">
        <v>162661014</v>
      </c>
      <c r="AD27" s="1395">
        <v>374.6</v>
      </c>
      <c r="AE27" s="1395">
        <v>1</v>
      </c>
      <c r="AF27" s="1395">
        <v>0</v>
      </c>
      <c r="AG27" s="1395">
        <v>481</v>
      </c>
      <c r="AH27" s="1395">
        <v>540</v>
      </c>
      <c r="AI27" s="1395">
        <v>0</v>
      </c>
      <c r="AJ27" s="1395">
        <v>40</v>
      </c>
      <c r="AK27" s="1395">
        <v>0</v>
      </c>
      <c r="AL27" s="1395">
        <v>0</v>
      </c>
      <c r="AM27" s="1376">
        <v>15</v>
      </c>
      <c r="AN27" s="1374">
        <v>135240003</v>
      </c>
      <c r="AO27" s="1374">
        <v>11820690</v>
      </c>
      <c r="AP27" s="1374">
        <v>661500</v>
      </c>
      <c r="AQ27" s="1374">
        <v>0</v>
      </c>
      <c r="AR27" s="1374">
        <v>0</v>
      </c>
      <c r="AS27" s="1374">
        <v>0</v>
      </c>
      <c r="AT27" s="1374">
        <v>122757813</v>
      </c>
      <c r="AU27" s="1377">
        <v>314.79999999999995</v>
      </c>
      <c r="AV27" s="1377">
        <v>30</v>
      </c>
      <c r="AW27" s="1377">
        <v>0</v>
      </c>
      <c r="AX27" s="1377">
        <v>273</v>
      </c>
      <c r="AY27" s="1377">
        <v>54</v>
      </c>
      <c r="AZ27" s="1377">
        <v>0</v>
      </c>
      <c r="BA27" s="1377">
        <v>0</v>
      </c>
      <c r="BB27" s="1377">
        <v>0</v>
      </c>
      <c r="BC27" s="1377">
        <v>0</v>
      </c>
      <c r="BD27" s="468">
        <v>15</v>
      </c>
      <c r="BE27" s="460">
        <v>247275923</v>
      </c>
      <c r="BF27" s="460">
        <v>11794335</v>
      </c>
      <c r="BG27" s="460">
        <v>661500</v>
      </c>
      <c r="BH27" s="460">
        <v>2696499</v>
      </c>
      <c r="BI27" s="460">
        <v>0</v>
      </c>
      <c r="BJ27" s="460">
        <v>0</v>
      </c>
      <c r="BK27" s="460">
        <v>232123589</v>
      </c>
      <c r="BL27" s="1299">
        <v>291.10000000000002</v>
      </c>
      <c r="BM27" s="1299">
        <v>105</v>
      </c>
      <c r="BN27" s="1299">
        <v>0</v>
      </c>
      <c r="BO27" s="1299">
        <v>266.5</v>
      </c>
      <c r="BP27" s="1299">
        <v>444</v>
      </c>
      <c r="BQ27" s="1299">
        <v>0</v>
      </c>
      <c r="BR27" s="1299">
        <v>0</v>
      </c>
      <c r="BS27" s="1299">
        <v>0</v>
      </c>
      <c r="BT27" s="1299">
        <v>0</v>
      </c>
    </row>
    <row r="28" spans="1:72" s="22" customFormat="1" ht="26.25" customHeight="1">
      <c r="A28" s="464">
        <f>SUBTOTAL(3,B$4:B28)</f>
        <v>25</v>
      </c>
      <c r="B28" s="465" t="s">
        <v>221</v>
      </c>
      <c r="C28" s="466" t="s">
        <v>253</v>
      </c>
      <c r="D28" s="467" t="s">
        <v>447</v>
      </c>
      <c r="E28" s="468">
        <f>COUNTIFS('Salary sheet'!$F$6:$F$2288,C28,'Salary sheet'!$E$6:$E$2288,B28)</f>
        <v>3</v>
      </c>
      <c r="F28" s="460">
        <f>+SUMIFS('Salary sheet'!$AN$6:$AN$1292,'Salary sheet'!$F$6:$F$1292,'So sánh giờ'!C28,'Salary sheet'!$E$6:$E$1292,'So sánh giờ'!B28)</f>
        <v>71940163</v>
      </c>
      <c r="G28" s="460">
        <f>+SUMIFS('Salary sheet'!$AO$6:$AO$2288,'Salary sheet'!$F$6:$F$2288,C28,'Salary sheet'!$E$6:$E$2288,B28)</f>
        <v>5982900</v>
      </c>
      <c r="H28" s="460">
        <f>+SUMIFS('Salary sheet'!$AP$6:$AP$2288,'Salary sheet'!$F$6:$F$2288,C28,'Salary sheet'!$E$6:$E$2288,B28)</f>
        <v>132300</v>
      </c>
      <c r="I28" s="460">
        <f>+SUMIFS('Salary sheet'!$AQ$6:$AQ$2288,'Salary sheet'!$F$6:$F$2288,C28,'Salary sheet'!$E$6:$E$2288,B28)</f>
        <v>169697</v>
      </c>
      <c r="J28" s="460">
        <f>+SUMIFS('Salary sheet'!$AR$6:$AR$2288,'Salary sheet'!$F$6:$F$2288,C28,'Salary sheet'!$E$6:$E$2288,B28)</f>
        <v>0</v>
      </c>
      <c r="K28" s="460">
        <f>SUMIFS('Salary sheet'!$AS$6:$AS$1291,'Salary sheet'!$F$6:$F$1291,'So sánh giờ'!C28)</f>
        <v>0</v>
      </c>
      <c r="L28" s="460">
        <f t="shared" si="0"/>
        <v>65655266</v>
      </c>
      <c r="M28" s="1299">
        <f>SUMIFS('Salary sheet'!$M$6:$M$13045,'Salary sheet'!$F$6:$F$13045,'So sánh giờ'!$C28)</f>
        <v>70.7</v>
      </c>
      <c r="N28" s="1299">
        <f>SUMIFS('Salary sheet'!$O$6:$O$13045,'Salary sheet'!$F$6:$F$13045,'So sánh giờ'!$C28)</f>
        <v>7</v>
      </c>
      <c r="O28" s="1299">
        <f>SUMIFS('Salary sheet'!$AA$6:$AA$13045,'Salary sheet'!$F$6:$F$13045,'So sánh giờ'!$C28)</f>
        <v>0</v>
      </c>
      <c r="P28" s="1299">
        <f>SUMIFS('Salary sheet'!$Q$6:$Q$13045,'Salary sheet'!$F$6:$F$13045,'So sánh giờ'!$C28)</f>
        <v>0</v>
      </c>
      <c r="Q28" s="1299">
        <f>SUMIFS('Salary sheet'!$AH$6:$AH$13045,'Salary sheet'!$F$6:$F$13045,'So sánh giờ'!$C28)</f>
        <v>119.5</v>
      </c>
      <c r="R28" s="1299">
        <f>SUMIFS('Salary sheet'!$AI$6:$AI$13045,'Salary sheet'!$F$6:$F$13045,'So sánh giờ'!$C28)</f>
        <v>0</v>
      </c>
      <c r="S28" s="1299">
        <f>SUMIFS('Salary sheet'!$AJ$6:$AJ$13045,'Salary sheet'!$F$6:$F$13045,'So sánh giờ'!$C28)</f>
        <v>0</v>
      </c>
      <c r="T28" s="1299">
        <f>SUMIFS('Salary sheet'!$AK$6:$AK$13045,'Salary sheet'!$F$6:$F$13045,'So sánh giờ'!$C28)</f>
        <v>0</v>
      </c>
      <c r="U28" s="1299">
        <f>SUMIFS('Salary sheet'!$AL$6:$AL$13045,'Salary sheet'!$F$6:$F$13045,'So sánh giờ'!$C28)</f>
        <v>0</v>
      </c>
      <c r="V28" s="1394">
        <v>3</v>
      </c>
      <c r="W28" s="1392">
        <v>69267354</v>
      </c>
      <c r="X28" s="1392">
        <v>5982900</v>
      </c>
      <c r="Y28" s="1392">
        <v>132300</v>
      </c>
      <c r="Z28" s="1392">
        <v>98490</v>
      </c>
      <c r="AA28" s="1392">
        <v>0</v>
      </c>
      <c r="AB28" s="1392">
        <v>0</v>
      </c>
      <c r="AC28" s="1392">
        <v>63053664</v>
      </c>
      <c r="AD28" s="1395">
        <v>77.8</v>
      </c>
      <c r="AE28" s="1395">
        <v>0</v>
      </c>
      <c r="AF28" s="1395">
        <v>0</v>
      </c>
      <c r="AG28" s="1395">
        <v>0</v>
      </c>
      <c r="AH28" s="1395">
        <v>96</v>
      </c>
      <c r="AI28" s="1395">
        <v>0</v>
      </c>
      <c r="AJ28" s="1395">
        <v>0</v>
      </c>
      <c r="AK28" s="1395">
        <v>0</v>
      </c>
      <c r="AL28" s="1395">
        <v>0</v>
      </c>
      <c r="AM28" s="1376">
        <v>3</v>
      </c>
      <c r="AN28" s="1374">
        <v>69003450</v>
      </c>
      <c r="AO28" s="1374">
        <v>5982900</v>
      </c>
      <c r="AP28" s="1374">
        <v>132300</v>
      </c>
      <c r="AQ28" s="1374">
        <v>119032</v>
      </c>
      <c r="AR28" s="1374">
        <v>0</v>
      </c>
      <c r="AS28" s="1374">
        <v>0</v>
      </c>
      <c r="AT28" s="1374">
        <v>62769218</v>
      </c>
      <c r="AU28" s="1377">
        <v>66</v>
      </c>
      <c r="AV28" s="1377">
        <v>6</v>
      </c>
      <c r="AW28" s="1377">
        <v>0</v>
      </c>
      <c r="AX28" s="1377">
        <v>0</v>
      </c>
      <c r="AY28" s="1377">
        <v>80</v>
      </c>
      <c r="AZ28" s="1377">
        <v>0</v>
      </c>
      <c r="BA28" s="1377">
        <v>0</v>
      </c>
      <c r="BB28" s="1377">
        <v>0</v>
      </c>
      <c r="BC28" s="1377">
        <v>0</v>
      </c>
      <c r="BD28" s="468">
        <v>3</v>
      </c>
      <c r="BE28" s="460">
        <v>113675190</v>
      </c>
      <c r="BF28" s="460">
        <v>5982900</v>
      </c>
      <c r="BG28" s="460">
        <v>132300</v>
      </c>
      <c r="BH28" s="460">
        <v>5178685</v>
      </c>
      <c r="BI28" s="460">
        <v>0</v>
      </c>
      <c r="BJ28" s="460">
        <v>0</v>
      </c>
      <c r="BK28" s="460">
        <v>102381305</v>
      </c>
      <c r="BL28" s="1299">
        <v>59.8</v>
      </c>
      <c r="BM28" s="1299">
        <v>21</v>
      </c>
      <c r="BN28" s="1299">
        <v>0</v>
      </c>
      <c r="BO28" s="1299">
        <v>0</v>
      </c>
      <c r="BP28" s="1299">
        <v>87.5</v>
      </c>
      <c r="BQ28" s="1299">
        <v>0</v>
      </c>
      <c r="BR28" s="1299">
        <v>0</v>
      </c>
      <c r="BS28" s="1299">
        <v>0</v>
      </c>
      <c r="BT28" s="1299">
        <v>0</v>
      </c>
    </row>
    <row r="29" spans="1:72" s="22" customFormat="1" ht="26.25" customHeight="1">
      <c r="A29" s="464">
        <f>SUBTOTAL(3,B$4:B29)</f>
        <v>26</v>
      </c>
      <c r="B29" s="465" t="s">
        <v>221</v>
      </c>
      <c r="C29" s="466" t="s">
        <v>659</v>
      </c>
      <c r="D29" s="467" t="s">
        <v>661</v>
      </c>
      <c r="E29" s="468">
        <f>COUNTIFS('Salary sheet'!$F$6:$F$2288,C29,'Salary sheet'!$E$6:$E$2288,B29)</f>
        <v>5</v>
      </c>
      <c r="F29" s="460">
        <f>+SUMIFS('Salary sheet'!$AN$6:$AN$1292,'Salary sheet'!$F$6:$F$1292,'So sánh giờ'!C29,'Salary sheet'!$E$6:$E$1292,'So sánh giờ'!B29)</f>
        <v>37312000</v>
      </c>
      <c r="G29" s="460">
        <f>+SUMIFS('Salary sheet'!$AO$6:$AO$2288,'Salary sheet'!$F$6:$F$2288,C29,'Salary sheet'!$E$6:$E$2288,B29)</f>
        <v>2755515</v>
      </c>
      <c r="H29" s="460">
        <f>+SUMIFS('Salary sheet'!$AP$6:$AP$2288,'Salary sheet'!$F$6:$F$2288,C29,'Salary sheet'!$E$6:$E$2288,B29)</f>
        <v>176400</v>
      </c>
      <c r="I29" s="460">
        <f>+SUMIFS('Salary sheet'!$AQ$6:$AQ$2288,'Salary sheet'!$F$6:$F$2288,C29,'Salary sheet'!$E$6:$E$2288,B29)</f>
        <v>0</v>
      </c>
      <c r="J29" s="460">
        <f>+SUMIFS('Salary sheet'!$AR$6:$AR$2288,'Salary sheet'!$F$6:$F$2288,C29,'Salary sheet'!$E$6:$E$2288,B29)</f>
        <v>0</v>
      </c>
      <c r="K29" s="460">
        <f>SUMIFS('Salary sheet'!$AS$6:$AS$1291,'Salary sheet'!$F$6:$F$1291,'So sánh giờ'!C29)</f>
        <v>0</v>
      </c>
      <c r="L29" s="460">
        <f t="shared" si="0"/>
        <v>34380085</v>
      </c>
      <c r="M29" s="1299">
        <f>SUMIFS('Salary sheet'!$M$6:$M$13045,'Salary sheet'!$F$6:$F$13045,'So sánh giờ'!$C29)</f>
        <v>91.8</v>
      </c>
      <c r="N29" s="1299">
        <f>SUMIFS('Salary sheet'!$O$6:$O$13045,'Salary sheet'!$F$6:$F$13045,'So sánh giờ'!$C29)</f>
        <v>10</v>
      </c>
      <c r="O29" s="1299">
        <f>SUMIFS('Salary sheet'!$AA$6:$AA$13045,'Salary sheet'!$F$6:$F$13045,'So sánh giờ'!$C29)</f>
        <v>0</v>
      </c>
      <c r="P29" s="1299">
        <f>SUMIFS('Salary sheet'!$Q$6:$Q$13045,'Salary sheet'!$F$6:$F$13045,'So sánh giờ'!$C29)</f>
        <v>0</v>
      </c>
      <c r="Q29" s="1299">
        <f>SUMIFS('Salary sheet'!$AH$6:$AH$13045,'Salary sheet'!$F$6:$F$13045,'So sánh giờ'!$C29)</f>
        <v>139</v>
      </c>
      <c r="R29" s="1299">
        <f>SUMIFS('Salary sheet'!$AI$6:$AI$13045,'Salary sheet'!$F$6:$F$13045,'So sánh giờ'!$C29)</f>
        <v>0</v>
      </c>
      <c r="S29" s="1299">
        <f>SUMIFS('Salary sheet'!$AJ$6:$AJ$13045,'Salary sheet'!$F$6:$F$13045,'So sánh giờ'!$C29)</f>
        <v>0</v>
      </c>
      <c r="T29" s="1299">
        <f>SUMIFS('Salary sheet'!$AK$6:$AK$13045,'Salary sheet'!$F$6:$F$13045,'So sánh giờ'!$C29)</f>
        <v>0</v>
      </c>
      <c r="U29" s="1299">
        <f>SUMIFS('Salary sheet'!$AL$6:$AL$13045,'Salary sheet'!$F$6:$F$13045,'So sánh giờ'!$C29)</f>
        <v>0</v>
      </c>
      <c r="V29" s="1394">
        <v>4</v>
      </c>
      <c r="W29" s="1392">
        <v>38504896</v>
      </c>
      <c r="X29" s="1392">
        <v>2722335</v>
      </c>
      <c r="Y29" s="1392">
        <v>176400</v>
      </c>
      <c r="Z29" s="1392">
        <v>0</v>
      </c>
      <c r="AA29" s="1392">
        <v>0</v>
      </c>
      <c r="AB29" s="1392">
        <v>0</v>
      </c>
      <c r="AC29" s="1392">
        <v>35606161</v>
      </c>
      <c r="AD29" s="1395">
        <v>101.4</v>
      </c>
      <c r="AE29" s="1395">
        <v>0</v>
      </c>
      <c r="AF29" s="1395">
        <v>0</v>
      </c>
      <c r="AG29" s="1395">
        <v>0</v>
      </c>
      <c r="AH29" s="1395">
        <v>156</v>
      </c>
      <c r="AI29" s="1395">
        <v>0</v>
      </c>
      <c r="AJ29" s="1395">
        <v>0</v>
      </c>
      <c r="AK29" s="1395">
        <v>0</v>
      </c>
      <c r="AL29" s="1395">
        <v>0</v>
      </c>
      <c r="AM29" s="1376">
        <v>4</v>
      </c>
      <c r="AN29" s="1374">
        <v>33212694</v>
      </c>
      <c r="AO29" s="1374">
        <v>2722335</v>
      </c>
      <c r="AP29" s="1374">
        <v>176400</v>
      </c>
      <c r="AQ29" s="1374">
        <v>0</v>
      </c>
      <c r="AR29" s="1374">
        <v>65000</v>
      </c>
      <c r="AS29" s="1374">
        <v>0</v>
      </c>
      <c r="AT29" s="1374">
        <v>30248959</v>
      </c>
      <c r="AU29" s="1377">
        <v>81.7</v>
      </c>
      <c r="AV29" s="1377">
        <v>8</v>
      </c>
      <c r="AW29" s="1377">
        <v>0</v>
      </c>
      <c r="AX29" s="1377">
        <v>0</v>
      </c>
      <c r="AY29" s="1377">
        <v>80</v>
      </c>
      <c r="AZ29" s="1377">
        <v>0</v>
      </c>
      <c r="BA29" s="1377">
        <v>0</v>
      </c>
      <c r="BB29" s="1377">
        <v>0</v>
      </c>
      <c r="BC29" s="1377">
        <v>0</v>
      </c>
      <c r="BD29" s="468">
        <v>4</v>
      </c>
      <c r="BE29" s="460">
        <v>58712075</v>
      </c>
      <c r="BF29" s="460">
        <v>2691780</v>
      </c>
      <c r="BG29" s="460">
        <v>176400</v>
      </c>
      <c r="BH29" s="460">
        <v>171384</v>
      </c>
      <c r="BI29" s="460">
        <v>0</v>
      </c>
      <c r="BJ29" s="460">
        <v>0</v>
      </c>
      <c r="BK29" s="460">
        <v>55672511</v>
      </c>
      <c r="BL29" s="1299">
        <v>79.5</v>
      </c>
      <c r="BM29" s="1299">
        <v>28</v>
      </c>
      <c r="BN29" s="1299">
        <v>0</v>
      </c>
      <c r="BO29" s="1299">
        <v>0</v>
      </c>
      <c r="BP29" s="1299">
        <v>120</v>
      </c>
      <c r="BQ29" s="1299">
        <v>0</v>
      </c>
      <c r="BR29" s="1299">
        <v>0</v>
      </c>
      <c r="BS29" s="1299">
        <v>0</v>
      </c>
      <c r="BT29" s="1299">
        <v>0</v>
      </c>
    </row>
    <row r="30" spans="1:72" s="22" customFormat="1" ht="26.25" customHeight="1">
      <c r="A30" s="464">
        <f>SUBTOTAL(3,B$4:B30)</f>
        <v>27</v>
      </c>
      <c r="B30" s="465" t="s">
        <v>221</v>
      </c>
      <c r="C30" s="466" t="s">
        <v>536</v>
      </c>
      <c r="D30" s="467" t="s">
        <v>448</v>
      </c>
      <c r="E30" s="468">
        <f>COUNTIFS('Salary sheet'!$F$6:$F$2288,C30,'Salary sheet'!$E$6:$E$2288,B30)</f>
        <v>11</v>
      </c>
      <c r="F30" s="460">
        <f>+SUMIFS('Salary sheet'!$AN$6:$AN$1292,'Salary sheet'!$F$6:$F$1292,'So sánh giờ'!C30,'Salary sheet'!$E$6:$E$1292,'So sánh giờ'!B30)</f>
        <v>119622745</v>
      </c>
      <c r="G30" s="460">
        <f>+SUMIFS('Salary sheet'!$AO$6:$AO$2288,'Salary sheet'!$F$6:$F$2288,C30,'Salary sheet'!$E$6:$E$2288,B30)</f>
        <v>7150710</v>
      </c>
      <c r="H30" s="460">
        <f>+SUMIFS('Salary sheet'!$AP$6:$AP$2288,'Salary sheet'!$F$6:$F$2288,C30,'Salary sheet'!$E$6:$E$2288,B30)</f>
        <v>441000</v>
      </c>
      <c r="I30" s="460">
        <f>+SUMIFS('Salary sheet'!$AQ$6:$AQ$2288,'Salary sheet'!$F$6:$F$2288,C30,'Salary sheet'!$E$6:$E$2288,B30)</f>
        <v>0</v>
      </c>
      <c r="J30" s="460">
        <f>+SUMIFS('Salary sheet'!$AR$6:$AR$2288,'Salary sheet'!$F$6:$F$2288,C30,'Salary sheet'!$E$6:$E$2288,B30)</f>
        <v>0</v>
      </c>
      <c r="K30" s="460">
        <f>SUMIFS('Salary sheet'!$AS$6:$AS$1291,'Salary sheet'!$F$6:$F$1291,'So sánh giờ'!C30)</f>
        <v>0</v>
      </c>
      <c r="L30" s="460">
        <f t="shared" si="0"/>
        <v>112031035</v>
      </c>
      <c r="M30" s="1299">
        <f>SUMIFS('Salary sheet'!$M$6:$M$13045,'Salary sheet'!$F$6:$F$13045,'So sánh giờ'!$C30)</f>
        <v>261</v>
      </c>
      <c r="N30" s="1299">
        <f>SUMIFS('Salary sheet'!$O$6:$O$13045,'Salary sheet'!$F$6:$F$13045,'So sánh giờ'!$C30)</f>
        <v>24</v>
      </c>
      <c r="O30" s="1299">
        <f>SUMIFS('Salary sheet'!$AA$6:$AA$13045,'Salary sheet'!$F$6:$F$13045,'So sánh giờ'!$C30)</f>
        <v>0</v>
      </c>
      <c r="P30" s="1299">
        <f>SUMIFS('Salary sheet'!$Q$6:$Q$13045,'Salary sheet'!$F$6:$F$13045,'So sánh giờ'!$C30)</f>
        <v>0</v>
      </c>
      <c r="Q30" s="1299">
        <f>SUMIFS('Salary sheet'!$AH$6:$AH$13045,'Salary sheet'!$F$6:$F$13045,'So sánh giờ'!$C30)</f>
        <v>608</v>
      </c>
      <c r="R30" s="1299">
        <f>SUMIFS('Salary sheet'!$AI$6:$AI$13045,'Salary sheet'!$F$6:$F$13045,'So sánh giờ'!$C30)</f>
        <v>0</v>
      </c>
      <c r="S30" s="1299">
        <f>SUMIFS('Salary sheet'!$AJ$6:$AJ$13045,'Salary sheet'!$F$6:$F$13045,'So sánh giờ'!$C30)</f>
        <v>0</v>
      </c>
      <c r="T30" s="1299">
        <f>SUMIFS('Salary sheet'!$AK$6:$AK$13045,'Salary sheet'!$F$6:$F$13045,'So sánh giờ'!$C30)</f>
        <v>0</v>
      </c>
      <c r="U30" s="1299">
        <f>SUMIFS('Salary sheet'!$AL$6:$AL$13045,'Salary sheet'!$F$6:$F$13045,'So sánh giờ'!$C30)</f>
        <v>0</v>
      </c>
      <c r="V30" s="1394">
        <v>14</v>
      </c>
      <c r="W30" s="1392">
        <v>102556009</v>
      </c>
      <c r="X30" s="1392">
        <v>7800511</v>
      </c>
      <c r="Y30" s="1392">
        <v>485100</v>
      </c>
      <c r="Z30" s="1392">
        <v>0</v>
      </c>
      <c r="AA30" s="1392">
        <v>0</v>
      </c>
      <c r="AB30" s="1392">
        <v>142424</v>
      </c>
      <c r="AC30" s="1392">
        <v>94127974</v>
      </c>
      <c r="AD30" s="1395">
        <v>283.90000000000003</v>
      </c>
      <c r="AE30" s="1395">
        <v>4</v>
      </c>
      <c r="AF30" s="1395">
        <v>0</v>
      </c>
      <c r="AG30" s="1395">
        <v>0</v>
      </c>
      <c r="AH30" s="1395">
        <v>268</v>
      </c>
      <c r="AI30" s="1395">
        <v>0</v>
      </c>
      <c r="AJ30" s="1395">
        <v>0</v>
      </c>
      <c r="AK30" s="1395">
        <v>0</v>
      </c>
      <c r="AL30" s="1395">
        <v>0</v>
      </c>
      <c r="AM30" s="1376">
        <v>13</v>
      </c>
      <c r="AN30" s="1374">
        <v>108764944</v>
      </c>
      <c r="AO30" s="1374">
        <v>8612520</v>
      </c>
      <c r="AP30" s="1374">
        <v>529200</v>
      </c>
      <c r="AQ30" s="1374">
        <v>0</v>
      </c>
      <c r="AR30" s="1374">
        <v>330000</v>
      </c>
      <c r="AS30" s="1374">
        <v>0</v>
      </c>
      <c r="AT30" s="1374">
        <v>99293224</v>
      </c>
      <c r="AU30" s="1377">
        <v>272.39999999999998</v>
      </c>
      <c r="AV30" s="1377">
        <v>28</v>
      </c>
      <c r="AW30" s="1377">
        <v>0</v>
      </c>
      <c r="AX30" s="1377">
        <v>0</v>
      </c>
      <c r="AY30" s="1377">
        <v>116</v>
      </c>
      <c r="AZ30" s="1377">
        <v>0</v>
      </c>
      <c r="BA30" s="1377">
        <v>0</v>
      </c>
      <c r="BB30" s="1377">
        <v>0</v>
      </c>
      <c r="BC30" s="1377">
        <v>0</v>
      </c>
      <c r="BD30" s="468">
        <v>13</v>
      </c>
      <c r="BE30" s="460">
        <v>197857660</v>
      </c>
      <c r="BF30" s="460">
        <v>9208290</v>
      </c>
      <c r="BG30" s="460">
        <v>573300</v>
      </c>
      <c r="BH30" s="460">
        <v>1472673</v>
      </c>
      <c r="BI30" s="460">
        <v>0</v>
      </c>
      <c r="BJ30" s="460">
        <v>0</v>
      </c>
      <c r="BK30" s="460">
        <v>186603397</v>
      </c>
      <c r="BL30" s="1299">
        <v>247.10000000000002</v>
      </c>
      <c r="BM30" s="1299">
        <v>90</v>
      </c>
      <c r="BN30" s="1299">
        <v>0</v>
      </c>
      <c r="BO30" s="1299">
        <v>0</v>
      </c>
      <c r="BP30" s="1299">
        <v>315</v>
      </c>
      <c r="BQ30" s="1299">
        <v>0</v>
      </c>
      <c r="BR30" s="1299">
        <v>0</v>
      </c>
      <c r="BS30" s="1299">
        <v>0</v>
      </c>
      <c r="BT30" s="1299">
        <v>0</v>
      </c>
    </row>
    <row r="31" spans="1:72" s="22" customFormat="1" ht="26.25" customHeight="1">
      <c r="A31" s="464">
        <f>SUBTOTAL(3,B$4:B31)</f>
        <v>28</v>
      </c>
      <c r="B31" s="465" t="s">
        <v>221</v>
      </c>
      <c r="C31" s="466" t="s">
        <v>537</v>
      </c>
      <c r="D31" s="467" t="s">
        <v>449</v>
      </c>
      <c r="E31" s="468">
        <f>COUNTIFS('Salary sheet'!$F$6:$F$2288,C31,'Salary sheet'!$E$6:$E$2288,B31)</f>
        <v>10</v>
      </c>
      <c r="F31" s="460">
        <f>+SUMIFS('Salary sheet'!$AN$6:$AN$1292,'Salary sheet'!$F$6:$F$1292,'So sánh giờ'!C31,'Salary sheet'!$E$6:$E$1292,'So sánh giờ'!B31)</f>
        <v>103612176</v>
      </c>
      <c r="G31" s="460">
        <f>+SUMIFS('Salary sheet'!$AO$6:$AO$2288,'Salary sheet'!$F$6:$F$2288,C31,'Salary sheet'!$E$6:$E$2288,B31)</f>
        <v>6626445</v>
      </c>
      <c r="H31" s="460">
        <f>+SUMIFS('Salary sheet'!$AP$6:$AP$2288,'Salary sheet'!$F$6:$F$2288,C31,'Salary sheet'!$E$6:$E$2288,B31)</f>
        <v>352800</v>
      </c>
      <c r="I31" s="460">
        <f>+SUMIFS('Salary sheet'!$AQ$6:$AQ$2288,'Salary sheet'!$F$6:$F$2288,C31,'Salary sheet'!$E$6:$E$2288,B31)</f>
        <v>39672</v>
      </c>
      <c r="J31" s="460">
        <f>+SUMIFS('Salary sheet'!$AR$6:$AR$2288,'Salary sheet'!$F$6:$F$2288,C31,'Salary sheet'!$E$6:$E$2288,B31)</f>
        <v>0</v>
      </c>
      <c r="K31" s="460">
        <f>SUMIFS('Salary sheet'!$AS$6:$AS$1291,'Salary sheet'!$F$6:$F$1291,'So sánh giờ'!C31)</f>
        <v>0</v>
      </c>
      <c r="L31" s="460">
        <f t="shared" si="0"/>
        <v>96593259</v>
      </c>
      <c r="M31" s="1299">
        <f>SUMIFS('Salary sheet'!$M$6:$M$13045,'Salary sheet'!$F$6:$F$13045,'So sánh giờ'!$C31)</f>
        <v>233.8</v>
      </c>
      <c r="N31" s="1299">
        <f>SUMIFS('Salary sheet'!$O$6:$O$13045,'Salary sheet'!$F$6:$F$13045,'So sánh giờ'!$C31)</f>
        <v>25</v>
      </c>
      <c r="O31" s="1299">
        <f>SUMIFS('Salary sheet'!$AA$6:$AA$13045,'Salary sheet'!$F$6:$F$13045,'So sánh giờ'!$C31)</f>
        <v>0</v>
      </c>
      <c r="P31" s="1299">
        <f>SUMIFS('Salary sheet'!$Q$6:$Q$13045,'Salary sheet'!$F$6:$F$13045,'So sánh giờ'!$C31)</f>
        <v>0</v>
      </c>
      <c r="Q31" s="1299">
        <f>SUMIFS('Salary sheet'!$AH$6:$AH$13045,'Salary sheet'!$F$6:$F$13045,'So sánh giờ'!$C31)</f>
        <v>396</v>
      </c>
      <c r="R31" s="1299">
        <f>SUMIFS('Salary sheet'!$AI$6:$AI$13045,'Salary sheet'!$F$6:$F$13045,'So sánh giờ'!$C31)</f>
        <v>0</v>
      </c>
      <c r="S31" s="1299">
        <f>SUMIFS('Salary sheet'!$AJ$6:$AJ$13045,'Salary sheet'!$F$6:$F$13045,'So sánh giờ'!$C31)</f>
        <v>0</v>
      </c>
      <c r="T31" s="1299">
        <f>SUMIFS('Salary sheet'!$AK$6:$AK$13045,'Salary sheet'!$F$6:$F$13045,'So sánh giờ'!$C31)</f>
        <v>0</v>
      </c>
      <c r="U31" s="1299">
        <f>SUMIFS('Salary sheet'!$AL$6:$AL$13045,'Salary sheet'!$F$6:$F$13045,'So sánh giờ'!$C31)</f>
        <v>0</v>
      </c>
      <c r="V31" s="1394">
        <v>11</v>
      </c>
      <c r="W31" s="1392">
        <v>92798619</v>
      </c>
      <c r="X31" s="1392">
        <v>7378104</v>
      </c>
      <c r="Y31" s="1392">
        <v>396900</v>
      </c>
      <c r="Z31" s="1392">
        <v>0</v>
      </c>
      <c r="AA31" s="1392">
        <v>10000</v>
      </c>
      <c r="AB31" s="1392">
        <v>189000</v>
      </c>
      <c r="AC31" s="1392">
        <v>84824615</v>
      </c>
      <c r="AD31" s="1395">
        <v>257.70000000000005</v>
      </c>
      <c r="AE31" s="1395">
        <v>6</v>
      </c>
      <c r="AF31" s="1395">
        <v>0</v>
      </c>
      <c r="AG31" s="1395">
        <v>0</v>
      </c>
      <c r="AH31" s="1395">
        <v>120</v>
      </c>
      <c r="AI31" s="1395">
        <v>0</v>
      </c>
      <c r="AJ31" s="1395">
        <v>0</v>
      </c>
      <c r="AK31" s="1395">
        <v>0</v>
      </c>
      <c r="AL31" s="1395">
        <v>0</v>
      </c>
      <c r="AM31" s="1376">
        <v>11</v>
      </c>
      <c r="AN31" s="1374">
        <v>108083131</v>
      </c>
      <c r="AO31" s="1374">
        <v>7580160</v>
      </c>
      <c r="AP31" s="1374">
        <v>441000</v>
      </c>
      <c r="AQ31" s="1374">
        <v>12250</v>
      </c>
      <c r="AR31" s="1374">
        <v>227500</v>
      </c>
      <c r="AS31" s="1374">
        <v>0</v>
      </c>
      <c r="AT31" s="1374">
        <v>99822221</v>
      </c>
      <c r="AU31" s="1377">
        <v>229.7</v>
      </c>
      <c r="AV31" s="1377">
        <v>20</v>
      </c>
      <c r="AW31" s="1377">
        <v>0</v>
      </c>
      <c r="AX31" s="1377">
        <v>0</v>
      </c>
      <c r="AY31" s="1377">
        <v>298</v>
      </c>
      <c r="AZ31" s="1377">
        <v>0</v>
      </c>
      <c r="BA31" s="1377">
        <v>0</v>
      </c>
      <c r="BB31" s="1377">
        <v>0</v>
      </c>
      <c r="BC31" s="1377">
        <v>0</v>
      </c>
      <c r="BD31" s="468">
        <v>10</v>
      </c>
      <c r="BE31" s="460">
        <v>164452490</v>
      </c>
      <c r="BF31" s="460">
        <v>7580160</v>
      </c>
      <c r="BG31" s="460">
        <v>441000</v>
      </c>
      <c r="BH31" s="460">
        <v>1731182</v>
      </c>
      <c r="BI31" s="460">
        <v>0</v>
      </c>
      <c r="BJ31" s="460">
        <v>0</v>
      </c>
      <c r="BK31" s="460">
        <v>154700148</v>
      </c>
      <c r="BL31" s="1299">
        <v>194.8</v>
      </c>
      <c r="BM31" s="1299">
        <v>70</v>
      </c>
      <c r="BN31" s="1299">
        <v>0</v>
      </c>
      <c r="BO31" s="1299">
        <v>0</v>
      </c>
      <c r="BP31" s="1299">
        <v>283.5</v>
      </c>
      <c r="BQ31" s="1299">
        <v>0</v>
      </c>
      <c r="BR31" s="1299">
        <v>0</v>
      </c>
      <c r="BS31" s="1299">
        <v>0</v>
      </c>
      <c r="BT31" s="1299">
        <v>0</v>
      </c>
    </row>
    <row r="32" spans="1:72" s="22" customFormat="1" ht="26.25" customHeight="1">
      <c r="A32" s="464">
        <f>SUBTOTAL(3,B$4:B32)</f>
        <v>29</v>
      </c>
      <c r="B32" s="465" t="s">
        <v>221</v>
      </c>
      <c r="C32" s="466" t="s">
        <v>254</v>
      </c>
      <c r="D32" s="467" t="s">
        <v>450</v>
      </c>
      <c r="E32" s="468">
        <f>COUNTIFS('Salary sheet'!$F$6:$F$2288,C32,'Salary sheet'!$E$6:$E$2288,B32)</f>
        <v>10</v>
      </c>
      <c r="F32" s="460">
        <f>+SUMIFS('Salary sheet'!$AN$6:$AN$1292,'Salary sheet'!$F$6:$F$1292,'So sánh giờ'!C32,'Salary sheet'!$E$6:$E$1292,'So sánh giờ'!B32)</f>
        <v>116451924</v>
      </c>
      <c r="G32" s="460">
        <f>+SUMIFS('Salary sheet'!$AO$6:$AO$2288,'Salary sheet'!$F$6:$F$2288,C32,'Salary sheet'!$E$6:$E$2288,B32)</f>
        <v>7662795</v>
      </c>
      <c r="H32" s="460">
        <f>+SUMIFS('Salary sheet'!$AP$6:$AP$2288,'Salary sheet'!$F$6:$F$2288,C32,'Salary sheet'!$E$6:$E$2288,B32)</f>
        <v>396900</v>
      </c>
      <c r="I32" s="460">
        <f>+SUMIFS('Salary sheet'!$AQ$6:$AQ$2288,'Salary sheet'!$F$6:$F$2288,C32,'Salary sheet'!$E$6:$E$2288,B32)</f>
        <v>0</v>
      </c>
      <c r="J32" s="460">
        <f>+SUMIFS('Salary sheet'!$AR$6:$AR$2288,'Salary sheet'!$F$6:$F$2288,C32,'Salary sheet'!$E$6:$E$2288,B32)</f>
        <v>0</v>
      </c>
      <c r="K32" s="460">
        <f>SUMIFS('Salary sheet'!$AS$6:$AS$1291,'Salary sheet'!$F$6:$F$1291,'So sánh giờ'!C32)</f>
        <v>0</v>
      </c>
      <c r="L32" s="460">
        <f t="shared" si="0"/>
        <v>108392229</v>
      </c>
      <c r="M32" s="1299">
        <f>SUMIFS('Salary sheet'!$M$6:$M$13045,'Salary sheet'!$F$6:$F$13045,'So sánh giờ'!$C32)</f>
        <v>232.20000000000002</v>
      </c>
      <c r="N32" s="1299">
        <f>SUMIFS('Salary sheet'!$O$6:$O$13045,'Salary sheet'!$F$6:$F$13045,'So sánh giờ'!$C32)</f>
        <v>23</v>
      </c>
      <c r="O32" s="1299">
        <f>SUMIFS('Salary sheet'!$AA$6:$AA$13045,'Salary sheet'!$F$6:$F$13045,'So sánh giờ'!$C32)</f>
        <v>0</v>
      </c>
      <c r="P32" s="1299">
        <f>SUMIFS('Salary sheet'!$Q$6:$Q$13045,'Salary sheet'!$F$6:$F$13045,'So sánh giờ'!$C32)</f>
        <v>357.5</v>
      </c>
      <c r="Q32" s="1299">
        <f>SUMIFS('Salary sheet'!$AH$6:$AH$13045,'Salary sheet'!$F$6:$F$13045,'So sánh giờ'!$C32)</f>
        <v>280</v>
      </c>
      <c r="R32" s="1299">
        <f>SUMIFS('Salary sheet'!$AI$6:$AI$13045,'Salary sheet'!$F$6:$F$13045,'So sánh giờ'!$C32)</f>
        <v>0</v>
      </c>
      <c r="S32" s="1299">
        <f>SUMIFS('Salary sheet'!$AJ$6:$AJ$13045,'Salary sheet'!$F$6:$F$13045,'So sánh giờ'!$C32)</f>
        <v>0</v>
      </c>
      <c r="T32" s="1299">
        <f>SUMIFS('Salary sheet'!$AK$6:$AK$13045,'Salary sheet'!$F$6:$F$13045,'So sánh giờ'!$C32)</f>
        <v>0</v>
      </c>
      <c r="U32" s="1299">
        <f>SUMIFS('Salary sheet'!$AL$6:$AL$13045,'Salary sheet'!$F$6:$F$13045,'So sánh giờ'!$C32)</f>
        <v>0</v>
      </c>
      <c r="V32" s="1394">
        <v>10</v>
      </c>
      <c r="W32" s="1392">
        <v>101528981</v>
      </c>
      <c r="X32" s="1392">
        <v>7543935</v>
      </c>
      <c r="Y32" s="1392">
        <v>396900</v>
      </c>
      <c r="Z32" s="1392">
        <v>0</v>
      </c>
      <c r="AA32" s="1392">
        <v>0</v>
      </c>
      <c r="AB32" s="1392">
        <v>0</v>
      </c>
      <c r="AC32" s="1392">
        <v>93588146</v>
      </c>
      <c r="AD32" s="1395">
        <v>230.20000000000002</v>
      </c>
      <c r="AE32" s="1395">
        <v>1</v>
      </c>
      <c r="AF32" s="1395">
        <v>0</v>
      </c>
      <c r="AG32" s="1395">
        <v>344.5</v>
      </c>
      <c r="AH32" s="1395">
        <v>180</v>
      </c>
      <c r="AI32" s="1395">
        <v>0</v>
      </c>
      <c r="AJ32" s="1395">
        <v>0</v>
      </c>
      <c r="AK32" s="1395">
        <v>0</v>
      </c>
      <c r="AL32" s="1395">
        <v>0</v>
      </c>
      <c r="AM32" s="1376">
        <v>9</v>
      </c>
      <c r="AN32" s="1374">
        <v>98219550</v>
      </c>
      <c r="AO32" s="1374">
        <v>7531755</v>
      </c>
      <c r="AP32" s="1374">
        <v>396900</v>
      </c>
      <c r="AQ32" s="1374">
        <v>15439</v>
      </c>
      <c r="AR32" s="1374">
        <v>0</v>
      </c>
      <c r="AS32" s="1374">
        <v>0</v>
      </c>
      <c r="AT32" s="1374">
        <v>90275456</v>
      </c>
      <c r="AU32" s="1377">
        <v>176.1</v>
      </c>
      <c r="AV32" s="1377">
        <v>19</v>
      </c>
      <c r="AW32" s="1377">
        <v>0</v>
      </c>
      <c r="AX32" s="1377">
        <v>317</v>
      </c>
      <c r="AY32" s="1377">
        <v>212</v>
      </c>
      <c r="AZ32" s="1377">
        <v>0</v>
      </c>
      <c r="BA32" s="1377">
        <v>0</v>
      </c>
      <c r="BB32" s="1377">
        <v>0</v>
      </c>
      <c r="BC32" s="1377">
        <v>0</v>
      </c>
      <c r="BD32" s="468">
        <v>8</v>
      </c>
      <c r="BE32" s="460">
        <v>138636920</v>
      </c>
      <c r="BF32" s="460">
        <v>6688500</v>
      </c>
      <c r="BG32" s="460">
        <v>352800</v>
      </c>
      <c r="BH32" s="460">
        <v>1482096</v>
      </c>
      <c r="BI32" s="460">
        <v>0</v>
      </c>
      <c r="BJ32" s="460">
        <v>0</v>
      </c>
      <c r="BK32" s="460">
        <v>130113524</v>
      </c>
      <c r="BL32" s="1299">
        <v>150.9</v>
      </c>
      <c r="BM32" s="1299">
        <v>56</v>
      </c>
      <c r="BN32" s="1299">
        <v>0</v>
      </c>
      <c r="BO32" s="1299">
        <v>221</v>
      </c>
      <c r="BP32" s="1299">
        <v>192</v>
      </c>
      <c r="BQ32" s="1299">
        <v>0</v>
      </c>
      <c r="BR32" s="1299">
        <v>0</v>
      </c>
      <c r="BS32" s="1299">
        <v>0</v>
      </c>
      <c r="BT32" s="1299">
        <v>0</v>
      </c>
    </row>
    <row r="33" spans="1:72" s="22" customFormat="1" ht="26.25" customHeight="1">
      <c r="A33" s="464">
        <f>SUBTOTAL(3,B$4:B33)</f>
        <v>30</v>
      </c>
      <c r="B33" s="465" t="s">
        <v>221</v>
      </c>
      <c r="C33" s="466" t="s">
        <v>538</v>
      </c>
      <c r="D33" s="467" t="s">
        <v>451</v>
      </c>
      <c r="E33" s="468">
        <f>COUNTIFS('Salary sheet'!$F$6:$F$2288,C33,'Salary sheet'!$E$6:$E$2288,B33)</f>
        <v>7</v>
      </c>
      <c r="F33" s="460">
        <f>+SUMIFS('Salary sheet'!$AN$6:$AN$1292,'Salary sheet'!$F$6:$F$1292,'So sánh giờ'!C33,'Salary sheet'!$E$6:$E$1292,'So sánh giờ'!B33)</f>
        <v>76553501</v>
      </c>
      <c r="G33" s="460">
        <f>+SUMIFS('Salary sheet'!$AO$6:$AO$2288,'Salary sheet'!$F$6:$F$2288,C33,'Salary sheet'!$E$6:$E$2288,B33)</f>
        <v>4980736</v>
      </c>
      <c r="H33" s="460">
        <f>+SUMIFS('Salary sheet'!$AP$6:$AP$2288,'Salary sheet'!$F$6:$F$2288,C33,'Salary sheet'!$E$6:$E$2288,B33)</f>
        <v>220500</v>
      </c>
      <c r="I33" s="460">
        <f>+SUMIFS('Salary sheet'!$AQ$6:$AQ$2288,'Salary sheet'!$F$6:$F$2288,C33,'Salary sheet'!$E$6:$E$2288,B33)</f>
        <v>0</v>
      </c>
      <c r="J33" s="460">
        <f>+SUMIFS('Salary sheet'!$AR$6:$AR$2288,'Salary sheet'!$F$6:$F$2288,C33,'Salary sheet'!$E$6:$E$2288,B33)</f>
        <v>0</v>
      </c>
      <c r="K33" s="460">
        <f>SUMIFS('Salary sheet'!$AS$6:$AS$1291,'Salary sheet'!$F$6:$F$1291,'So sánh giờ'!C33)</f>
        <v>353985</v>
      </c>
      <c r="L33" s="460">
        <f t="shared" si="0"/>
        <v>70998280</v>
      </c>
      <c r="M33" s="1299">
        <f>SUMIFS('Salary sheet'!$M$6:$M$13045,'Salary sheet'!$F$6:$F$13045,'So sánh giờ'!$C33)</f>
        <v>164.70000000000002</v>
      </c>
      <c r="N33" s="1299">
        <f>SUMIFS('Salary sheet'!$O$6:$O$13045,'Salary sheet'!$F$6:$F$13045,'So sánh giờ'!$C33)</f>
        <v>16</v>
      </c>
      <c r="O33" s="1299">
        <f>SUMIFS('Salary sheet'!$AA$6:$AA$13045,'Salary sheet'!$F$6:$F$13045,'So sánh giờ'!$C33)</f>
        <v>0</v>
      </c>
      <c r="P33" s="1299">
        <f>SUMIFS('Salary sheet'!$Q$6:$Q$13045,'Salary sheet'!$F$6:$F$13045,'So sánh giờ'!$C33)</f>
        <v>370.5</v>
      </c>
      <c r="Q33" s="1299">
        <f>SUMIFS('Salary sheet'!$AH$6:$AH$13045,'Salary sheet'!$F$6:$F$13045,'So sánh giờ'!$C33)</f>
        <v>238</v>
      </c>
      <c r="R33" s="1299">
        <f>SUMIFS('Salary sheet'!$AI$6:$AI$13045,'Salary sheet'!$F$6:$F$13045,'So sánh giờ'!$C33)</f>
        <v>0</v>
      </c>
      <c r="S33" s="1299">
        <f>SUMIFS('Salary sheet'!$AJ$6:$AJ$13045,'Salary sheet'!$F$6:$F$13045,'So sánh giờ'!$C33)</f>
        <v>12</v>
      </c>
      <c r="T33" s="1299">
        <f>SUMIFS('Salary sheet'!$AK$6:$AK$13045,'Salary sheet'!$F$6:$F$13045,'So sánh giờ'!$C33)</f>
        <v>0</v>
      </c>
      <c r="U33" s="1299">
        <f>SUMIFS('Salary sheet'!$AL$6:$AL$13045,'Salary sheet'!$F$6:$F$13045,'So sánh giờ'!$C33)</f>
        <v>0</v>
      </c>
      <c r="V33" s="1394">
        <v>7</v>
      </c>
      <c r="W33" s="1392">
        <v>68044446</v>
      </c>
      <c r="X33" s="1392">
        <v>3816435</v>
      </c>
      <c r="Y33" s="1392">
        <v>176400</v>
      </c>
      <c r="Z33" s="1392">
        <v>0</v>
      </c>
      <c r="AA33" s="1392">
        <v>0</v>
      </c>
      <c r="AB33" s="1392">
        <v>0</v>
      </c>
      <c r="AC33" s="1392">
        <v>64051611</v>
      </c>
      <c r="AD33" s="1395">
        <v>163.80000000000001</v>
      </c>
      <c r="AE33" s="1395">
        <v>0</v>
      </c>
      <c r="AF33" s="1395">
        <v>0</v>
      </c>
      <c r="AG33" s="1395">
        <v>279.5</v>
      </c>
      <c r="AH33" s="1395">
        <v>220</v>
      </c>
      <c r="AI33" s="1395">
        <v>0</v>
      </c>
      <c r="AJ33" s="1395">
        <v>54</v>
      </c>
      <c r="AK33" s="1395">
        <v>0</v>
      </c>
      <c r="AL33" s="1395">
        <v>0</v>
      </c>
      <c r="AM33" s="1376">
        <v>6</v>
      </c>
      <c r="AN33" s="1374">
        <v>44922497</v>
      </c>
      <c r="AO33" s="1374">
        <v>3763935</v>
      </c>
      <c r="AP33" s="1374">
        <v>176400</v>
      </c>
      <c r="AQ33" s="1374">
        <v>0</v>
      </c>
      <c r="AR33" s="1374">
        <v>0</v>
      </c>
      <c r="AS33" s="1374">
        <v>0</v>
      </c>
      <c r="AT33" s="1374">
        <v>40982162</v>
      </c>
      <c r="AU33" s="1377">
        <v>105.5</v>
      </c>
      <c r="AV33" s="1377">
        <v>10</v>
      </c>
      <c r="AW33" s="1377">
        <v>0</v>
      </c>
      <c r="AX33" s="1377">
        <v>32.5</v>
      </c>
      <c r="AY33" s="1377">
        <v>56</v>
      </c>
      <c r="AZ33" s="1377">
        <v>0</v>
      </c>
      <c r="BA33" s="1377">
        <v>0</v>
      </c>
      <c r="BB33" s="1377">
        <v>0</v>
      </c>
      <c r="BC33" s="1377">
        <v>0</v>
      </c>
      <c r="BD33" s="468">
        <v>5</v>
      </c>
      <c r="BE33" s="460">
        <v>76147681</v>
      </c>
      <c r="BF33" s="460">
        <v>3763935</v>
      </c>
      <c r="BG33" s="460">
        <v>176400</v>
      </c>
      <c r="BH33" s="460">
        <v>864194</v>
      </c>
      <c r="BI33" s="460">
        <v>0</v>
      </c>
      <c r="BJ33" s="460">
        <v>0</v>
      </c>
      <c r="BK33" s="460">
        <v>71343152</v>
      </c>
      <c r="BL33" s="1299">
        <v>97.4</v>
      </c>
      <c r="BM33" s="1299">
        <v>35</v>
      </c>
      <c r="BN33" s="1299">
        <v>0</v>
      </c>
      <c r="BO33" s="1299">
        <v>182</v>
      </c>
      <c r="BP33" s="1299">
        <v>104</v>
      </c>
      <c r="BQ33" s="1299">
        <v>0</v>
      </c>
      <c r="BR33" s="1299">
        <v>0</v>
      </c>
      <c r="BS33" s="1299">
        <v>0</v>
      </c>
      <c r="BT33" s="1299">
        <v>0</v>
      </c>
    </row>
    <row r="34" spans="1:72" s="22" customFormat="1" ht="26.25" customHeight="1">
      <c r="A34" s="464">
        <f>SUBTOTAL(3,B$4:B34)</f>
        <v>31</v>
      </c>
      <c r="B34" s="465" t="s">
        <v>221</v>
      </c>
      <c r="C34" s="466" t="s">
        <v>255</v>
      </c>
      <c r="D34" s="467" t="s">
        <v>452</v>
      </c>
      <c r="E34" s="468">
        <f>COUNTIFS('Salary sheet'!$F$6:$F$2288,C34,'Salary sheet'!$E$6:$E$2288,B34)</f>
        <v>3</v>
      </c>
      <c r="F34" s="460">
        <f>+SUMIFS('Salary sheet'!$AN$6:$AN$1292,'Salary sheet'!$F$6:$F$1292,'So sánh giờ'!C34,'Salary sheet'!$E$6:$E$1292,'So sánh giờ'!B34)</f>
        <v>26020521</v>
      </c>
      <c r="G34" s="460">
        <f>+SUMIFS('Salary sheet'!$AO$6:$AO$2288,'Salary sheet'!$F$6:$F$2288,C34,'Salary sheet'!$E$6:$E$2288,B34)</f>
        <v>1497510</v>
      </c>
      <c r="H34" s="460">
        <f>+SUMIFS('Salary sheet'!$AP$6:$AP$2288,'Salary sheet'!$F$6:$F$2288,C34,'Salary sheet'!$E$6:$E$2288,B34)</f>
        <v>88200</v>
      </c>
      <c r="I34" s="460">
        <f>+SUMIFS('Salary sheet'!$AQ$6:$AQ$2288,'Salary sheet'!$F$6:$F$2288,C34,'Salary sheet'!$E$6:$E$2288,B34)</f>
        <v>0</v>
      </c>
      <c r="J34" s="460">
        <f>+SUMIFS('Salary sheet'!$AR$6:$AR$2288,'Salary sheet'!$F$6:$F$2288,C34,'Salary sheet'!$E$6:$E$2288,B34)</f>
        <v>0</v>
      </c>
      <c r="K34" s="460">
        <f>SUMIFS('Salary sheet'!$AS$6:$AS$1291,'Salary sheet'!$F$6:$F$1291,'So sánh giờ'!C34)</f>
        <v>0</v>
      </c>
      <c r="L34" s="460">
        <f t="shared" si="0"/>
        <v>24434811</v>
      </c>
      <c r="M34" s="1299">
        <f>SUMIFS('Salary sheet'!$M$6:$M$13045,'Salary sheet'!$F$6:$F$13045,'So sánh giờ'!$C34)</f>
        <v>64.5</v>
      </c>
      <c r="N34" s="1299">
        <f>SUMIFS('Salary sheet'!$O$6:$O$13045,'Salary sheet'!$F$6:$F$13045,'So sánh giờ'!$C34)</f>
        <v>7</v>
      </c>
      <c r="O34" s="1299">
        <f>SUMIFS('Salary sheet'!$AA$6:$AA$13045,'Salary sheet'!$F$6:$F$13045,'So sánh giờ'!$C34)</f>
        <v>0</v>
      </c>
      <c r="P34" s="1299">
        <f>SUMIFS('Salary sheet'!$Q$6:$Q$13045,'Salary sheet'!$F$6:$F$13045,'So sánh giờ'!$C34)</f>
        <v>0</v>
      </c>
      <c r="Q34" s="1299">
        <f>SUMIFS('Salary sheet'!$AH$6:$AH$13045,'Salary sheet'!$F$6:$F$13045,'So sánh giờ'!$C34)</f>
        <v>100</v>
      </c>
      <c r="R34" s="1299">
        <f>SUMIFS('Salary sheet'!$AI$6:$AI$13045,'Salary sheet'!$F$6:$F$13045,'So sánh giờ'!$C34)</f>
        <v>0</v>
      </c>
      <c r="S34" s="1299">
        <f>SUMIFS('Salary sheet'!$AJ$6:$AJ$13045,'Salary sheet'!$F$6:$F$13045,'So sánh giờ'!$C34)</f>
        <v>0</v>
      </c>
      <c r="T34" s="1299">
        <f>SUMIFS('Salary sheet'!$AK$6:$AK$13045,'Salary sheet'!$F$6:$F$13045,'So sánh giờ'!$C34)</f>
        <v>0</v>
      </c>
      <c r="U34" s="1299">
        <f>SUMIFS('Salary sheet'!$AL$6:$AL$13045,'Salary sheet'!$F$6:$F$13045,'So sánh giờ'!$C34)</f>
        <v>0</v>
      </c>
      <c r="V34" s="1394">
        <v>3</v>
      </c>
      <c r="W34" s="1392">
        <v>20094086</v>
      </c>
      <c r="X34" s="1392">
        <v>1487010</v>
      </c>
      <c r="Y34" s="1392">
        <v>88200</v>
      </c>
      <c r="Z34" s="1392">
        <v>0</v>
      </c>
      <c r="AA34" s="1392">
        <v>0</v>
      </c>
      <c r="AB34" s="1392">
        <v>0</v>
      </c>
      <c r="AC34" s="1392">
        <v>18518876</v>
      </c>
      <c r="AD34" s="1395">
        <v>57.8</v>
      </c>
      <c r="AE34" s="1395">
        <v>0</v>
      </c>
      <c r="AF34" s="1395">
        <v>0</v>
      </c>
      <c r="AG34" s="1395">
        <v>0</v>
      </c>
      <c r="AH34" s="1395">
        <v>52</v>
      </c>
      <c r="AI34" s="1395">
        <v>0</v>
      </c>
      <c r="AJ34" s="1395">
        <v>0</v>
      </c>
      <c r="AK34" s="1395">
        <v>0</v>
      </c>
      <c r="AL34" s="1395">
        <v>0</v>
      </c>
      <c r="AM34" s="1376">
        <v>2</v>
      </c>
      <c r="AN34" s="1374">
        <v>17258519</v>
      </c>
      <c r="AO34" s="1374">
        <v>1487010</v>
      </c>
      <c r="AP34" s="1374">
        <v>88200</v>
      </c>
      <c r="AQ34" s="1374">
        <v>0</v>
      </c>
      <c r="AR34" s="1374">
        <v>70000</v>
      </c>
      <c r="AS34" s="1374">
        <v>0</v>
      </c>
      <c r="AT34" s="1374">
        <v>15613309</v>
      </c>
      <c r="AU34" s="1377">
        <v>41.5</v>
      </c>
      <c r="AV34" s="1377">
        <v>4</v>
      </c>
      <c r="AW34" s="1377">
        <v>0</v>
      </c>
      <c r="AX34" s="1377">
        <v>0</v>
      </c>
      <c r="AY34" s="1377">
        <v>28</v>
      </c>
      <c r="AZ34" s="1377">
        <v>0</v>
      </c>
      <c r="BA34" s="1377">
        <v>0</v>
      </c>
      <c r="BB34" s="1377">
        <v>0</v>
      </c>
      <c r="BC34" s="1377">
        <v>0</v>
      </c>
      <c r="BD34" s="468">
        <v>2</v>
      </c>
      <c r="BE34" s="460">
        <v>32703560</v>
      </c>
      <c r="BF34" s="460">
        <v>1474830</v>
      </c>
      <c r="BG34" s="460">
        <v>88200</v>
      </c>
      <c r="BH34" s="460">
        <v>398305</v>
      </c>
      <c r="BI34" s="460">
        <v>0</v>
      </c>
      <c r="BJ34" s="460">
        <v>0</v>
      </c>
      <c r="BK34" s="460">
        <v>30742225</v>
      </c>
      <c r="BL34" s="1299">
        <v>38.6</v>
      </c>
      <c r="BM34" s="1299">
        <v>14</v>
      </c>
      <c r="BN34" s="1299">
        <v>0</v>
      </c>
      <c r="BO34" s="1299">
        <v>0</v>
      </c>
      <c r="BP34" s="1299">
        <v>76</v>
      </c>
      <c r="BQ34" s="1299">
        <v>0</v>
      </c>
      <c r="BR34" s="1299">
        <v>0</v>
      </c>
      <c r="BS34" s="1299">
        <v>0</v>
      </c>
      <c r="BT34" s="1299">
        <v>0</v>
      </c>
    </row>
    <row r="35" spans="1:72" s="22" customFormat="1" ht="26.25" customHeight="1">
      <c r="A35" s="464">
        <f>SUBTOTAL(3,B$4:B35)</f>
        <v>32</v>
      </c>
      <c r="B35" s="465" t="s">
        <v>221</v>
      </c>
      <c r="C35" s="466" t="s">
        <v>282</v>
      </c>
      <c r="D35" s="467" t="s">
        <v>702</v>
      </c>
      <c r="E35" s="468">
        <f>COUNTIFS('Salary sheet'!$F$6:$F$2288,C35,'Salary sheet'!$E$6:$E$2288,B35)</f>
        <v>51</v>
      </c>
      <c r="F35" s="460">
        <f>+SUMIFS('Salary sheet'!$AN$6:$AN$1292,'Salary sheet'!$F$6:$F$1292,'So sánh giờ'!C35,'Salary sheet'!$E$6:$E$1292,'So sánh giờ'!B35)</f>
        <v>444162521</v>
      </c>
      <c r="G35" s="460">
        <f>+SUMIFS('Salary sheet'!$AO$6:$AO$2288,'Salary sheet'!$F$6:$F$2288,C35,'Salary sheet'!$E$6:$E$2288,B35)</f>
        <v>29895044</v>
      </c>
      <c r="H35" s="460">
        <f>+SUMIFS('Salary sheet'!$AP$6:$AP$2288,'Salary sheet'!$F$6:$F$2288,C35,'Salary sheet'!$E$6:$E$2288,B35)</f>
        <v>1896300</v>
      </c>
      <c r="I35" s="460">
        <f>+SUMIFS('Salary sheet'!$AQ$6:$AQ$2288,'Salary sheet'!$F$6:$F$2288,C35,'Salary sheet'!$E$6:$E$2288,B35)</f>
        <v>0</v>
      </c>
      <c r="J35" s="460">
        <f>+SUMIFS('Salary sheet'!$AR$6:$AR$2288,'Salary sheet'!$F$6:$F$2288,C35,'Salary sheet'!$E$6:$E$2288,B35)</f>
        <v>0</v>
      </c>
      <c r="K35" s="460">
        <f>SUMIFS('Salary sheet'!$AS$6:$AS$1291,'Salary sheet'!$F$6:$F$1291,'So sánh giờ'!C35)</f>
        <v>573856</v>
      </c>
      <c r="L35" s="460">
        <f t="shared" si="0"/>
        <v>411797321</v>
      </c>
      <c r="M35" s="1299">
        <f>SUMIFS('Salary sheet'!$M$6:$M$13045,'Salary sheet'!$F$6:$F$13045,'So sánh giờ'!$C35)</f>
        <v>1121.8</v>
      </c>
      <c r="N35" s="1299">
        <f>SUMIFS('Salary sheet'!$O$6:$O$13045,'Salary sheet'!$F$6:$F$13045,'So sánh giờ'!$C35)</f>
        <v>136</v>
      </c>
      <c r="O35" s="1299">
        <f>SUMIFS('Salary sheet'!$AA$6:$AA$13045,'Salary sheet'!$F$6:$F$13045,'So sánh giờ'!$C35)</f>
        <v>0</v>
      </c>
      <c r="P35" s="1299">
        <f>SUMIFS('Salary sheet'!$Q$6:$Q$13045,'Salary sheet'!$F$6:$F$13045,'So sánh giờ'!$C35)</f>
        <v>0</v>
      </c>
      <c r="Q35" s="1299">
        <f>SUMIFS('Salary sheet'!$AH$6:$AH$13045,'Salary sheet'!$F$6:$F$13045,'So sánh giờ'!$C35)</f>
        <v>2454.5</v>
      </c>
      <c r="R35" s="1299">
        <f>SUMIFS('Salary sheet'!$AI$6:$AI$13045,'Salary sheet'!$F$6:$F$13045,'So sánh giờ'!$C35)</f>
        <v>0</v>
      </c>
      <c r="S35" s="1299">
        <f>SUMIFS('Salary sheet'!$AJ$6:$AJ$13045,'Salary sheet'!$F$6:$F$13045,'So sánh giờ'!$C35)</f>
        <v>0</v>
      </c>
      <c r="T35" s="1299">
        <f>SUMIFS('Salary sheet'!$AK$6:$AK$13045,'Salary sheet'!$F$6:$F$13045,'So sánh giờ'!$C35)</f>
        <v>0</v>
      </c>
      <c r="U35" s="1299">
        <f>SUMIFS('Salary sheet'!$AL$6:$AL$13045,'Salary sheet'!$F$6:$F$13045,'So sánh giờ'!$C35)</f>
        <v>0</v>
      </c>
      <c r="V35" s="1394">
        <v>59</v>
      </c>
      <c r="W35" s="1392">
        <v>425986707</v>
      </c>
      <c r="X35" s="1392">
        <v>24392572</v>
      </c>
      <c r="Y35" s="1392">
        <v>1719900</v>
      </c>
      <c r="Z35" s="1392">
        <v>0</v>
      </c>
      <c r="AA35" s="1392">
        <v>10000</v>
      </c>
      <c r="AB35" s="1392">
        <v>705743</v>
      </c>
      <c r="AC35" s="1392">
        <v>399158492</v>
      </c>
      <c r="AD35" s="1395">
        <v>1346.9</v>
      </c>
      <c r="AE35" s="1395">
        <v>11</v>
      </c>
      <c r="AF35" s="1395">
        <v>0</v>
      </c>
      <c r="AG35" s="1395">
        <v>0</v>
      </c>
      <c r="AH35" s="1395">
        <v>1545</v>
      </c>
      <c r="AI35" s="1395">
        <v>0</v>
      </c>
      <c r="AJ35" s="1395">
        <v>0</v>
      </c>
      <c r="AK35" s="1395">
        <v>0</v>
      </c>
      <c r="AL35" s="1395">
        <v>0</v>
      </c>
      <c r="AM35" s="1376">
        <v>47</v>
      </c>
      <c r="AN35" s="1374">
        <v>294077780</v>
      </c>
      <c r="AO35" s="1374">
        <v>21191310</v>
      </c>
      <c r="AP35" s="1374">
        <v>1455300</v>
      </c>
      <c r="AQ35" s="1374">
        <v>0</v>
      </c>
      <c r="AR35" s="1374">
        <v>1322500</v>
      </c>
      <c r="AS35" s="1374">
        <v>0</v>
      </c>
      <c r="AT35" s="1374">
        <v>270108670</v>
      </c>
      <c r="AU35" s="1377">
        <v>833.99999999999989</v>
      </c>
      <c r="AV35" s="1377">
        <v>68</v>
      </c>
      <c r="AW35" s="1377">
        <v>0</v>
      </c>
      <c r="AX35" s="1377">
        <v>0</v>
      </c>
      <c r="AY35" s="1377">
        <v>605</v>
      </c>
      <c r="AZ35" s="1377">
        <v>0</v>
      </c>
      <c r="BA35" s="1377">
        <v>0</v>
      </c>
      <c r="BB35" s="1377">
        <v>0</v>
      </c>
      <c r="BC35" s="1377">
        <v>0</v>
      </c>
      <c r="BD35" s="468">
        <v>42</v>
      </c>
      <c r="BE35" s="460">
        <v>511322125</v>
      </c>
      <c r="BF35" s="460">
        <v>24487785</v>
      </c>
      <c r="BG35" s="460">
        <v>1675800</v>
      </c>
      <c r="BH35" s="460">
        <v>1912950</v>
      </c>
      <c r="BI35" s="460">
        <v>0</v>
      </c>
      <c r="BJ35" s="460">
        <v>0</v>
      </c>
      <c r="BK35" s="460">
        <v>483245590</v>
      </c>
      <c r="BL35" s="1299">
        <v>779.9</v>
      </c>
      <c r="BM35" s="1299">
        <v>284</v>
      </c>
      <c r="BN35" s="1299">
        <v>0</v>
      </c>
      <c r="BO35" s="1299">
        <v>0</v>
      </c>
      <c r="BP35" s="1299">
        <v>1295.5</v>
      </c>
      <c r="BQ35" s="1299">
        <v>0</v>
      </c>
      <c r="BR35" s="1299">
        <v>0</v>
      </c>
      <c r="BS35" s="1299">
        <v>0</v>
      </c>
      <c r="BT35" s="1299">
        <v>0</v>
      </c>
    </row>
    <row r="36" spans="1:72" s="22" customFormat="1" ht="26.25" customHeight="1">
      <c r="A36" s="464">
        <f>SUBTOTAL(3,B$4:B36)</f>
        <v>33</v>
      </c>
      <c r="B36" s="465" t="s">
        <v>221</v>
      </c>
      <c r="C36" s="466" t="s">
        <v>256</v>
      </c>
      <c r="D36" s="467" t="s">
        <v>703</v>
      </c>
      <c r="E36" s="468">
        <f>COUNTIFS('Salary sheet'!$F$6:$F$2288,C36,'Salary sheet'!$E$6:$E$2288,B36)</f>
        <v>65</v>
      </c>
      <c r="F36" s="460">
        <f>+SUMIFS('Salary sheet'!$AN$6:$AN$1292,'Salary sheet'!$F$6:$F$1292,'So sánh giờ'!C36,'Salary sheet'!$E$6:$E$1292,'So sánh giờ'!B36)</f>
        <v>589227310</v>
      </c>
      <c r="G36" s="460">
        <f>+SUMIFS('Salary sheet'!$AO$6:$AO$2288,'Salary sheet'!$F$6:$F$2288,C36,'Salary sheet'!$E$6:$E$2288,B36)</f>
        <v>37617038</v>
      </c>
      <c r="H36" s="460">
        <f>+SUMIFS('Salary sheet'!$AP$6:$AP$2288,'Salary sheet'!$F$6:$F$2288,C36,'Salary sheet'!$E$6:$E$2288,B36)</f>
        <v>2690100</v>
      </c>
      <c r="I36" s="460">
        <f>+SUMIFS('Salary sheet'!$AQ$6:$AQ$2288,'Salary sheet'!$F$6:$F$2288,C36,'Salary sheet'!$E$6:$E$2288,B36)</f>
        <v>57002</v>
      </c>
      <c r="J36" s="460">
        <f>+SUMIFS('Salary sheet'!$AR$6:$AR$2288,'Salary sheet'!$F$6:$F$2288,C36,'Salary sheet'!$E$6:$E$2288,B36)</f>
        <v>0</v>
      </c>
      <c r="K36" s="460">
        <f>SUMIFS('Salary sheet'!$AS$6:$AS$1291,'Salary sheet'!$F$6:$F$1291,'So sánh giờ'!C36)</f>
        <v>202462</v>
      </c>
      <c r="L36" s="460">
        <f t="shared" si="0"/>
        <v>548660708</v>
      </c>
      <c r="M36" s="1299">
        <f>SUMIFS('Salary sheet'!$M$6:$M$13045,'Salary sheet'!$F$6:$F$13045,'So sánh giờ'!$C36)</f>
        <v>1450.3999999999999</v>
      </c>
      <c r="N36" s="1299">
        <f>SUMIFS('Salary sheet'!$O$6:$O$13045,'Salary sheet'!$F$6:$F$13045,'So sánh giờ'!$C36)</f>
        <v>150</v>
      </c>
      <c r="O36" s="1299">
        <f>SUMIFS('Salary sheet'!$AA$6:$AA$13045,'Salary sheet'!$F$6:$F$13045,'So sánh giờ'!$C36)</f>
        <v>0</v>
      </c>
      <c r="P36" s="1299">
        <f>SUMIFS('Salary sheet'!$Q$6:$Q$13045,'Salary sheet'!$F$6:$F$13045,'So sánh giờ'!$C36)</f>
        <v>0</v>
      </c>
      <c r="Q36" s="1299">
        <f>SUMIFS('Salary sheet'!$AH$6:$AH$13045,'Salary sheet'!$F$6:$F$13045,'So sánh giờ'!$C36)</f>
        <v>3153</v>
      </c>
      <c r="R36" s="1299">
        <f>SUMIFS('Salary sheet'!$AI$6:$AI$13045,'Salary sheet'!$F$6:$F$13045,'So sánh giờ'!$C36)</f>
        <v>0</v>
      </c>
      <c r="S36" s="1299">
        <f>SUMIFS('Salary sheet'!$AJ$6:$AJ$13045,'Salary sheet'!$F$6:$F$13045,'So sánh giờ'!$C36)</f>
        <v>0</v>
      </c>
      <c r="T36" s="1299">
        <f>SUMIFS('Salary sheet'!$AK$6:$AK$13045,'Salary sheet'!$F$6:$F$13045,'So sánh giờ'!$C36)</f>
        <v>0</v>
      </c>
      <c r="U36" s="1299">
        <f>SUMIFS('Salary sheet'!$AL$6:$AL$13045,'Salary sheet'!$F$6:$F$13045,'So sánh giờ'!$C36)</f>
        <v>0</v>
      </c>
      <c r="V36" s="1394">
        <v>63</v>
      </c>
      <c r="W36" s="1392">
        <v>513851510</v>
      </c>
      <c r="X36" s="1392">
        <v>36435085</v>
      </c>
      <c r="Y36" s="1392">
        <v>2601900</v>
      </c>
      <c r="Z36" s="1392">
        <v>0</v>
      </c>
      <c r="AA36" s="1392">
        <v>10000</v>
      </c>
      <c r="AB36" s="1392">
        <v>167663</v>
      </c>
      <c r="AC36" s="1392">
        <v>474636862</v>
      </c>
      <c r="AD36" s="1395">
        <v>1534.3999999999999</v>
      </c>
      <c r="AE36" s="1395">
        <v>3</v>
      </c>
      <c r="AF36" s="1395">
        <v>0</v>
      </c>
      <c r="AG36" s="1395">
        <v>0</v>
      </c>
      <c r="AH36" s="1395">
        <v>1796</v>
      </c>
      <c r="AI36" s="1395">
        <v>0</v>
      </c>
      <c r="AJ36" s="1395">
        <v>0</v>
      </c>
      <c r="AK36" s="1395">
        <v>0</v>
      </c>
      <c r="AL36" s="1395">
        <v>0</v>
      </c>
      <c r="AM36" s="1376">
        <v>64</v>
      </c>
      <c r="AN36" s="1374">
        <v>505179015</v>
      </c>
      <c r="AO36" s="1374">
        <v>39186630</v>
      </c>
      <c r="AP36" s="1374">
        <v>2778300</v>
      </c>
      <c r="AQ36" s="1374">
        <v>0</v>
      </c>
      <c r="AR36" s="1374">
        <v>2110000</v>
      </c>
      <c r="AS36" s="1374">
        <v>0</v>
      </c>
      <c r="AT36" s="1374">
        <v>461104085</v>
      </c>
      <c r="AU36" s="1377">
        <v>1345.3</v>
      </c>
      <c r="AV36" s="1377">
        <v>126</v>
      </c>
      <c r="AW36" s="1377">
        <v>0</v>
      </c>
      <c r="AX36" s="1377">
        <v>0</v>
      </c>
      <c r="AY36" s="1377">
        <v>1036</v>
      </c>
      <c r="AZ36" s="1377">
        <v>0</v>
      </c>
      <c r="BA36" s="1377">
        <v>0</v>
      </c>
      <c r="BB36" s="1377">
        <v>0</v>
      </c>
      <c r="BC36" s="1377">
        <v>0</v>
      </c>
      <c r="BD36" s="468">
        <v>70</v>
      </c>
      <c r="BE36" s="460">
        <v>929428979</v>
      </c>
      <c r="BF36" s="460">
        <v>41777925</v>
      </c>
      <c r="BG36" s="460">
        <v>2998800</v>
      </c>
      <c r="BH36" s="460">
        <v>5569787</v>
      </c>
      <c r="BI36" s="460">
        <v>0</v>
      </c>
      <c r="BJ36" s="460">
        <v>0</v>
      </c>
      <c r="BK36" s="460">
        <v>879082467</v>
      </c>
      <c r="BL36" s="1299">
        <v>1320.7999999999997</v>
      </c>
      <c r="BM36" s="1299">
        <v>486</v>
      </c>
      <c r="BN36" s="1299">
        <v>0</v>
      </c>
      <c r="BO36" s="1299">
        <v>0</v>
      </c>
      <c r="BP36" s="1299">
        <v>2281</v>
      </c>
      <c r="BQ36" s="1299">
        <v>0</v>
      </c>
      <c r="BR36" s="1299">
        <v>0</v>
      </c>
      <c r="BS36" s="1299">
        <v>0</v>
      </c>
      <c r="BT36" s="1299">
        <v>0</v>
      </c>
    </row>
    <row r="37" spans="1:72" s="22" customFormat="1" ht="26.25" customHeight="1">
      <c r="A37" s="464">
        <f>SUBTOTAL(3,B$4:B37)</f>
        <v>34</v>
      </c>
      <c r="B37" s="465" t="s">
        <v>221</v>
      </c>
      <c r="C37" s="466" t="s">
        <v>257</v>
      </c>
      <c r="D37" s="467" t="s">
        <v>593</v>
      </c>
      <c r="E37" s="468">
        <f>COUNTIFS('Salary sheet'!$F$6:$F$2288,C37,'Salary sheet'!$E$6:$E$2288,B37)</f>
        <v>66</v>
      </c>
      <c r="F37" s="460">
        <f>+SUMIFS('Salary sheet'!$AN$6:$AN$1292,'Salary sheet'!$F$6:$F$1292,'So sánh giờ'!C37,'Salary sheet'!$E$6:$E$1292,'So sánh giờ'!B37)</f>
        <v>609180709</v>
      </c>
      <c r="G37" s="460">
        <f>+SUMIFS('Salary sheet'!$AO$6:$AO$2288,'Salary sheet'!$F$6:$F$2288,C37,'Salary sheet'!$E$6:$E$2288,B37)</f>
        <v>35724360</v>
      </c>
      <c r="H37" s="460">
        <f>+SUMIFS('Salary sheet'!$AP$6:$AP$2288,'Salary sheet'!$F$6:$F$2288,C37,'Salary sheet'!$E$6:$E$2288,B37)</f>
        <v>2513700</v>
      </c>
      <c r="I37" s="460">
        <f>+SUMIFS('Salary sheet'!$AQ$6:$AQ$2288,'Salary sheet'!$F$6:$F$2288,C37,'Salary sheet'!$E$6:$E$2288,B37)</f>
        <v>134429</v>
      </c>
      <c r="J37" s="460">
        <f>+SUMIFS('Salary sheet'!$AR$6:$AR$2288,'Salary sheet'!$F$6:$F$2288,C37,'Salary sheet'!$E$6:$E$2288,B37)</f>
        <v>0</v>
      </c>
      <c r="K37" s="460">
        <f>SUMIFS('Salary sheet'!$AS$6:$AS$1291,'Salary sheet'!$F$6:$F$1291,'So sánh giờ'!C37)</f>
        <v>0</v>
      </c>
      <c r="L37" s="460">
        <f t="shared" si="0"/>
        <v>570808220</v>
      </c>
      <c r="M37" s="1299">
        <f>SUMIFS('Salary sheet'!$M$6:$M$13045,'Salary sheet'!$F$6:$F$13045,'So sánh giờ'!$C37)</f>
        <v>1498.4000000000003</v>
      </c>
      <c r="N37" s="1299">
        <f>SUMIFS('Salary sheet'!$O$6:$O$13045,'Salary sheet'!$F$6:$F$13045,'So sánh giờ'!$C37)</f>
        <v>148</v>
      </c>
      <c r="O37" s="1299">
        <f>SUMIFS('Salary sheet'!$AA$6:$AA$13045,'Salary sheet'!$F$6:$F$13045,'So sánh giờ'!$C37)</f>
        <v>0</v>
      </c>
      <c r="P37" s="1299">
        <f>SUMIFS('Salary sheet'!$Q$6:$Q$13045,'Salary sheet'!$F$6:$F$13045,'So sánh giờ'!$C37)</f>
        <v>0</v>
      </c>
      <c r="Q37" s="1299">
        <f>SUMIFS('Salary sheet'!$AH$6:$AH$13045,'Salary sheet'!$F$6:$F$13045,'So sánh giờ'!$C37)</f>
        <v>3371.5</v>
      </c>
      <c r="R37" s="1299">
        <f>SUMIFS('Salary sheet'!$AI$6:$AI$13045,'Salary sheet'!$F$6:$F$13045,'So sánh giờ'!$C37)</f>
        <v>0</v>
      </c>
      <c r="S37" s="1299">
        <f>SUMIFS('Salary sheet'!$AJ$6:$AJ$13045,'Salary sheet'!$F$6:$F$13045,'So sánh giờ'!$C37)</f>
        <v>0</v>
      </c>
      <c r="T37" s="1299">
        <f>SUMIFS('Salary sheet'!$AK$6:$AK$13045,'Salary sheet'!$F$6:$F$13045,'So sánh giờ'!$C37)</f>
        <v>0</v>
      </c>
      <c r="U37" s="1299">
        <f>SUMIFS('Salary sheet'!$AL$6:$AL$13045,'Salary sheet'!$F$6:$F$13045,'So sánh giờ'!$C37)</f>
        <v>0</v>
      </c>
      <c r="V37" s="1394">
        <v>64</v>
      </c>
      <c r="W37" s="1392">
        <v>491025688</v>
      </c>
      <c r="X37" s="1392">
        <v>35425259</v>
      </c>
      <c r="Y37" s="1392">
        <v>2557800</v>
      </c>
      <c r="Z37" s="1392">
        <v>5994</v>
      </c>
      <c r="AA37" s="1392">
        <v>0</v>
      </c>
      <c r="AB37" s="1392">
        <v>107558</v>
      </c>
      <c r="AC37" s="1392">
        <v>452929077</v>
      </c>
      <c r="AD37" s="1395">
        <v>1493.3999999999999</v>
      </c>
      <c r="AE37" s="1395">
        <v>0</v>
      </c>
      <c r="AF37" s="1395">
        <v>0</v>
      </c>
      <c r="AG37" s="1395">
        <v>0</v>
      </c>
      <c r="AH37" s="1395">
        <v>1765</v>
      </c>
      <c r="AI37" s="1395">
        <v>0</v>
      </c>
      <c r="AJ37" s="1395">
        <v>0</v>
      </c>
      <c r="AK37" s="1395">
        <v>0</v>
      </c>
      <c r="AL37" s="1395">
        <v>0</v>
      </c>
      <c r="AM37" s="1376">
        <v>60</v>
      </c>
      <c r="AN37" s="1374">
        <v>467025398</v>
      </c>
      <c r="AO37" s="1374">
        <v>36470490</v>
      </c>
      <c r="AP37" s="1374">
        <v>2646000</v>
      </c>
      <c r="AQ37" s="1374">
        <v>0</v>
      </c>
      <c r="AR37" s="1374">
        <v>1015000</v>
      </c>
      <c r="AS37" s="1374">
        <v>0</v>
      </c>
      <c r="AT37" s="1374">
        <v>426893908</v>
      </c>
      <c r="AU37" s="1377">
        <v>1261.2</v>
      </c>
      <c r="AV37" s="1377">
        <v>120</v>
      </c>
      <c r="AW37" s="1377">
        <v>0</v>
      </c>
      <c r="AX37" s="1377">
        <v>0</v>
      </c>
      <c r="AY37" s="1377">
        <v>1032</v>
      </c>
      <c r="AZ37" s="1377">
        <v>0</v>
      </c>
      <c r="BA37" s="1377">
        <v>0</v>
      </c>
      <c r="BB37" s="1377">
        <v>0</v>
      </c>
      <c r="BC37" s="1377">
        <v>0</v>
      </c>
      <c r="BD37" s="468">
        <v>61</v>
      </c>
      <c r="BE37" s="460">
        <v>827248650</v>
      </c>
      <c r="BF37" s="460">
        <v>37008300</v>
      </c>
      <c r="BG37" s="460">
        <v>2690100</v>
      </c>
      <c r="BH37" s="460">
        <v>5672666</v>
      </c>
      <c r="BI37" s="460">
        <v>0</v>
      </c>
      <c r="BJ37" s="460">
        <v>0</v>
      </c>
      <c r="BK37" s="460">
        <v>781877584</v>
      </c>
      <c r="BL37" s="1299">
        <v>1181.3999999999996</v>
      </c>
      <c r="BM37" s="1299">
        <v>429</v>
      </c>
      <c r="BN37" s="1299">
        <v>0</v>
      </c>
      <c r="BO37" s="1299">
        <v>0</v>
      </c>
      <c r="BP37" s="1299">
        <v>2035.5</v>
      </c>
      <c r="BQ37" s="1299">
        <v>0</v>
      </c>
      <c r="BR37" s="1299">
        <v>0</v>
      </c>
      <c r="BS37" s="1299">
        <v>0</v>
      </c>
      <c r="BT37" s="1299">
        <v>0</v>
      </c>
    </row>
    <row r="38" spans="1:72" s="22" customFormat="1" ht="26.25" customHeight="1">
      <c r="A38" s="464">
        <f>SUBTOTAL(3,B$4:B38)</f>
        <v>35</v>
      </c>
      <c r="B38" s="465" t="s">
        <v>221</v>
      </c>
      <c r="C38" s="466" t="s">
        <v>289</v>
      </c>
      <c r="D38" s="467" t="s">
        <v>453</v>
      </c>
      <c r="E38" s="468">
        <f>COUNTIFS('Salary sheet'!$F$6:$F$2288,C38,'Salary sheet'!$E$6:$E$2288,B38)</f>
        <v>1</v>
      </c>
      <c r="F38" s="460">
        <f>+SUMIFS('Salary sheet'!$AN$6:$AN$1292,'Salary sheet'!$F$6:$F$1292,'So sánh giờ'!C38,'Salary sheet'!$E$6:$E$1292,'So sánh giờ'!B38)</f>
        <v>12866101</v>
      </c>
      <c r="G38" s="460">
        <f>+SUMIFS('Salary sheet'!$AO$6:$AO$2288,'Salary sheet'!$F$6:$F$2288,C38,'Salary sheet'!$E$6:$E$2288,B38)</f>
        <v>843045</v>
      </c>
      <c r="H38" s="460">
        <f>+SUMIFS('Salary sheet'!$AP$6:$AP$2288,'Salary sheet'!$F$6:$F$2288,C38,'Salary sheet'!$E$6:$E$2288,B38)</f>
        <v>44100</v>
      </c>
      <c r="I38" s="460">
        <f>+SUMIFS('Salary sheet'!$AQ$6:$AQ$2288,'Salary sheet'!$F$6:$F$2288,C38,'Salary sheet'!$E$6:$E$2288,B38)</f>
        <v>0</v>
      </c>
      <c r="J38" s="460">
        <f>+SUMIFS('Salary sheet'!$AR$6:$AR$2288,'Salary sheet'!$F$6:$F$2288,C38,'Salary sheet'!$E$6:$E$2288,B38)</f>
        <v>0</v>
      </c>
      <c r="K38" s="460">
        <f>SUMIFS('Salary sheet'!$AS$6:$AS$1291,'Salary sheet'!$F$6:$F$1291,'So sánh giờ'!C38)</f>
        <v>0</v>
      </c>
      <c r="L38" s="460">
        <f t="shared" si="0"/>
        <v>11978956</v>
      </c>
      <c r="M38" s="1299">
        <f>SUMIFS('Salary sheet'!$M$6:$M$13045,'Salary sheet'!$F$6:$F$13045,'So sánh giờ'!$C38)</f>
        <v>23.9</v>
      </c>
      <c r="N38" s="1299">
        <f>SUMIFS('Salary sheet'!$O$6:$O$13045,'Salary sheet'!$F$6:$F$13045,'So sánh giờ'!$C38)</f>
        <v>2</v>
      </c>
      <c r="O38" s="1299">
        <f>SUMIFS('Salary sheet'!$AA$6:$AA$13045,'Salary sheet'!$F$6:$F$13045,'So sánh giờ'!$C38)</f>
        <v>0</v>
      </c>
      <c r="P38" s="1299">
        <f>SUMIFS('Salary sheet'!$Q$6:$Q$13045,'Salary sheet'!$F$6:$F$13045,'So sánh giờ'!$C38)</f>
        <v>0</v>
      </c>
      <c r="Q38" s="1299">
        <f>SUMIFS('Salary sheet'!$AH$6:$AH$13045,'Salary sheet'!$F$6:$F$13045,'So sánh giờ'!$C38)</f>
        <v>56</v>
      </c>
      <c r="R38" s="1299">
        <f>SUMIFS('Salary sheet'!$AI$6:$AI$13045,'Salary sheet'!$F$6:$F$13045,'So sánh giờ'!$C38)</f>
        <v>0</v>
      </c>
      <c r="S38" s="1299">
        <f>SUMIFS('Salary sheet'!$AJ$6:$AJ$13045,'Salary sheet'!$F$6:$F$13045,'So sánh giờ'!$C38)</f>
        <v>0</v>
      </c>
      <c r="T38" s="1299">
        <f>SUMIFS('Salary sheet'!$AK$6:$AK$13045,'Salary sheet'!$F$6:$F$13045,'So sánh giờ'!$C38)</f>
        <v>0</v>
      </c>
      <c r="U38" s="1299">
        <f>SUMIFS('Salary sheet'!$AL$6:$AL$13045,'Salary sheet'!$F$6:$F$13045,'So sánh giờ'!$C38)</f>
        <v>0</v>
      </c>
      <c r="V38" s="1394">
        <v>1</v>
      </c>
      <c r="W38" s="1392">
        <v>10389406</v>
      </c>
      <c r="X38" s="1392">
        <v>780255</v>
      </c>
      <c r="Y38" s="1392">
        <v>44100</v>
      </c>
      <c r="Z38" s="1392">
        <v>0</v>
      </c>
      <c r="AA38" s="1392">
        <v>0</v>
      </c>
      <c r="AB38" s="1392">
        <v>0</v>
      </c>
      <c r="AC38" s="1392">
        <v>9565051</v>
      </c>
      <c r="AD38" s="1395">
        <v>24.9</v>
      </c>
      <c r="AE38" s="1395">
        <v>0</v>
      </c>
      <c r="AF38" s="1395">
        <v>0</v>
      </c>
      <c r="AG38" s="1395">
        <v>0</v>
      </c>
      <c r="AH38" s="1395">
        <v>32</v>
      </c>
      <c r="AI38" s="1395">
        <v>0</v>
      </c>
      <c r="AJ38" s="1395">
        <v>0</v>
      </c>
      <c r="AK38" s="1395">
        <v>0</v>
      </c>
      <c r="AL38" s="1395">
        <v>0</v>
      </c>
      <c r="AM38" s="1376">
        <v>1</v>
      </c>
      <c r="AN38" s="1374">
        <v>9840621</v>
      </c>
      <c r="AO38" s="1374">
        <v>780255</v>
      </c>
      <c r="AP38" s="1374">
        <v>44100</v>
      </c>
      <c r="AQ38" s="1374">
        <v>0</v>
      </c>
      <c r="AR38" s="1374">
        <v>0</v>
      </c>
      <c r="AS38" s="1374">
        <v>0</v>
      </c>
      <c r="AT38" s="1374">
        <v>9016266</v>
      </c>
      <c r="AU38" s="1377">
        <v>22</v>
      </c>
      <c r="AV38" s="1377">
        <v>2</v>
      </c>
      <c r="AW38" s="1377">
        <v>0</v>
      </c>
      <c r="AX38" s="1377">
        <v>0</v>
      </c>
      <c r="AY38" s="1377">
        <v>16</v>
      </c>
      <c r="AZ38" s="1377">
        <v>0</v>
      </c>
      <c r="BA38" s="1377">
        <v>0</v>
      </c>
      <c r="BB38" s="1377">
        <v>0</v>
      </c>
      <c r="BC38" s="1377">
        <v>0</v>
      </c>
      <c r="BD38" s="468">
        <v>1</v>
      </c>
      <c r="BE38" s="460">
        <v>16957456</v>
      </c>
      <c r="BF38" s="460">
        <v>780255</v>
      </c>
      <c r="BG38" s="460">
        <v>44100</v>
      </c>
      <c r="BH38" s="460">
        <v>6707</v>
      </c>
      <c r="BI38" s="460">
        <v>0</v>
      </c>
      <c r="BJ38" s="460">
        <v>0</v>
      </c>
      <c r="BK38" s="460">
        <v>16126394</v>
      </c>
      <c r="BL38" s="1299">
        <v>19.899999999999999</v>
      </c>
      <c r="BM38" s="1299">
        <v>7</v>
      </c>
      <c r="BN38" s="1299">
        <v>0</v>
      </c>
      <c r="BO38" s="1299">
        <v>0</v>
      </c>
      <c r="BP38" s="1299">
        <v>36</v>
      </c>
      <c r="BQ38" s="1299">
        <v>0</v>
      </c>
      <c r="BR38" s="1299">
        <v>0</v>
      </c>
      <c r="BS38" s="1299">
        <v>0</v>
      </c>
      <c r="BT38" s="1299">
        <v>0</v>
      </c>
    </row>
    <row r="39" spans="1:72" s="22" customFormat="1" ht="26.25" customHeight="1">
      <c r="A39" s="464">
        <f>SUBTOTAL(3,B$4:B39)</f>
        <v>36</v>
      </c>
      <c r="B39" s="465" t="s">
        <v>221</v>
      </c>
      <c r="C39" s="466" t="s">
        <v>258</v>
      </c>
      <c r="D39" s="467" t="s">
        <v>454</v>
      </c>
      <c r="E39" s="468">
        <f>COUNTIFS('Salary sheet'!$F$6:$F$2288,C39,'Salary sheet'!$E$6:$E$2288,B39)</f>
        <v>20</v>
      </c>
      <c r="F39" s="460">
        <f>+SUMIFS('Salary sheet'!$AN$6:$AN$1292,'Salary sheet'!$F$6:$F$1292,'So sánh giờ'!C39,'Salary sheet'!$E$6:$E$1292,'So sánh giờ'!B39)</f>
        <v>190236008</v>
      </c>
      <c r="G39" s="460">
        <f>+SUMIFS('Salary sheet'!$AO$6:$AO$2288,'Salary sheet'!$F$6:$F$2288,C39,'Salary sheet'!$E$6:$E$2288,B39)</f>
        <v>12750045</v>
      </c>
      <c r="H39" s="460">
        <f>+SUMIFS('Salary sheet'!$AP$6:$AP$2288,'Salary sheet'!$F$6:$F$2288,C39,'Salary sheet'!$E$6:$E$2288,B39)</f>
        <v>837900</v>
      </c>
      <c r="I39" s="460">
        <f>+SUMIFS('Salary sheet'!$AQ$6:$AQ$2288,'Salary sheet'!$F$6:$F$2288,C39,'Salary sheet'!$E$6:$E$2288,B39)</f>
        <v>44933</v>
      </c>
      <c r="J39" s="460">
        <f>+SUMIFS('Salary sheet'!$AR$6:$AR$2288,'Salary sheet'!$F$6:$F$2288,C39,'Salary sheet'!$E$6:$E$2288,B39)</f>
        <v>0</v>
      </c>
      <c r="K39" s="460">
        <f>SUMIFS('Salary sheet'!$AS$6:$AS$1291,'Salary sheet'!$F$6:$F$1291,'So sánh giờ'!C39)</f>
        <v>0</v>
      </c>
      <c r="L39" s="460">
        <f t="shared" si="0"/>
        <v>176603130</v>
      </c>
      <c r="M39" s="1299">
        <f>SUMIFS('Salary sheet'!$M$6:$M$13045,'Salary sheet'!$F$6:$F$13045,'So sánh giờ'!$C39)</f>
        <v>438.7</v>
      </c>
      <c r="N39" s="1299">
        <f>SUMIFS('Salary sheet'!$O$6:$O$13045,'Salary sheet'!$F$6:$F$13045,'So sánh giờ'!$C39)</f>
        <v>46</v>
      </c>
      <c r="O39" s="1299">
        <f>SUMIFS('Salary sheet'!$AA$6:$AA$13045,'Salary sheet'!$F$6:$F$13045,'So sánh giờ'!$C39)</f>
        <v>0</v>
      </c>
      <c r="P39" s="1299">
        <f>SUMIFS('Salary sheet'!$Q$6:$Q$13045,'Salary sheet'!$F$6:$F$13045,'So sánh giờ'!$C39)</f>
        <v>0</v>
      </c>
      <c r="Q39" s="1299">
        <f>SUMIFS('Salary sheet'!$AH$6:$AH$13045,'Salary sheet'!$F$6:$F$13045,'So sánh giờ'!$C39)</f>
        <v>944.5</v>
      </c>
      <c r="R39" s="1299">
        <f>SUMIFS('Salary sheet'!$AI$6:$AI$13045,'Salary sheet'!$F$6:$F$13045,'So sánh giờ'!$C39)</f>
        <v>0</v>
      </c>
      <c r="S39" s="1299">
        <f>SUMIFS('Salary sheet'!$AJ$6:$AJ$13045,'Salary sheet'!$F$6:$F$13045,'So sánh giờ'!$C39)</f>
        <v>0</v>
      </c>
      <c r="T39" s="1299">
        <f>SUMIFS('Salary sheet'!$AK$6:$AK$13045,'Salary sheet'!$F$6:$F$13045,'So sánh giờ'!$C39)</f>
        <v>0</v>
      </c>
      <c r="U39" s="1299">
        <f>SUMIFS('Salary sheet'!$AL$6:$AL$13045,'Salary sheet'!$F$6:$F$13045,'So sánh giờ'!$C39)</f>
        <v>0</v>
      </c>
      <c r="V39" s="1394">
        <v>19</v>
      </c>
      <c r="W39" s="1392">
        <v>170807824</v>
      </c>
      <c r="X39" s="1392">
        <v>12671295</v>
      </c>
      <c r="Y39" s="1392">
        <v>837900</v>
      </c>
      <c r="Z39" s="1392">
        <v>0</v>
      </c>
      <c r="AA39" s="1392">
        <v>10000</v>
      </c>
      <c r="AB39" s="1392">
        <v>0</v>
      </c>
      <c r="AC39" s="1392">
        <v>157288629</v>
      </c>
      <c r="AD39" s="1395">
        <v>470.6</v>
      </c>
      <c r="AE39" s="1395">
        <v>0</v>
      </c>
      <c r="AF39" s="1395">
        <v>0</v>
      </c>
      <c r="AG39" s="1395">
        <v>0</v>
      </c>
      <c r="AH39" s="1395">
        <v>543</v>
      </c>
      <c r="AI39" s="1395">
        <v>0</v>
      </c>
      <c r="AJ39" s="1395">
        <v>0</v>
      </c>
      <c r="AK39" s="1395">
        <v>0</v>
      </c>
      <c r="AL39" s="1395">
        <v>0</v>
      </c>
      <c r="AM39" s="1376">
        <v>20</v>
      </c>
      <c r="AN39" s="1374">
        <v>160241181</v>
      </c>
      <c r="AO39" s="1374">
        <v>12658695</v>
      </c>
      <c r="AP39" s="1374">
        <v>882000</v>
      </c>
      <c r="AQ39" s="1374">
        <v>0</v>
      </c>
      <c r="AR39" s="1374">
        <v>395000</v>
      </c>
      <c r="AS39" s="1374">
        <v>0</v>
      </c>
      <c r="AT39" s="1374">
        <v>146305486</v>
      </c>
      <c r="AU39" s="1377">
        <v>405.4</v>
      </c>
      <c r="AV39" s="1377">
        <v>40</v>
      </c>
      <c r="AW39" s="1377">
        <v>0</v>
      </c>
      <c r="AX39" s="1377">
        <v>0</v>
      </c>
      <c r="AY39" s="1377">
        <v>280</v>
      </c>
      <c r="AZ39" s="1377">
        <v>0</v>
      </c>
      <c r="BA39" s="1377">
        <v>0</v>
      </c>
      <c r="BB39" s="1377">
        <v>0</v>
      </c>
      <c r="BC39" s="1377">
        <v>0</v>
      </c>
      <c r="BD39" s="468">
        <v>20</v>
      </c>
      <c r="BE39" s="460">
        <v>280054701</v>
      </c>
      <c r="BF39" s="460">
        <v>13251000</v>
      </c>
      <c r="BG39" s="460">
        <v>882000</v>
      </c>
      <c r="BH39" s="460">
        <v>2088967</v>
      </c>
      <c r="BI39" s="460">
        <v>0</v>
      </c>
      <c r="BJ39" s="460">
        <v>0</v>
      </c>
      <c r="BK39" s="460">
        <v>263832734</v>
      </c>
      <c r="BL39" s="1299">
        <v>385.89999999999992</v>
      </c>
      <c r="BM39" s="1299">
        <v>140</v>
      </c>
      <c r="BN39" s="1299">
        <v>0</v>
      </c>
      <c r="BO39" s="1299">
        <v>0</v>
      </c>
      <c r="BP39" s="1299">
        <v>624</v>
      </c>
      <c r="BQ39" s="1299">
        <v>0</v>
      </c>
      <c r="BR39" s="1299">
        <v>0</v>
      </c>
      <c r="BS39" s="1299">
        <v>0</v>
      </c>
      <c r="BT39" s="1299">
        <v>0</v>
      </c>
    </row>
    <row r="40" spans="1:72" s="22" customFormat="1" ht="26.25" customHeight="1">
      <c r="A40" s="464">
        <f>SUBTOTAL(3,B$4:B40)</f>
        <v>37</v>
      </c>
      <c r="B40" s="465" t="s">
        <v>221</v>
      </c>
      <c r="C40" s="466" t="s">
        <v>259</v>
      </c>
      <c r="D40" s="467" t="s">
        <v>455</v>
      </c>
      <c r="E40" s="468">
        <f>COUNTIFS('Salary sheet'!$F$6:$F$2288,C40,'Salary sheet'!$E$6:$E$2288,B40)</f>
        <v>12</v>
      </c>
      <c r="F40" s="460">
        <f>+SUMIFS('Salary sheet'!$AN$6:$AN$1292,'Salary sheet'!$F$6:$F$1292,'So sánh giờ'!C40,'Salary sheet'!$E$6:$E$1292,'So sánh giờ'!B40)</f>
        <v>120531607</v>
      </c>
      <c r="G40" s="460">
        <f>+SUMIFS('Salary sheet'!$AO$6:$AO$2288,'Salary sheet'!$F$6:$F$2288,C40,'Salary sheet'!$E$6:$E$2288,B40)</f>
        <v>6956670</v>
      </c>
      <c r="H40" s="460">
        <f>+SUMIFS('Salary sheet'!$AP$6:$AP$2288,'Salary sheet'!$F$6:$F$2288,C40,'Salary sheet'!$E$6:$E$2288,B40)</f>
        <v>396900</v>
      </c>
      <c r="I40" s="460">
        <f>+SUMIFS('Salary sheet'!$AQ$6:$AQ$2288,'Salary sheet'!$F$6:$F$2288,C40,'Salary sheet'!$E$6:$E$2288,B40)</f>
        <v>51615</v>
      </c>
      <c r="J40" s="460">
        <f>+SUMIFS('Salary sheet'!$AR$6:$AR$2288,'Salary sheet'!$F$6:$F$2288,C40,'Salary sheet'!$E$6:$E$2288,B40)</f>
        <v>0</v>
      </c>
      <c r="K40" s="460">
        <f>SUMIFS('Salary sheet'!$AS$6:$AS$1291,'Salary sheet'!$F$6:$F$1291,'So sánh giờ'!C40)</f>
        <v>0</v>
      </c>
      <c r="L40" s="460">
        <f t="shared" si="0"/>
        <v>113126422</v>
      </c>
      <c r="M40" s="1299">
        <f>SUMIFS('Salary sheet'!$M$6:$M$13045,'Salary sheet'!$F$6:$F$13045,'So sánh giờ'!$C40)</f>
        <v>275.70000000000005</v>
      </c>
      <c r="N40" s="1299">
        <f>SUMIFS('Salary sheet'!$O$6:$O$13045,'Salary sheet'!$F$6:$F$13045,'So sánh giờ'!$C40)</f>
        <v>26</v>
      </c>
      <c r="O40" s="1299">
        <f>SUMIFS('Salary sheet'!$AA$6:$AA$13045,'Salary sheet'!$F$6:$F$13045,'So sánh giờ'!$C40)</f>
        <v>0</v>
      </c>
      <c r="P40" s="1299">
        <f>SUMIFS('Salary sheet'!$Q$6:$Q$13045,'Salary sheet'!$F$6:$F$13045,'So sánh giờ'!$C40)</f>
        <v>0</v>
      </c>
      <c r="Q40" s="1299">
        <f>SUMIFS('Salary sheet'!$AH$6:$AH$13045,'Salary sheet'!$F$6:$F$13045,'So sánh giờ'!$C40)</f>
        <v>620</v>
      </c>
      <c r="R40" s="1299">
        <f>SUMIFS('Salary sheet'!$AI$6:$AI$13045,'Salary sheet'!$F$6:$F$13045,'So sánh giờ'!$C40)</f>
        <v>0</v>
      </c>
      <c r="S40" s="1299">
        <f>SUMIFS('Salary sheet'!$AJ$6:$AJ$13045,'Salary sheet'!$F$6:$F$13045,'So sánh giờ'!$C40)</f>
        <v>0</v>
      </c>
      <c r="T40" s="1299">
        <f>SUMIFS('Salary sheet'!$AK$6:$AK$13045,'Salary sheet'!$F$6:$F$13045,'So sánh giờ'!$C40)</f>
        <v>0</v>
      </c>
      <c r="U40" s="1299">
        <f>SUMIFS('Salary sheet'!$AL$6:$AL$13045,'Salary sheet'!$F$6:$F$13045,'So sánh giờ'!$C40)</f>
        <v>0</v>
      </c>
      <c r="V40" s="1394">
        <v>12</v>
      </c>
      <c r="W40" s="1392">
        <v>99528474</v>
      </c>
      <c r="X40" s="1392">
        <v>6881070</v>
      </c>
      <c r="Y40" s="1392">
        <v>396900</v>
      </c>
      <c r="Z40" s="1392">
        <v>7270</v>
      </c>
      <c r="AA40" s="1392">
        <v>10000</v>
      </c>
      <c r="AB40" s="1392">
        <v>0</v>
      </c>
      <c r="AC40" s="1392">
        <v>92233234</v>
      </c>
      <c r="AD40" s="1395">
        <v>271.7</v>
      </c>
      <c r="AE40" s="1395">
        <v>0</v>
      </c>
      <c r="AF40" s="1395">
        <v>0</v>
      </c>
      <c r="AG40" s="1395">
        <v>0</v>
      </c>
      <c r="AH40" s="1395">
        <v>335</v>
      </c>
      <c r="AI40" s="1395">
        <v>0</v>
      </c>
      <c r="AJ40" s="1395">
        <v>0</v>
      </c>
      <c r="AK40" s="1395">
        <v>0</v>
      </c>
      <c r="AL40" s="1395">
        <v>0</v>
      </c>
      <c r="AM40" s="1376">
        <v>10</v>
      </c>
      <c r="AN40" s="1374">
        <v>84554057</v>
      </c>
      <c r="AO40" s="1374">
        <v>6873825</v>
      </c>
      <c r="AP40" s="1374">
        <v>396900</v>
      </c>
      <c r="AQ40" s="1374">
        <v>0</v>
      </c>
      <c r="AR40" s="1374">
        <v>135000</v>
      </c>
      <c r="AS40" s="1374">
        <v>0</v>
      </c>
      <c r="AT40" s="1374">
        <v>77148332</v>
      </c>
      <c r="AU40" s="1377">
        <v>210.29999999999998</v>
      </c>
      <c r="AV40" s="1377">
        <v>20</v>
      </c>
      <c r="AW40" s="1377">
        <v>0</v>
      </c>
      <c r="AX40" s="1377">
        <v>0</v>
      </c>
      <c r="AY40" s="1377">
        <v>160</v>
      </c>
      <c r="AZ40" s="1377">
        <v>0</v>
      </c>
      <c r="BA40" s="1377">
        <v>0</v>
      </c>
      <c r="BB40" s="1377">
        <v>0</v>
      </c>
      <c r="BC40" s="1377">
        <v>0</v>
      </c>
      <c r="BD40" s="468">
        <v>10</v>
      </c>
      <c r="BE40" s="460">
        <v>148671777</v>
      </c>
      <c r="BF40" s="460">
        <v>6798855</v>
      </c>
      <c r="BG40" s="460">
        <v>352800</v>
      </c>
      <c r="BH40" s="460">
        <v>1470278</v>
      </c>
      <c r="BI40" s="460">
        <v>0</v>
      </c>
      <c r="BJ40" s="460">
        <v>0</v>
      </c>
      <c r="BK40" s="460">
        <v>140049844</v>
      </c>
      <c r="BL40" s="1299">
        <v>190.2</v>
      </c>
      <c r="BM40" s="1299">
        <v>70</v>
      </c>
      <c r="BN40" s="1299">
        <v>0</v>
      </c>
      <c r="BO40" s="1299">
        <v>0</v>
      </c>
      <c r="BP40" s="1299">
        <v>352</v>
      </c>
      <c r="BQ40" s="1299">
        <v>0</v>
      </c>
      <c r="BR40" s="1299">
        <v>0</v>
      </c>
      <c r="BS40" s="1299">
        <v>0</v>
      </c>
      <c r="BT40" s="1299">
        <v>0</v>
      </c>
    </row>
    <row r="41" spans="1:72" s="22" customFormat="1" ht="26.25" customHeight="1">
      <c r="A41" s="464">
        <f>SUBTOTAL(3,B$4:B41)</f>
        <v>38</v>
      </c>
      <c r="B41" s="465" t="s">
        <v>221</v>
      </c>
      <c r="C41" s="466" t="s">
        <v>260</v>
      </c>
      <c r="D41" s="467" t="s">
        <v>456</v>
      </c>
      <c r="E41" s="468">
        <f>COUNTIFS('Salary sheet'!$F$6:$F$2288,C41,'Salary sheet'!$E$6:$E$2288,B41)</f>
        <v>4</v>
      </c>
      <c r="F41" s="460">
        <f>+SUMIFS('Salary sheet'!$AN$6:$AN$1292,'Salary sheet'!$F$6:$F$1292,'So sánh giờ'!C41,'Salary sheet'!$E$6:$E$1292,'So sánh giờ'!B41)</f>
        <v>93434854</v>
      </c>
      <c r="G41" s="460">
        <f>+SUMIFS('Salary sheet'!$AO$6:$AO$2288,'Salary sheet'!$F$6:$F$2288,C41,'Salary sheet'!$E$6:$E$2288,B41)</f>
        <v>7950705</v>
      </c>
      <c r="H41" s="460">
        <f>+SUMIFS('Salary sheet'!$AP$6:$AP$2288,'Salary sheet'!$F$6:$F$2288,C41,'Salary sheet'!$E$6:$E$2288,B41)</f>
        <v>176400</v>
      </c>
      <c r="I41" s="460">
        <f>+SUMIFS('Salary sheet'!$AQ$6:$AQ$2288,'Salary sheet'!$F$6:$F$2288,C41,'Salary sheet'!$E$6:$E$2288,B41)</f>
        <v>140095</v>
      </c>
      <c r="J41" s="460">
        <f>+SUMIFS('Salary sheet'!$AR$6:$AR$2288,'Salary sheet'!$F$6:$F$2288,C41,'Salary sheet'!$E$6:$E$2288,B41)</f>
        <v>0</v>
      </c>
      <c r="K41" s="460">
        <f>SUMIFS('Salary sheet'!$AS$6:$AS$1291,'Salary sheet'!$F$6:$F$1291,'So sánh giờ'!C41)</f>
        <v>0</v>
      </c>
      <c r="L41" s="460">
        <f t="shared" si="0"/>
        <v>85167654</v>
      </c>
      <c r="M41" s="1299">
        <f>SUMIFS('Salary sheet'!$M$6:$M$13045,'Salary sheet'!$F$6:$F$13045,'So sánh giờ'!$C41)</f>
        <v>91.9</v>
      </c>
      <c r="N41" s="1299">
        <f>SUMIFS('Salary sheet'!$O$6:$O$13045,'Salary sheet'!$F$6:$F$13045,'So sánh giờ'!$C41)</f>
        <v>10</v>
      </c>
      <c r="O41" s="1299">
        <f>SUMIFS('Salary sheet'!$AA$6:$AA$13045,'Salary sheet'!$F$6:$F$13045,'So sánh giờ'!$C41)</f>
        <v>0</v>
      </c>
      <c r="P41" s="1299">
        <f>SUMIFS('Salary sheet'!$Q$6:$Q$13045,'Salary sheet'!$F$6:$F$13045,'So sánh giờ'!$C41)</f>
        <v>0</v>
      </c>
      <c r="Q41" s="1299">
        <f>SUMIFS('Salary sheet'!$AH$6:$AH$13045,'Salary sheet'!$F$6:$F$13045,'So sánh giờ'!$C41)</f>
        <v>130</v>
      </c>
      <c r="R41" s="1299">
        <f>SUMIFS('Salary sheet'!$AI$6:$AI$13045,'Salary sheet'!$F$6:$F$13045,'So sánh giờ'!$C41)</f>
        <v>0</v>
      </c>
      <c r="S41" s="1299">
        <f>SUMIFS('Salary sheet'!$AJ$6:$AJ$13045,'Salary sheet'!$F$6:$F$13045,'So sánh giờ'!$C41)</f>
        <v>0</v>
      </c>
      <c r="T41" s="1299">
        <f>SUMIFS('Salary sheet'!$AK$6:$AK$13045,'Salary sheet'!$F$6:$F$13045,'So sánh giờ'!$C41)</f>
        <v>0</v>
      </c>
      <c r="U41" s="1299">
        <f>SUMIFS('Salary sheet'!$AL$6:$AL$13045,'Salary sheet'!$F$6:$F$13045,'So sánh giờ'!$C41)</f>
        <v>0</v>
      </c>
      <c r="V41" s="1394">
        <v>4</v>
      </c>
      <c r="W41" s="1392">
        <v>87378650</v>
      </c>
      <c r="X41" s="1392">
        <v>7950705</v>
      </c>
      <c r="Y41" s="1392">
        <v>176400</v>
      </c>
      <c r="Z41" s="1392">
        <v>92353</v>
      </c>
      <c r="AA41" s="1392">
        <v>0</v>
      </c>
      <c r="AB41" s="1392">
        <v>0</v>
      </c>
      <c r="AC41" s="1392">
        <v>79159192</v>
      </c>
      <c r="AD41" s="1395">
        <v>99.7</v>
      </c>
      <c r="AE41" s="1395">
        <v>0</v>
      </c>
      <c r="AF41" s="1395">
        <v>0</v>
      </c>
      <c r="AG41" s="1395">
        <v>0</v>
      </c>
      <c r="AH41" s="1395">
        <v>92</v>
      </c>
      <c r="AI41" s="1395">
        <v>0</v>
      </c>
      <c r="AJ41" s="1395">
        <v>0</v>
      </c>
      <c r="AK41" s="1395">
        <v>0</v>
      </c>
      <c r="AL41" s="1395">
        <v>0</v>
      </c>
      <c r="AM41" s="1376">
        <v>5</v>
      </c>
      <c r="AN41" s="1374">
        <v>98381181</v>
      </c>
      <c r="AO41" s="1374">
        <v>9511635</v>
      </c>
      <c r="AP41" s="1374">
        <v>220500</v>
      </c>
      <c r="AQ41" s="1374">
        <v>240158</v>
      </c>
      <c r="AR41" s="1374">
        <v>310000</v>
      </c>
      <c r="AS41" s="1374">
        <v>0</v>
      </c>
      <c r="AT41" s="1374">
        <v>88098888</v>
      </c>
      <c r="AU41" s="1377">
        <v>104</v>
      </c>
      <c r="AV41" s="1377">
        <v>10</v>
      </c>
      <c r="AW41" s="1377">
        <v>0</v>
      </c>
      <c r="AX41" s="1377">
        <v>0</v>
      </c>
      <c r="AY41" s="1377">
        <v>56</v>
      </c>
      <c r="AZ41" s="1377">
        <v>0</v>
      </c>
      <c r="BA41" s="1377">
        <v>0</v>
      </c>
      <c r="BB41" s="1377">
        <v>0</v>
      </c>
      <c r="BC41" s="1377">
        <v>0</v>
      </c>
      <c r="BD41" s="468">
        <v>5</v>
      </c>
      <c r="BE41" s="460">
        <v>168389347</v>
      </c>
      <c r="BF41" s="460">
        <v>9407160</v>
      </c>
      <c r="BG41" s="460">
        <v>220500</v>
      </c>
      <c r="BH41" s="460">
        <v>6620631</v>
      </c>
      <c r="BI41" s="460">
        <v>0</v>
      </c>
      <c r="BJ41" s="460">
        <v>0</v>
      </c>
      <c r="BK41" s="460">
        <v>152141056</v>
      </c>
      <c r="BL41" s="1299">
        <v>93.1</v>
      </c>
      <c r="BM41" s="1299">
        <v>35</v>
      </c>
      <c r="BN41" s="1299">
        <v>0</v>
      </c>
      <c r="BO41" s="1299">
        <v>0</v>
      </c>
      <c r="BP41" s="1299">
        <v>132</v>
      </c>
      <c r="BQ41" s="1299">
        <v>0</v>
      </c>
      <c r="BR41" s="1299">
        <v>0</v>
      </c>
      <c r="BS41" s="1299">
        <v>0</v>
      </c>
      <c r="BT41" s="1299">
        <v>0</v>
      </c>
    </row>
    <row r="42" spans="1:72" s="22" customFormat="1" ht="26.25" customHeight="1">
      <c r="A42" s="464">
        <f>SUBTOTAL(3,B$4:B42)</f>
        <v>39</v>
      </c>
      <c r="B42" s="465" t="s">
        <v>221</v>
      </c>
      <c r="C42" s="466" t="s">
        <v>261</v>
      </c>
      <c r="D42" s="467" t="s">
        <v>457</v>
      </c>
      <c r="E42" s="468">
        <f>COUNTIFS('Salary sheet'!$F$6:$F$2288,C42,'Salary sheet'!$E$6:$E$2288,B42)</f>
        <v>10</v>
      </c>
      <c r="F42" s="460">
        <f>+SUMIFS('Salary sheet'!$AN$6:$AN$1292,'Salary sheet'!$F$6:$F$1292,'So sánh giờ'!C42,'Salary sheet'!$E$6:$E$1292,'So sánh giờ'!B42)</f>
        <v>89405208</v>
      </c>
      <c r="G42" s="460">
        <f>+SUMIFS('Salary sheet'!$AO$6:$AO$2288,'Salary sheet'!$F$6:$F$2288,C42,'Salary sheet'!$E$6:$E$2288,B42)</f>
        <v>6387990</v>
      </c>
      <c r="H42" s="460">
        <f>+SUMIFS('Salary sheet'!$AP$6:$AP$2288,'Salary sheet'!$F$6:$F$2288,C42,'Salary sheet'!$E$6:$E$2288,B42)</f>
        <v>396900</v>
      </c>
      <c r="I42" s="460">
        <f>+SUMIFS('Salary sheet'!$AQ$6:$AQ$2288,'Salary sheet'!$F$6:$F$2288,C42,'Salary sheet'!$E$6:$E$2288,B42)</f>
        <v>0</v>
      </c>
      <c r="J42" s="460">
        <f>+SUMIFS('Salary sheet'!$AR$6:$AR$2288,'Salary sheet'!$F$6:$F$2288,C42,'Salary sheet'!$E$6:$E$2288,B42)</f>
        <v>0</v>
      </c>
      <c r="K42" s="460">
        <f>SUMIFS('Salary sheet'!$AS$6:$AS$1291,'Salary sheet'!$F$6:$F$1291,'So sánh giờ'!C42)</f>
        <v>0</v>
      </c>
      <c r="L42" s="460">
        <f t="shared" si="0"/>
        <v>82620318</v>
      </c>
      <c r="M42" s="1299">
        <f>SUMIFS('Salary sheet'!$M$6:$M$13045,'Salary sheet'!$F$6:$F$13045,'So sánh giờ'!$C42)</f>
        <v>208.6</v>
      </c>
      <c r="N42" s="1299">
        <f>SUMIFS('Salary sheet'!$O$6:$O$13045,'Salary sheet'!$F$6:$F$13045,'So sánh giờ'!$C42)</f>
        <v>22</v>
      </c>
      <c r="O42" s="1299">
        <f>SUMIFS('Salary sheet'!$AA$6:$AA$13045,'Salary sheet'!$F$6:$F$13045,'So sánh giờ'!$C42)</f>
        <v>0</v>
      </c>
      <c r="P42" s="1299">
        <f>SUMIFS('Salary sheet'!$Q$6:$Q$13045,'Salary sheet'!$F$6:$F$13045,'So sánh giờ'!$C42)</f>
        <v>0</v>
      </c>
      <c r="Q42" s="1299">
        <f>SUMIFS('Salary sheet'!$AH$6:$AH$13045,'Salary sheet'!$F$6:$F$13045,'So sánh giờ'!$C42)</f>
        <v>361.5</v>
      </c>
      <c r="R42" s="1299">
        <f>SUMIFS('Salary sheet'!$AI$6:$AI$13045,'Salary sheet'!$F$6:$F$13045,'So sánh giờ'!$C42)</f>
        <v>0</v>
      </c>
      <c r="S42" s="1299">
        <f>SUMIFS('Salary sheet'!$AJ$6:$AJ$13045,'Salary sheet'!$F$6:$F$13045,'So sánh giờ'!$C42)</f>
        <v>0</v>
      </c>
      <c r="T42" s="1299">
        <f>SUMIFS('Salary sheet'!$AK$6:$AK$13045,'Salary sheet'!$F$6:$F$13045,'So sánh giờ'!$C42)</f>
        <v>0</v>
      </c>
      <c r="U42" s="1299">
        <f>SUMIFS('Salary sheet'!$AL$6:$AL$13045,'Salary sheet'!$F$6:$F$13045,'So sánh giờ'!$C42)</f>
        <v>0</v>
      </c>
      <c r="V42" s="1394">
        <v>10</v>
      </c>
      <c r="W42" s="1392">
        <v>83983068</v>
      </c>
      <c r="X42" s="1392">
        <v>6873615</v>
      </c>
      <c r="Y42" s="1392">
        <v>441000</v>
      </c>
      <c r="Z42" s="1392">
        <v>0</v>
      </c>
      <c r="AA42" s="1392">
        <v>10000</v>
      </c>
      <c r="AB42" s="1392">
        <v>0</v>
      </c>
      <c r="AC42" s="1392">
        <v>76658453</v>
      </c>
      <c r="AD42" s="1395">
        <v>241.5</v>
      </c>
      <c r="AE42" s="1395">
        <v>0</v>
      </c>
      <c r="AF42" s="1395">
        <v>0</v>
      </c>
      <c r="AG42" s="1395">
        <v>0</v>
      </c>
      <c r="AH42" s="1395">
        <v>236</v>
      </c>
      <c r="AI42" s="1395">
        <v>0</v>
      </c>
      <c r="AJ42" s="1395">
        <v>0</v>
      </c>
      <c r="AK42" s="1395">
        <v>0</v>
      </c>
      <c r="AL42" s="1395">
        <v>0</v>
      </c>
      <c r="AM42" s="1376">
        <v>12</v>
      </c>
      <c r="AN42" s="1374">
        <v>89592536</v>
      </c>
      <c r="AO42" s="1374">
        <v>7325745</v>
      </c>
      <c r="AP42" s="1374">
        <v>529200</v>
      </c>
      <c r="AQ42" s="1374">
        <v>0</v>
      </c>
      <c r="AR42" s="1374">
        <v>195000</v>
      </c>
      <c r="AS42" s="1374">
        <v>211500</v>
      </c>
      <c r="AT42" s="1374">
        <v>81331091</v>
      </c>
      <c r="AU42" s="1377">
        <v>234.9</v>
      </c>
      <c r="AV42" s="1377">
        <v>24</v>
      </c>
      <c r="AW42" s="1377">
        <v>0</v>
      </c>
      <c r="AX42" s="1377">
        <v>0</v>
      </c>
      <c r="AY42" s="1377">
        <v>140</v>
      </c>
      <c r="AZ42" s="1377">
        <v>0</v>
      </c>
      <c r="BA42" s="1377">
        <v>0</v>
      </c>
      <c r="BB42" s="1377">
        <v>0</v>
      </c>
      <c r="BC42" s="1377">
        <v>0</v>
      </c>
      <c r="BD42" s="468">
        <v>12</v>
      </c>
      <c r="BE42" s="460">
        <v>145315283</v>
      </c>
      <c r="BF42" s="460">
        <v>6843270</v>
      </c>
      <c r="BG42" s="460">
        <v>441000</v>
      </c>
      <c r="BH42" s="460">
        <v>325497</v>
      </c>
      <c r="BI42" s="460">
        <v>70000</v>
      </c>
      <c r="BJ42" s="460">
        <v>0</v>
      </c>
      <c r="BK42" s="460">
        <v>137635516</v>
      </c>
      <c r="BL42" s="1299">
        <v>224.10000000000005</v>
      </c>
      <c r="BM42" s="1299">
        <v>83</v>
      </c>
      <c r="BN42" s="1299">
        <v>0</v>
      </c>
      <c r="BO42" s="1299">
        <v>0</v>
      </c>
      <c r="BP42" s="1299">
        <v>316</v>
      </c>
      <c r="BQ42" s="1299">
        <v>0</v>
      </c>
      <c r="BR42" s="1299">
        <v>0</v>
      </c>
      <c r="BS42" s="1299">
        <v>0</v>
      </c>
      <c r="BT42" s="1299">
        <v>0</v>
      </c>
    </row>
    <row r="43" spans="1:72" s="22" customFormat="1" ht="26.25" customHeight="1">
      <c r="A43" s="464">
        <f>SUBTOTAL(3,B$4:B43)</f>
        <v>40</v>
      </c>
      <c r="B43" s="465" t="s">
        <v>221</v>
      </c>
      <c r="C43" s="466" t="s">
        <v>262</v>
      </c>
      <c r="D43" s="467" t="s">
        <v>458</v>
      </c>
      <c r="E43" s="468">
        <f>COUNTIFS('Salary sheet'!$F$6:$F$2288,C43,'Salary sheet'!$E$6:$E$2288,B43)</f>
        <v>4</v>
      </c>
      <c r="F43" s="460">
        <f>+SUMIFS('Salary sheet'!$AN$6:$AN$1292,'Salary sheet'!$F$6:$F$1292,'So sánh giờ'!C43,'Salary sheet'!$E$6:$E$1292,'So sánh giờ'!B43)</f>
        <v>43307324</v>
      </c>
      <c r="G43" s="460">
        <f>+SUMIFS('Salary sheet'!$AO$6:$AO$2288,'Salary sheet'!$F$6:$F$2288,C43,'Salary sheet'!$E$6:$E$2288,B43)</f>
        <v>2795100</v>
      </c>
      <c r="H43" s="460">
        <f>+SUMIFS('Salary sheet'!$AP$6:$AP$2288,'Salary sheet'!$F$6:$F$2288,C43,'Salary sheet'!$E$6:$E$2288,B43)</f>
        <v>176400</v>
      </c>
      <c r="I43" s="460">
        <f>+SUMIFS('Salary sheet'!$AQ$6:$AQ$2288,'Salary sheet'!$F$6:$F$2288,C43,'Salary sheet'!$E$6:$E$2288,B43)</f>
        <v>0</v>
      </c>
      <c r="J43" s="460">
        <f>+SUMIFS('Salary sheet'!$AR$6:$AR$2288,'Salary sheet'!$F$6:$F$2288,C43,'Salary sheet'!$E$6:$E$2288,B43)</f>
        <v>0</v>
      </c>
      <c r="K43" s="460">
        <f>SUMIFS('Salary sheet'!$AS$6:$AS$1291,'Salary sheet'!$F$6:$F$1291,'So sánh giờ'!C43)</f>
        <v>0</v>
      </c>
      <c r="L43" s="460">
        <f t="shared" si="0"/>
        <v>40335824</v>
      </c>
      <c r="M43" s="1299">
        <f>SUMIFS('Salary sheet'!$M$6:$M$13045,'Salary sheet'!$F$6:$F$13045,'So sánh giờ'!$C43)</f>
        <v>95.5</v>
      </c>
      <c r="N43" s="1299">
        <f>SUMIFS('Salary sheet'!$O$6:$O$13045,'Salary sheet'!$F$6:$F$13045,'So sánh giờ'!$C43)</f>
        <v>8</v>
      </c>
      <c r="O43" s="1299">
        <f>SUMIFS('Salary sheet'!$AA$6:$AA$13045,'Salary sheet'!$F$6:$F$13045,'So sánh giờ'!$C43)</f>
        <v>0</v>
      </c>
      <c r="P43" s="1299">
        <f>SUMIFS('Salary sheet'!$Q$6:$Q$13045,'Salary sheet'!$F$6:$F$13045,'So sánh giờ'!$C43)</f>
        <v>0</v>
      </c>
      <c r="Q43" s="1299">
        <f>SUMIFS('Salary sheet'!$AH$6:$AH$13045,'Salary sheet'!$F$6:$F$13045,'So sánh giờ'!$C43)</f>
        <v>216</v>
      </c>
      <c r="R43" s="1299">
        <f>SUMIFS('Salary sheet'!$AI$6:$AI$13045,'Salary sheet'!$F$6:$F$13045,'So sánh giờ'!$C43)</f>
        <v>0</v>
      </c>
      <c r="S43" s="1299">
        <f>SUMIFS('Salary sheet'!$AJ$6:$AJ$13045,'Salary sheet'!$F$6:$F$13045,'So sánh giờ'!$C43)</f>
        <v>0</v>
      </c>
      <c r="T43" s="1299">
        <f>SUMIFS('Salary sheet'!$AK$6:$AK$13045,'Salary sheet'!$F$6:$F$13045,'So sánh giờ'!$C43)</f>
        <v>0</v>
      </c>
      <c r="U43" s="1299">
        <f>SUMIFS('Salary sheet'!$AL$6:$AL$13045,'Salary sheet'!$F$6:$F$13045,'So sánh giờ'!$C43)</f>
        <v>0</v>
      </c>
      <c r="V43" s="1394">
        <v>4</v>
      </c>
      <c r="W43" s="1392">
        <v>32034959</v>
      </c>
      <c r="X43" s="1392">
        <v>2078055</v>
      </c>
      <c r="Y43" s="1392">
        <v>176400</v>
      </c>
      <c r="Z43" s="1392">
        <v>0</v>
      </c>
      <c r="AA43" s="1392">
        <v>0</v>
      </c>
      <c r="AB43" s="1392">
        <v>0</v>
      </c>
      <c r="AC43" s="1392">
        <v>29780504</v>
      </c>
      <c r="AD43" s="1395">
        <v>86</v>
      </c>
      <c r="AE43" s="1395">
        <v>0</v>
      </c>
      <c r="AF43" s="1395">
        <v>0</v>
      </c>
      <c r="AG43" s="1395">
        <v>0</v>
      </c>
      <c r="AH43" s="1395">
        <v>108</v>
      </c>
      <c r="AI43" s="1395">
        <v>0</v>
      </c>
      <c r="AJ43" s="1395">
        <v>0</v>
      </c>
      <c r="AK43" s="1395">
        <v>0</v>
      </c>
      <c r="AL43" s="1395">
        <v>0</v>
      </c>
      <c r="AM43" s="1376">
        <v>4</v>
      </c>
      <c r="AN43" s="1374">
        <v>32997805</v>
      </c>
      <c r="AO43" s="1374">
        <v>2795100</v>
      </c>
      <c r="AP43" s="1374">
        <v>176400</v>
      </c>
      <c r="AQ43" s="1374">
        <v>0</v>
      </c>
      <c r="AR43" s="1374">
        <v>105000</v>
      </c>
      <c r="AS43" s="1374">
        <v>0</v>
      </c>
      <c r="AT43" s="1374">
        <v>29921305</v>
      </c>
      <c r="AU43" s="1377">
        <v>80</v>
      </c>
      <c r="AV43" s="1377">
        <v>8</v>
      </c>
      <c r="AW43" s="1377">
        <v>0</v>
      </c>
      <c r="AX43" s="1377">
        <v>0</v>
      </c>
      <c r="AY43" s="1377">
        <v>64</v>
      </c>
      <c r="AZ43" s="1377">
        <v>0</v>
      </c>
      <c r="BA43" s="1377">
        <v>0</v>
      </c>
      <c r="BB43" s="1377">
        <v>0</v>
      </c>
      <c r="BC43" s="1377">
        <v>0</v>
      </c>
      <c r="BD43" s="468">
        <v>4</v>
      </c>
      <c r="BE43" s="460">
        <v>64784210</v>
      </c>
      <c r="BF43" s="460">
        <v>2795100</v>
      </c>
      <c r="BG43" s="460">
        <v>176400</v>
      </c>
      <c r="BH43" s="460">
        <v>784274</v>
      </c>
      <c r="BI43" s="460">
        <v>0</v>
      </c>
      <c r="BJ43" s="460">
        <v>0</v>
      </c>
      <c r="BK43" s="460">
        <v>61028436</v>
      </c>
      <c r="BL43" s="1299">
        <v>79.699999999999989</v>
      </c>
      <c r="BM43" s="1299">
        <v>28</v>
      </c>
      <c r="BN43" s="1299">
        <v>0</v>
      </c>
      <c r="BO43" s="1299">
        <v>0</v>
      </c>
      <c r="BP43" s="1299">
        <v>144</v>
      </c>
      <c r="BQ43" s="1299">
        <v>0</v>
      </c>
      <c r="BR43" s="1299">
        <v>0</v>
      </c>
      <c r="BS43" s="1299">
        <v>0</v>
      </c>
      <c r="BT43" s="1299">
        <v>0</v>
      </c>
    </row>
    <row r="44" spans="1:72" s="22" customFormat="1" ht="26.25" customHeight="1">
      <c r="A44" s="464">
        <f>SUBTOTAL(3,B$4:B44)</f>
        <v>41</v>
      </c>
      <c r="B44" s="465" t="s">
        <v>218</v>
      </c>
      <c r="C44" s="466" t="s">
        <v>240</v>
      </c>
      <c r="D44" s="467" t="s">
        <v>459</v>
      </c>
      <c r="E44" s="468">
        <f>COUNTIFS('Salary sheet'!$F$6:$F$2288,C44,'Salary sheet'!$E$6:$E$2288,B44)</f>
        <v>1</v>
      </c>
      <c r="F44" s="460">
        <f>+SUMIFS('Salary sheet'!$AN$6:$AN$1292,'Salary sheet'!$F$6:$F$1292,'So sánh giờ'!C44,'Salary sheet'!$E$6:$E$1292,'So sánh giờ'!B44)</f>
        <v>8817716</v>
      </c>
      <c r="G44" s="460">
        <f>+SUMIFS('Salary sheet'!$AO$6:$AO$2288,'Salary sheet'!$F$6:$F$2288,C44,'Salary sheet'!$E$6:$E$2288,B44)</f>
        <v>717255</v>
      </c>
      <c r="H44" s="460">
        <f>+SUMIFS('Salary sheet'!$AP$6:$AP$2288,'Salary sheet'!$F$6:$F$2288,C44,'Salary sheet'!$E$6:$E$2288,B44)</f>
        <v>44100</v>
      </c>
      <c r="I44" s="460">
        <f>+SUMIFS('Salary sheet'!$AQ$6:$AQ$2288,'Salary sheet'!$F$6:$F$2288,C44,'Salary sheet'!$E$6:$E$2288,B44)</f>
        <v>0</v>
      </c>
      <c r="J44" s="460">
        <f>+SUMIFS('Salary sheet'!$AR$6:$AR$2288,'Salary sheet'!$F$6:$F$2288,C44,'Salary sheet'!$E$6:$E$2288,B44)</f>
        <v>0</v>
      </c>
      <c r="K44" s="460">
        <f>SUMIFS('Salary sheet'!$AS$6:$AS$1291,'Salary sheet'!$F$6:$F$1291,'So sánh giờ'!C44)</f>
        <v>0</v>
      </c>
      <c r="L44" s="460">
        <f t="shared" si="0"/>
        <v>8056361</v>
      </c>
      <c r="M44" s="1299">
        <f>SUMIFS('Salary sheet'!$M$6:$M$13045,'Salary sheet'!$F$6:$F$13045,'So sánh giờ'!$C44)</f>
        <v>23</v>
      </c>
      <c r="N44" s="1299">
        <f>SUMIFS('Salary sheet'!$O$6:$O$13045,'Salary sheet'!$F$6:$F$13045,'So sánh giờ'!$C44)</f>
        <v>3</v>
      </c>
      <c r="O44" s="1299">
        <f>SUMIFS('Salary sheet'!$AA$6:$AA$13045,'Salary sheet'!$F$6:$F$13045,'So sánh giờ'!$C44)</f>
        <v>0</v>
      </c>
      <c r="P44" s="1299">
        <f>SUMIFS('Salary sheet'!$Q$6:$Q$13045,'Salary sheet'!$F$6:$F$13045,'So sánh giờ'!$C44)</f>
        <v>0</v>
      </c>
      <c r="Q44" s="1299">
        <f>SUMIFS('Salary sheet'!$AH$6:$AH$13045,'Salary sheet'!$F$6:$F$13045,'So sánh giờ'!$C44)</f>
        <v>17</v>
      </c>
      <c r="R44" s="1299">
        <f>SUMIFS('Salary sheet'!$AI$6:$AI$13045,'Salary sheet'!$F$6:$F$13045,'So sánh giờ'!$C44)</f>
        <v>0</v>
      </c>
      <c r="S44" s="1299">
        <f>SUMIFS('Salary sheet'!$AJ$6:$AJ$13045,'Salary sheet'!$F$6:$F$13045,'So sánh giờ'!$C44)</f>
        <v>0</v>
      </c>
      <c r="T44" s="1299">
        <f>SUMIFS('Salary sheet'!$AK$6:$AK$13045,'Salary sheet'!$F$6:$F$13045,'So sánh giờ'!$C44)</f>
        <v>0</v>
      </c>
      <c r="U44" s="1299">
        <f>SUMIFS('Salary sheet'!$AL$6:$AL$13045,'Salary sheet'!$F$6:$F$13045,'So sánh giờ'!$C44)</f>
        <v>0</v>
      </c>
      <c r="V44" s="1394">
        <v>1</v>
      </c>
      <c r="W44" s="1392">
        <v>10049267</v>
      </c>
      <c r="X44" s="1392">
        <v>717255</v>
      </c>
      <c r="Y44" s="1392">
        <v>44100</v>
      </c>
      <c r="Z44" s="1392">
        <v>0</v>
      </c>
      <c r="AA44" s="1392">
        <v>0</v>
      </c>
      <c r="AB44" s="1392">
        <v>0</v>
      </c>
      <c r="AC44" s="1392">
        <v>9287912</v>
      </c>
      <c r="AD44" s="1395">
        <v>26</v>
      </c>
      <c r="AE44" s="1395">
        <v>0</v>
      </c>
      <c r="AF44" s="1395">
        <v>0</v>
      </c>
      <c r="AG44" s="1395">
        <v>0</v>
      </c>
      <c r="AH44" s="1395">
        <v>42</v>
      </c>
      <c r="AI44" s="1395">
        <v>0</v>
      </c>
      <c r="AJ44" s="1395">
        <v>0</v>
      </c>
      <c r="AK44" s="1395">
        <v>0</v>
      </c>
      <c r="AL44" s="1395">
        <v>0</v>
      </c>
      <c r="AM44" s="1376">
        <v>1</v>
      </c>
      <c r="AN44" s="1374">
        <v>9236718</v>
      </c>
      <c r="AO44" s="1374">
        <v>717255</v>
      </c>
      <c r="AP44" s="1374">
        <v>44100</v>
      </c>
      <c r="AQ44" s="1374">
        <v>0</v>
      </c>
      <c r="AR44" s="1374">
        <v>0</v>
      </c>
      <c r="AS44" s="1374">
        <v>0</v>
      </c>
      <c r="AT44" s="1374">
        <v>8475363</v>
      </c>
      <c r="AU44" s="1377">
        <v>21.9</v>
      </c>
      <c r="AV44" s="1377">
        <v>2</v>
      </c>
      <c r="AW44" s="1377">
        <v>0</v>
      </c>
      <c r="AX44" s="1377">
        <v>0</v>
      </c>
      <c r="AY44" s="1377">
        <v>24</v>
      </c>
      <c r="AZ44" s="1377">
        <v>0</v>
      </c>
      <c r="BA44" s="1377">
        <v>0</v>
      </c>
      <c r="BB44" s="1377">
        <v>0</v>
      </c>
      <c r="BC44" s="1377">
        <v>0</v>
      </c>
      <c r="BD44" s="468">
        <v>1</v>
      </c>
      <c r="BE44" s="460">
        <v>16512296</v>
      </c>
      <c r="BF44" s="460">
        <v>717255</v>
      </c>
      <c r="BG44" s="460">
        <v>44100</v>
      </c>
      <c r="BH44" s="460">
        <v>200342</v>
      </c>
      <c r="BI44" s="460">
        <v>0</v>
      </c>
      <c r="BJ44" s="460">
        <v>0</v>
      </c>
      <c r="BK44" s="460">
        <v>15550599</v>
      </c>
      <c r="BL44" s="1299">
        <v>19.899999999999999</v>
      </c>
      <c r="BM44" s="1299">
        <v>7</v>
      </c>
      <c r="BN44" s="1299">
        <v>0</v>
      </c>
      <c r="BO44" s="1299">
        <v>0</v>
      </c>
      <c r="BP44" s="1299">
        <v>48</v>
      </c>
      <c r="BQ44" s="1299">
        <v>0</v>
      </c>
      <c r="BR44" s="1299">
        <v>0</v>
      </c>
      <c r="BS44" s="1299">
        <v>0</v>
      </c>
      <c r="BT44" s="1299">
        <v>0</v>
      </c>
    </row>
    <row r="45" spans="1:72" s="22" customFormat="1" ht="26.25" customHeight="1">
      <c r="A45" s="464">
        <f>SUBTOTAL(3,B$4:B45)</f>
        <v>42</v>
      </c>
      <c r="B45" s="465" t="s">
        <v>218</v>
      </c>
      <c r="C45" s="466" t="s">
        <v>516</v>
      </c>
      <c r="D45" s="467" t="s">
        <v>460</v>
      </c>
      <c r="E45" s="468">
        <f>COUNTIFS('Salary sheet'!$F$6:$F$2288,C45,'Salary sheet'!$E$6:$E$2288,B45)</f>
        <v>24</v>
      </c>
      <c r="F45" s="460">
        <f>+SUMIFS('Salary sheet'!$AN$6:$AN$1292,'Salary sheet'!$F$6:$F$1292,'So sánh giờ'!C45,'Salary sheet'!$E$6:$E$1292,'So sánh giờ'!B45)</f>
        <v>186670446</v>
      </c>
      <c r="G45" s="460">
        <f>+SUMIFS('Salary sheet'!$AO$6:$AO$2288,'Salary sheet'!$F$6:$F$2288,C45,'Salary sheet'!$E$6:$E$2288,B45)</f>
        <v>13341510</v>
      </c>
      <c r="H45" s="460">
        <f>+SUMIFS('Salary sheet'!$AP$6:$AP$2288,'Salary sheet'!$F$6:$F$2288,C45,'Salary sheet'!$E$6:$E$2288,B45)</f>
        <v>970200</v>
      </c>
      <c r="I45" s="460">
        <f>+SUMIFS('Salary sheet'!$AQ$6:$AQ$2288,'Salary sheet'!$F$6:$F$2288,C45,'Salary sheet'!$E$6:$E$2288,B45)</f>
        <v>0</v>
      </c>
      <c r="J45" s="460">
        <f>+SUMIFS('Salary sheet'!$AR$6:$AR$2288,'Salary sheet'!$F$6:$F$2288,C45,'Salary sheet'!$E$6:$E$2288,B45)</f>
        <v>0</v>
      </c>
      <c r="K45" s="460">
        <f>SUMIFS('Salary sheet'!$AS$6:$AS$1291,'Salary sheet'!$F$6:$F$1291,'So sánh giờ'!C45)</f>
        <v>0</v>
      </c>
      <c r="L45" s="460">
        <f t="shared" si="0"/>
        <v>172358736</v>
      </c>
      <c r="M45" s="1299">
        <f>SUMIFS('Salary sheet'!$M$6:$M$13045,'Salary sheet'!$F$6:$F$13045,'So sánh giờ'!$C45)</f>
        <v>525.20000000000005</v>
      </c>
      <c r="N45" s="1299">
        <f>SUMIFS('Salary sheet'!$O$6:$O$13045,'Salary sheet'!$F$6:$F$13045,'So sánh giờ'!$C45)</f>
        <v>55</v>
      </c>
      <c r="O45" s="1299">
        <f>SUMIFS('Salary sheet'!$AA$6:$AA$13045,'Salary sheet'!$F$6:$F$13045,'So sánh giờ'!$C45)</f>
        <v>0</v>
      </c>
      <c r="P45" s="1299">
        <f>SUMIFS('Salary sheet'!$Q$6:$Q$13045,'Salary sheet'!$F$6:$F$13045,'So sánh giờ'!$C45)</f>
        <v>0</v>
      </c>
      <c r="Q45" s="1299">
        <f>SUMIFS('Salary sheet'!$AH$6:$AH$13045,'Salary sheet'!$F$6:$F$13045,'So sánh giờ'!$C45)</f>
        <v>445</v>
      </c>
      <c r="R45" s="1299">
        <f>SUMIFS('Salary sheet'!$AI$6:$AI$13045,'Salary sheet'!$F$6:$F$13045,'So sánh giờ'!$C45)</f>
        <v>0</v>
      </c>
      <c r="S45" s="1299">
        <f>SUMIFS('Salary sheet'!$AJ$6:$AJ$13045,'Salary sheet'!$F$6:$F$13045,'So sánh giờ'!$C45)</f>
        <v>0</v>
      </c>
      <c r="T45" s="1299">
        <f>SUMIFS('Salary sheet'!$AK$6:$AK$13045,'Salary sheet'!$F$6:$F$13045,'So sánh giờ'!$C45)</f>
        <v>0</v>
      </c>
      <c r="U45" s="1299">
        <f>SUMIFS('Salary sheet'!$AL$6:$AL$13045,'Salary sheet'!$F$6:$F$13045,'So sánh giờ'!$C45)</f>
        <v>0</v>
      </c>
      <c r="V45" s="1394">
        <v>22</v>
      </c>
      <c r="W45" s="1392">
        <v>200476873</v>
      </c>
      <c r="X45" s="1392">
        <v>13341510</v>
      </c>
      <c r="Y45" s="1392">
        <v>970200</v>
      </c>
      <c r="Z45" s="1392">
        <v>0</v>
      </c>
      <c r="AA45" s="1392">
        <v>0</v>
      </c>
      <c r="AB45" s="1392">
        <v>0</v>
      </c>
      <c r="AC45" s="1392">
        <v>186165163</v>
      </c>
      <c r="AD45" s="1395">
        <v>530.4</v>
      </c>
      <c r="AE45" s="1395">
        <v>0</v>
      </c>
      <c r="AF45" s="1395">
        <v>0</v>
      </c>
      <c r="AG45" s="1395">
        <v>0</v>
      </c>
      <c r="AH45" s="1395">
        <v>971</v>
      </c>
      <c r="AI45" s="1395">
        <v>0</v>
      </c>
      <c r="AJ45" s="1395">
        <v>0</v>
      </c>
      <c r="AK45" s="1395">
        <v>0</v>
      </c>
      <c r="AL45" s="1395">
        <v>0</v>
      </c>
      <c r="AM45" s="1376">
        <v>25</v>
      </c>
      <c r="AN45" s="1374">
        <v>196314156</v>
      </c>
      <c r="AO45" s="1374">
        <v>14587020</v>
      </c>
      <c r="AP45" s="1374">
        <v>1014300</v>
      </c>
      <c r="AQ45" s="1374">
        <v>0</v>
      </c>
      <c r="AR45" s="1374">
        <v>660000</v>
      </c>
      <c r="AS45" s="1374">
        <v>0</v>
      </c>
      <c r="AT45" s="1374">
        <v>180052836</v>
      </c>
      <c r="AU45" s="1377">
        <v>491.3</v>
      </c>
      <c r="AV45" s="1377">
        <v>46</v>
      </c>
      <c r="AW45" s="1377">
        <v>0</v>
      </c>
      <c r="AX45" s="1377">
        <v>0</v>
      </c>
      <c r="AY45" s="1377">
        <v>601</v>
      </c>
      <c r="AZ45" s="1377">
        <v>0</v>
      </c>
      <c r="BA45" s="1377">
        <v>0</v>
      </c>
      <c r="BB45" s="1377">
        <v>0</v>
      </c>
      <c r="BC45" s="1377">
        <v>0</v>
      </c>
      <c r="BD45" s="468">
        <v>23</v>
      </c>
      <c r="BE45" s="460">
        <v>357011947</v>
      </c>
      <c r="BF45" s="460">
        <v>14587020</v>
      </c>
      <c r="BG45" s="460">
        <v>1014300</v>
      </c>
      <c r="BH45" s="460">
        <v>3018947</v>
      </c>
      <c r="BI45" s="460">
        <v>0</v>
      </c>
      <c r="BJ45" s="460">
        <v>0</v>
      </c>
      <c r="BK45" s="460">
        <v>338391680</v>
      </c>
      <c r="BL45" s="1299">
        <v>447.89999999999992</v>
      </c>
      <c r="BM45" s="1299">
        <v>161</v>
      </c>
      <c r="BN45" s="1299">
        <v>0</v>
      </c>
      <c r="BO45" s="1299">
        <v>0</v>
      </c>
      <c r="BP45" s="1299">
        <v>1066.5</v>
      </c>
      <c r="BQ45" s="1299">
        <v>0</v>
      </c>
      <c r="BR45" s="1299">
        <v>0</v>
      </c>
      <c r="BS45" s="1299">
        <v>0</v>
      </c>
      <c r="BT45" s="1299">
        <v>0</v>
      </c>
    </row>
    <row r="46" spans="1:72" s="22" customFormat="1" ht="26.25" customHeight="1">
      <c r="A46" s="464">
        <f>SUBTOTAL(3,B$4:B46)</f>
        <v>43</v>
      </c>
      <c r="B46" s="465" t="s">
        <v>218</v>
      </c>
      <c r="C46" s="466" t="s">
        <v>517</v>
      </c>
      <c r="D46" s="467" t="s">
        <v>704</v>
      </c>
      <c r="E46" s="468">
        <f>COUNTIFS('Salary sheet'!$F$6:$F$2288,C46,'Salary sheet'!$E$6:$E$2288,B46)</f>
        <v>24</v>
      </c>
      <c r="F46" s="460">
        <f>+SUMIFS('Salary sheet'!$AN$6:$AN$1292,'Salary sheet'!$F$6:$F$1292,'So sánh giờ'!C46,'Salary sheet'!$E$6:$E$1292,'So sánh giờ'!B46)</f>
        <v>188588203</v>
      </c>
      <c r="G46" s="460">
        <f>+SUMIFS('Salary sheet'!$AO$6:$AO$2288,'Salary sheet'!$F$6:$F$2288,C46,'Salary sheet'!$E$6:$E$2288,B46)</f>
        <v>12963510</v>
      </c>
      <c r="H46" s="460">
        <f>+SUMIFS('Salary sheet'!$AP$6:$AP$2288,'Salary sheet'!$F$6:$F$2288,C46,'Salary sheet'!$E$6:$E$2288,B46)</f>
        <v>926100</v>
      </c>
      <c r="I46" s="460">
        <f>+SUMIFS('Salary sheet'!$AQ$6:$AQ$2288,'Salary sheet'!$F$6:$F$2288,C46,'Salary sheet'!$E$6:$E$2288,B46)</f>
        <v>0</v>
      </c>
      <c r="J46" s="460">
        <f>+SUMIFS('Salary sheet'!$AR$6:$AR$2288,'Salary sheet'!$F$6:$F$2288,C46,'Salary sheet'!$E$6:$E$2288,B46)</f>
        <v>65000</v>
      </c>
      <c r="K46" s="460">
        <f>SUMIFS('Salary sheet'!$AS$6:$AS$1291,'Salary sheet'!$F$6:$F$1291,'So sánh giờ'!C46)</f>
        <v>0</v>
      </c>
      <c r="L46" s="460">
        <f t="shared" si="0"/>
        <v>174633593</v>
      </c>
      <c r="M46" s="1299">
        <f>SUMIFS('Salary sheet'!$M$6:$M$13045,'Salary sheet'!$F$6:$F$13045,'So sánh giờ'!$C46)</f>
        <v>549.29999999999995</v>
      </c>
      <c r="N46" s="1299">
        <f>SUMIFS('Salary sheet'!$O$6:$O$13045,'Salary sheet'!$F$6:$F$13045,'So sánh giờ'!$C46)</f>
        <v>56</v>
      </c>
      <c r="O46" s="1299">
        <f>SUMIFS('Salary sheet'!$AA$6:$AA$13045,'Salary sheet'!$F$6:$F$13045,'So sánh giờ'!$C46)</f>
        <v>0</v>
      </c>
      <c r="P46" s="1299">
        <f>SUMIFS('Salary sheet'!$Q$6:$Q$13045,'Salary sheet'!$F$6:$F$13045,'So sánh giờ'!$C46)</f>
        <v>0</v>
      </c>
      <c r="Q46" s="1299">
        <f>SUMIFS('Salary sheet'!$AH$6:$AH$13045,'Salary sheet'!$F$6:$F$13045,'So sánh giờ'!$C46)</f>
        <v>445</v>
      </c>
      <c r="R46" s="1299">
        <f>SUMIFS('Salary sheet'!$AI$6:$AI$13045,'Salary sheet'!$F$6:$F$13045,'So sánh giờ'!$C46)</f>
        <v>0</v>
      </c>
      <c r="S46" s="1299">
        <f>SUMIFS('Salary sheet'!$AJ$6:$AJ$13045,'Salary sheet'!$F$6:$F$13045,'So sánh giờ'!$C46)</f>
        <v>0</v>
      </c>
      <c r="T46" s="1299">
        <f>SUMIFS('Salary sheet'!$AK$6:$AK$13045,'Salary sheet'!$F$6:$F$13045,'So sánh giờ'!$C46)</f>
        <v>0</v>
      </c>
      <c r="U46" s="1299">
        <f>SUMIFS('Salary sheet'!$AL$6:$AL$13045,'Salary sheet'!$F$6:$F$13045,'So sánh giờ'!$C46)</f>
        <v>0</v>
      </c>
      <c r="V46" s="1394">
        <v>23</v>
      </c>
      <c r="W46" s="1392">
        <v>183647301</v>
      </c>
      <c r="X46" s="1392">
        <v>11259570</v>
      </c>
      <c r="Y46" s="1392">
        <v>793800</v>
      </c>
      <c r="Z46" s="1392">
        <v>9103</v>
      </c>
      <c r="AA46" s="1392">
        <v>0</v>
      </c>
      <c r="AB46" s="1392">
        <v>0</v>
      </c>
      <c r="AC46" s="1392">
        <v>171584828</v>
      </c>
      <c r="AD46" s="1395">
        <v>521</v>
      </c>
      <c r="AE46" s="1395">
        <v>1</v>
      </c>
      <c r="AF46" s="1395">
        <v>0</v>
      </c>
      <c r="AG46" s="1395">
        <v>0</v>
      </c>
      <c r="AH46" s="1395">
        <v>901</v>
      </c>
      <c r="AI46" s="1395">
        <v>0</v>
      </c>
      <c r="AJ46" s="1395">
        <v>0</v>
      </c>
      <c r="AK46" s="1395">
        <v>0</v>
      </c>
      <c r="AL46" s="1395">
        <v>0</v>
      </c>
      <c r="AM46" s="1376">
        <v>24</v>
      </c>
      <c r="AN46" s="1374">
        <v>170674165</v>
      </c>
      <c r="AO46" s="1374">
        <v>13580070</v>
      </c>
      <c r="AP46" s="1374">
        <v>970200</v>
      </c>
      <c r="AQ46" s="1374">
        <v>0</v>
      </c>
      <c r="AR46" s="1374">
        <v>390000</v>
      </c>
      <c r="AS46" s="1374">
        <v>0</v>
      </c>
      <c r="AT46" s="1374">
        <v>155733895</v>
      </c>
      <c r="AU46" s="1377">
        <v>455.29999999999995</v>
      </c>
      <c r="AV46" s="1377">
        <v>44</v>
      </c>
      <c r="AW46" s="1377">
        <v>0</v>
      </c>
      <c r="AX46" s="1377">
        <v>0</v>
      </c>
      <c r="AY46" s="1377">
        <v>484</v>
      </c>
      <c r="AZ46" s="1377">
        <v>0</v>
      </c>
      <c r="BA46" s="1377">
        <v>0</v>
      </c>
      <c r="BB46" s="1377">
        <v>0</v>
      </c>
      <c r="BC46" s="1377">
        <v>0</v>
      </c>
      <c r="BD46" s="468">
        <v>24</v>
      </c>
      <c r="BE46" s="460">
        <v>315468564</v>
      </c>
      <c r="BF46" s="460">
        <v>14634900</v>
      </c>
      <c r="BG46" s="460">
        <v>1058400</v>
      </c>
      <c r="BH46" s="460">
        <v>2557622</v>
      </c>
      <c r="BI46" s="460">
        <v>0</v>
      </c>
      <c r="BJ46" s="460">
        <v>0</v>
      </c>
      <c r="BK46" s="460">
        <v>297217642</v>
      </c>
      <c r="BL46" s="1299">
        <v>451.1</v>
      </c>
      <c r="BM46" s="1299">
        <v>168</v>
      </c>
      <c r="BN46" s="1299">
        <v>0</v>
      </c>
      <c r="BO46" s="1299">
        <v>0</v>
      </c>
      <c r="BP46" s="1299">
        <v>976</v>
      </c>
      <c r="BQ46" s="1299">
        <v>0</v>
      </c>
      <c r="BR46" s="1299">
        <v>0</v>
      </c>
      <c r="BS46" s="1299">
        <v>0</v>
      </c>
      <c r="BT46" s="1299">
        <v>0</v>
      </c>
    </row>
    <row r="47" spans="1:72" s="22" customFormat="1" ht="26.25" customHeight="1">
      <c r="A47" s="464">
        <f>SUBTOTAL(3,B$4:B47)</f>
        <v>44</v>
      </c>
      <c r="B47" s="465" t="s">
        <v>218</v>
      </c>
      <c r="C47" s="466" t="s">
        <v>518</v>
      </c>
      <c r="D47" s="467" t="s">
        <v>705</v>
      </c>
      <c r="E47" s="468">
        <f>COUNTIFS('Salary sheet'!$F$6:$F$2288,C47,'Salary sheet'!$E$6:$E$2288,B47)</f>
        <v>23</v>
      </c>
      <c r="F47" s="460">
        <f>+SUMIFS('Salary sheet'!$AN$6:$AN$1292,'Salary sheet'!$F$6:$F$1292,'So sánh giờ'!C47,'Salary sheet'!$E$6:$E$1292,'So sánh giờ'!B47)</f>
        <v>175213131</v>
      </c>
      <c r="G47" s="460">
        <f>+SUMIFS('Salary sheet'!$AO$6:$AO$2288,'Salary sheet'!$F$6:$F$2288,C47,'Salary sheet'!$E$6:$E$2288,B47)</f>
        <v>12938730</v>
      </c>
      <c r="H47" s="460">
        <f>+SUMIFS('Salary sheet'!$AP$6:$AP$2288,'Salary sheet'!$F$6:$F$2288,C47,'Salary sheet'!$E$6:$E$2288,B47)</f>
        <v>926100</v>
      </c>
      <c r="I47" s="460">
        <f>+SUMIFS('Salary sheet'!$AQ$6:$AQ$2288,'Salary sheet'!$F$6:$F$2288,C47,'Salary sheet'!$E$6:$E$2288,B47)</f>
        <v>0</v>
      </c>
      <c r="J47" s="460">
        <f>+SUMIFS('Salary sheet'!$AR$6:$AR$2288,'Salary sheet'!$F$6:$F$2288,C47,'Salary sheet'!$E$6:$E$2288,B47)</f>
        <v>0</v>
      </c>
      <c r="K47" s="460">
        <f>SUMIFS('Salary sheet'!$AS$6:$AS$1291,'Salary sheet'!$F$6:$F$1291,'So sánh giờ'!C47)</f>
        <v>0</v>
      </c>
      <c r="L47" s="460">
        <f t="shared" si="0"/>
        <v>161348301</v>
      </c>
      <c r="M47" s="1299">
        <f>SUMIFS('Salary sheet'!$M$6:$M$13045,'Salary sheet'!$F$6:$F$13045,'So sánh giờ'!$C47)</f>
        <v>509.7</v>
      </c>
      <c r="N47" s="1299">
        <f>SUMIFS('Salary sheet'!$O$6:$O$13045,'Salary sheet'!$F$6:$F$13045,'So sánh giờ'!$C47)</f>
        <v>57</v>
      </c>
      <c r="O47" s="1299">
        <f>SUMIFS('Salary sheet'!$AA$6:$AA$13045,'Salary sheet'!$F$6:$F$13045,'So sánh giờ'!$C47)</f>
        <v>0</v>
      </c>
      <c r="P47" s="1299">
        <f>SUMIFS('Salary sheet'!$Q$6:$Q$13045,'Salary sheet'!$F$6:$F$13045,'So sánh giờ'!$C47)</f>
        <v>0</v>
      </c>
      <c r="Q47" s="1299">
        <f>SUMIFS('Salary sheet'!$AH$6:$AH$13045,'Salary sheet'!$F$6:$F$13045,'So sánh giờ'!$C47)</f>
        <v>437</v>
      </c>
      <c r="R47" s="1299">
        <f>SUMIFS('Salary sheet'!$AI$6:$AI$13045,'Salary sheet'!$F$6:$F$13045,'So sánh giờ'!$C47)</f>
        <v>0</v>
      </c>
      <c r="S47" s="1299">
        <f>SUMIFS('Salary sheet'!$AJ$6:$AJ$13045,'Salary sheet'!$F$6:$F$13045,'So sánh giờ'!$C47)</f>
        <v>0</v>
      </c>
      <c r="T47" s="1299">
        <f>SUMIFS('Salary sheet'!$AK$6:$AK$13045,'Salary sheet'!$F$6:$F$13045,'So sánh giờ'!$C47)</f>
        <v>0</v>
      </c>
      <c r="U47" s="1299">
        <f>SUMIFS('Salary sheet'!$AL$6:$AL$13045,'Salary sheet'!$F$6:$F$13045,'So sánh giờ'!$C47)</f>
        <v>0</v>
      </c>
      <c r="V47" s="1394">
        <v>25</v>
      </c>
      <c r="W47" s="1392">
        <v>200658016</v>
      </c>
      <c r="X47" s="1392">
        <v>14008470</v>
      </c>
      <c r="Y47" s="1392">
        <v>1014300</v>
      </c>
      <c r="Z47" s="1392">
        <v>0</v>
      </c>
      <c r="AA47" s="1392">
        <v>0</v>
      </c>
      <c r="AB47" s="1392">
        <v>0</v>
      </c>
      <c r="AC47" s="1392">
        <v>185635246</v>
      </c>
      <c r="AD47" s="1395">
        <v>561.90000000000009</v>
      </c>
      <c r="AE47" s="1395">
        <v>6</v>
      </c>
      <c r="AF47" s="1395">
        <v>0</v>
      </c>
      <c r="AG47" s="1395">
        <v>0</v>
      </c>
      <c r="AH47" s="1395">
        <v>974</v>
      </c>
      <c r="AI47" s="1395">
        <v>0</v>
      </c>
      <c r="AJ47" s="1395">
        <v>0</v>
      </c>
      <c r="AK47" s="1395">
        <v>0</v>
      </c>
      <c r="AL47" s="1395">
        <v>0</v>
      </c>
      <c r="AM47" s="1376">
        <v>24</v>
      </c>
      <c r="AN47" s="1374">
        <v>175431935</v>
      </c>
      <c r="AO47" s="1374">
        <v>13357995</v>
      </c>
      <c r="AP47" s="1374">
        <v>1014300</v>
      </c>
      <c r="AQ47" s="1374">
        <v>0</v>
      </c>
      <c r="AR47" s="1374">
        <v>330000</v>
      </c>
      <c r="AS47" s="1374">
        <v>0</v>
      </c>
      <c r="AT47" s="1374">
        <v>160729640</v>
      </c>
      <c r="AU47" s="1377">
        <v>462.09999999999997</v>
      </c>
      <c r="AV47" s="1377">
        <v>46</v>
      </c>
      <c r="AW47" s="1377">
        <v>0</v>
      </c>
      <c r="AX47" s="1377">
        <v>0</v>
      </c>
      <c r="AY47" s="1377">
        <v>516</v>
      </c>
      <c r="AZ47" s="1377">
        <v>0</v>
      </c>
      <c r="BA47" s="1377">
        <v>0</v>
      </c>
      <c r="BB47" s="1377">
        <v>0</v>
      </c>
      <c r="BC47" s="1377">
        <v>0</v>
      </c>
      <c r="BD47" s="468">
        <v>23</v>
      </c>
      <c r="BE47" s="460">
        <v>332831076</v>
      </c>
      <c r="BF47" s="460">
        <v>13953030</v>
      </c>
      <c r="BG47" s="460">
        <v>1014300</v>
      </c>
      <c r="BH47" s="460">
        <v>3039172</v>
      </c>
      <c r="BI47" s="460">
        <v>0</v>
      </c>
      <c r="BJ47" s="460">
        <v>0</v>
      </c>
      <c r="BK47" s="460">
        <v>314824574</v>
      </c>
      <c r="BL47" s="1299">
        <v>448.5</v>
      </c>
      <c r="BM47" s="1299">
        <v>161</v>
      </c>
      <c r="BN47" s="1299">
        <v>0</v>
      </c>
      <c r="BO47" s="1299">
        <v>0</v>
      </c>
      <c r="BP47" s="1299">
        <v>1056</v>
      </c>
      <c r="BQ47" s="1299">
        <v>0</v>
      </c>
      <c r="BR47" s="1299">
        <v>0</v>
      </c>
      <c r="BS47" s="1299">
        <v>0</v>
      </c>
      <c r="BT47" s="1299">
        <v>0</v>
      </c>
    </row>
    <row r="48" spans="1:72" s="22" customFormat="1" ht="26.25" customHeight="1">
      <c r="A48" s="464">
        <f>SUBTOTAL(3,B$4:B48)</f>
        <v>45</v>
      </c>
      <c r="B48" s="465" t="s">
        <v>218</v>
      </c>
      <c r="C48" s="466" t="s">
        <v>519</v>
      </c>
      <c r="D48" s="467" t="s">
        <v>594</v>
      </c>
      <c r="E48" s="468">
        <f>COUNTIFS('Salary sheet'!$F$6:$F$2288,C48,'Salary sheet'!$E$6:$E$2288,B48)</f>
        <v>21</v>
      </c>
      <c r="F48" s="460">
        <f>+SUMIFS('Salary sheet'!$AN$6:$AN$1292,'Salary sheet'!$F$6:$F$1292,'So sánh giờ'!C48,'Salary sheet'!$E$6:$E$1292,'So sánh giờ'!B48)</f>
        <v>178708343</v>
      </c>
      <c r="G48" s="460">
        <f>+SUMIFS('Salary sheet'!$AO$6:$AO$2288,'Salary sheet'!$F$6:$F$2288,C48,'Salary sheet'!$E$6:$E$2288,B48)</f>
        <v>11437440</v>
      </c>
      <c r="H48" s="460">
        <f>+SUMIFS('Salary sheet'!$AP$6:$AP$2288,'Salary sheet'!$F$6:$F$2288,C48,'Salary sheet'!$E$6:$E$2288,B48)</f>
        <v>793800</v>
      </c>
      <c r="I48" s="460">
        <f>+SUMIFS('Salary sheet'!$AQ$6:$AQ$2288,'Salary sheet'!$F$6:$F$2288,C48,'Salary sheet'!$E$6:$E$2288,B48)</f>
        <v>13671</v>
      </c>
      <c r="J48" s="460">
        <f>+SUMIFS('Salary sheet'!$AR$6:$AR$2288,'Salary sheet'!$F$6:$F$2288,C48,'Salary sheet'!$E$6:$E$2288,B48)</f>
        <v>0</v>
      </c>
      <c r="K48" s="460">
        <f>SUMIFS('Salary sheet'!$AS$6:$AS$1291,'Salary sheet'!$F$6:$F$1291,'So sánh giờ'!C48)</f>
        <v>0</v>
      </c>
      <c r="L48" s="460">
        <f t="shared" si="0"/>
        <v>166463432</v>
      </c>
      <c r="M48" s="1299">
        <f>SUMIFS('Salary sheet'!$M$6:$M$13045,'Salary sheet'!$F$6:$F$13045,'So sánh giờ'!$C48)</f>
        <v>470.6</v>
      </c>
      <c r="N48" s="1299">
        <f>SUMIFS('Salary sheet'!$O$6:$O$13045,'Salary sheet'!$F$6:$F$13045,'So sánh giờ'!$C48)</f>
        <v>49</v>
      </c>
      <c r="O48" s="1299">
        <f>SUMIFS('Salary sheet'!$AA$6:$AA$13045,'Salary sheet'!$F$6:$F$13045,'So sánh giờ'!$C48)</f>
        <v>0</v>
      </c>
      <c r="P48" s="1299">
        <f>SUMIFS('Salary sheet'!$Q$6:$Q$13045,'Salary sheet'!$F$6:$F$13045,'So sánh giờ'!$C48)</f>
        <v>0</v>
      </c>
      <c r="Q48" s="1299">
        <f>SUMIFS('Salary sheet'!$AH$6:$AH$13045,'Salary sheet'!$F$6:$F$13045,'So sánh giờ'!$C48)</f>
        <v>696</v>
      </c>
      <c r="R48" s="1299">
        <f>SUMIFS('Salary sheet'!$AI$6:$AI$13045,'Salary sheet'!$F$6:$F$13045,'So sánh giờ'!$C48)</f>
        <v>0</v>
      </c>
      <c r="S48" s="1299">
        <f>SUMIFS('Salary sheet'!$AJ$6:$AJ$13045,'Salary sheet'!$F$6:$F$13045,'So sánh giờ'!$C48)</f>
        <v>0</v>
      </c>
      <c r="T48" s="1299">
        <f>SUMIFS('Salary sheet'!$AK$6:$AK$13045,'Salary sheet'!$F$6:$F$13045,'So sánh giờ'!$C48)</f>
        <v>0</v>
      </c>
      <c r="U48" s="1299">
        <f>SUMIFS('Salary sheet'!$AL$6:$AL$13045,'Salary sheet'!$F$6:$F$13045,'So sánh giờ'!$C48)</f>
        <v>0</v>
      </c>
      <c r="V48" s="1394">
        <v>20</v>
      </c>
      <c r="W48" s="1392">
        <v>169385881</v>
      </c>
      <c r="X48" s="1392">
        <v>11437440</v>
      </c>
      <c r="Y48" s="1392">
        <v>793800</v>
      </c>
      <c r="Z48" s="1392">
        <v>4454</v>
      </c>
      <c r="AA48" s="1392">
        <v>0</v>
      </c>
      <c r="AB48" s="1392">
        <v>0</v>
      </c>
      <c r="AC48" s="1392">
        <v>157150187</v>
      </c>
      <c r="AD48" s="1395">
        <v>473.8</v>
      </c>
      <c r="AE48" s="1395">
        <v>0</v>
      </c>
      <c r="AF48" s="1395">
        <v>0</v>
      </c>
      <c r="AG48" s="1395">
        <v>0</v>
      </c>
      <c r="AH48" s="1395">
        <v>727</v>
      </c>
      <c r="AI48" s="1395">
        <v>0</v>
      </c>
      <c r="AJ48" s="1395">
        <v>0</v>
      </c>
      <c r="AK48" s="1395">
        <v>0</v>
      </c>
      <c r="AL48" s="1395">
        <v>0</v>
      </c>
      <c r="AM48" s="1376">
        <v>20</v>
      </c>
      <c r="AN48" s="1374">
        <v>162404359</v>
      </c>
      <c r="AO48" s="1374">
        <v>12060195</v>
      </c>
      <c r="AP48" s="1374">
        <v>837900</v>
      </c>
      <c r="AQ48" s="1374">
        <v>0</v>
      </c>
      <c r="AR48" s="1374">
        <v>590000</v>
      </c>
      <c r="AS48" s="1374">
        <v>0</v>
      </c>
      <c r="AT48" s="1374">
        <v>148916264</v>
      </c>
      <c r="AU48" s="1377">
        <v>417.4</v>
      </c>
      <c r="AV48" s="1377">
        <v>38</v>
      </c>
      <c r="AW48" s="1377">
        <v>0</v>
      </c>
      <c r="AX48" s="1377">
        <v>0</v>
      </c>
      <c r="AY48" s="1377">
        <v>500</v>
      </c>
      <c r="AZ48" s="1377">
        <v>0</v>
      </c>
      <c r="BA48" s="1377">
        <v>0</v>
      </c>
      <c r="BB48" s="1377">
        <v>0</v>
      </c>
      <c r="BC48" s="1377">
        <v>0</v>
      </c>
      <c r="BD48" s="468">
        <v>22</v>
      </c>
      <c r="BE48" s="460">
        <v>305160342</v>
      </c>
      <c r="BF48" s="460">
        <v>13737780</v>
      </c>
      <c r="BG48" s="460">
        <v>970200</v>
      </c>
      <c r="BH48" s="460">
        <v>2370130</v>
      </c>
      <c r="BI48" s="460">
        <v>0</v>
      </c>
      <c r="BJ48" s="460">
        <v>25308</v>
      </c>
      <c r="BK48" s="460">
        <v>288056924</v>
      </c>
      <c r="BL48" s="1299">
        <v>404.1</v>
      </c>
      <c r="BM48" s="1299">
        <v>154</v>
      </c>
      <c r="BN48" s="1299">
        <v>0</v>
      </c>
      <c r="BO48" s="1299">
        <v>0</v>
      </c>
      <c r="BP48" s="1299">
        <v>964</v>
      </c>
      <c r="BQ48" s="1299">
        <v>0</v>
      </c>
      <c r="BR48" s="1299">
        <v>0</v>
      </c>
      <c r="BS48" s="1299">
        <v>0</v>
      </c>
      <c r="BT48" s="1299">
        <v>0</v>
      </c>
    </row>
    <row r="49" spans="1:72" s="22" customFormat="1" ht="26.25" customHeight="1">
      <c r="A49" s="464">
        <f>SUBTOTAL(3,B$4:B49)</f>
        <v>46</v>
      </c>
      <c r="B49" s="465" t="s">
        <v>218</v>
      </c>
      <c r="C49" s="466" t="s">
        <v>520</v>
      </c>
      <c r="D49" s="467" t="s">
        <v>706</v>
      </c>
      <c r="E49" s="468">
        <f>COUNTIFS('Salary sheet'!$F$6:$F$2288,C49,'Salary sheet'!$E$6:$E$2288,B49)</f>
        <v>25</v>
      </c>
      <c r="F49" s="460">
        <f>+SUMIFS('Salary sheet'!$AN$6:$AN$1292,'Salary sheet'!$F$6:$F$1292,'So sánh giờ'!C49,'Salary sheet'!$E$6:$E$1292,'So sánh giờ'!B49)</f>
        <v>202653839</v>
      </c>
      <c r="G49" s="460">
        <f>+SUMIFS('Salary sheet'!$AO$6:$AO$2288,'Salary sheet'!$F$6:$F$2288,C49,'Salary sheet'!$E$6:$E$2288,B49)</f>
        <v>12078570</v>
      </c>
      <c r="H49" s="460">
        <f>+SUMIFS('Salary sheet'!$AP$6:$AP$2288,'Salary sheet'!$F$6:$F$2288,C49,'Salary sheet'!$E$6:$E$2288,B49)</f>
        <v>882000</v>
      </c>
      <c r="I49" s="460">
        <f>+SUMIFS('Salary sheet'!$AQ$6:$AQ$2288,'Salary sheet'!$F$6:$F$2288,C49,'Salary sheet'!$E$6:$E$2288,B49)</f>
        <v>0</v>
      </c>
      <c r="J49" s="460">
        <f>+SUMIFS('Salary sheet'!$AR$6:$AR$2288,'Salary sheet'!$F$6:$F$2288,C49,'Salary sheet'!$E$6:$E$2288,B49)</f>
        <v>0</v>
      </c>
      <c r="K49" s="460">
        <f>SUMIFS('Salary sheet'!$AS$6:$AS$1291,'Salary sheet'!$F$6:$F$1291,'So sánh giờ'!C49)</f>
        <v>0</v>
      </c>
      <c r="L49" s="460">
        <f t="shared" si="0"/>
        <v>189693269</v>
      </c>
      <c r="M49" s="1299">
        <f>SUMIFS('Salary sheet'!$M$6:$M$13045,'Salary sheet'!$F$6:$F$13045,'So sánh giờ'!$C49)</f>
        <v>558.6</v>
      </c>
      <c r="N49" s="1299">
        <f>SUMIFS('Salary sheet'!$O$6:$O$13045,'Salary sheet'!$F$6:$F$13045,'So sánh giờ'!$C49)</f>
        <v>55</v>
      </c>
      <c r="O49" s="1299">
        <f>SUMIFS('Salary sheet'!$AA$6:$AA$13045,'Salary sheet'!$F$6:$F$13045,'So sánh giờ'!$C49)</f>
        <v>0</v>
      </c>
      <c r="P49" s="1299">
        <f>SUMIFS('Salary sheet'!$Q$6:$Q$13045,'Salary sheet'!$F$6:$F$13045,'So sánh giờ'!$C49)</f>
        <v>0</v>
      </c>
      <c r="Q49" s="1299">
        <f>SUMIFS('Salary sheet'!$AH$6:$AH$13045,'Salary sheet'!$F$6:$F$13045,'So sánh giờ'!$C49)</f>
        <v>797</v>
      </c>
      <c r="R49" s="1299">
        <f>SUMIFS('Salary sheet'!$AI$6:$AI$13045,'Salary sheet'!$F$6:$F$13045,'So sánh giờ'!$C49)</f>
        <v>0</v>
      </c>
      <c r="S49" s="1299">
        <f>SUMIFS('Salary sheet'!$AJ$6:$AJ$13045,'Salary sheet'!$F$6:$F$13045,'So sánh giờ'!$C49)</f>
        <v>0</v>
      </c>
      <c r="T49" s="1299">
        <f>SUMIFS('Salary sheet'!$AK$6:$AK$13045,'Salary sheet'!$F$6:$F$13045,'So sánh giờ'!$C49)</f>
        <v>0</v>
      </c>
      <c r="U49" s="1299">
        <f>SUMIFS('Salary sheet'!$AL$6:$AL$13045,'Salary sheet'!$F$6:$F$13045,'So sánh giờ'!$C49)</f>
        <v>0</v>
      </c>
      <c r="V49" s="1394">
        <v>23</v>
      </c>
      <c r="W49" s="1392">
        <v>183371488</v>
      </c>
      <c r="X49" s="1392">
        <v>12050850</v>
      </c>
      <c r="Y49" s="1392">
        <v>882000</v>
      </c>
      <c r="Z49" s="1392">
        <v>0</v>
      </c>
      <c r="AA49" s="1392">
        <v>0</v>
      </c>
      <c r="AB49" s="1392">
        <v>0</v>
      </c>
      <c r="AC49" s="1392">
        <v>170438638</v>
      </c>
      <c r="AD49" s="1395">
        <v>513.9</v>
      </c>
      <c r="AE49" s="1395">
        <v>3</v>
      </c>
      <c r="AF49" s="1395">
        <v>0</v>
      </c>
      <c r="AG49" s="1395">
        <v>0</v>
      </c>
      <c r="AH49" s="1395">
        <v>918</v>
      </c>
      <c r="AI49" s="1395">
        <v>0</v>
      </c>
      <c r="AJ49" s="1395">
        <v>0</v>
      </c>
      <c r="AK49" s="1395">
        <v>0</v>
      </c>
      <c r="AL49" s="1395">
        <v>0</v>
      </c>
      <c r="AM49" s="1376">
        <v>24</v>
      </c>
      <c r="AN49" s="1374">
        <v>180087488</v>
      </c>
      <c r="AO49" s="1374">
        <v>13593195</v>
      </c>
      <c r="AP49" s="1374">
        <v>1014300</v>
      </c>
      <c r="AQ49" s="1374">
        <v>0</v>
      </c>
      <c r="AR49" s="1374">
        <v>130000</v>
      </c>
      <c r="AS49" s="1374">
        <v>0</v>
      </c>
      <c r="AT49" s="1374">
        <v>165349993</v>
      </c>
      <c r="AU49" s="1377">
        <v>490.50000000000006</v>
      </c>
      <c r="AV49" s="1377">
        <v>46</v>
      </c>
      <c r="AW49" s="1377">
        <v>0</v>
      </c>
      <c r="AX49" s="1377">
        <v>0</v>
      </c>
      <c r="AY49" s="1377">
        <v>642</v>
      </c>
      <c r="AZ49" s="1377">
        <v>0</v>
      </c>
      <c r="BA49" s="1377">
        <v>0</v>
      </c>
      <c r="BB49" s="1377">
        <v>0</v>
      </c>
      <c r="BC49" s="1377">
        <v>0</v>
      </c>
      <c r="BD49" s="468">
        <v>25</v>
      </c>
      <c r="BE49" s="460">
        <v>316430449</v>
      </c>
      <c r="BF49" s="460">
        <v>14648025</v>
      </c>
      <c r="BG49" s="460">
        <v>1102500</v>
      </c>
      <c r="BH49" s="460">
        <v>1859105</v>
      </c>
      <c r="BI49" s="460">
        <v>0</v>
      </c>
      <c r="BJ49" s="460">
        <v>0</v>
      </c>
      <c r="BK49" s="460">
        <v>298820819</v>
      </c>
      <c r="BL49" s="1299">
        <v>476.00000000000011</v>
      </c>
      <c r="BM49" s="1299">
        <v>175</v>
      </c>
      <c r="BN49" s="1299">
        <v>0</v>
      </c>
      <c r="BO49" s="1299">
        <v>0</v>
      </c>
      <c r="BP49" s="1299">
        <v>1140</v>
      </c>
      <c r="BQ49" s="1299">
        <v>0</v>
      </c>
      <c r="BR49" s="1299">
        <v>0</v>
      </c>
      <c r="BS49" s="1299">
        <v>0</v>
      </c>
      <c r="BT49" s="1299">
        <v>0</v>
      </c>
    </row>
    <row r="50" spans="1:72" s="22" customFormat="1" ht="26.25" customHeight="1">
      <c r="A50" s="464">
        <f>SUBTOTAL(3,B$4:B50)</f>
        <v>47</v>
      </c>
      <c r="B50" s="465" t="s">
        <v>218</v>
      </c>
      <c r="C50" s="466" t="s">
        <v>521</v>
      </c>
      <c r="D50" s="467" t="s">
        <v>707</v>
      </c>
      <c r="E50" s="468">
        <f>COUNTIFS('Salary sheet'!$F$6:$F$2288,C50,'Salary sheet'!$E$6:$E$2288,B50)</f>
        <v>25</v>
      </c>
      <c r="F50" s="460">
        <f>+SUMIFS('Salary sheet'!$AN$6:$AN$1292,'Salary sheet'!$F$6:$F$1292,'So sánh giờ'!C50,'Salary sheet'!$E$6:$E$1292,'So sánh giờ'!B50)</f>
        <v>224352905</v>
      </c>
      <c r="G50" s="460">
        <f>+SUMIFS('Salary sheet'!$AO$6:$AO$2288,'Salary sheet'!$F$6:$F$2288,C50,'Salary sheet'!$E$6:$E$2288,B50)</f>
        <v>14076090</v>
      </c>
      <c r="H50" s="460">
        <f>+SUMIFS('Salary sheet'!$AP$6:$AP$2288,'Salary sheet'!$F$6:$F$2288,C50,'Salary sheet'!$E$6:$E$2288,B50)</f>
        <v>1014300</v>
      </c>
      <c r="I50" s="460">
        <f>+SUMIFS('Salary sheet'!$AQ$6:$AQ$2288,'Salary sheet'!$F$6:$F$2288,C50,'Salary sheet'!$E$6:$E$2288,B50)</f>
        <v>0</v>
      </c>
      <c r="J50" s="460">
        <f>+SUMIFS('Salary sheet'!$AR$6:$AR$2288,'Salary sheet'!$F$6:$F$2288,C50,'Salary sheet'!$E$6:$E$2288,B50)</f>
        <v>0</v>
      </c>
      <c r="K50" s="460">
        <f>SUMIFS('Salary sheet'!$AS$6:$AS$1291,'Salary sheet'!$F$6:$F$1291,'So sánh giờ'!C50)</f>
        <v>0</v>
      </c>
      <c r="L50" s="460">
        <f t="shared" si="0"/>
        <v>209262515</v>
      </c>
      <c r="M50" s="1299">
        <f>SUMIFS('Salary sheet'!$M$6:$M$13045,'Salary sheet'!$F$6:$F$13045,'So sánh giờ'!$C50)</f>
        <v>580.90000000000009</v>
      </c>
      <c r="N50" s="1299">
        <f>SUMIFS('Salary sheet'!$O$6:$O$13045,'Salary sheet'!$F$6:$F$13045,'So sánh giờ'!$C50)</f>
        <v>53</v>
      </c>
      <c r="O50" s="1299">
        <f>SUMIFS('Salary sheet'!$AA$6:$AA$13045,'Salary sheet'!$F$6:$F$13045,'So sánh giờ'!$C50)</f>
        <v>0</v>
      </c>
      <c r="P50" s="1299">
        <f>SUMIFS('Salary sheet'!$Q$6:$Q$13045,'Salary sheet'!$F$6:$F$13045,'So sánh giờ'!$C50)</f>
        <v>0</v>
      </c>
      <c r="Q50" s="1299">
        <f>SUMIFS('Salary sheet'!$AH$6:$AH$13045,'Salary sheet'!$F$6:$F$13045,'So sánh giờ'!$C50)</f>
        <v>870</v>
      </c>
      <c r="R50" s="1299">
        <f>SUMIFS('Salary sheet'!$AI$6:$AI$13045,'Salary sheet'!$F$6:$F$13045,'So sánh giờ'!$C50)</f>
        <v>0</v>
      </c>
      <c r="S50" s="1299">
        <f>SUMIFS('Salary sheet'!$AJ$6:$AJ$13045,'Salary sheet'!$F$6:$F$13045,'So sánh giờ'!$C50)</f>
        <v>0</v>
      </c>
      <c r="T50" s="1299">
        <f>SUMIFS('Salary sheet'!$AK$6:$AK$13045,'Salary sheet'!$F$6:$F$13045,'So sánh giờ'!$C50)</f>
        <v>0</v>
      </c>
      <c r="U50" s="1299">
        <f>SUMIFS('Salary sheet'!$AL$6:$AL$13045,'Salary sheet'!$F$6:$F$13045,'So sánh giờ'!$C50)</f>
        <v>0</v>
      </c>
      <c r="V50" s="1394">
        <v>25</v>
      </c>
      <c r="W50" s="1392">
        <v>211041790</v>
      </c>
      <c r="X50" s="1392">
        <v>13995660</v>
      </c>
      <c r="Y50" s="1392">
        <v>1014300</v>
      </c>
      <c r="Z50" s="1392">
        <v>0</v>
      </c>
      <c r="AA50" s="1392">
        <v>0</v>
      </c>
      <c r="AB50" s="1392">
        <v>0</v>
      </c>
      <c r="AC50" s="1392">
        <v>196031830</v>
      </c>
      <c r="AD50" s="1395">
        <v>585.79999999999995</v>
      </c>
      <c r="AE50" s="1395">
        <v>0</v>
      </c>
      <c r="AF50" s="1395">
        <v>0</v>
      </c>
      <c r="AG50" s="1395">
        <v>0</v>
      </c>
      <c r="AH50" s="1395">
        <v>917</v>
      </c>
      <c r="AI50" s="1395">
        <v>0</v>
      </c>
      <c r="AJ50" s="1395">
        <v>0</v>
      </c>
      <c r="AK50" s="1395">
        <v>0</v>
      </c>
      <c r="AL50" s="1395">
        <v>0</v>
      </c>
      <c r="AM50" s="1376">
        <v>24</v>
      </c>
      <c r="AN50" s="1374">
        <v>193640759</v>
      </c>
      <c r="AO50" s="1374">
        <v>14523075</v>
      </c>
      <c r="AP50" s="1374">
        <v>1058400</v>
      </c>
      <c r="AQ50" s="1374">
        <v>0</v>
      </c>
      <c r="AR50" s="1374">
        <v>557500</v>
      </c>
      <c r="AS50" s="1374">
        <v>0</v>
      </c>
      <c r="AT50" s="1374">
        <v>177501784</v>
      </c>
      <c r="AU50" s="1377">
        <v>504.4</v>
      </c>
      <c r="AV50" s="1377">
        <v>48</v>
      </c>
      <c r="AW50" s="1377">
        <v>0</v>
      </c>
      <c r="AX50" s="1377">
        <v>0</v>
      </c>
      <c r="AY50" s="1377">
        <v>548</v>
      </c>
      <c r="AZ50" s="1377">
        <v>0</v>
      </c>
      <c r="BA50" s="1377">
        <v>0</v>
      </c>
      <c r="BB50" s="1377">
        <v>0</v>
      </c>
      <c r="BC50" s="1377">
        <v>0</v>
      </c>
      <c r="BD50" s="468">
        <v>25</v>
      </c>
      <c r="BE50" s="460">
        <v>349573339</v>
      </c>
      <c r="BF50" s="460">
        <v>15050490</v>
      </c>
      <c r="BG50" s="460">
        <v>1102500</v>
      </c>
      <c r="BH50" s="460">
        <v>2895888</v>
      </c>
      <c r="BI50" s="460">
        <v>0</v>
      </c>
      <c r="BJ50" s="460">
        <v>25308</v>
      </c>
      <c r="BK50" s="460">
        <v>330499153</v>
      </c>
      <c r="BL50" s="1299">
        <v>484.7</v>
      </c>
      <c r="BM50" s="1299">
        <v>175</v>
      </c>
      <c r="BN50" s="1299">
        <v>0</v>
      </c>
      <c r="BO50" s="1299">
        <v>0</v>
      </c>
      <c r="BP50" s="1299">
        <v>1148</v>
      </c>
      <c r="BQ50" s="1299">
        <v>0</v>
      </c>
      <c r="BR50" s="1299">
        <v>0</v>
      </c>
      <c r="BS50" s="1299">
        <v>0</v>
      </c>
      <c r="BT50" s="1299">
        <v>0</v>
      </c>
    </row>
    <row r="51" spans="1:72" s="22" customFormat="1" ht="26.25" customHeight="1">
      <c r="A51" s="464">
        <f>SUBTOTAL(3,B$4:B51)</f>
        <v>48</v>
      </c>
      <c r="B51" s="465" t="s">
        <v>218</v>
      </c>
      <c r="C51" s="466" t="s">
        <v>522</v>
      </c>
      <c r="D51" s="467" t="s">
        <v>461</v>
      </c>
      <c r="E51" s="468">
        <f>COUNTIFS('Salary sheet'!$F$6:$F$2288,C51,'Salary sheet'!$E$6:$E$2288,B51)</f>
        <v>14</v>
      </c>
      <c r="F51" s="460">
        <f>+SUMIFS('Salary sheet'!$AN$6:$AN$1292,'Salary sheet'!$F$6:$F$1292,'So sánh giờ'!C51,'Salary sheet'!$E$6:$E$1292,'So sánh giờ'!B51)</f>
        <v>118016819</v>
      </c>
      <c r="G51" s="460">
        <f>+SUMIFS('Salary sheet'!$AO$6:$AO$2288,'Salary sheet'!$F$6:$F$2288,C51,'Salary sheet'!$E$6:$E$2288,B51)</f>
        <v>8358735</v>
      </c>
      <c r="H51" s="460">
        <f>+SUMIFS('Salary sheet'!$AP$6:$AP$2288,'Salary sheet'!$F$6:$F$2288,C51,'Salary sheet'!$E$6:$E$2288,B51)</f>
        <v>573300</v>
      </c>
      <c r="I51" s="460">
        <f>+SUMIFS('Salary sheet'!$AQ$6:$AQ$2288,'Salary sheet'!$F$6:$F$2288,C51,'Salary sheet'!$E$6:$E$2288,B51)</f>
        <v>0</v>
      </c>
      <c r="J51" s="460">
        <f>+SUMIFS('Salary sheet'!$AR$6:$AR$2288,'Salary sheet'!$F$6:$F$2288,C51,'Salary sheet'!$E$6:$E$2288,B51)</f>
        <v>65000</v>
      </c>
      <c r="K51" s="460">
        <f>SUMIFS('Salary sheet'!$AS$6:$AS$1291,'Salary sheet'!$F$6:$F$1291,'So sánh giờ'!C51)</f>
        <v>0</v>
      </c>
      <c r="L51" s="460">
        <f t="shared" si="0"/>
        <v>109019784</v>
      </c>
      <c r="M51" s="1299">
        <f>SUMIFS('Salary sheet'!$M$6:$M$13045,'Salary sheet'!$F$6:$F$13045,'So sánh giờ'!$C51)</f>
        <v>294.60000000000002</v>
      </c>
      <c r="N51" s="1299">
        <f>SUMIFS('Salary sheet'!$O$6:$O$13045,'Salary sheet'!$F$6:$F$13045,'So sánh giờ'!$C51)</f>
        <v>26</v>
      </c>
      <c r="O51" s="1299">
        <f>SUMIFS('Salary sheet'!$AA$6:$AA$13045,'Salary sheet'!$F$6:$F$13045,'So sánh giờ'!$C51)</f>
        <v>0</v>
      </c>
      <c r="P51" s="1299">
        <f>SUMIFS('Salary sheet'!$Q$6:$Q$13045,'Salary sheet'!$F$6:$F$13045,'So sánh giờ'!$C51)</f>
        <v>0</v>
      </c>
      <c r="Q51" s="1299">
        <f>SUMIFS('Salary sheet'!$AH$6:$AH$13045,'Salary sheet'!$F$6:$F$13045,'So sánh giờ'!$C51)</f>
        <v>359</v>
      </c>
      <c r="R51" s="1299">
        <f>SUMIFS('Salary sheet'!$AI$6:$AI$13045,'Salary sheet'!$F$6:$F$13045,'So sánh giờ'!$C51)</f>
        <v>0</v>
      </c>
      <c r="S51" s="1299">
        <f>SUMIFS('Salary sheet'!$AJ$6:$AJ$13045,'Salary sheet'!$F$6:$F$13045,'So sánh giờ'!$C51)</f>
        <v>0</v>
      </c>
      <c r="T51" s="1299">
        <f>SUMIFS('Salary sheet'!$AK$6:$AK$13045,'Salary sheet'!$F$6:$F$13045,'So sánh giờ'!$C51)</f>
        <v>0</v>
      </c>
      <c r="U51" s="1299">
        <f>SUMIFS('Salary sheet'!$AL$6:$AL$13045,'Salary sheet'!$F$6:$F$13045,'So sánh giờ'!$C51)</f>
        <v>0</v>
      </c>
      <c r="V51" s="1394">
        <v>12</v>
      </c>
      <c r="W51" s="1392">
        <v>118264787</v>
      </c>
      <c r="X51" s="1392">
        <v>7775460</v>
      </c>
      <c r="Y51" s="1392">
        <v>485100</v>
      </c>
      <c r="Z51" s="1392">
        <v>0</v>
      </c>
      <c r="AA51" s="1392">
        <v>65000</v>
      </c>
      <c r="AB51" s="1392">
        <v>0</v>
      </c>
      <c r="AC51" s="1392">
        <v>109939227</v>
      </c>
      <c r="AD51" s="1395">
        <v>300.40000000000003</v>
      </c>
      <c r="AE51" s="1395">
        <v>0</v>
      </c>
      <c r="AF51" s="1395">
        <v>0</v>
      </c>
      <c r="AG51" s="1395">
        <v>0</v>
      </c>
      <c r="AH51" s="1395">
        <v>478</v>
      </c>
      <c r="AI51" s="1395">
        <v>0</v>
      </c>
      <c r="AJ51" s="1395">
        <v>0</v>
      </c>
      <c r="AK51" s="1395">
        <v>0</v>
      </c>
      <c r="AL51" s="1395">
        <v>0</v>
      </c>
      <c r="AM51" s="1376">
        <v>13</v>
      </c>
      <c r="AN51" s="1374">
        <v>105226515</v>
      </c>
      <c r="AO51" s="1374">
        <v>8334375</v>
      </c>
      <c r="AP51" s="1374">
        <v>529200</v>
      </c>
      <c r="AQ51" s="1374">
        <v>0</v>
      </c>
      <c r="AR51" s="1374">
        <v>455000</v>
      </c>
      <c r="AS51" s="1374">
        <v>0</v>
      </c>
      <c r="AT51" s="1374">
        <v>95907940</v>
      </c>
      <c r="AU51" s="1377">
        <v>253.2</v>
      </c>
      <c r="AV51" s="1377">
        <v>24</v>
      </c>
      <c r="AW51" s="1377">
        <v>0</v>
      </c>
      <c r="AX51" s="1377">
        <v>0</v>
      </c>
      <c r="AY51" s="1377">
        <v>264</v>
      </c>
      <c r="AZ51" s="1377">
        <v>0</v>
      </c>
      <c r="BA51" s="1377">
        <v>0</v>
      </c>
      <c r="BB51" s="1377">
        <v>0</v>
      </c>
      <c r="BC51" s="1377">
        <v>0</v>
      </c>
      <c r="BD51" s="468">
        <v>13</v>
      </c>
      <c r="BE51" s="460">
        <v>200499885</v>
      </c>
      <c r="BF51" s="460">
        <v>9030630</v>
      </c>
      <c r="BG51" s="460">
        <v>573300</v>
      </c>
      <c r="BH51" s="460">
        <v>1991220</v>
      </c>
      <c r="BI51" s="460">
        <v>0</v>
      </c>
      <c r="BJ51" s="460">
        <v>0</v>
      </c>
      <c r="BK51" s="460">
        <v>188904735</v>
      </c>
      <c r="BL51" s="1299">
        <v>251.1</v>
      </c>
      <c r="BM51" s="1299">
        <v>89</v>
      </c>
      <c r="BN51" s="1299">
        <v>0</v>
      </c>
      <c r="BO51" s="1299">
        <v>0</v>
      </c>
      <c r="BP51" s="1299">
        <v>554</v>
      </c>
      <c r="BQ51" s="1299">
        <v>0</v>
      </c>
      <c r="BR51" s="1299">
        <v>0</v>
      </c>
      <c r="BS51" s="1299">
        <v>0</v>
      </c>
      <c r="BT51" s="1299">
        <v>0</v>
      </c>
    </row>
    <row r="52" spans="1:72" s="22" customFormat="1" ht="26.25" customHeight="1">
      <c r="A52" s="464">
        <f>SUBTOTAL(3,B$4:B52)</f>
        <v>49</v>
      </c>
      <c r="B52" s="465" t="s">
        <v>218</v>
      </c>
      <c r="C52" s="466" t="s">
        <v>523</v>
      </c>
      <c r="D52" s="467" t="s">
        <v>462</v>
      </c>
      <c r="E52" s="468">
        <f>COUNTIFS('Salary sheet'!$F$6:$F$2288,C52,'Salary sheet'!$E$6:$E$2288,B52)</f>
        <v>11</v>
      </c>
      <c r="F52" s="460">
        <f>+SUMIFS('Salary sheet'!$AN$6:$AN$1292,'Salary sheet'!$F$6:$F$1292,'So sánh giờ'!C52,'Salary sheet'!$E$6:$E$1292,'So sánh giờ'!B52)</f>
        <v>105772162</v>
      </c>
      <c r="G52" s="460">
        <f>+SUMIFS('Salary sheet'!$AO$6:$AO$2288,'Salary sheet'!$F$6:$F$2288,C52,'Salary sheet'!$E$6:$E$2288,B52)</f>
        <v>7827540</v>
      </c>
      <c r="H52" s="460">
        <f>+SUMIFS('Salary sheet'!$AP$6:$AP$2288,'Salary sheet'!$F$6:$F$2288,C52,'Salary sheet'!$E$6:$E$2288,B52)</f>
        <v>485100</v>
      </c>
      <c r="I52" s="460">
        <f>+SUMIFS('Salary sheet'!$AQ$6:$AQ$2288,'Salary sheet'!$F$6:$F$2288,C52,'Salary sheet'!$E$6:$E$2288,B52)</f>
        <v>0</v>
      </c>
      <c r="J52" s="460">
        <f>+SUMIFS('Salary sheet'!$AR$6:$AR$2288,'Salary sheet'!$F$6:$F$2288,C52,'Salary sheet'!$E$6:$E$2288,B52)</f>
        <v>0</v>
      </c>
      <c r="K52" s="460">
        <f>SUMIFS('Salary sheet'!$AS$6:$AS$1291,'Salary sheet'!$F$6:$F$1291,'So sánh giờ'!C52)</f>
        <v>0</v>
      </c>
      <c r="L52" s="460">
        <f t="shared" si="0"/>
        <v>97459522</v>
      </c>
      <c r="M52" s="1299">
        <f>SUMIFS('Salary sheet'!$M$6:$M$13045,'Salary sheet'!$F$6:$F$13045,'So sánh giờ'!$C52)</f>
        <v>251.9</v>
      </c>
      <c r="N52" s="1299">
        <f>SUMIFS('Salary sheet'!$O$6:$O$13045,'Salary sheet'!$F$6:$F$13045,'So sánh giờ'!$C52)</f>
        <v>28</v>
      </c>
      <c r="O52" s="1299">
        <f>SUMIFS('Salary sheet'!$AA$6:$AA$13045,'Salary sheet'!$F$6:$F$13045,'So sánh giờ'!$C52)</f>
        <v>0</v>
      </c>
      <c r="P52" s="1299">
        <f>SUMIFS('Salary sheet'!$Q$6:$Q$13045,'Salary sheet'!$F$6:$F$13045,'So sánh giờ'!$C52)</f>
        <v>0</v>
      </c>
      <c r="Q52" s="1299">
        <f>SUMIFS('Salary sheet'!$AH$6:$AH$13045,'Salary sheet'!$F$6:$F$13045,'So sánh giờ'!$C52)</f>
        <v>320</v>
      </c>
      <c r="R52" s="1299">
        <f>SUMIFS('Salary sheet'!$AI$6:$AI$13045,'Salary sheet'!$F$6:$F$13045,'So sánh giờ'!$C52)</f>
        <v>0</v>
      </c>
      <c r="S52" s="1299">
        <f>SUMIFS('Salary sheet'!$AJ$6:$AJ$13045,'Salary sheet'!$F$6:$F$13045,'So sánh giờ'!$C52)</f>
        <v>0</v>
      </c>
      <c r="T52" s="1299">
        <f>SUMIFS('Salary sheet'!$AK$6:$AK$13045,'Salary sheet'!$F$6:$F$13045,'So sánh giờ'!$C52)</f>
        <v>0</v>
      </c>
      <c r="U52" s="1299">
        <f>SUMIFS('Salary sheet'!$AL$6:$AL$13045,'Salary sheet'!$F$6:$F$13045,'So sánh giờ'!$C52)</f>
        <v>0</v>
      </c>
      <c r="V52" s="1394">
        <v>11</v>
      </c>
      <c r="W52" s="1392">
        <v>106117160</v>
      </c>
      <c r="X52" s="1392">
        <v>7799820</v>
      </c>
      <c r="Y52" s="1392">
        <v>485100</v>
      </c>
      <c r="Z52" s="1392">
        <v>0</v>
      </c>
      <c r="AA52" s="1392">
        <v>0</v>
      </c>
      <c r="AB52" s="1392">
        <v>0</v>
      </c>
      <c r="AC52" s="1392">
        <v>97832240</v>
      </c>
      <c r="AD52" s="1395">
        <v>269.5</v>
      </c>
      <c r="AE52" s="1395">
        <v>0</v>
      </c>
      <c r="AF52" s="1395">
        <v>0</v>
      </c>
      <c r="AG52" s="1395">
        <v>0</v>
      </c>
      <c r="AH52" s="1395">
        <v>431.5</v>
      </c>
      <c r="AI52" s="1395">
        <v>0</v>
      </c>
      <c r="AJ52" s="1395">
        <v>0</v>
      </c>
      <c r="AK52" s="1395">
        <v>0</v>
      </c>
      <c r="AL52" s="1395">
        <v>0</v>
      </c>
      <c r="AM52" s="1376">
        <v>11</v>
      </c>
      <c r="AN52" s="1374">
        <v>100932508</v>
      </c>
      <c r="AO52" s="1374">
        <v>7799820</v>
      </c>
      <c r="AP52" s="1374">
        <v>485100</v>
      </c>
      <c r="AQ52" s="1374">
        <v>0</v>
      </c>
      <c r="AR52" s="1374">
        <v>210000</v>
      </c>
      <c r="AS52" s="1374">
        <v>0</v>
      </c>
      <c r="AT52" s="1374">
        <v>92437588</v>
      </c>
      <c r="AU52" s="1377">
        <v>232.89999999999998</v>
      </c>
      <c r="AV52" s="1377">
        <v>23</v>
      </c>
      <c r="AW52" s="1377">
        <v>0</v>
      </c>
      <c r="AX52" s="1377">
        <v>0</v>
      </c>
      <c r="AY52" s="1377">
        <v>252</v>
      </c>
      <c r="AZ52" s="1377">
        <v>0</v>
      </c>
      <c r="BA52" s="1377">
        <v>0</v>
      </c>
      <c r="BB52" s="1377">
        <v>0</v>
      </c>
      <c r="BC52" s="1377">
        <v>0</v>
      </c>
      <c r="BD52" s="468">
        <v>11</v>
      </c>
      <c r="BE52" s="460">
        <v>178372754</v>
      </c>
      <c r="BF52" s="460">
        <v>7799820</v>
      </c>
      <c r="BG52" s="460">
        <v>485100</v>
      </c>
      <c r="BH52" s="460">
        <v>1845900</v>
      </c>
      <c r="BI52" s="460">
        <v>0</v>
      </c>
      <c r="BJ52" s="460">
        <v>0</v>
      </c>
      <c r="BK52" s="460">
        <v>168241934</v>
      </c>
      <c r="BL52" s="1299">
        <v>211.9</v>
      </c>
      <c r="BM52" s="1299">
        <v>77</v>
      </c>
      <c r="BN52" s="1299">
        <v>0</v>
      </c>
      <c r="BO52" s="1299">
        <v>0</v>
      </c>
      <c r="BP52" s="1299">
        <v>508</v>
      </c>
      <c r="BQ52" s="1299">
        <v>0</v>
      </c>
      <c r="BR52" s="1299">
        <v>0</v>
      </c>
      <c r="BS52" s="1299">
        <v>0</v>
      </c>
      <c r="BT52" s="1299">
        <v>0</v>
      </c>
    </row>
    <row r="53" spans="1:72" s="22" customFormat="1" ht="26.25" customHeight="1">
      <c r="A53" s="464">
        <f>SUBTOTAL(3,B$4:B53)</f>
        <v>50</v>
      </c>
      <c r="B53" s="465" t="s">
        <v>218</v>
      </c>
      <c r="C53" s="466" t="s">
        <v>524</v>
      </c>
      <c r="D53" s="467" t="s">
        <v>463</v>
      </c>
      <c r="E53" s="468">
        <f>COUNTIFS('Salary sheet'!$F$6:$F$2288,C53,'Salary sheet'!$E$6:$E$2288,B53)</f>
        <v>4</v>
      </c>
      <c r="F53" s="460">
        <f>+SUMIFS('Salary sheet'!$AN$6:$AN$1292,'Salary sheet'!$F$6:$F$1292,'So sánh giờ'!C53,'Salary sheet'!$E$6:$E$1292,'So sánh giờ'!B53)</f>
        <v>86883958</v>
      </c>
      <c r="G53" s="460">
        <f>+SUMIFS('Salary sheet'!$AO$6:$AO$2288,'Salary sheet'!$F$6:$F$2288,C53,'Salary sheet'!$E$6:$E$2288,B53)</f>
        <v>7891485</v>
      </c>
      <c r="H53" s="460">
        <f>+SUMIFS('Salary sheet'!$AP$6:$AP$2288,'Salary sheet'!$F$6:$F$2288,C53,'Salary sheet'!$E$6:$E$2288,B53)</f>
        <v>176400</v>
      </c>
      <c r="I53" s="460">
        <f>+SUMIFS('Salary sheet'!$AQ$6:$AQ$2288,'Salary sheet'!$F$6:$F$2288,C53,'Salary sheet'!$E$6:$E$2288,B53)</f>
        <v>487235</v>
      </c>
      <c r="J53" s="460">
        <f>+SUMIFS('Salary sheet'!$AR$6:$AR$2288,'Salary sheet'!$F$6:$F$2288,C53,'Salary sheet'!$E$6:$E$2288,B53)</f>
        <v>70000</v>
      </c>
      <c r="K53" s="460">
        <f>SUMIFS('Salary sheet'!$AS$6:$AS$1291,'Salary sheet'!$F$6:$F$1291,'So sánh giờ'!C53)</f>
        <v>0</v>
      </c>
      <c r="L53" s="460">
        <f t="shared" si="0"/>
        <v>78258838</v>
      </c>
      <c r="M53" s="1299">
        <f>SUMIFS('Salary sheet'!$M$6:$M$13045,'Salary sheet'!$F$6:$F$13045,'So sánh giờ'!$C53)</f>
        <v>93.699999999999989</v>
      </c>
      <c r="N53" s="1299">
        <f>SUMIFS('Salary sheet'!$O$6:$O$13045,'Salary sheet'!$F$6:$F$13045,'So sánh giờ'!$C53)</f>
        <v>8</v>
      </c>
      <c r="O53" s="1299">
        <f>SUMIFS('Salary sheet'!$AA$6:$AA$13045,'Salary sheet'!$F$6:$F$13045,'So sánh giờ'!$C53)</f>
        <v>0</v>
      </c>
      <c r="P53" s="1299">
        <f>SUMIFS('Salary sheet'!$Q$6:$Q$13045,'Salary sheet'!$F$6:$F$13045,'So sánh giờ'!$C53)</f>
        <v>0</v>
      </c>
      <c r="Q53" s="1299">
        <f>SUMIFS('Salary sheet'!$AH$6:$AH$13045,'Salary sheet'!$F$6:$F$13045,'So sánh giờ'!$C53)</f>
        <v>78</v>
      </c>
      <c r="R53" s="1299">
        <f>SUMIFS('Salary sheet'!$AI$6:$AI$13045,'Salary sheet'!$F$6:$F$13045,'So sánh giờ'!$C53)</f>
        <v>0</v>
      </c>
      <c r="S53" s="1299">
        <f>SUMIFS('Salary sheet'!$AJ$6:$AJ$13045,'Salary sheet'!$F$6:$F$13045,'So sánh giờ'!$C53)</f>
        <v>0</v>
      </c>
      <c r="T53" s="1299">
        <f>SUMIFS('Salary sheet'!$AK$6:$AK$13045,'Salary sheet'!$F$6:$F$13045,'So sánh giờ'!$C53)</f>
        <v>0</v>
      </c>
      <c r="U53" s="1299">
        <f>SUMIFS('Salary sheet'!$AL$6:$AL$13045,'Salary sheet'!$F$6:$F$13045,'So sánh giờ'!$C53)</f>
        <v>0</v>
      </c>
      <c r="V53" s="1394">
        <v>4</v>
      </c>
      <c r="W53" s="1392">
        <v>92984891</v>
      </c>
      <c r="X53" s="1392">
        <v>7891485</v>
      </c>
      <c r="Y53" s="1392">
        <v>176400</v>
      </c>
      <c r="Z53" s="1392">
        <v>690171</v>
      </c>
      <c r="AA53" s="1392">
        <v>65000</v>
      </c>
      <c r="AB53" s="1392">
        <v>0</v>
      </c>
      <c r="AC53" s="1392">
        <v>84161835</v>
      </c>
      <c r="AD53" s="1395">
        <v>102.4</v>
      </c>
      <c r="AE53" s="1395">
        <v>0</v>
      </c>
      <c r="AF53" s="1395">
        <v>0</v>
      </c>
      <c r="AG53" s="1395">
        <v>0</v>
      </c>
      <c r="AH53" s="1395">
        <v>126</v>
      </c>
      <c r="AI53" s="1395">
        <v>0</v>
      </c>
      <c r="AJ53" s="1395">
        <v>0</v>
      </c>
      <c r="AK53" s="1395">
        <v>0</v>
      </c>
      <c r="AL53" s="1395">
        <v>0</v>
      </c>
      <c r="AM53" s="1376">
        <v>4</v>
      </c>
      <c r="AN53" s="1374">
        <v>87796859</v>
      </c>
      <c r="AO53" s="1374">
        <v>7891485</v>
      </c>
      <c r="AP53" s="1374">
        <v>176400</v>
      </c>
      <c r="AQ53" s="1374">
        <v>984846</v>
      </c>
      <c r="AR53" s="1374">
        <v>505000</v>
      </c>
      <c r="AS53" s="1374">
        <v>0</v>
      </c>
      <c r="AT53" s="1374">
        <v>78239128</v>
      </c>
      <c r="AU53" s="1377">
        <v>86.8</v>
      </c>
      <c r="AV53" s="1377">
        <v>8</v>
      </c>
      <c r="AW53" s="1377">
        <v>0</v>
      </c>
      <c r="AX53" s="1377">
        <v>0</v>
      </c>
      <c r="AY53" s="1377">
        <v>72</v>
      </c>
      <c r="AZ53" s="1377">
        <v>0</v>
      </c>
      <c r="BA53" s="1377">
        <v>0</v>
      </c>
      <c r="BB53" s="1377">
        <v>0</v>
      </c>
      <c r="BC53" s="1377">
        <v>0</v>
      </c>
      <c r="BD53" s="468">
        <v>4</v>
      </c>
      <c r="BE53" s="460">
        <v>143949155</v>
      </c>
      <c r="BF53" s="460">
        <v>7891485</v>
      </c>
      <c r="BG53" s="460">
        <v>176400</v>
      </c>
      <c r="BH53" s="460">
        <v>7840523</v>
      </c>
      <c r="BI53" s="460">
        <v>0</v>
      </c>
      <c r="BJ53" s="460">
        <v>0</v>
      </c>
      <c r="BK53" s="460">
        <v>128040747</v>
      </c>
      <c r="BL53" s="1299">
        <v>75.400000000000006</v>
      </c>
      <c r="BM53" s="1299">
        <v>28</v>
      </c>
      <c r="BN53" s="1299">
        <v>0</v>
      </c>
      <c r="BO53" s="1299">
        <v>0</v>
      </c>
      <c r="BP53" s="1299">
        <v>133.5</v>
      </c>
      <c r="BQ53" s="1299">
        <v>0</v>
      </c>
      <c r="BR53" s="1299">
        <v>0</v>
      </c>
      <c r="BS53" s="1299">
        <v>0</v>
      </c>
      <c r="BT53" s="1299">
        <v>0</v>
      </c>
    </row>
    <row r="54" spans="1:72" s="22" customFormat="1" ht="26.25" customHeight="1">
      <c r="A54" s="464">
        <f>SUBTOTAL(3,B$4:B54)</f>
        <v>51</v>
      </c>
      <c r="B54" s="465" t="s">
        <v>218</v>
      </c>
      <c r="C54" s="466" t="s">
        <v>525</v>
      </c>
      <c r="D54" s="467" t="s">
        <v>464</v>
      </c>
      <c r="E54" s="468">
        <f>COUNTIFS('Salary sheet'!$F$6:$F$2288,C54,'Salary sheet'!$E$6:$E$2288,B54)</f>
        <v>11</v>
      </c>
      <c r="F54" s="460">
        <f>+SUMIFS('Salary sheet'!$AN$6:$AN$1292,'Salary sheet'!$F$6:$F$1292,'So sánh giờ'!C54,'Salary sheet'!$E$6:$E$1292,'So sánh giờ'!B54)</f>
        <v>104554695</v>
      </c>
      <c r="G54" s="460">
        <f>+SUMIFS('Salary sheet'!$AO$6:$AO$2288,'Salary sheet'!$F$6:$F$2288,C54,'Salary sheet'!$E$6:$E$2288,B54)</f>
        <v>7716870</v>
      </c>
      <c r="H54" s="460">
        <f>+SUMIFS('Salary sheet'!$AP$6:$AP$2288,'Salary sheet'!$F$6:$F$2288,C54,'Salary sheet'!$E$6:$E$2288,B54)</f>
        <v>485100</v>
      </c>
      <c r="I54" s="460">
        <f>+SUMIFS('Salary sheet'!$AQ$6:$AQ$2288,'Salary sheet'!$F$6:$F$2288,C54,'Salary sheet'!$E$6:$E$2288,B54)</f>
        <v>0</v>
      </c>
      <c r="J54" s="460">
        <f>+SUMIFS('Salary sheet'!$AR$6:$AR$2288,'Salary sheet'!$F$6:$F$2288,C54,'Salary sheet'!$E$6:$E$2288,B54)</f>
        <v>0</v>
      </c>
      <c r="K54" s="460">
        <f>SUMIFS('Salary sheet'!$AS$6:$AS$1291,'Salary sheet'!$F$6:$F$1291,'So sánh giờ'!C54)</f>
        <v>0</v>
      </c>
      <c r="L54" s="460">
        <f t="shared" si="0"/>
        <v>96352725</v>
      </c>
      <c r="M54" s="1299">
        <f>SUMIFS('Salary sheet'!$M$6:$M$13045,'Salary sheet'!$F$6:$F$13045,'So sánh giờ'!$C54)</f>
        <v>234.49999999999997</v>
      </c>
      <c r="N54" s="1299">
        <f>SUMIFS('Salary sheet'!$O$6:$O$13045,'Salary sheet'!$F$6:$F$13045,'So sánh giờ'!$C54)</f>
        <v>23</v>
      </c>
      <c r="O54" s="1299">
        <f>SUMIFS('Salary sheet'!$AA$6:$AA$13045,'Salary sheet'!$F$6:$F$13045,'So sánh giờ'!$C54)</f>
        <v>0</v>
      </c>
      <c r="P54" s="1299">
        <f>SUMIFS('Salary sheet'!$Q$6:$Q$13045,'Salary sheet'!$F$6:$F$13045,'So sánh giờ'!$C54)</f>
        <v>0</v>
      </c>
      <c r="Q54" s="1299">
        <f>SUMIFS('Salary sheet'!$AH$6:$AH$13045,'Salary sheet'!$F$6:$F$13045,'So sánh giờ'!$C54)</f>
        <v>301</v>
      </c>
      <c r="R54" s="1299">
        <f>SUMIFS('Salary sheet'!$AI$6:$AI$13045,'Salary sheet'!$F$6:$F$13045,'So sánh giờ'!$C54)</f>
        <v>0</v>
      </c>
      <c r="S54" s="1299">
        <f>SUMIFS('Salary sheet'!$AJ$6:$AJ$13045,'Salary sheet'!$F$6:$F$13045,'So sánh giờ'!$C54)</f>
        <v>0</v>
      </c>
      <c r="T54" s="1299">
        <f>SUMIFS('Salary sheet'!$AK$6:$AK$13045,'Salary sheet'!$F$6:$F$13045,'So sánh giờ'!$C54)</f>
        <v>0</v>
      </c>
      <c r="U54" s="1299">
        <f>SUMIFS('Salary sheet'!$AL$6:$AL$13045,'Salary sheet'!$F$6:$F$13045,'So sánh giờ'!$C54)</f>
        <v>0</v>
      </c>
      <c r="V54" s="1394">
        <v>10</v>
      </c>
      <c r="W54" s="1392">
        <v>111076201</v>
      </c>
      <c r="X54" s="1392">
        <v>7704690</v>
      </c>
      <c r="Y54" s="1392">
        <v>441000</v>
      </c>
      <c r="Z54" s="1392">
        <v>0</v>
      </c>
      <c r="AA54" s="1392">
        <v>0</v>
      </c>
      <c r="AB54" s="1392">
        <v>0</v>
      </c>
      <c r="AC54" s="1392">
        <v>102930511</v>
      </c>
      <c r="AD54" s="1395">
        <v>256.70000000000005</v>
      </c>
      <c r="AE54" s="1395">
        <v>0</v>
      </c>
      <c r="AF54" s="1395">
        <v>0</v>
      </c>
      <c r="AG54" s="1395">
        <v>0</v>
      </c>
      <c r="AH54" s="1395">
        <v>420.5</v>
      </c>
      <c r="AI54" s="1395">
        <v>0</v>
      </c>
      <c r="AJ54" s="1395">
        <v>0</v>
      </c>
      <c r="AK54" s="1395">
        <v>0</v>
      </c>
      <c r="AL54" s="1395">
        <v>0</v>
      </c>
      <c r="AM54" s="1376">
        <v>10</v>
      </c>
      <c r="AN54" s="1374">
        <v>88223857</v>
      </c>
      <c r="AO54" s="1374">
        <v>7602105</v>
      </c>
      <c r="AP54" s="1374">
        <v>441000</v>
      </c>
      <c r="AQ54" s="1374">
        <v>0</v>
      </c>
      <c r="AR54" s="1374">
        <v>492500</v>
      </c>
      <c r="AS54" s="1374">
        <v>0</v>
      </c>
      <c r="AT54" s="1374">
        <v>79688252</v>
      </c>
      <c r="AU54" s="1377">
        <v>191.2</v>
      </c>
      <c r="AV54" s="1377">
        <v>20</v>
      </c>
      <c r="AW54" s="1377">
        <v>0</v>
      </c>
      <c r="AX54" s="1377">
        <v>0</v>
      </c>
      <c r="AY54" s="1377">
        <v>200</v>
      </c>
      <c r="AZ54" s="1377">
        <v>0</v>
      </c>
      <c r="BA54" s="1377">
        <v>0</v>
      </c>
      <c r="BB54" s="1377">
        <v>0</v>
      </c>
      <c r="BC54" s="1377">
        <v>0</v>
      </c>
      <c r="BD54" s="468">
        <v>10</v>
      </c>
      <c r="BE54" s="460">
        <v>161911611</v>
      </c>
      <c r="BF54" s="460">
        <v>6851670</v>
      </c>
      <c r="BG54" s="460">
        <v>441000</v>
      </c>
      <c r="BH54" s="460">
        <v>1869655</v>
      </c>
      <c r="BI54" s="460">
        <v>0</v>
      </c>
      <c r="BJ54" s="460">
        <v>0</v>
      </c>
      <c r="BK54" s="460">
        <v>152749286</v>
      </c>
      <c r="BL54" s="1299">
        <v>178.2</v>
      </c>
      <c r="BM54" s="1299">
        <v>68</v>
      </c>
      <c r="BN54" s="1299">
        <v>0</v>
      </c>
      <c r="BO54" s="1299">
        <v>0</v>
      </c>
      <c r="BP54" s="1299">
        <v>399</v>
      </c>
      <c r="BQ54" s="1299">
        <v>0</v>
      </c>
      <c r="BR54" s="1299">
        <v>0</v>
      </c>
      <c r="BS54" s="1299">
        <v>0</v>
      </c>
      <c r="BT54" s="1299">
        <v>0</v>
      </c>
    </row>
    <row r="55" spans="1:72" s="22" customFormat="1" ht="26.25" customHeight="1">
      <c r="A55" s="464">
        <f>SUBTOTAL(3,B$4:B55)</f>
        <v>52</v>
      </c>
      <c r="B55" s="465" t="s">
        <v>218</v>
      </c>
      <c r="C55" s="466" t="s">
        <v>526</v>
      </c>
      <c r="D55" s="467" t="s">
        <v>465</v>
      </c>
      <c r="E55" s="468">
        <f>COUNTIFS('Salary sheet'!$F$6:$F$2288,C55,'Salary sheet'!$E$6:$E$2288,B55)</f>
        <v>1</v>
      </c>
      <c r="F55" s="460">
        <f>+SUMIFS('Salary sheet'!$AN$6:$AN$1292,'Salary sheet'!$F$6:$F$1292,'So sánh giờ'!C55,'Salary sheet'!$E$6:$E$1292,'So sánh giờ'!B55)</f>
        <v>8506848</v>
      </c>
      <c r="G55" s="460">
        <f>+SUMIFS('Salary sheet'!$AO$6:$AO$2288,'Salary sheet'!$F$6:$F$2288,C55,'Salary sheet'!$E$6:$E$2288,B55)</f>
        <v>654255</v>
      </c>
      <c r="H55" s="460">
        <f>+SUMIFS('Salary sheet'!$AP$6:$AP$2288,'Salary sheet'!$F$6:$F$2288,C55,'Salary sheet'!$E$6:$E$2288,B55)</f>
        <v>44100</v>
      </c>
      <c r="I55" s="460">
        <f>+SUMIFS('Salary sheet'!$AQ$6:$AQ$2288,'Salary sheet'!$F$6:$F$2288,C55,'Salary sheet'!$E$6:$E$2288,B55)</f>
        <v>0</v>
      </c>
      <c r="J55" s="460">
        <f>+SUMIFS('Salary sheet'!$AR$6:$AR$2288,'Salary sheet'!$F$6:$F$2288,C55,'Salary sheet'!$E$6:$E$2288,B55)</f>
        <v>0</v>
      </c>
      <c r="K55" s="460">
        <f>SUMIFS('Salary sheet'!$AS$6:$AS$1291,'Salary sheet'!$F$6:$F$1291,'So sánh giờ'!C55)</f>
        <v>0</v>
      </c>
      <c r="L55" s="460">
        <f t="shared" si="0"/>
        <v>7808493</v>
      </c>
      <c r="M55" s="1299">
        <f>SUMIFS('Salary sheet'!$M$6:$M$13045,'Salary sheet'!$F$6:$F$13045,'So sánh giờ'!$C55)</f>
        <v>24</v>
      </c>
      <c r="N55" s="1299">
        <f>SUMIFS('Salary sheet'!$O$6:$O$13045,'Salary sheet'!$F$6:$F$13045,'So sánh giờ'!$C55)</f>
        <v>2</v>
      </c>
      <c r="O55" s="1299">
        <f>SUMIFS('Salary sheet'!$AA$6:$AA$13045,'Salary sheet'!$F$6:$F$13045,'So sánh giờ'!$C55)</f>
        <v>0</v>
      </c>
      <c r="P55" s="1299">
        <f>SUMIFS('Salary sheet'!$Q$6:$Q$13045,'Salary sheet'!$F$6:$F$13045,'So sánh giờ'!$C55)</f>
        <v>0</v>
      </c>
      <c r="Q55" s="1299">
        <f>SUMIFS('Salary sheet'!$AH$6:$AH$13045,'Salary sheet'!$F$6:$F$13045,'So sánh giờ'!$C55)</f>
        <v>14</v>
      </c>
      <c r="R55" s="1299">
        <f>SUMIFS('Salary sheet'!$AI$6:$AI$13045,'Salary sheet'!$F$6:$F$13045,'So sánh giờ'!$C55)</f>
        <v>0</v>
      </c>
      <c r="S55" s="1299">
        <f>SUMIFS('Salary sheet'!$AJ$6:$AJ$13045,'Salary sheet'!$F$6:$F$13045,'So sánh giờ'!$C55)</f>
        <v>0</v>
      </c>
      <c r="T55" s="1299">
        <f>SUMIFS('Salary sheet'!$AK$6:$AK$13045,'Salary sheet'!$F$6:$F$13045,'So sánh giờ'!$C55)</f>
        <v>0</v>
      </c>
      <c r="U55" s="1299">
        <f>SUMIFS('Salary sheet'!$AL$6:$AL$13045,'Salary sheet'!$F$6:$F$13045,'So sánh giờ'!$C55)</f>
        <v>0</v>
      </c>
      <c r="V55" s="1394">
        <v>2</v>
      </c>
      <c r="W55" s="1392">
        <v>19305106</v>
      </c>
      <c r="X55" s="1392">
        <v>1340010</v>
      </c>
      <c r="Y55" s="1392">
        <v>88200</v>
      </c>
      <c r="Z55" s="1392">
        <v>0</v>
      </c>
      <c r="AA55" s="1392">
        <v>0</v>
      </c>
      <c r="AB55" s="1392">
        <v>0</v>
      </c>
      <c r="AC55" s="1392">
        <v>17876896</v>
      </c>
      <c r="AD55" s="1395">
        <v>50.6</v>
      </c>
      <c r="AE55" s="1395">
        <v>0</v>
      </c>
      <c r="AF55" s="1395">
        <v>0</v>
      </c>
      <c r="AG55" s="1395">
        <v>0</v>
      </c>
      <c r="AH55" s="1395">
        <v>76</v>
      </c>
      <c r="AI55" s="1395">
        <v>0</v>
      </c>
      <c r="AJ55" s="1395">
        <v>0</v>
      </c>
      <c r="AK55" s="1395">
        <v>0</v>
      </c>
      <c r="AL55" s="1395">
        <v>0</v>
      </c>
      <c r="AM55" s="1376">
        <v>2</v>
      </c>
      <c r="AN55" s="1374">
        <v>17764078</v>
      </c>
      <c r="AO55" s="1374">
        <v>1340010</v>
      </c>
      <c r="AP55" s="1374">
        <v>88200</v>
      </c>
      <c r="AQ55" s="1374">
        <v>0</v>
      </c>
      <c r="AR55" s="1374">
        <v>140000</v>
      </c>
      <c r="AS55" s="1374">
        <v>0</v>
      </c>
      <c r="AT55" s="1374">
        <v>16195868</v>
      </c>
      <c r="AU55" s="1377">
        <v>42.8</v>
      </c>
      <c r="AV55" s="1377">
        <v>4</v>
      </c>
      <c r="AW55" s="1377">
        <v>0</v>
      </c>
      <c r="AX55" s="1377">
        <v>0</v>
      </c>
      <c r="AY55" s="1377">
        <v>48</v>
      </c>
      <c r="AZ55" s="1377">
        <v>0</v>
      </c>
      <c r="BA55" s="1377">
        <v>0</v>
      </c>
      <c r="BB55" s="1377">
        <v>0</v>
      </c>
      <c r="BC55" s="1377">
        <v>0</v>
      </c>
      <c r="BD55" s="468">
        <v>2</v>
      </c>
      <c r="BE55" s="460">
        <v>30051431</v>
      </c>
      <c r="BF55" s="460">
        <v>1340010</v>
      </c>
      <c r="BG55" s="460">
        <v>88200</v>
      </c>
      <c r="BH55" s="460">
        <v>277441</v>
      </c>
      <c r="BI55" s="460">
        <v>0</v>
      </c>
      <c r="BJ55" s="460">
        <v>0</v>
      </c>
      <c r="BK55" s="460">
        <v>28345780</v>
      </c>
      <c r="BL55" s="1299">
        <v>34.200000000000003</v>
      </c>
      <c r="BM55" s="1299">
        <v>17</v>
      </c>
      <c r="BN55" s="1299">
        <v>0</v>
      </c>
      <c r="BO55" s="1299">
        <v>0</v>
      </c>
      <c r="BP55" s="1299">
        <v>75.5</v>
      </c>
      <c r="BQ55" s="1299">
        <v>0</v>
      </c>
      <c r="BR55" s="1299">
        <v>0</v>
      </c>
      <c r="BS55" s="1299">
        <v>0</v>
      </c>
      <c r="BT55" s="1299">
        <v>0</v>
      </c>
    </row>
    <row r="56" spans="1:72" s="22" customFormat="1" ht="26.25" customHeight="1">
      <c r="A56" s="464">
        <f>SUBTOTAL(3,B$4:B56)</f>
        <v>53</v>
      </c>
      <c r="B56" s="465" t="s">
        <v>217</v>
      </c>
      <c r="C56" s="466" t="s">
        <v>564</v>
      </c>
      <c r="D56" s="467" t="s">
        <v>595</v>
      </c>
      <c r="E56" s="468">
        <f>COUNTIFS('Salary sheet'!$F$6:$F$2288,C56,'Salary sheet'!$E$6:$E$2288,B56)</f>
        <v>4</v>
      </c>
      <c r="F56" s="460">
        <f>+SUMIFS('Salary sheet'!$AN$6:$AN$1292,'Salary sheet'!$F$6:$F$1292,'So sánh giờ'!C56,'Salary sheet'!$E$6:$E$1292,'So sánh giờ'!B56)</f>
        <v>49942462</v>
      </c>
      <c r="G56" s="460">
        <f>+SUMIFS('Salary sheet'!$AO$6:$AO$2288,'Salary sheet'!$F$6:$F$2288,C56,'Salary sheet'!$E$6:$E$2288,B56)</f>
        <v>3467520</v>
      </c>
      <c r="H56" s="460">
        <f>+SUMIFS('Salary sheet'!$AP$6:$AP$2288,'Salary sheet'!$F$6:$F$2288,C56,'Salary sheet'!$E$6:$E$2288,B56)</f>
        <v>176400</v>
      </c>
      <c r="I56" s="460">
        <f>+SUMIFS('Salary sheet'!$AQ$6:$AQ$2288,'Salary sheet'!$F$6:$F$2288,C56,'Salary sheet'!$E$6:$E$2288,B56)</f>
        <v>85143</v>
      </c>
      <c r="J56" s="460">
        <f>+SUMIFS('Salary sheet'!$AR$6:$AR$2288,'Salary sheet'!$F$6:$F$2288,C56,'Salary sheet'!$E$6:$E$2288,B56)</f>
        <v>0</v>
      </c>
      <c r="K56" s="460">
        <f>SUMIFS('Salary sheet'!$AS$6:$AS$1291,'Salary sheet'!$F$6:$F$1291,'So sánh giờ'!C56)</f>
        <v>0</v>
      </c>
      <c r="L56" s="460">
        <f t="shared" si="0"/>
        <v>46213399</v>
      </c>
      <c r="M56" s="1299">
        <f>SUMIFS('Salary sheet'!$M$6:$M$13045,'Salary sheet'!$F$6:$F$13045,'So sánh giờ'!$C56)</f>
        <v>95.6</v>
      </c>
      <c r="N56" s="1299">
        <f>SUMIFS('Salary sheet'!$O$6:$O$13045,'Salary sheet'!$F$6:$F$13045,'So sánh giờ'!$C56)</f>
        <v>8</v>
      </c>
      <c r="O56" s="1299">
        <f>SUMIFS('Salary sheet'!$AA$6:$AA$13045,'Salary sheet'!$F$6:$F$13045,'So sánh giờ'!$C56)</f>
        <v>0</v>
      </c>
      <c r="P56" s="1299">
        <f>SUMIFS('Salary sheet'!$Q$6:$Q$13045,'Salary sheet'!$F$6:$F$13045,'So sánh giờ'!$C56)</f>
        <v>0</v>
      </c>
      <c r="Q56" s="1299">
        <f>SUMIFS('Salary sheet'!$AH$6:$AH$13045,'Salary sheet'!$F$6:$F$13045,'So sánh giờ'!$C56)</f>
        <v>188</v>
      </c>
      <c r="R56" s="1299">
        <f>SUMIFS('Salary sheet'!$AI$6:$AI$13045,'Salary sheet'!$F$6:$F$13045,'So sánh giờ'!$C56)</f>
        <v>0</v>
      </c>
      <c r="S56" s="1299">
        <f>SUMIFS('Salary sheet'!$AJ$6:$AJ$13045,'Salary sheet'!$F$6:$F$13045,'So sánh giờ'!$C56)</f>
        <v>0</v>
      </c>
      <c r="T56" s="1299">
        <f>SUMIFS('Salary sheet'!$AK$6:$AK$13045,'Salary sheet'!$F$6:$F$13045,'So sánh giờ'!$C56)</f>
        <v>0</v>
      </c>
      <c r="U56" s="1299">
        <f>SUMIFS('Salary sheet'!$AL$6:$AL$13045,'Salary sheet'!$F$6:$F$13045,'So sánh giờ'!$C56)</f>
        <v>0</v>
      </c>
      <c r="V56" s="1394">
        <v>4</v>
      </c>
      <c r="W56" s="1392">
        <v>50625686</v>
      </c>
      <c r="X56" s="1392">
        <v>3467520</v>
      </c>
      <c r="Y56" s="1392">
        <v>176400</v>
      </c>
      <c r="Z56" s="1392">
        <v>119808</v>
      </c>
      <c r="AA56" s="1392">
        <v>0</v>
      </c>
      <c r="AB56" s="1392">
        <v>0</v>
      </c>
      <c r="AC56" s="1392">
        <v>46861958</v>
      </c>
      <c r="AD56" s="1395">
        <v>101.4</v>
      </c>
      <c r="AE56" s="1395">
        <v>0</v>
      </c>
      <c r="AF56" s="1395">
        <v>0</v>
      </c>
      <c r="AG56" s="1395">
        <v>0</v>
      </c>
      <c r="AH56" s="1395">
        <v>208</v>
      </c>
      <c r="AI56" s="1395">
        <v>0</v>
      </c>
      <c r="AJ56" s="1395">
        <v>0</v>
      </c>
      <c r="AK56" s="1395">
        <v>0</v>
      </c>
      <c r="AL56" s="1395">
        <v>0</v>
      </c>
      <c r="AM56" s="1376">
        <v>4</v>
      </c>
      <c r="AN56" s="1374">
        <v>49281768</v>
      </c>
      <c r="AO56" s="1374">
        <v>3467520</v>
      </c>
      <c r="AP56" s="1374">
        <v>176400</v>
      </c>
      <c r="AQ56" s="1374">
        <v>120492</v>
      </c>
      <c r="AR56" s="1374">
        <v>0</v>
      </c>
      <c r="AS56" s="1374">
        <v>0</v>
      </c>
      <c r="AT56" s="1374">
        <v>45517356</v>
      </c>
      <c r="AU56" s="1377">
        <v>78.2</v>
      </c>
      <c r="AV56" s="1377">
        <v>8</v>
      </c>
      <c r="AW56" s="1377">
        <v>0</v>
      </c>
      <c r="AX56" s="1377">
        <v>0</v>
      </c>
      <c r="AY56" s="1377">
        <v>215.5</v>
      </c>
      <c r="AZ56" s="1377">
        <v>0</v>
      </c>
      <c r="BA56" s="1377">
        <v>0</v>
      </c>
      <c r="BB56" s="1377">
        <v>0</v>
      </c>
      <c r="BC56" s="1377">
        <v>0</v>
      </c>
      <c r="BD56" s="468">
        <v>4</v>
      </c>
      <c r="BE56" s="460">
        <v>78305280</v>
      </c>
      <c r="BF56" s="460">
        <v>3467520</v>
      </c>
      <c r="BG56" s="460">
        <v>176400</v>
      </c>
      <c r="BH56" s="460">
        <v>1540090</v>
      </c>
      <c r="BI56" s="460">
        <v>0</v>
      </c>
      <c r="BJ56" s="460">
        <v>0</v>
      </c>
      <c r="BK56" s="460">
        <v>73121270</v>
      </c>
      <c r="BL56" s="1299">
        <v>77.699999999999989</v>
      </c>
      <c r="BM56" s="1299">
        <v>28</v>
      </c>
      <c r="BN56" s="1299">
        <v>0</v>
      </c>
      <c r="BO56" s="1299">
        <v>0</v>
      </c>
      <c r="BP56" s="1299">
        <v>229</v>
      </c>
      <c r="BQ56" s="1299">
        <v>32</v>
      </c>
      <c r="BR56" s="1299">
        <v>0</v>
      </c>
      <c r="BS56" s="1299">
        <v>0</v>
      </c>
      <c r="BT56" s="1299">
        <v>0</v>
      </c>
    </row>
    <row r="57" spans="1:72" s="22" customFormat="1" ht="26.25" customHeight="1">
      <c r="A57" s="464">
        <f>SUBTOTAL(3,B$4:B57)</f>
        <v>54</v>
      </c>
      <c r="B57" s="465" t="s">
        <v>217</v>
      </c>
      <c r="C57" s="466" t="s">
        <v>565</v>
      </c>
      <c r="D57" s="467" t="s">
        <v>597</v>
      </c>
      <c r="E57" s="468">
        <f>COUNTIFS('Salary sheet'!$F$6:$F$2288,C57,'Salary sheet'!$E$6:$E$2288,B57)</f>
        <v>13</v>
      </c>
      <c r="F57" s="460">
        <f>+SUMIFS('Salary sheet'!$AN$6:$AN$1292,'Salary sheet'!$F$6:$F$1292,'So sánh giờ'!C57,'Salary sheet'!$E$6:$E$1292,'So sánh giờ'!B57)</f>
        <v>132262471</v>
      </c>
      <c r="G57" s="460">
        <f>+SUMIFS('Salary sheet'!$AO$6:$AO$2288,'Salary sheet'!$F$6:$F$2288,C57,'Salary sheet'!$E$6:$E$2288,B57)</f>
        <v>9339855</v>
      </c>
      <c r="H57" s="460">
        <f>+SUMIFS('Salary sheet'!$AP$6:$AP$2288,'Salary sheet'!$F$6:$F$2288,C57,'Salary sheet'!$E$6:$E$2288,B57)</f>
        <v>573300</v>
      </c>
      <c r="I57" s="460">
        <f>+SUMIFS('Salary sheet'!$AQ$6:$AQ$2288,'Salary sheet'!$F$6:$F$2288,C57,'Salary sheet'!$E$6:$E$2288,B57)</f>
        <v>0</v>
      </c>
      <c r="J57" s="460">
        <f>+SUMIFS('Salary sheet'!$AR$6:$AR$2288,'Salary sheet'!$F$6:$F$2288,C57,'Salary sheet'!$E$6:$E$2288,B57)</f>
        <v>0</v>
      </c>
      <c r="K57" s="460">
        <f>SUMIFS('Salary sheet'!$AS$6:$AS$1291,'Salary sheet'!$F$6:$F$1291,'So sánh giờ'!C57)</f>
        <v>0</v>
      </c>
      <c r="L57" s="460">
        <f t="shared" si="0"/>
        <v>122349316</v>
      </c>
      <c r="M57" s="1299">
        <f>SUMIFS('Salary sheet'!$M$6:$M$13045,'Salary sheet'!$F$6:$F$13045,'So sánh giờ'!$C57)</f>
        <v>299.7</v>
      </c>
      <c r="N57" s="1299">
        <f>SUMIFS('Salary sheet'!$O$6:$O$13045,'Salary sheet'!$F$6:$F$13045,'So sánh giờ'!$C57)</f>
        <v>29</v>
      </c>
      <c r="O57" s="1299">
        <f>SUMIFS('Salary sheet'!$AA$6:$AA$13045,'Salary sheet'!$F$6:$F$13045,'So sánh giờ'!$C57)</f>
        <v>0</v>
      </c>
      <c r="P57" s="1299">
        <f>SUMIFS('Salary sheet'!$Q$6:$Q$13045,'Salary sheet'!$F$6:$F$13045,'So sánh giờ'!$C57)</f>
        <v>474</v>
      </c>
      <c r="Q57" s="1299">
        <f>SUMIFS('Salary sheet'!$AH$6:$AH$13045,'Salary sheet'!$F$6:$F$13045,'So sánh giờ'!$C57)</f>
        <v>438</v>
      </c>
      <c r="R57" s="1299">
        <f>SUMIFS('Salary sheet'!$AI$6:$AI$13045,'Salary sheet'!$F$6:$F$13045,'So sánh giờ'!$C57)</f>
        <v>0</v>
      </c>
      <c r="S57" s="1299">
        <f>SUMIFS('Salary sheet'!$AJ$6:$AJ$13045,'Salary sheet'!$F$6:$F$13045,'So sánh giờ'!$C57)</f>
        <v>12</v>
      </c>
      <c r="T57" s="1299">
        <f>SUMIFS('Salary sheet'!$AK$6:$AK$13045,'Salary sheet'!$F$6:$F$13045,'So sánh giờ'!$C57)</f>
        <v>0</v>
      </c>
      <c r="U57" s="1299">
        <f>SUMIFS('Salary sheet'!$AL$6:$AL$13045,'Salary sheet'!$F$6:$F$13045,'So sánh giờ'!$C57)</f>
        <v>0</v>
      </c>
      <c r="V57" s="1394">
        <v>13</v>
      </c>
      <c r="W57" s="1392">
        <v>126451378</v>
      </c>
      <c r="X57" s="1392">
        <v>9249473</v>
      </c>
      <c r="Y57" s="1392">
        <v>573300</v>
      </c>
      <c r="Z57" s="1392">
        <v>0</v>
      </c>
      <c r="AA57" s="1392">
        <v>0</v>
      </c>
      <c r="AB57" s="1392">
        <v>870592</v>
      </c>
      <c r="AC57" s="1392">
        <v>115758013</v>
      </c>
      <c r="AD57" s="1395">
        <v>327.8</v>
      </c>
      <c r="AE57" s="1395">
        <v>1</v>
      </c>
      <c r="AF57" s="1395">
        <v>0</v>
      </c>
      <c r="AG57" s="1395">
        <v>402.5</v>
      </c>
      <c r="AH57" s="1395">
        <v>354.5</v>
      </c>
      <c r="AI57" s="1395">
        <v>0</v>
      </c>
      <c r="AJ57" s="1395">
        <v>0</v>
      </c>
      <c r="AK57" s="1395">
        <v>0</v>
      </c>
      <c r="AL57" s="1395">
        <v>0</v>
      </c>
      <c r="AM57" s="1376">
        <v>14</v>
      </c>
      <c r="AN57" s="1374">
        <v>112336465</v>
      </c>
      <c r="AO57" s="1374">
        <v>7519575</v>
      </c>
      <c r="AP57" s="1374">
        <v>485100</v>
      </c>
      <c r="AQ57" s="1374">
        <v>0</v>
      </c>
      <c r="AR57" s="1374">
        <v>0</v>
      </c>
      <c r="AS57" s="1374">
        <v>0</v>
      </c>
      <c r="AT57" s="1374">
        <v>104331790</v>
      </c>
      <c r="AU57" s="1377">
        <v>249.3</v>
      </c>
      <c r="AV57" s="1377">
        <v>21</v>
      </c>
      <c r="AW57" s="1377">
        <v>0</v>
      </c>
      <c r="AX57" s="1377">
        <v>324</v>
      </c>
      <c r="AY57" s="1377">
        <v>376</v>
      </c>
      <c r="AZ57" s="1377">
        <v>8</v>
      </c>
      <c r="BA57" s="1377">
        <v>0</v>
      </c>
      <c r="BB57" s="1377">
        <v>0</v>
      </c>
      <c r="BC57" s="1377">
        <v>0</v>
      </c>
      <c r="BD57" s="468">
        <v>11</v>
      </c>
      <c r="BE57" s="460">
        <v>146057948</v>
      </c>
      <c r="BF57" s="460">
        <v>8041635</v>
      </c>
      <c r="BG57" s="460">
        <v>485100</v>
      </c>
      <c r="BH57" s="460">
        <v>975088</v>
      </c>
      <c r="BI57" s="460">
        <v>0</v>
      </c>
      <c r="BJ57" s="460">
        <v>0</v>
      </c>
      <c r="BK57" s="460">
        <v>136556125</v>
      </c>
      <c r="BL57" s="1299">
        <v>189.90000000000003</v>
      </c>
      <c r="BM57" s="1299">
        <v>77</v>
      </c>
      <c r="BN57" s="1299">
        <v>0</v>
      </c>
      <c r="BO57" s="1299">
        <v>214.5</v>
      </c>
      <c r="BP57" s="1299">
        <v>264</v>
      </c>
      <c r="BQ57" s="1299">
        <v>24</v>
      </c>
      <c r="BR57" s="1299">
        <v>0</v>
      </c>
      <c r="BS57" s="1299">
        <v>0</v>
      </c>
      <c r="BT57" s="1299">
        <v>0</v>
      </c>
    </row>
    <row r="58" spans="1:72" s="22" customFormat="1" ht="26.25" customHeight="1">
      <c r="A58" s="464">
        <f>SUBTOTAL(3,B$4:B58)</f>
        <v>55</v>
      </c>
      <c r="B58" s="465" t="s">
        <v>217</v>
      </c>
      <c r="C58" s="466" t="s">
        <v>566</v>
      </c>
      <c r="D58" s="467" t="s">
        <v>598</v>
      </c>
      <c r="E58" s="468">
        <f>COUNTIFS('Salary sheet'!$F$6:$F$2288,C58,'Salary sheet'!$E$6:$E$2288,B58)</f>
        <v>4</v>
      </c>
      <c r="F58" s="460">
        <f>+SUMIFS('Salary sheet'!$AN$6:$AN$1292,'Salary sheet'!$F$6:$F$1292,'So sánh giờ'!C58,'Salary sheet'!$E$6:$E$1292,'So sánh giờ'!B58)</f>
        <v>46534466</v>
      </c>
      <c r="G58" s="460">
        <f>+SUMIFS('Salary sheet'!$AO$6:$AO$2288,'Salary sheet'!$F$6:$F$2288,C58,'Salary sheet'!$E$6:$E$2288,B58)</f>
        <v>3058755</v>
      </c>
      <c r="H58" s="460">
        <f>+SUMIFS('Salary sheet'!$AP$6:$AP$2288,'Salary sheet'!$F$6:$F$2288,C58,'Salary sheet'!$E$6:$E$2288,B58)</f>
        <v>176400</v>
      </c>
      <c r="I58" s="460">
        <f>+SUMIFS('Salary sheet'!$AQ$6:$AQ$2288,'Salary sheet'!$F$6:$F$2288,C58,'Salary sheet'!$E$6:$E$2288,B58)</f>
        <v>0</v>
      </c>
      <c r="J58" s="460">
        <f>+SUMIFS('Salary sheet'!$AR$6:$AR$2288,'Salary sheet'!$F$6:$F$2288,C58,'Salary sheet'!$E$6:$E$2288,B58)</f>
        <v>0</v>
      </c>
      <c r="K58" s="460">
        <f>SUMIFS('Salary sheet'!$AS$6:$AS$1291,'Salary sheet'!$F$6:$F$1291,'So sánh giờ'!C58)</f>
        <v>0</v>
      </c>
      <c r="L58" s="460">
        <f t="shared" si="0"/>
        <v>43299311</v>
      </c>
      <c r="M58" s="1299">
        <f>SUMIFS('Salary sheet'!$M$6:$M$13045,'Salary sheet'!$F$6:$F$13045,'So sánh giờ'!$C58)</f>
        <v>94.6</v>
      </c>
      <c r="N58" s="1299">
        <f>SUMIFS('Salary sheet'!$O$6:$O$13045,'Salary sheet'!$F$6:$F$13045,'So sánh giờ'!$C58)</f>
        <v>9</v>
      </c>
      <c r="O58" s="1299">
        <f>SUMIFS('Salary sheet'!$AA$6:$AA$13045,'Salary sheet'!$F$6:$F$13045,'So sánh giờ'!$C58)</f>
        <v>0</v>
      </c>
      <c r="P58" s="1299">
        <f>SUMIFS('Salary sheet'!$Q$6:$Q$13045,'Salary sheet'!$F$6:$F$13045,'So sánh giờ'!$C58)</f>
        <v>0</v>
      </c>
      <c r="Q58" s="1299">
        <f>SUMIFS('Salary sheet'!$AH$6:$AH$13045,'Salary sheet'!$F$6:$F$13045,'So sánh giờ'!$C58)</f>
        <v>200</v>
      </c>
      <c r="R58" s="1299">
        <f>SUMIFS('Salary sheet'!$AI$6:$AI$13045,'Salary sheet'!$F$6:$F$13045,'So sánh giờ'!$C58)</f>
        <v>0</v>
      </c>
      <c r="S58" s="1299">
        <f>SUMIFS('Salary sheet'!$AJ$6:$AJ$13045,'Salary sheet'!$F$6:$F$13045,'So sánh giờ'!$C58)</f>
        <v>0</v>
      </c>
      <c r="T58" s="1299">
        <f>SUMIFS('Salary sheet'!$AK$6:$AK$13045,'Salary sheet'!$F$6:$F$13045,'So sánh giờ'!$C58)</f>
        <v>0</v>
      </c>
      <c r="U58" s="1299">
        <f>SUMIFS('Salary sheet'!$AL$6:$AL$13045,'Salary sheet'!$F$6:$F$13045,'So sánh giờ'!$C58)</f>
        <v>0</v>
      </c>
      <c r="V58" s="1394">
        <v>4</v>
      </c>
      <c r="W58" s="1392">
        <v>45911074</v>
      </c>
      <c r="X58" s="1392">
        <v>3027255</v>
      </c>
      <c r="Y58" s="1392">
        <v>176400</v>
      </c>
      <c r="Z58" s="1392">
        <v>0</v>
      </c>
      <c r="AA58" s="1392">
        <v>0</v>
      </c>
      <c r="AB58" s="1392">
        <v>0</v>
      </c>
      <c r="AC58" s="1392">
        <v>42707419</v>
      </c>
      <c r="AD58" s="1395">
        <v>100.19999999999999</v>
      </c>
      <c r="AE58" s="1395">
        <v>0</v>
      </c>
      <c r="AF58" s="1395">
        <v>0</v>
      </c>
      <c r="AG58" s="1395">
        <v>0</v>
      </c>
      <c r="AH58" s="1395">
        <v>201</v>
      </c>
      <c r="AI58" s="1395">
        <v>0</v>
      </c>
      <c r="AJ58" s="1395">
        <v>0</v>
      </c>
      <c r="AK58" s="1395">
        <v>0</v>
      </c>
      <c r="AL58" s="1395">
        <v>0</v>
      </c>
      <c r="AM58" s="1376">
        <v>4</v>
      </c>
      <c r="AN58" s="1374">
        <v>46439126</v>
      </c>
      <c r="AO58" s="1374">
        <v>2947035</v>
      </c>
      <c r="AP58" s="1374">
        <v>176400</v>
      </c>
      <c r="AQ58" s="1374">
        <v>45223</v>
      </c>
      <c r="AR58" s="1374">
        <v>260000</v>
      </c>
      <c r="AS58" s="1374">
        <v>0</v>
      </c>
      <c r="AT58" s="1374">
        <v>43010468</v>
      </c>
      <c r="AU58" s="1377">
        <v>85.3</v>
      </c>
      <c r="AV58" s="1377">
        <v>8</v>
      </c>
      <c r="AW58" s="1377">
        <v>0</v>
      </c>
      <c r="AX58" s="1377">
        <v>0</v>
      </c>
      <c r="AY58" s="1377">
        <v>208</v>
      </c>
      <c r="AZ58" s="1377">
        <v>0</v>
      </c>
      <c r="BA58" s="1377">
        <v>0</v>
      </c>
      <c r="BB58" s="1377">
        <v>0</v>
      </c>
      <c r="BC58" s="1377">
        <v>0</v>
      </c>
      <c r="BD58" s="468">
        <v>4</v>
      </c>
      <c r="BE58" s="460">
        <v>67062539</v>
      </c>
      <c r="BF58" s="460">
        <v>2947035</v>
      </c>
      <c r="BG58" s="460">
        <v>176400</v>
      </c>
      <c r="BH58" s="460">
        <v>903364</v>
      </c>
      <c r="BI58" s="460">
        <v>0</v>
      </c>
      <c r="BJ58" s="460">
        <v>0</v>
      </c>
      <c r="BK58" s="460">
        <v>63035740</v>
      </c>
      <c r="BL58" s="1299">
        <v>76.2</v>
      </c>
      <c r="BM58" s="1299">
        <v>28</v>
      </c>
      <c r="BN58" s="1299">
        <v>0</v>
      </c>
      <c r="BO58" s="1299">
        <v>0</v>
      </c>
      <c r="BP58" s="1299">
        <v>171.5</v>
      </c>
      <c r="BQ58" s="1299">
        <v>16</v>
      </c>
      <c r="BR58" s="1299">
        <v>0</v>
      </c>
      <c r="BS58" s="1299">
        <v>0</v>
      </c>
      <c r="BT58" s="1299">
        <v>0</v>
      </c>
    </row>
    <row r="59" spans="1:72" s="22" customFormat="1" ht="26.25" customHeight="1">
      <c r="A59" s="464">
        <f>SUBTOTAL(3,B$4:B59)</f>
        <v>56</v>
      </c>
      <c r="B59" s="465" t="s">
        <v>217</v>
      </c>
      <c r="C59" s="466" t="s">
        <v>567</v>
      </c>
      <c r="D59" s="467" t="s">
        <v>599</v>
      </c>
      <c r="E59" s="468">
        <f>COUNTIFS('Salary sheet'!$F$6:$F$2288,C59,'Salary sheet'!$E$6:$E$2288,B59)</f>
        <v>5</v>
      </c>
      <c r="F59" s="460">
        <f>+SUMIFS('Salary sheet'!$AN$6:$AN$1292,'Salary sheet'!$F$6:$F$1292,'So sánh giờ'!C59,'Salary sheet'!$E$6:$E$1292,'So sánh giờ'!B59)</f>
        <v>48177378</v>
      </c>
      <c r="G59" s="460">
        <f>+SUMIFS('Salary sheet'!$AO$6:$AO$2288,'Salary sheet'!$F$6:$F$2288,C59,'Salary sheet'!$E$6:$E$2288,B59)</f>
        <v>3467310</v>
      </c>
      <c r="H59" s="460">
        <f>+SUMIFS('Salary sheet'!$AP$6:$AP$2288,'Salary sheet'!$F$6:$F$2288,C59,'Salary sheet'!$E$6:$E$2288,B59)</f>
        <v>220500</v>
      </c>
      <c r="I59" s="460">
        <f>+SUMIFS('Salary sheet'!$AQ$6:$AQ$2288,'Salary sheet'!$F$6:$F$2288,C59,'Salary sheet'!$E$6:$E$2288,B59)</f>
        <v>0</v>
      </c>
      <c r="J59" s="460">
        <f>+SUMIFS('Salary sheet'!$AR$6:$AR$2288,'Salary sheet'!$F$6:$F$2288,C59,'Salary sheet'!$E$6:$E$2288,B59)</f>
        <v>0</v>
      </c>
      <c r="K59" s="460">
        <f>SUMIFS('Salary sheet'!$AS$6:$AS$1291,'Salary sheet'!$F$6:$F$1291,'So sánh giờ'!C59)</f>
        <v>0</v>
      </c>
      <c r="L59" s="460">
        <f t="shared" si="0"/>
        <v>44489568</v>
      </c>
      <c r="M59" s="1299">
        <f>SUMIFS('Salary sheet'!$M$6:$M$13045,'Salary sheet'!$F$6:$F$13045,'So sánh giờ'!$C59)</f>
        <v>113.19999999999999</v>
      </c>
      <c r="N59" s="1299">
        <f>SUMIFS('Salary sheet'!$O$6:$O$13045,'Salary sheet'!$F$6:$F$13045,'So sánh giờ'!$C59)</f>
        <v>12</v>
      </c>
      <c r="O59" s="1299">
        <f>SUMIFS('Salary sheet'!$AA$6:$AA$13045,'Salary sheet'!$F$6:$F$13045,'So sánh giờ'!$C59)</f>
        <v>0</v>
      </c>
      <c r="P59" s="1299">
        <f>SUMIFS('Salary sheet'!$Q$6:$Q$13045,'Salary sheet'!$F$6:$F$13045,'So sánh giờ'!$C59)</f>
        <v>214.5</v>
      </c>
      <c r="Q59" s="1299">
        <f>SUMIFS('Salary sheet'!$AH$6:$AH$13045,'Salary sheet'!$F$6:$F$13045,'So sánh giờ'!$C59)</f>
        <v>151</v>
      </c>
      <c r="R59" s="1299">
        <f>SUMIFS('Salary sheet'!$AI$6:$AI$13045,'Salary sheet'!$F$6:$F$13045,'So sánh giờ'!$C59)</f>
        <v>0</v>
      </c>
      <c r="S59" s="1299">
        <f>SUMIFS('Salary sheet'!$AJ$6:$AJ$13045,'Salary sheet'!$F$6:$F$13045,'So sánh giờ'!$C59)</f>
        <v>2</v>
      </c>
      <c r="T59" s="1299">
        <f>SUMIFS('Salary sheet'!$AK$6:$AK$13045,'Salary sheet'!$F$6:$F$13045,'So sánh giờ'!$C59)</f>
        <v>0</v>
      </c>
      <c r="U59" s="1299">
        <f>SUMIFS('Salary sheet'!$AL$6:$AL$13045,'Salary sheet'!$F$6:$F$13045,'So sánh giờ'!$C59)</f>
        <v>0</v>
      </c>
      <c r="V59" s="1394">
        <v>6</v>
      </c>
      <c r="W59" s="1392">
        <v>46833346</v>
      </c>
      <c r="X59" s="1392">
        <v>3446310</v>
      </c>
      <c r="Y59" s="1392">
        <v>220500</v>
      </c>
      <c r="Z59" s="1392">
        <v>0</v>
      </c>
      <c r="AA59" s="1392">
        <v>0</v>
      </c>
      <c r="AB59" s="1392">
        <v>0</v>
      </c>
      <c r="AC59" s="1392">
        <v>43166536</v>
      </c>
      <c r="AD59" s="1395">
        <v>134.9</v>
      </c>
      <c r="AE59" s="1395">
        <v>0</v>
      </c>
      <c r="AF59" s="1395">
        <v>0</v>
      </c>
      <c r="AG59" s="1395">
        <v>208</v>
      </c>
      <c r="AH59" s="1395">
        <v>116</v>
      </c>
      <c r="AI59" s="1395">
        <v>0</v>
      </c>
      <c r="AJ59" s="1395">
        <v>0</v>
      </c>
      <c r="AK59" s="1395">
        <v>0</v>
      </c>
      <c r="AL59" s="1395">
        <v>0</v>
      </c>
      <c r="AM59" s="1376">
        <v>6</v>
      </c>
      <c r="AN59" s="1374">
        <v>47745395</v>
      </c>
      <c r="AO59" s="1374">
        <v>3418590</v>
      </c>
      <c r="AP59" s="1374">
        <v>220500</v>
      </c>
      <c r="AQ59" s="1374">
        <v>5747</v>
      </c>
      <c r="AR59" s="1374">
        <v>0</v>
      </c>
      <c r="AS59" s="1374">
        <v>0</v>
      </c>
      <c r="AT59" s="1374">
        <v>44100558</v>
      </c>
      <c r="AU59" s="1377">
        <v>106.4</v>
      </c>
      <c r="AV59" s="1377">
        <v>10</v>
      </c>
      <c r="AW59" s="1377">
        <v>0</v>
      </c>
      <c r="AX59" s="1377">
        <v>162.5</v>
      </c>
      <c r="AY59" s="1377">
        <v>144</v>
      </c>
      <c r="AZ59" s="1377">
        <v>8</v>
      </c>
      <c r="BA59" s="1377">
        <v>0</v>
      </c>
      <c r="BB59" s="1377">
        <v>0</v>
      </c>
      <c r="BC59" s="1377">
        <v>0</v>
      </c>
      <c r="BD59" s="468">
        <v>5</v>
      </c>
      <c r="BE59" s="460">
        <v>68340801</v>
      </c>
      <c r="BF59" s="460">
        <v>3389505</v>
      </c>
      <c r="BG59" s="460">
        <v>220500</v>
      </c>
      <c r="BH59" s="460">
        <v>511990</v>
      </c>
      <c r="BI59" s="460">
        <v>0</v>
      </c>
      <c r="BJ59" s="460">
        <v>0</v>
      </c>
      <c r="BK59" s="460">
        <v>64218806</v>
      </c>
      <c r="BL59" s="1299">
        <v>96.3</v>
      </c>
      <c r="BM59" s="1299">
        <v>35</v>
      </c>
      <c r="BN59" s="1299">
        <v>0</v>
      </c>
      <c r="BO59" s="1299">
        <v>149.5</v>
      </c>
      <c r="BP59" s="1299">
        <v>132</v>
      </c>
      <c r="BQ59" s="1299">
        <v>0</v>
      </c>
      <c r="BR59" s="1299">
        <v>0</v>
      </c>
      <c r="BS59" s="1299">
        <v>0</v>
      </c>
      <c r="BT59" s="1299">
        <v>0</v>
      </c>
    </row>
    <row r="60" spans="1:72" s="22" customFormat="1" ht="26.25" customHeight="1">
      <c r="A60" s="464">
        <f>SUBTOTAL(3,B$4:B60)</f>
        <v>57</v>
      </c>
      <c r="B60" s="465" t="s">
        <v>217</v>
      </c>
      <c r="C60" s="466" t="s">
        <v>568</v>
      </c>
      <c r="D60" s="467" t="s">
        <v>600</v>
      </c>
      <c r="E60" s="468">
        <f>COUNTIFS('Salary sheet'!$F$6:$F$2288,C60,'Salary sheet'!$E$6:$E$2288,B60)</f>
        <v>14</v>
      </c>
      <c r="F60" s="460">
        <f>+SUMIFS('Salary sheet'!$AN$6:$AN$1292,'Salary sheet'!$F$6:$F$1292,'So sánh giờ'!C60,'Salary sheet'!$E$6:$E$1292,'So sánh giờ'!B60)</f>
        <v>138702839</v>
      </c>
      <c r="G60" s="460">
        <f>+SUMIFS('Salary sheet'!$AO$6:$AO$2288,'Salary sheet'!$F$6:$F$2288,C60,'Salary sheet'!$E$6:$E$2288,B60)</f>
        <v>9504810</v>
      </c>
      <c r="H60" s="460">
        <f>+SUMIFS('Salary sheet'!$AP$6:$AP$2288,'Salary sheet'!$F$6:$F$2288,C60,'Salary sheet'!$E$6:$E$2288,B60)</f>
        <v>573300</v>
      </c>
      <c r="I60" s="460">
        <f>+SUMIFS('Salary sheet'!$AQ$6:$AQ$2288,'Salary sheet'!$F$6:$F$2288,C60,'Salary sheet'!$E$6:$E$2288,B60)</f>
        <v>0</v>
      </c>
      <c r="J60" s="460">
        <f>+SUMIFS('Salary sheet'!$AR$6:$AR$2288,'Salary sheet'!$F$6:$F$2288,C60,'Salary sheet'!$E$6:$E$2288,B60)</f>
        <v>0</v>
      </c>
      <c r="K60" s="460">
        <f>SUMIFS('Salary sheet'!$AS$6:$AS$1291,'Salary sheet'!$F$6:$F$1291,'So sánh giờ'!C60)</f>
        <v>0</v>
      </c>
      <c r="L60" s="460">
        <f t="shared" si="0"/>
        <v>128624729</v>
      </c>
      <c r="M60" s="1299">
        <f>SUMIFS('Salary sheet'!$M$6:$M$13045,'Salary sheet'!$F$6:$F$13045,'So sánh giờ'!$C60)</f>
        <v>324.2</v>
      </c>
      <c r="N60" s="1299">
        <f>SUMIFS('Salary sheet'!$O$6:$O$13045,'Salary sheet'!$F$6:$F$13045,'So sánh giờ'!$C60)</f>
        <v>35</v>
      </c>
      <c r="O60" s="1299">
        <f>SUMIFS('Salary sheet'!$AA$6:$AA$13045,'Salary sheet'!$F$6:$F$13045,'So sánh giờ'!$C60)</f>
        <v>0</v>
      </c>
      <c r="P60" s="1299">
        <f>SUMIFS('Salary sheet'!$Q$6:$Q$13045,'Salary sheet'!$F$6:$F$13045,'So sánh giờ'!$C60)</f>
        <v>227.5</v>
      </c>
      <c r="Q60" s="1299">
        <f>SUMIFS('Salary sheet'!$AH$6:$AH$13045,'Salary sheet'!$F$6:$F$13045,'So sánh giờ'!$C60)</f>
        <v>435</v>
      </c>
      <c r="R60" s="1299">
        <f>SUMIFS('Salary sheet'!$AI$6:$AI$13045,'Salary sheet'!$F$6:$F$13045,'So sánh giờ'!$C60)</f>
        <v>0</v>
      </c>
      <c r="S60" s="1299">
        <f>SUMIFS('Salary sheet'!$AJ$6:$AJ$13045,'Salary sheet'!$F$6:$F$13045,'So sánh giờ'!$C60)</f>
        <v>22</v>
      </c>
      <c r="T60" s="1299">
        <f>SUMIFS('Salary sheet'!$AK$6:$AK$13045,'Salary sheet'!$F$6:$F$13045,'So sánh giờ'!$C60)</f>
        <v>0</v>
      </c>
      <c r="U60" s="1299">
        <f>SUMIFS('Salary sheet'!$AL$6:$AL$13045,'Salary sheet'!$F$6:$F$13045,'So sánh giờ'!$C60)</f>
        <v>0</v>
      </c>
      <c r="V60" s="1394">
        <v>15</v>
      </c>
      <c r="W60" s="1392">
        <v>142767486</v>
      </c>
      <c r="X60" s="1392">
        <v>8281980</v>
      </c>
      <c r="Y60" s="1392">
        <v>441000</v>
      </c>
      <c r="Z60" s="1392">
        <v>0</v>
      </c>
      <c r="AA60" s="1392">
        <v>0</v>
      </c>
      <c r="AB60" s="1392">
        <v>231844</v>
      </c>
      <c r="AC60" s="1392">
        <v>133812662</v>
      </c>
      <c r="AD60" s="1395">
        <v>358.3</v>
      </c>
      <c r="AE60" s="1395">
        <v>2</v>
      </c>
      <c r="AF60" s="1395">
        <v>0</v>
      </c>
      <c r="AG60" s="1395">
        <v>227.5</v>
      </c>
      <c r="AH60" s="1395">
        <v>563</v>
      </c>
      <c r="AI60" s="1395">
        <v>0</v>
      </c>
      <c r="AJ60" s="1395">
        <v>26</v>
      </c>
      <c r="AK60" s="1395">
        <v>0</v>
      </c>
      <c r="AL60" s="1395">
        <v>0</v>
      </c>
      <c r="AM60" s="1376">
        <v>14</v>
      </c>
      <c r="AN60" s="1374">
        <v>132937732</v>
      </c>
      <c r="AO60" s="1374">
        <v>8275155</v>
      </c>
      <c r="AP60" s="1374">
        <v>485100</v>
      </c>
      <c r="AQ60" s="1374">
        <v>11063</v>
      </c>
      <c r="AR60" s="1374">
        <v>0</v>
      </c>
      <c r="AS60" s="1374">
        <v>0</v>
      </c>
      <c r="AT60" s="1374">
        <v>124166414</v>
      </c>
      <c r="AU60" s="1377">
        <v>257.60000000000002</v>
      </c>
      <c r="AV60" s="1377">
        <v>22</v>
      </c>
      <c r="AW60" s="1377">
        <v>0</v>
      </c>
      <c r="AX60" s="1377">
        <v>234</v>
      </c>
      <c r="AY60" s="1377">
        <v>531</v>
      </c>
      <c r="AZ60" s="1377">
        <v>39.5</v>
      </c>
      <c r="BA60" s="1377">
        <v>54</v>
      </c>
      <c r="BB60" s="1377">
        <v>0</v>
      </c>
      <c r="BC60" s="1377">
        <v>0</v>
      </c>
      <c r="BD60" s="468">
        <v>11</v>
      </c>
      <c r="BE60" s="460">
        <v>172141399</v>
      </c>
      <c r="BF60" s="460">
        <v>8248800</v>
      </c>
      <c r="BG60" s="460">
        <v>485100</v>
      </c>
      <c r="BH60" s="460">
        <v>1461809</v>
      </c>
      <c r="BI60" s="460">
        <v>0</v>
      </c>
      <c r="BJ60" s="460">
        <v>0</v>
      </c>
      <c r="BK60" s="460">
        <v>161945690</v>
      </c>
      <c r="BL60" s="1299">
        <v>204.7</v>
      </c>
      <c r="BM60" s="1299">
        <v>77</v>
      </c>
      <c r="BN60" s="1299">
        <v>0</v>
      </c>
      <c r="BO60" s="1299">
        <v>156</v>
      </c>
      <c r="BP60" s="1299">
        <v>379</v>
      </c>
      <c r="BQ60" s="1299">
        <v>0</v>
      </c>
      <c r="BR60" s="1299">
        <v>20</v>
      </c>
      <c r="BS60" s="1299">
        <v>0</v>
      </c>
      <c r="BT60" s="1299">
        <v>0</v>
      </c>
    </row>
    <row r="61" spans="1:72" s="22" customFormat="1" ht="26.25" customHeight="1">
      <c r="A61" s="464">
        <f>SUBTOTAL(3,B$4:B61)</f>
        <v>58</v>
      </c>
      <c r="B61" s="465" t="s">
        <v>217</v>
      </c>
      <c r="C61" s="466" t="s">
        <v>569</v>
      </c>
      <c r="D61" s="467" t="s">
        <v>601</v>
      </c>
      <c r="E61" s="468">
        <f>COUNTIFS('Salary sheet'!$F$6:$F$2288,C61,'Salary sheet'!$E$6:$E$2288,B61)</f>
        <v>13</v>
      </c>
      <c r="F61" s="460">
        <f>+SUMIFS('Salary sheet'!$AN$6:$AN$1292,'Salary sheet'!$F$6:$F$1292,'So sánh giờ'!C61,'Salary sheet'!$E$6:$E$1292,'So sánh giờ'!B61)</f>
        <v>116609399</v>
      </c>
      <c r="G61" s="460">
        <f>+SUMIFS('Salary sheet'!$AO$6:$AO$2288,'Salary sheet'!$F$6:$F$2288,C61,'Salary sheet'!$E$6:$E$2288,B61)</f>
        <v>8575560</v>
      </c>
      <c r="H61" s="460">
        <f>+SUMIFS('Salary sheet'!$AP$6:$AP$2288,'Salary sheet'!$F$6:$F$2288,C61,'Salary sheet'!$E$6:$E$2288,B61)</f>
        <v>529200</v>
      </c>
      <c r="I61" s="460">
        <f>+SUMIFS('Salary sheet'!$AQ$6:$AQ$2288,'Salary sheet'!$F$6:$F$2288,C61,'Salary sheet'!$E$6:$E$2288,B61)</f>
        <v>80757</v>
      </c>
      <c r="J61" s="460">
        <f>+SUMIFS('Salary sheet'!$AR$6:$AR$2288,'Salary sheet'!$F$6:$F$2288,C61,'Salary sheet'!$E$6:$E$2288,B61)</f>
        <v>0</v>
      </c>
      <c r="K61" s="460">
        <f>SUMIFS('Salary sheet'!$AS$6:$AS$1291,'Salary sheet'!$F$6:$F$1291,'So sánh giờ'!C61)</f>
        <v>0</v>
      </c>
      <c r="L61" s="460">
        <f t="shared" si="0"/>
        <v>107423882</v>
      </c>
      <c r="M61" s="1299">
        <f>SUMIFS('Salary sheet'!$M$6:$M$13045,'Salary sheet'!$F$6:$F$13045,'So sánh giờ'!$C61)</f>
        <v>294</v>
      </c>
      <c r="N61" s="1299">
        <f>SUMIFS('Salary sheet'!$O$6:$O$13045,'Salary sheet'!$F$6:$F$13045,'So sánh giờ'!$C61)</f>
        <v>30</v>
      </c>
      <c r="O61" s="1299">
        <f>SUMIFS('Salary sheet'!$AA$6:$AA$13045,'Salary sheet'!$F$6:$F$13045,'So sánh giờ'!$C61)</f>
        <v>0</v>
      </c>
      <c r="P61" s="1299">
        <f>SUMIFS('Salary sheet'!$Q$6:$Q$13045,'Salary sheet'!$F$6:$F$13045,'So sánh giờ'!$C61)</f>
        <v>247</v>
      </c>
      <c r="Q61" s="1299">
        <f>SUMIFS('Salary sheet'!$AH$6:$AH$13045,'Salary sheet'!$F$6:$F$13045,'So sánh giờ'!$C61)</f>
        <v>413</v>
      </c>
      <c r="R61" s="1299">
        <f>SUMIFS('Salary sheet'!$AI$6:$AI$13045,'Salary sheet'!$F$6:$F$13045,'So sánh giờ'!$C61)</f>
        <v>0</v>
      </c>
      <c r="S61" s="1299">
        <f>SUMIFS('Salary sheet'!$AJ$6:$AJ$13045,'Salary sheet'!$F$6:$F$13045,'So sánh giờ'!$C61)</f>
        <v>16</v>
      </c>
      <c r="T61" s="1299">
        <f>SUMIFS('Salary sheet'!$AK$6:$AK$13045,'Salary sheet'!$F$6:$F$13045,'So sánh giờ'!$C61)</f>
        <v>0</v>
      </c>
      <c r="U61" s="1299">
        <f>SUMIFS('Salary sheet'!$AL$6:$AL$13045,'Salary sheet'!$F$6:$F$13045,'So sánh giờ'!$C61)</f>
        <v>0</v>
      </c>
      <c r="V61" s="1394">
        <v>13</v>
      </c>
      <c r="W61" s="1392">
        <v>102079398</v>
      </c>
      <c r="X61" s="1392">
        <v>7984417</v>
      </c>
      <c r="Y61" s="1392">
        <v>529200</v>
      </c>
      <c r="Z61" s="1392">
        <v>0</v>
      </c>
      <c r="AA61" s="1392">
        <v>0</v>
      </c>
      <c r="AB61" s="1392">
        <v>386580</v>
      </c>
      <c r="AC61" s="1392">
        <v>93179201</v>
      </c>
      <c r="AD61" s="1395">
        <v>319.89999999999998</v>
      </c>
      <c r="AE61" s="1395">
        <v>2</v>
      </c>
      <c r="AF61" s="1395">
        <v>0</v>
      </c>
      <c r="AG61" s="1395">
        <v>266.5</v>
      </c>
      <c r="AH61" s="1395">
        <v>136</v>
      </c>
      <c r="AI61" s="1395">
        <v>0</v>
      </c>
      <c r="AJ61" s="1395">
        <v>0</v>
      </c>
      <c r="AK61" s="1395">
        <v>0</v>
      </c>
      <c r="AL61" s="1395">
        <v>0</v>
      </c>
      <c r="AM61" s="1376">
        <v>14</v>
      </c>
      <c r="AN61" s="1374">
        <v>95927747</v>
      </c>
      <c r="AO61" s="1374">
        <v>7252035</v>
      </c>
      <c r="AP61" s="1374">
        <v>485100</v>
      </c>
      <c r="AQ61" s="1374">
        <v>0</v>
      </c>
      <c r="AR61" s="1374">
        <v>0</v>
      </c>
      <c r="AS61" s="1374">
        <v>0</v>
      </c>
      <c r="AT61" s="1374">
        <v>88190612</v>
      </c>
      <c r="AU61" s="1377">
        <v>248.5</v>
      </c>
      <c r="AV61" s="1377">
        <v>22</v>
      </c>
      <c r="AW61" s="1377">
        <v>0</v>
      </c>
      <c r="AX61" s="1377">
        <v>227.5</v>
      </c>
      <c r="AY61" s="1377">
        <v>240</v>
      </c>
      <c r="AZ61" s="1377">
        <v>0</v>
      </c>
      <c r="BA61" s="1377">
        <v>4</v>
      </c>
      <c r="BB61" s="1377">
        <v>0</v>
      </c>
      <c r="BC61" s="1377">
        <v>0</v>
      </c>
      <c r="BD61" s="468">
        <v>11</v>
      </c>
      <c r="BE61" s="460">
        <v>138218067</v>
      </c>
      <c r="BF61" s="460">
        <v>7252035</v>
      </c>
      <c r="BG61" s="460">
        <v>485100</v>
      </c>
      <c r="BH61" s="460">
        <v>683484</v>
      </c>
      <c r="BI61" s="460">
        <v>0</v>
      </c>
      <c r="BJ61" s="460">
        <v>0</v>
      </c>
      <c r="BK61" s="460">
        <v>129797448</v>
      </c>
      <c r="BL61" s="1299">
        <v>204.5</v>
      </c>
      <c r="BM61" s="1299">
        <v>77</v>
      </c>
      <c r="BN61" s="1299">
        <v>0</v>
      </c>
      <c r="BO61" s="1299">
        <v>117</v>
      </c>
      <c r="BP61" s="1299">
        <v>266.5</v>
      </c>
      <c r="BQ61" s="1299">
        <v>0</v>
      </c>
      <c r="BR61" s="1299">
        <v>0</v>
      </c>
      <c r="BS61" s="1299">
        <v>0</v>
      </c>
      <c r="BT61" s="1299">
        <v>0</v>
      </c>
    </row>
    <row r="62" spans="1:72" s="22" customFormat="1" ht="26.25" customHeight="1">
      <c r="A62" s="464">
        <f>SUBTOTAL(3,B$4:B62)</f>
        <v>59</v>
      </c>
      <c r="B62" s="465" t="s">
        <v>217</v>
      </c>
      <c r="C62" s="466" t="s">
        <v>570</v>
      </c>
      <c r="D62" s="467" t="s">
        <v>602</v>
      </c>
      <c r="E62" s="468">
        <f>COUNTIFS('Salary sheet'!$F$6:$F$2288,C62,'Salary sheet'!$E$6:$E$2288,B62)</f>
        <v>11</v>
      </c>
      <c r="F62" s="460">
        <f>+SUMIFS('Salary sheet'!$AN$6:$AN$1292,'Salary sheet'!$F$6:$F$1292,'So sánh giờ'!C62,'Salary sheet'!$E$6:$E$1292,'So sánh giờ'!B62)</f>
        <v>93800752</v>
      </c>
      <c r="G62" s="460">
        <f>+SUMIFS('Salary sheet'!$AO$6:$AO$2288,'Salary sheet'!$F$6:$F$2288,C62,'Salary sheet'!$E$6:$E$2288,B62)</f>
        <v>6608490</v>
      </c>
      <c r="H62" s="460">
        <f>+SUMIFS('Salary sheet'!$AP$6:$AP$2288,'Salary sheet'!$F$6:$F$2288,C62,'Salary sheet'!$E$6:$E$2288,B62)</f>
        <v>485100</v>
      </c>
      <c r="I62" s="460">
        <f>+SUMIFS('Salary sheet'!$AQ$6:$AQ$2288,'Salary sheet'!$F$6:$F$2288,C62,'Salary sheet'!$E$6:$E$2288,B62)</f>
        <v>0</v>
      </c>
      <c r="J62" s="460">
        <f>+SUMIFS('Salary sheet'!$AR$6:$AR$2288,'Salary sheet'!$F$6:$F$2288,C62,'Salary sheet'!$E$6:$E$2288,B62)</f>
        <v>0</v>
      </c>
      <c r="K62" s="460">
        <f>SUMIFS('Salary sheet'!$AS$6:$AS$1291,'Salary sheet'!$F$6:$F$1291,'So sánh giờ'!C62)</f>
        <v>0</v>
      </c>
      <c r="L62" s="460">
        <f t="shared" si="0"/>
        <v>86707162</v>
      </c>
      <c r="M62" s="1299">
        <f>SUMIFS('Salary sheet'!$M$6:$M$13045,'Salary sheet'!$F$6:$F$13045,'So sánh giờ'!$C62)</f>
        <v>257.8</v>
      </c>
      <c r="N62" s="1299">
        <f>SUMIFS('Salary sheet'!$O$6:$O$13045,'Salary sheet'!$F$6:$F$13045,'So sánh giờ'!$C62)</f>
        <v>24</v>
      </c>
      <c r="O62" s="1299">
        <f>SUMIFS('Salary sheet'!$AA$6:$AA$13045,'Salary sheet'!$F$6:$F$13045,'So sánh giờ'!$C62)</f>
        <v>0</v>
      </c>
      <c r="P62" s="1299">
        <f>SUMIFS('Salary sheet'!$Q$6:$Q$13045,'Salary sheet'!$F$6:$F$13045,'So sánh giờ'!$C62)</f>
        <v>0</v>
      </c>
      <c r="Q62" s="1299">
        <f>SUMIFS('Salary sheet'!$AH$6:$AH$13045,'Salary sheet'!$F$6:$F$13045,'So sánh giờ'!$C62)</f>
        <v>404</v>
      </c>
      <c r="R62" s="1299">
        <f>SUMIFS('Salary sheet'!$AI$6:$AI$13045,'Salary sheet'!$F$6:$F$13045,'So sánh giờ'!$C62)</f>
        <v>0</v>
      </c>
      <c r="S62" s="1299">
        <f>SUMIFS('Salary sheet'!$AJ$6:$AJ$13045,'Salary sheet'!$F$6:$F$13045,'So sánh giờ'!$C62)</f>
        <v>0</v>
      </c>
      <c r="T62" s="1299">
        <f>SUMIFS('Salary sheet'!$AK$6:$AK$13045,'Salary sheet'!$F$6:$F$13045,'So sánh giờ'!$C62)</f>
        <v>0</v>
      </c>
      <c r="U62" s="1299">
        <f>SUMIFS('Salary sheet'!$AL$6:$AL$13045,'Salary sheet'!$F$6:$F$13045,'So sánh giờ'!$C62)</f>
        <v>0</v>
      </c>
      <c r="V62" s="1394">
        <v>12</v>
      </c>
      <c r="W62" s="1392">
        <v>93326986</v>
      </c>
      <c r="X62" s="1392">
        <v>6441766</v>
      </c>
      <c r="Y62" s="1392">
        <v>485100</v>
      </c>
      <c r="Z62" s="1392">
        <v>0</v>
      </c>
      <c r="AA62" s="1392">
        <v>0</v>
      </c>
      <c r="AB62" s="1392">
        <v>626584</v>
      </c>
      <c r="AC62" s="1392">
        <v>85773536</v>
      </c>
      <c r="AD62" s="1395">
        <v>275.59999999999997</v>
      </c>
      <c r="AE62" s="1395">
        <v>1</v>
      </c>
      <c r="AF62" s="1395">
        <v>0</v>
      </c>
      <c r="AG62" s="1395">
        <v>0</v>
      </c>
      <c r="AH62" s="1395">
        <v>493</v>
      </c>
      <c r="AI62" s="1395">
        <v>0</v>
      </c>
      <c r="AJ62" s="1395">
        <v>0</v>
      </c>
      <c r="AK62" s="1395">
        <v>0</v>
      </c>
      <c r="AL62" s="1395">
        <v>0</v>
      </c>
      <c r="AM62" s="1376">
        <v>12</v>
      </c>
      <c r="AN62" s="1374">
        <v>85281339</v>
      </c>
      <c r="AO62" s="1374">
        <v>5347020</v>
      </c>
      <c r="AP62" s="1374">
        <v>441000</v>
      </c>
      <c r="AQ62" s="1374">
        <v>0</v>
      </c>
      <c r="AR62" s="1374">
        <v>0</v>
      </c>
      <c r="AS62" s="1374">
        <v>0</v>
      </c>
      <c r="AT62" s="1374">
        <v>79493319</v>
      </c>
      <c r="AU62" s="1377">
        <v>205.3</v>
      </c>
      <c r="AV62" s="1377">
        <v>20</v>
      </c>
      <c r="AW62" s="1377">
        <v>0</v>
      </c>
      <c r="AX62" s="1377">
        <v>0</v>
      </c>
      <c r="AY62" s="1377">
        <v>495</v>
      </c>
      <c r="AZ62" s="1377">
        <v>0</v>
      </c>
      <c r="BA62" s="1377">
        <v>0</v>
      </c>
      <c r="BB62" s="1377">
        <v>0</v>
      </c>
      <c r="BC62" s="1377">
        <v>0</v>
      </c>
      <c r="BD62" s="468">
        <v>11</v>
      </c>
      <c r="BE62" s="460">
        <v>127752651</v>
      </c>
      <c r="BF62" s="460">
        <v>6674010</v>
      </c>
      <c r="BG62" s="460">
        <v>485100</v>
      </c>
      <c r="BH62" s="460">
        <v>615216</v>
      </c>
      <c r="BI62" s="460">
        <v>0</v>
      </c>
      <c r="BJ62" s="460">
        <v>0</v>
      </c>
      <c r="BK62" s="460">
        <v>119978325</v>
      </c>
      <c r="BL62" s="1299">
        <v>195.5</v>
      </c>
      <c r="BM62" s="1299">
        <v>77</v>
      </c>
      <c r="BN62" s="1299">
        <v>0</v>
      </c>
      <c r="BO62" s="1299">
        <v>0</v>
      </c>
      <c r="BP62" s="1299">
        <v>396</v>
      </c>
      <c r="BQ62" s="1299">
        <v>8</v>
      </c>
      <c r="BR62" s="1299">
        <v>0</v>
      </c>
      <c r="BS62" s="1299">
        <v>0</v>
      </c>
      <c r="BT62" s="1299">
        <v>0</v>
      </c>
    </row>
    <row r="63" spans="1:72" s="22" customFormat="1" ht="26.25" customHeight="1">
      <c r="A63" s="464">
        <f>SUBTOTAL(3,B$4:B63)</f>
        <v>60</v>
      </c>
      <c r="B63" s="465" t="s">
        <v>217</v>
      </c>
      <c r="C63" s="466" t="s">
        <v>239</v>
      </c>
      <c r="D63" s="467" t="s">
        <v>466</v>
      </c>
      <c r="E63" s="468">
        <f>COUNTIFS('Salary sheet'!$F$6:$F$2288,C63,'Salary sheet'!$E$6:$E$2288,B63)</f>
        <v>1</v>
      </c>
      <c r="F63" s="460">
        <f>+SUMIFS('Salary sheet'!$AN$6:$AN$1292,'Salary sheet'!$F$6:$F$1292,'So sánh giờ'!C63,'Salary sheet'!$E$6:$E$1292,'So sánh giờ'!B63)</f>
        <v>10541887</v>
      </c>
      <c r="G63" s="460">
        <f>+SUMIFS('Salary sheet'!$AO$6:$AO$2288,'Salary sheet'!$F$6:$F$2288,C63,'Salary sheet'!$E$6:$E$2288,B63)</f>
        <v>717255</v>
      </c>
      <c r="H63" s="460">
        <f>+SUMIFS('Salary sheet'!$AP$6:$AP$2288,'Salary sheet'!$F$6:$F$2288,C63,'Salary sheet'!$E$6:$E$2288,B63)</f>
        <v>44100</v>
      </c>
      <c r="I63" s="460">
        <f>+SUMIFS('Salary sheet'!$AQ$6:$AQ$2288,'Salary sheet'!$F$6:$F$2288,C63,'Salary sheet'!$E$6:$E$2288,B63)</f>
        <v>0</v>
      </c>
      <c r="J63" s="460">
        <f>+SUMIFS('Salary sheet'!$AR$6:$AR$2288,'Salary sheet'!$F$6:$F$2288,C63,'Salary sheet'!$E$6:$E$2288,B63)</f>
        <v>0</v>
      </c>
      <c r="K63" s="460">
        <f>SUMIFS('Salary sheet'!$AS$6:$AS$1291,'Salary sheet'!$F$6:$F$1291,'So sánh giờ'!C63)</f>
        <v>0</v>
      </c>
      <c r="L63" s="460">
        <f t="shared" si="0"/>
        <v>9780532</v>
      </c>
      <c r="M63" s="1299">
        <f>SUMIFS('Salary sheet'!$M$6:$M$13045,'Salary sheet'!$F$6:$F$13045,'So sánh giờ'!$C63)</f>
        <v>24</v>
      </c>
      <c r="N63" s="1299">
        <f>SUMIFS('Salary sheet'!$O$6:$O$13045,'Salary sheet'!$F$6:$F$13045,'So sánh giờ'!$C63)</f>
        <v>2</v>
      </c>
      <c r="O63" s="1299">
        <f>SUMIFS('Salary sheet'!$AA$6:$AA$13045,'Salary sheet'!$F$6:$F$13045,'So sánh giờ'!$C63)</f>
        <v>0</v>
      </c>
      <c r="P63" s="1299">
        <f>SUMIFS('Salary sheet'!$Q$6:$Q$13045,'Salary sheet'!$F$6:$F$13045,'So sánh giờ'!$C63)</f>
        <v>0</v>
      </c>
      <c r="Q63" s="1299">
        <f>SUMIFS('Salary sheet'!$AH$6:$AH$13045,'Salary sheet'!$F$6:$F$13045,'So sánh giờ'!$C63)</f>
        <v>52</v>
      </c>
      <c r="R63" s="1299">
        <f>SUMIFS('Salary sheet'!$AI$6:$AI$13045,'Salary sheet'!$F$6:$F$13045,'So sánh giờ'!$C63)</f>
        <v>0</v>
      </c>
      <c r="S63" s="1299">
        <f>SUMIFS('Salary sheet'!$AJ$6:$AJ$13045,'Salary sheet'!$F$6:$F$13045,'So sánh giờ'!$C63)</f>
        <v>0</v>
      </c>
      <c r="T63" s="1299">
        <f>SUMIFS('Salary sheet'!$AK$6:$AK$13045,'Salary sheet'!$F$6:$F$13045,'So sánh giờ'!$C63)</f>
        <v>0</v>
      </c>
      <c r="U63" s="1299">
        <f>SUMIFS('Salary sheet'!$AL$6:$AL$13045,'Salary sheet'!$F$6:$F$13045,'So sánh giờ'!$C63)</f>
        <v>0</v>
      </c>
      <c r="V63" s="1394">
        <v>1</v>
      </c>
      <c r="W63" s="1392">
        <v>10935983</v>
      </c>
      <c r="X63" s="1392">
        <v>717255</v>
      </c>
      <c r="Y63" s="1392">
        <v>44100</v>
      </c>
      <c r="Z63" s="1392">
        <v>0</v>
      </c>
      <c r="AA63" s="1392">
        <v>0</v>
      </c>
      <c r="AB63" s="1392">
        <v>0</v>
      </c>
      <c r="AC63" s="1392">
        <v>10174628</v>
      </c>
      <c r="AD63" s="1395">
        <v>26</v>
      </c>
      <c r="AE63" s="1395">
        <v>0</v>
      </c>
      <c r="AF63" s="1395">
        <v>0</v>
      </c>
      <c r="AG63" s="1395">
        <v>0</v>
      </c>
      <c r="AH63" s="1395">
        <v>60</v>
      </c>
      <c r="AI63" s="1395">
        <v>0</v>
      </c>
      <c r="AJ63" s="1395">
        <v>0</v>
      </c>
      <c r="AK63" s="1395">
        <v>0</v>
      </c>
      <c r="AL63" s="1395">
        <v>0</v>
      </c>
      <c r="AM63" s="1376">
        <v>1</v>
      </c>
      <c r="AN63" s="1374">
        <v>10972930</v>
      </c>
      <c r="AO63" s="1374">
        <v>717255</v>
      </c>
      <c r="AP63" s="1374">
        <v>44100</v>
      </c>
      <c r="AQ63" s="1374">
        <v>0</v>
      </c>
      <c r="AR63" s="1374">
        <v>0</v>
      </c>
      <c r="AS63" s="1374">
        <v>0</v>
      </c>
      <c r="AT63" s="1374">
        <v>10211575</v>
      </c>
      <c r="AU63" s="1377">
        <v>22</v>
      </c>
      <c r="AV63" s="1377">
        <v>2</v>
      </c>
      <c r="AW63" s="1377">
        <v>0</v>
      </c>
      <c r="AX63" s="1377">
        <v>0</v>
      </c>
      <c r="AY63" s="1377">
        <v>56</v>
      </c>
      <c r="AZ63" s="1377">
        <v>0</v>
      </c>
      <c r="BA63" s="1377">
        <v>0</v>
      </c>
      <c r="BB63" s="1377">
        <v>0</v>
      </c>
      <c r="BC63" s="1377">
        <v>0</v>
      </c>
      <c r="BD63" s="468">
        <v>1</v>
      </c>
      <c r="BE63" s="460">
        <v>16735617</v>
      </c>
      <c r="BF63" s="460">
        <v>717255</v>
      </c>
      <c r="BG63" s="460">
        <v>44100</v>
      </c>
      <c r="BH63" s="460">
        <v>208224</v>
      </c>
      <c r="BI63" s="460">
        <v>0</v>
      </c>
      <c r="BJ63" s="460">
        <v>0</v>
      </c>
      <c r="BK63" s="460">
        <v>15766038</v>
      </c>
      <c r="BL63" s="1299">
        <v>20</v>
      </c>
      <c r="BM63" s="1299">
        <v>7</v>
      </c>
      <c r="BN63" s="1299">
        <v>0</v>
      </c>
      <c r="BO63" s="1299">
        <v>0</v>
      </c>
      <c r="BP63" s="1299">
        <v>52</v>
      </c>
      <c r="BQ63" s="1299">
        <v>0</v>
      </c>
      <c r="BR63" s="1299">
        <v>0</v>
      </c>
      <c r="BS63" s="1299">
        <v>0</v>
      </c>
      <c r="BT63" s="1299">
        <v>0</v>
      </c>
    </row>
    <row r="64" spans="1:72" s="22" customFormat="1" ht="26.25" customHeight="1">
      <c r="A64" s="464">
        <f>SUBTOTAL(3,B$4:B64)</f>
        <v>61</v>
      </c>
      <c r="B64" s="465" t="s">
        <v>217</v>
      </c>
      <c r="C64" s="466" t="s">
        <v>571</v>
      </c>
      <c r="D64" s="467" t="s">
        <v>603</v>
      </c>
      <c r="E64" s="468">
        <f>COUNTIFS('Salary sheet'!$F$6:$F$2288,C64,'Salary sheet'!$E$6:$E$2288,B64)</f>
        <v>10</v>
      </c>
      <c r="F64" s="460">
        <f>+SUMIFS('Salary sheet'!$AN$6:$AN$1292,'Salary sheet'!$F$6:$F$1292,'So sánh giờ'!C64,'Salary sheet'!$E$6:$E$1292,'So sánh giờ'!B64)</f>
        <v>104030318</v>
      </c>
      <c r="G64" s="460">
        <f>+SUMIFS('Salary sheet'!$AO$6:$AO$2288,'Salary sheet'!$F$6:$F$2288,C64,'Salary sheet'!$E$6:$E$2288,B64)</f>
        <v>7117845</v>
      </c>
      <c r="H64" s="460">
        <f>+SUMIFS('Salary sheet'!$AP$6:$AP$2288,'Salary sheet'!$F$6:$F$2288,C64,'Salary sheet'!$E$6:$E$2288,B64)</f>
        <v>441000</v>
      </c>
      <c r="I64" s="460">
        <f>+SUMIFS('Salary sheet'!$AQ$6:$AQ$2288,'Salary sheet'!$F$6:$F$2288,C64,'Salary sheet'!$E$6:$E$2288,B64)</f>
        <v>25176</v>
      </c>
      <c r="J64" s="460">
        <f>+SUMIFS('Salary sheet'!$AR$6:$AR$2288,'Salary sheet'!$F$6:$F$2288,C64,'Salary sheet'!$E$6:$E$2288,B64)</f>
        <v>0</v>
      </c>
      <c r="K64" s="460">
        <f>SUMIFS('Salary sheet'!$AS$6:$AS$1291,'Salary sheet'!$F$6:$F$1291,'So sánh giờ'!C64)</f>
        <v>0</v>
      </c>
      <c r="L64" s="460">
        <f t="shared" si="0"/>
        <v>96446297</v>
      </c>
      <c r="M64" s="1299">
        <f>SUMIFS('Salary sheet'!$M$6:$M$13045,'Salary sheet'!$F$6:$F$13045,'So sánh giờ'!$C64)</f>
        <v>221.6</v>
      </c>
      <c r="N64" s="1299">
        <f>SUMIFS('Salary sheet'!$O$6:$O$13045,'Salary sheet'!$F$6:$F$13045,'So sánh giờ'!$C64)</f>
        <v>25</v>
      </c>
      <c r="O64" s="1299">
        <f>SUMIFS('Salary sheet'!$AA$6:$AA$13045,'Salary sheet'!$F$6:$F$13045,'So sánh giờ'!$C64)</f>
        <v>0</v>
      </c>
      <c r="P64" s="1299">
        <f>SUMIFS('Salary sheet'!$Q$6:$Q$13045,'Salary sheet'!$F$6:$F$13045,'So sánh giờ'!$C64)</f>
        <v>312</v>
      </c>
      <c r="Q64" s="1299">
        <f>SUMIFS('Salary sheet'!$AH$6:$AH$13045,'Salary sheet'!$F$6:$F$13045,'So sánh giờ'!$C64)</f>
        <v>312</v>
      </c>
      <c r="R64" s="1299">
        <f>SUMIFS('Salary sheet'!$AI$6:$AI$13045,'Salary sheet'!$F$6:$F$13045,'So sánh giờ'!$C64)</f>
        <v>24</v>
      </c>
      <c r="S64" s="1299">
        <f>SUMIFS('Salary sheet'!$AJ$6:$AJ$13045,'Salary sheet'!$F$6:$F$13045,'So sánh giờ'!$C64)</f>
        <v>54</v>
      </c>
      <c r="T64" s="1299">
        <f>SUMIFS('Salary sheet'!$AK$6:$AK$13045,'Salary sheet'!$F$6:$F$13045,'So sánh giờ'!$C64)</f>
        <v>0</v>
      </c>
      <c r="U64" s="1299">
        <f>SUMIFS('Salary sheet'!$AL$6:$AL$13045,'Salary sheet'!$F$6:$F$13045,'So sánh giờ'!$C64)</f>
        <v>0</v>
      </c>
      <c r="V64" s="1394">
        <v>10</v>
      </c>
      <c r="W64" s="1392">
        <v>115259261</v>
      </c>
      <c r="X64" s="1392">
        <v>7038990</v>
      </c>
      <c r="Y64" s="1392">
        <v>441000</v>
      </c>
      <c r="Z64" s="1392">
        <v>17159</v>
      </c>
      <c r="AA64" s="1392">
        <v>0</v>
      </c>
      <c r="AB64" s="1392">
        <v>0</v>
      </c>
      <c r="AC64" s="1392">
        <v>107762112</v>
      </c>
      <c r="AD64" s="1395">
        <v>250.60000000000002</v>
      </c>
      <c r="AE64" s="1395">
        <v>0</v>
      </c>
      <c r="AF64" s="1395">
        <v>0</v>
      </c>
      <c r="AG64" s="1395">
        <v>403</v>
      </c>
      <c r="AH64" s="1395">
        <v>432</v>
      </c>
      <c r="AI64" s="1395">
        <v>24</v>
      </c>
      <c r="AJ64" s="1395">
        <v>70</v>
      </c>
      <c r="AK64" s="1395">
        <v>0</v>
      </c>
      <c r="AL64" s="1395">
        <v>0</v>
      </c>
      <c r="AM64" s="1376">
        <v>10</v>
      </c>
      <c r="AN64" s="1374">
        <v>113054350</v>
      </c>
      <c r="AO64" s="1374">
        <v>6946590</v>
      </c>
      <c r="AP64" s="1374">
        <v>396900</v>
      </c>
      <c r="AQ64" s="1374">
        <v>195402</v>
      </c>
      <c r="AR64" s="1374">
        <v>0</v>
      </c>
      <c r="AS64" s="1374">
        <v>0</v>
      </c>
      <c r="AT64" s="1374">
        <v>105515458</v>
      </c>
      <c r="AU64" s="1377">
        <v>213.9</v>
      </c>
      <c r="AV64" s="1377">
        <v>20</v>
      </c>
      <c r="AW64" s="1377">
        <v>0</v>
      </c>
      <c r="AX64" s="1377">
        <v>331.5</v>
      </c>
      <c r="AY64" s="1377">
        <v>389.5</v>
      </c>
      <c r="AZ64" s="1377">
        <v>32</v>
      </c>
      <c r="BA64" s="1377">
        <v>64</v>
      </c>
      <c r="BB64" s="1377">
        <v>0</v>
      </c>
      <c r="BC64" s="1377">
        <v>0</v>
      </c>
      <c r="BD64" s="468">
        <v>10</v>
      </c>
      <c r="BE64" s="460">
        <v>139102786</v>
      </c>
      <c r="BF64" s="460">
        <v>6908055</v>
      </c>
      <c r="BG64" s="460">
        <v>396900</v>
      </c>
      <c r="BH64" s="460">
        <v>1334431</v>
      </c>
      <c r="BI64" s="460">
        <v>0</v>
      </c>
      <c r="BJ64" s="460">
        <v>0</v>
      </c>
      <c r="BK64" s="460">
        <v>130463400</v>
      </c>
      <c r="BL64" s="1299">
        <v>189.4</v>
      </c>
      <c r="BM64" s="1299">
        <v>70</v>
      </c>
      <c r="BN64" s="1299">
        <v>0</v>
      </c>
      <c r="BO64" s="1299">
        <v>110.5</v>
      </c>
      <c r="BP64" s="1299">
        <v>326</v>
      </c>
      <c r="BQ64" s="1299">
        <v>0</v>
      </c>
      <c r="BR64" s="1299">
        <v>20</v>
      </c>
      <c r="BS64" s="1299">
        <v>0</v>
      </c>
      <c r="BT64" s="1299">
        <v>0</v>
      </c>
    </row>
    <row r="65" spans="1:72" s="22" customFormat="1" ht="26.25" customHeight="1">
      <c r="A65" s="464">
        <f>SUBTOTAL(3,B$4:B65)</f>
        <v>62</v>
      </c>
      <c r="B65" s="465" t="s">
        <v>217</v>
      </c>
      <c r="C65" s="466" t="s">
        <v>572</v>
      </c>
      <c r="D65" s="467" t="s">
        <v>604</v>
      </c>
      <c r="E65" s="468">
        <f>COUNTIFS('Salary sheet'!$F$6:$F$2288,C65,'Salary sheet'!$E$6:$E$2288,B65)</f>
        <v>9</v>
      </c>
      <c r="F65" s="460">
        <f>+SUMIFS('Salary sheet'!$AN$6:$AN$1292,'Salary sheet'!$F$6:$F$1292,'So sánh giờ'!C65,'Salary sheet'!$E$6:$E$1292,'So sánh giờ'!B65)</f>
        <v>85156445</v>
      </c>
      <c r="G65" s="460">
        <f>+SUMIFS('Salary sheet'!$AO$6:$AO$2288,'Salary sheet'!$F$6:$F$2288,C65,'Salary sheet'!$E$6:$E$2288,B65)</f>
        <v>4673235</v>
      </c>
      <c r="H65" s="460">
        <f>+SUMIFS('Salary sheet'!$AP$6:$AP$2288,'Salary sheet'!$F$6:$F$2288,C65,'Salary sheet'!$E$6:$E$2288,B65)</f>
        <v>308700</v>
      </c>
      <c r="I65" s="460">
        <f>+SUMIFS('Salary sheet'!$AQ$6:$AQ$2288,'Salary sheet'!$F$6:$F$2288,C65,'Salary sheet'!$E$6:$E$2288,B65)</f>
        <v>0</v>
      </c>
      <c r="J65" s="460">
        <f>+SUMIFS('Salary sheet'!$AR$6:$AR$2288,'Salary sheet'!$F$6:$F$2288,C65,'Salary sheet'!$E$6:$E$2288,B65)</f>
        <v>0</v>
      </c>
      <c r="K65" s="460">
        <f>SUMIFS('Salary sheet'!$AS$6:$AS$1291,'Salary sheet'!$F$6:$F$1291,'So sánh giờ'!C65)</f>
        <v>91558</v>
      </c>
      <c r="L65" s="460">
        <f>+(F65)-SUM(G65:K65)</f>
        <v>80082952</v>
      </c>
      <c r="M65" s="1299">
        <f>SUMIFS('Salary sheet'!$M$6:$M$13045,'Salary sheet'!$F$6:$F$13045,'So sánh giờ'!$C65)</f>
        <v>207.20000000000002</v>
      </c>
      <c r="N65" s="1299">
        <f>SUMIFS('Salary sheet'!$O$6:$O$13045,'Salary sheet'!$F$6:$F$13045,'So sánh giờ'!$C65)</f>
        <v>20</v>
      </c>
      <c r="O65" s="1299">
        <f>SUMIFS('Salary sheet'!$AA$6:$AA$13045,'Salary sheet'!$F$6:$F$13045,'So sánh giờ'!$C65)</f>
        <v>0</v>
      </c>
      <c r="P65" s="1299">
        <f>SUMIFS('Salary sheet'!$Q$6:$Q$13045,'Salary sheet'!$F$6:$F$13045,'So sánh giờ'!$C65)</f>
        <v>169</v>
      </c>
      <c r="Q65" s="1299">
        <f>SUMIFS('Salary sheet'!$AH$6:$AH$13045,'Salary sheet'!$F$6:$F$13045,'So sánh giờ'!$C65)</f>
        <v>358.5</v>
      </c>
      <c r="R65" s="1299">
        <f>SUMIFS('Salary sheet'!$AI$6:$AI$13045,'Salary sheet'!$F$6:$F$13045,'So sánh giờ'!$C65)</f>
        <v>8</v>
      </c>
      <c r="S65" s="1299">
        <f>SUMIFS('Salary sheet'!$AJ$6:$AJ$13045,'Salary sheet'!$F$6:$F$13045,'So sánh giờ'!$C65)</f>
        <v>30</v>
      </c>
      <c r="T65" s="1299">
        <f>SUMIFS('Salary sheet'!$AK$6:$AK$13045,'Salary sheet'!$F$6:$F$13045,'So sánh giờ'!$C65)</f>
        <v>0</v>
      </c>
      <c r="U65" s="1299">
        <f>SUMIFS('Salary sheet'!$AL$6:$AL$13045,'Salary sheet'!$F$6:$F$13045,'So sánh giờ'!$C65)</f>
        <v>0</v>
      </c>
      <c r="V65" s="1394">
        <v>8</v>
      </c>
      <c r="W65" s="1392">
        <v>70543320</v>
      </c>
      <c r="X65" s="1392">
        <v>4076100</v>
      </c>
      <c r="Y65" s="1392">
        <v>264600</v>
      </c>
      <c r="Z65" s="1392">
        <v>0</v>
      </c>
      <c r="AA65" s="1392">
        <v>0</v>
      </c>
      <c r="AB65" s="1392">
        <v>0</v>
      </c>
      <c r="AC65" s="1392">
        <v>66202620</v>
      </c>
      <c r="AD65" s="1395">
        <v>173.70000000000002</v>
      </c>
      <c r="AE65" s="1395">
        <v>0</v>
      </c>
      <c r="AF65" s="1395">
        <v>0</v>
      </c>
      <c r="AG65" s="1395">
        <v>201.5</v>
      </c>
      <c r="AH65" s="1395">
        <v>316</v>
      </c>
      <c r="AI65" s="1395">
        <v>8</v>
      </c>
      <c r="AJ65" s="1395">
        <v>36</v>
      </c>
      <c r="AK65" s="1395">
        <v>0</v>
      </c>
      <c r="AL65" s="1395">
        <v>0</v>
      </c>
      <c r="AM65" s="1376">
        <v>8</v>
      </c>
      <c r="AN65" s="1374">
        <v>84117191</v>
      </c>
      <c r="AO65" s="1374">
        <v>5218920</v>
      </c>
      <c r="AP65" s="1374">
        <v>352800</v>
      </c>
      <c r="AQ65" s="1374">
        <v>0</v>
      </c>
      <c r="AR65" s="1374">
        <v>0</v>
      </c>
      <c r="AS65" s="1374">
        <v>0</v>
      </c>
      <c r="AT65" s="1374">
        <v>78545471</v>
      </c>
      <c r="AU65" s="1377">
        <v>170</v>
      </c>
      <c r="AV65" s="1377">
        <v>16</v>
      </c>
      <c r="AW65" s="1377">
        <v>0</v>
      </c>
      <c r="AX65" s="1377">
        <v>97.5</v>
      </c>
      <c r="AY65" s="1377">
        <v>393</v>
      </c>
      <c r="AZ65" s="1377">
        <v>24</v>
      </c>
      <c r="BA65" s="1377">
        <v>20</v>
      </c>
      <c r="BB65" s="1377">
        <v>0</v>
      </c>
      <c r="BC65" s="1377">
        <v>0</v>
      </c>
      <c r="BD65" s="468">
        <v>9</v>
      </c>
      <c r="BE65" s="460">
        <v>114783919</v>
      </c>
      <c r="BF65" s="460">
        <v>5180385</v>
      </c>
      <c r="BG65" s="460">
        <v>396900</v>
      </c>
      <c r="BH65" s="460">
        <v>846729</v>
      </c>
      <c r="BI65" s="460">
        <v>0</v>
      </c>
      <c r="BJ65" s="460">
        <v>0</v>
      </c>
      <c r="BK65" s="460">
        <v>108359905</v>
      </c>
      <c r="BL65" s="1299">
        <v>152.5</v>
      </c>
      <c r="BM65" s="1299">
        <v>61</v>
      </c>
      <c r="BN65" s="1299">
        <v>0</v>
      </c>
      <c r="BO65" s="1299">
        <v>32.5</v>
      </c>
      <c r="BP65" s="1299">
        <v>327</v>
      </c>
      <c r="BQ65" s="1299">
        <v>0</v>
      </c>
      <c r="BR65" s="1299">
        <v>6</v>
      </c>
      <c r="BS65" s="1299">
        <v>0</v>
      </c>
      <c r="BT65" s="1299">
        <v>0</v>
      </c>
    </row>
    <row r="66" spans="1:72" s="22" customFormat="1" ht="26.25" customHeight="1">
      <c r="A66" s="464">
        <f>SUBTOTAL(3,B$4:B66)</f>
        <v>63</v>
      </c>
      <c r="B66" s="465" t="s">
        <v>217</v>
      </c>
      <c r="C66" s="466" t="s">
        <v>573</v>
      </c>
      <c r="D66" s="467" t="s">
        <v>605</v>
      </c>
      <c r="E66" s="468">
        <f>COUNTIFS('Salary sheet'!$F$6:$F$2288,C66,'Salary sheet'!$E$6:$E$2288,B66)</f>
        <v>1</v>
      </c>
      <c r="F66" s="460">
        <f>+SUMIFS('Salary sheet'!$AN$6:$AN$1292,'Salary sheet'!$F$6:$F$1292,'So sánh giờ'!C66,'Salary sheet'!$E$6:$E$1292,'So sánh giờ'!B66)</f>
        <v>12843030</v>
      </c>
      <c r="G66" s="460">
        <f>+SUMIFS('Salary sheet'!$AO$6:$AO$2288,'Salary sheet'!$F$6:$F$2288,C66,'Salary sheet'!$E$6:$E$2288,B66)</f>
        <v>1181250</v>
      </c>
      <c r="H66" s="460">
        <f>+SUMIFS('Salary sheet'!$AP$6:$AP$2288,'Salary sheet'!$F$6:$F$2288,C66,'Salary sheet'!$E$6:$E$2288,B66)</f>
        <v>44100</v>
      </c>
      <c r="I66" s="460">
        <f>+SUMIFS('Salary sheet'!$AQ$6:$AQ$2288,'Salary sheet'!$F$6:$F$2288,C66,'Salary sheet'!$E$6:$E$2288,B66)</f>
        <v>32680</v>
      </c>
      <c r="J66" s="460">
        <f>+SUMIFS('Salary sheet'!$AR$6:$AR$2288,'Salary sheet'!$F$6:$F$2288,C66,'Salary sheet'!$E$6:$E$2288,B66)</f>
        <v>0</v>
      </c>
      <c r="K66" s="460">
        <f>SUMIFS('Salary sheet'!$AS$6:$AS$1291,'Salary sheet'!$F$6:$F$1291,'So sánh giờ'!C66)</f>
        <v>0</v>
      </c>
      <c r="L66" s="460">
        <f t="shared" ref="L66:L67" si="2">+(F66)-SUM(G66:K66)</f>
        <v>11585000</v>
      </c>
      <c r="M66" s="1299">
        <f>SUMIFS('Salary sheet'!$M$6:$M$13045,'Salary sheet'!$F$6:$F$13045,'So sánh giờ'!$C66)</f>
        <v>24</v>
      </c>
      <c r="N66" s="1299">
        <f>SUMIFS('Salary sheet'!$O$6:$O$13045,'Salary sheet'!$F$6:$F$13045,'So sánh giờ'!$C66)</f>
        <v>2</v>
      </c>
      <c r="O66" s="1299">
        <f>SUMIFS('Salary sheet'!$AA$6:$AA$13045,'Salary sheet'!$F$6:$F$13045,'So sánh giờ'!$C66)</f>
        <v>0</v>
      </c>
      <c r="P66" s="1299">
        <f>SUMIFS('Salary sheet'!$Q$6:$Q$13045,'Salary sheet'!$F$6:$F$13045,'So sánh giờ'!$C66)</f>
        <v>0</v>
      </c>
      <c r="Q66" s="1299">
        <f>SUMIFS('Salary sheet'!$AH$6:$AH$13045,'Salary sheet'!$F$6:$F$13045,'So sánh giờ'!$C66)</f>
        <v>4</v>
      </c>
      <c r="R66" s="1299">
        <f>SUMIFS('Salary sheet'!$AI$6:$AI$13045,'Salary sheet'!$F$6:$F$13045,'So sánh giờ'!$C66)</f>
        <v>0</v>
      </c>
      <c r="S66" s="1299">
        <f>SUMIFS('Salary sheet'!$AJ$6:$AJ$13045,'Salary sheet'!$F$6:$F$13045,'So sánh giờ'!$C66)</f>
        <v>0</v>
      </c>
      <c r="T66" s="1299">
        <f>SUMIFS('Salary sheet'!$AK$6:$AK$13045,'Salary sheet'!$F$6:$F$13045,'So sánh giờ'!$C66)</f>
        <v>0</v>
      </c>
      <c r="U66" s="1299">
        <f>SUMIFS('Salary sheet'!$AL$6:$AL$13045,'Salary sheet'!$F$6:$F$13045,'So sánh giờ'!$C66)</f>
        <v>0</v>
      </c>
      <c r="V66" s="1394">
        <v>1</v>
      </c>
      <c r="W66" s="1392">
        <v>12315785</v>
      </c>
      <c r="X66" s="1392">
        <v>1181250</v>
      </c>
      <c r="Y66" s="1392">
        <v>44100</v>
      </c>
      <c r="Z66" s="1392">
        <v>1318</v>
      </c>
      <c r="AA66" s="1392">
        <v>0</v>
      </c>
      <c r="AB66" s="1392">
        <v>0</v>
      </c>
      <c r="AC66" s="1392">
        <v>11089117</v>
      </c>
      <c r="AD66" s="1395">
        <v>25.9</v>
      </c>
      <c r="AE66" s="1395">
        <v>0</v>
      </c>
      <c r="AF66" s="1395">
        <v>0</v>
      </c>
      <c r="AG66" s="1395">
        <v>0</v>
      </c>
      <c r="AH66" s="1395">
        <v>4</v>
      </c>
      <c r="AI66" s="1395">
        <v>0</v>
      </c>
      <c r="AJ66" s="1395">
        <v>0</v>
      </c>
      <c r="AK66" s="1395">
        <v>0</v>
      </c>
      <c r="AL66" s="1395">
        <v>0</v>
      </c>
      <c r="AM66" s="1376">
        <v>2</v>
      </c>
      <c r="AN66" s="1374">
        <v>22193650</v>
      </c>
      <c r="AO66" s="1374">
        <v>1756335</v>
      </c>
      <c r="AP66" s="1374">
        <v>88200</v>
      </c>
      <c r="AQ66" s="1374">
        <v>7259</v>
      </c>
      <c r="AR66" s="1374">
        <v>0</v>
      </c>
      <c r="AS66" s="1374">
        <v>0</v>
      </c>
      <c r="AT66" s="1374">
        <v>20341856</v>
      </c>
      <c r="AU66" s="1377">
        <v>43</v>
      </c>
      <c r="AV66" s="1377">
        <v>4</v>
      </c>
      <c r="AW66" s="1377">
        <v>0</v>
      </c>
      <c r="AX66" s="1377">
        <v>0</v>
      </c>
      <c r="AY66" s="1377">
        <v>61</v>
      </c>
      <c r="AZ66" s="1377">
        <v>0</v>
      </c>
      <c r="BA66" s="1377">
        <v>0</v>
      </c>
      <c r="BB66" s="1377">
        <v>0</v>
      </c>
      <c r="BC66" s="1377">
        <v>0</v>
      </c>
      <c r="BD66" s="468">
        <v>2</v>
      </c>
      <c r="BE66" s="460">
        <v>30471152</v>
      </c>
      <c r="BF66" s="460">
        <v>1756335</v>
      </c>
      <c r="BG66" s="460">
        <v>88200</v>
      </c>
      <c r="BH66" s="460">
        <v>448674</v>
      </c>
      <c r="BI66" s="460">
        <v>0</v>
      </c>
      <c r="BJ66" s="460">
        <v>0</v>
      </c>
      <c r="BK66" s="460">
        <v>28177943</v>
      </c>
      <c r="BL66" s="1299">
        <v>38.200000000000003</v>
      </c>
      <c r="BM66" s="1299">
        <v>14</v>
      </c>
      <c r="BN66" s="1299">
        <v>0</v>
      </c>
      <c r="BO66" s="1299">
        <v>0</v>
      </c>
      <c r="BP66" s="1299">
        <v>24</v>
      </c>
      <c r="BQ66" s="1299">
        <v>0</v>
      </c>
      <c r="BR66" s="1299">
        <v>0</v>
      </c>
      <c r="BS66" s="1299">
        <v>0</v>
      </c>
      <c r="BT66" s="1299">
        <v>0</v>
      </c>
    </row>
    <row r="67" spans="1:72" s="22" customFormat="1" ht="26.25" customHeight="1">
      <c r="A67" s="464">
        <f>SUBTOTAL(3,B$4:B67)</f>
        <v>64</v>
      </c>
      <c r="B67" s="465" t="s">
        <v>217</v>
      </c>
      <c r="C67" s="466" t="s">
        <v>574</v>
      </c>
      <c r="D67" s="467" t="s">
        <v>606</v>
      </c>
      <c r="E67" s="468">
        <f>COUNTIFS('Salary sheet'!$F$6:$F$2288,C67,'Salary sheet'!$E$6:$E$2288,B67)</f>
        <v>3</v>
      </c>
      <c r="F67" s="460">
        <f>+SUMIFS('Salary sheet'!$AN$6:$AN$1292,'Salary sheet'!$F$6:$F$1292,'So sánh giờ'!C67,'Salary sheet'!$E$6:$E$1292,'So sánh giờ'!B67)</f>
        <v>32080178</v>
      </c>
      <c r="G67" s="460">
        <f>+SUMIFS('Salary sheet'!$AO$6:$AO$2288,'Salary sheet'!$F$6:$F$2288,C67,'Salary sheet'!$E$6:$E$2288,B67)</f>
        <v>2767380</v>
      </c>
      <c r="H67" s="460">
        <f>+SUMIFS('Salary sheet'!$AP$6:$AP$2288,'Salary sheet'!$F$6:$F$2288,C67,'Salary sheet'!$E$6:$E$2288,B67)</f>
        <v>132300</v>
      </c>
      <c r="I67" s="460">
        <f>+SUMIFS('Salary sheet'!$AQ$6:$AQ$2288,'Salary sheet'!$F$6:$F$2288,C67,'Salary sheet'!$E$6:$E$2288,B67)</f>
        <v>94864</v>
      </c>
      <c r="J67" s="460">
        <f>+SUMIFS('Salary sheet'!$AR$6:$AR$2288,'Salary sheet'!$F$6:$F$2288,C67,'Salary sheet'!$E$6:$E$2288,B67)</f>
        <v>0</v>
      </c>
      <c r="K67" s="460">
        <f>SUMIFS('Salary sheet'!$AS$6:$AS$1291,'Salary sheet'!$F$6:$F$1291,'So sánh giờ'!C67)</f>
        <v>0</v>
      </c>
      <c r="L67" s="460">
        <f t="shared" si="2"/>
        <v>29085634</v>
      </c>
      <c r="M67" s="1299">
        <f>SUMIFS('Salary sheet'!$M$6:$M$13045,'Salary sheet'!$F$6:$F$13045,'So sánh giờ'!$C67)</f>
        <v>67.8</v>
      </c>
      <c r="N67" s="1299">
        <f>SUMIFS('Salary sheet'!$O$6:$O$13045,'Salary sheet'!$F$6:$F$13045,'So sánh giờ'!$C67)</f>
        <v>6</v>
      </c>
      <c r="O67" s="1299">
        <f>SUMIFS('Salary sheet'!$AA$6:$AA$13045,'Salary sheet'!$F$6:$F$13045,'So sánh giờ'!$C67)</f>
        <v>0</v>
      </c>
      <c r="P67" s="1299">
        <f>SUMIFS('Salary sheet'!$Q$6:$Q$13045,'Salary sheet'!$F$6:$F$13045,'So sánh giờ'!$C67)</f>
        <v>0</v>
      </c>
      <c r="Q67" s="1299">
        <f>SUMIFS('Salary sheet'!$AH$6:$AH$13045,'Salary sheet'!$F$6:$F$13045,'So sánh giờ'!$C67)</f>
        <v>56</v>
      </c>
      <c r="R67" s="1299">
        <f>SUMIFS('Salary sheet'!$AI$6:$AI$13045,'Salary sheet'!$F$6:$F$13045,'So sánh giờ'!$C67)</f>
        <v>0</v>
      </c>
      <c r="S67" s="1299">
        <f>SUMIFS('Salary sheet'!$AJ$6:$AJ$13045,'Salary sheet'!$F$6:$F$13045,'So sánh giờ'!$C67)</f>
        <v>0</v>
      </c>
      <c r="T67" s="1299">
        <f>SUMIFS('Salary sheet'!$AK$6:$AK$13045,'Salary sheet'!$F$6:$F$13045,'So sánh giờ'!$C67)</f>
        <v>0</v>
      </c>
      <c r="U67" s="1299">
        <f>SUMIFS('Salary sheet'!$AL$6:$AL$13045,'Salary sheet'!$F$6:$F$13045,'So sánh giờ'!$C67)</f>
        <v>0</v>
      </c>
      <c r="V67" s="1394">
        <v>3</v>
      </c>
      <c r="W67" s="1392">
        <v>35146077</v>
      </c>
      <c r="X67" s="1392">
        <v>2767380</v>
      </c>
      <c r="Y67" s="1392">
        <v>132300</v>
      </c>
      <c r="Z67" s="1392">
        <v>112955</v>
      </c>
      <c r="AA67" s="1392">
        <v>0</v>
      </c>
      <c r="AB67" s="1392">
        <v>0</v>
      </c>
      <c r="AC67" s="1392">
        <v>32133442</v>
      </c>
      <c r="AD67" s="1395">
        <v>77</v>
      </c>
      <c r="AE67" s="1395">
        <v>0</v>
      </c>
      <c r="AF67" s="1395">
        <v>0</v>
      </c>
      <c r="AG67" s="1395">
        <v>0</v>
      </c>
      <c r="AH67" s="1395">
        <v>74</v>
      </c>
      <c r="AI67" s="1395">
        <v>0</v>
      </c>
      <c r="AJ67" s="1395">
        <v>0</v>
      </c>
      <c r="AK67" s="1395">
        <v>0</v>
      </c>
      <c r="AL67" s="1395">
        <v>0</v>
      </c>
      <c r="AM67" s="1376">
        <v>2</v>
      </c>
      <c r="AN67" s="1374">
        <v>27162915</v>
      </c>
      <c r="AO67" s="1374">
        <v>2029545</v>
      </c>
      <c r="AP67" s="1374">
        <v>88200</v>
      </c>
      <c r="AQ67" s="1374">
        <v>148060</v>
      </c>
      <c r="AR67" s="1374">
        <v>0</v>
      </c>
      <c r="AS67" s="1374">
        <v>0</v>
      </c>
      <c r="AT67" s="1374">
        <v>24897110</v>
      </c>
      <c r="AU67" s="1377">
        <v>43</v>
      </c>
      <c r="AV67" s="1377">
        <v>4</v>
      </c>
      <c r="AW67" s="1377">
        <v>0</v>
      </c>
      <c r="AX67" s="1377">
        <v>0</v>
      </c>
      <c r="AY67" s="1377">
        <v>69</v>
      </c>
      <c r="AZ67" s="1377">
        <v>0</v>
      </c>
      <c r="BA67" s="1377">
        <v>0</v>
      </c>
      <c r="BB67" s="1377">
        <v>0</v>
      </c>
      <c r="BC67" s="1377">
        <v>0</v>
      </c>
      <c r="BD67" s="468">
        <v>2</v>
      </c>
      <c r="BE67" s="460">
        <v>36096419</v>
      </c>
      <c r="BF67" s="460">
        <v>1952370</v>
      </c>
      <c r="BG67" s="460">
        <v>88200</v>
      </c>
      <c r="BH67" s="460">
        <v>762989</v>
      </c>
      <c r="BI67" s="460">
        <v>0</v>
      </c>
      <c r="BJ67" s="460">
        <v>0</v>
      </c>
      <c r="BK67" s="460">
        <v>33292860</v>
      </c>
      <c r="BL67" s="1299">
        <v>32.799999999999997</v>
      </c>
      <c r="BM67" s="1299">
        <v>14</v>
      </c>
      <c r="BN67" s="1299">
        <v>0</v>
      </c>
      <c r="BO67" s="1299">
        <v>0</v>
      </c>
      <c r="BP67" s="1299">
        <v>28</v>
      </c>
      <c r="BQ67" s="1299">
        <v>0</v>
      </c>
      <c r="BR67" s="1299">
        <v>0</v>
      </c>
      <c r="BS67" s="1299">
        <v>0</v>
      </c>
      <c r="BT67" s="1299">
        <v>0</v>
      </c>
    </row>
    <row r="68" spans="1:72" s="22" customFormat="1" ht="26.25" customHeight="1">
      <c r="A68" s="464">
        <f>SUBTOTAL(3,B$4:B68)</f>
        <v>65</v>
      </c>
      <c r="B68" s="465" t="s">
        <v>217</v>
      </c>
      <c r="C68" s="466" t="s">
        <v>514</v>
      </c>
      <c r="D68" s="467" t="s">
        <v>467</v>
      </c>
      <c r="E68" s="468">
        <f>COUNTIFS('Salary sheet'!$F$6:$F$2288,C68,'Salary sheet'!$E$6:$E$2288,B68)</f>
        <v>5</v>
      </c>
      <c r="F68" s="460">
        <f>+SUMIFS('Salary sheet'!$AN$6:$AN$1292,'Salary sheet'!$F$6:$F$1292,'So sánh giờ'!C68,'Salary sheet'!$E$6:$E$1292,'So sánh giờ'!B68)</f>
        <v>104556399</v>
      </c>
      <c r="G68" s="460">
        <f>+SUMIFS('Salary sheet'!$AO$6:$AO$2288,'Salary sheet'!$F$6:$F$2288,C68,'Salary sheet'!$E$6:$E$2288,B68)</f>
        <v>9396135</v>
      </c>
      <c r="H68" s="460">
        <f>+SUMIFS('Salary sheet'!$AP$6:$AP$2288,'Salary sheet'!$F$6:$F$2288,C68,'Salary sheet'!$E$6:$E$2288,B68)</f>
        <v>176400</v>
      </c>
      <c r="I68" s="460">
        <f>+SUMIFS('Salary sheet'!$AQ$6:$AQ$2288,'Salary sheet'!$F$6:$F$2288,C68,'Salary sheet'!$E$6:$E$2288,B68)</f>
        <v>553098</v>
      </c>
      <c r="J68" s="460">
        <f>+SUMIFS('Salary sheet'!$AR$6:$AR$2288,'Salary sheet'!$F$6:$F$2288,C68,'Salary sheet'!$E$6:$E$2288,B68)</f>
        <v>0</v>
      </c>
      <c r="K68" s="460">
        <f>SUMIFS('Salary sheet'!$AS$6:$AS$1291,'Salary sheet'!$F$6:$F$1291,'So sánh giờ'!C68)</f>
        <v>0</v>
      </c>
      <c r="L68" s="460">
        <f t="shared" si="0"/>
        <v>94430766</v>
      </c>
      <c r="M68" s="1299">
        <f>SUMIFS('Salary sheet'!$M$6:$M$13045,'Salary sheet'!$F$6:$F$13045,'So sánh giờ'!$C68)</f>
        <v>115.89999999999999</v>
      </c>
      <c r="N68" s="1299">
        <f>SUMIFS('Salary sheet'!$O$6:$O$13045,'Salary sheet'!$F$6:$F$13045,'So sánh giờ'!$C68)</f>
        <v>13</v>
      </c>
      <c r="O68" s="1299">
        <f>SUMIFS('Salary sheet'!$AA$6:$AA$13045,'Salary sheet'!$F$6:$F$13045,'So sánh giờ'!$C68)</f>
        <v>0</v>
      </c>
      <c r="P68" s="1299">
        <f>SUMIFS('Salary sheet'!$Q$6:$Q$13045,'Salary sheet'!$F$6:$F$13045,'So sánh giờ'!$C68)</f>
        <v>0</v>
      </c>
      <c r="Q68" s="1299">
        <f>SUMIFS('Salary sheet'!$AH$6:$AH$13045,'Salary sheet'!$F$6:$F$13045,'So sánh giờ'!$C68)</f>
        <v>85</v>
      </c>
      <c r="R68" s="1299">
        <f>SUMIFS('Salary sheet'!$AI$6:$AI$13045,'Salary sheet'!$F$6:$F$13045,'So sánh giờ'!$C68)</f>
        <v>0</v>
      </c>
      <c r="S68" s="1299">
        <f>SUMIFS('Salary sheet'!$AJ$6:$AJ$13045,'Salary sheet'!$F$6:$F$13045,'So sánh giờ'!$C68)</f>
        <v>0</v>
      </c>
      <c r="T68" s="1299">
        <f>SUMIFS('Salary sheet'!$AK$6:$AK$13045,'Salary sheet'!$F$6:$F$13045,'So sánh giờ'!$C68)</f>
        <v>0</v>
      </c>
      <c r="U68" s="1299">
        <f>SUMIFS('Salary sheet'!$AL$6:$AL$13045,'Salary sheet'!$F$6:$F$13045,'So sánh giờ'!$C68)</f>
        <v>0</v>
      </c>
      <c r="V68" s="1394">
        <v>5</v>
      </c>
      <c r="W68" s="1392">
        <v>96742435</v>
      </c>
      <c r="X68" s="1392">
        <v>9322635</v>
      </c>
      <c r="Y68" s="1392">
        <v>176400</v>
      </c>
      <c r="Z68" s="1392">
        <v>304494</v>
      </c>
      <c r="AA68" s="1392">
        <v>0</v>
      </c>
      <c r="AB68" s="1392">
        <v>0</v>
      </c>
      <c r="AC68" s="1392">
        <v>86938906</v>
      </c>
      <c r="AD68" s="1395">
        <v>122.5</v>
      </c>
      <c r="AE68" s="1395">
        <v>1</v>
      </c>
      <c r="AF68" s="1395">
        <v>0</v>
      </c>
      <c r="AG68" s="1395">
        <v>0</v>
      </c>
      <c r="AH68" s="1395">
        <v>79</v>
      </c>
      <c r="AI68" s="1395">
        <v>0</v>
      </c>
      <c r="AJ68" s="1395">
        <v>0</v>
      </c>
      <c r="AK68" s="1395">
        <v>0</v>
      </c>
      <c r="AL68" s="1395">
        <v>0</v>
      </c>
      <c r="AM68" s="1376">
        <v>5</v>
      </c>
      <c r="AN68" s="1374">
        <v>98364960</v>
      </c>
      <c r="AO68" s="1374">
        <v>9322635</v>
      </c>
      <c r="AP68" s="1374">
        <v>176400</v>
      </c>
      <c r="AQ68" s="1374">
        <v>275968</v>
      </c>
      <c r="AR68" s="1374">
        <v>455000</v>
      </c>
      <c r="AS68" s="1374">
        <v>0</v>
      </c>
      <c r="AT68" s="1374">
        <v>88134957</v>
      </c>
      <c r="AU68" s="1377">
        <v>103.39999999999999</v>
      </c>
      <c r="AV68" s="1377">
        <v>10</v>
      </c>
      <c r="AW68" s="1377">
        <v>0</v>
      </c>
      <c r="AX68" s="1377">
        <v>0</v>
      </c>
      <c r="AY68" s="1377">
        <v>87</v>
      </c>
      <c r="AZ68" s="1377">
        <v>0</v>
      </c>
      <c r="BA68" s="1377">
        <v>0</v>
      </c>
      <c r="BB68" s="1377">
        <v>0</v>
      </c>
      <c r="BC68" s="1377">
        <v>0</v>
      </c>
      <c r="BD68" s="468">
        <v>5</v>
      </c>
      <c r="BE68" s="460">
        <v>168639458</v>
      </c>
      <c r="BF68" s="460">
        <v>9322635</v>
      </c>
      <c r="BG68" s="460">
        <v>176400</v>
      </c>
      <c r="BH68" s="460">
        <v>9376522</v>
      </c>
      <c r="BI68" s="460">
        <v>0</v>
      </c>
      <c r="BJ68" s="460">
        <v>0</v>
      </c>
      <c r="BK68" s="460">
        <v>149763901</v>
      </c>
      <c r="BL68" s="1299">
        <v>96.7</v>
      </c>
      <c r="BM68" s="1299">
        <v>35</v>
      </c>
      <c r="BN68" s="1299">
        <v>0</v>
      </c>
      <c r="BO68" s="1299">
        <v>0</v>
      </c>
      <c r="BP68" s="1299">
        <v>76</v>
      </c>
      <c r="BQ68" s="1299">
        <v>8</v>
      </c>
      <c r="BR68" s="1299">
        <v>0</v>
      </c>
      <c r="BS68" s="1299">
        <v>0</v>
      </c>
      <c r="BT68" s="1299">
        <v>0</v>
      </c>
    </row>
    <row r="69" spans="1:72" s="22" customFormat="1" ht="26.25" customHeight="1">
      <c r="A69" s="464">
        <f>SUBTOTAL(3,B$4:B69)</f>
        <v>66</v>
      </c>
      <c r="B69" s="465" t="s">
        <v>217</v>
      </c>
      <c r="C69" s="466" t="s">
        <v>515</v>
      </c>
      <c r="D69" s="467" t="s">
        <v>468</v>
      </c>
      <c r="E69" s="468">
        <f>COUNTIFS('Salary sheet'!$F$6:$F$2288,C69,'Salary sheet'!$E$6:$E$2288,B69)</f>
        <v>7</v>
      </c>
      <c r="F69" s="460">
        <f>+SUMIFS('Salary sheet'!$AN$6:$AN$1292,'Salary sheet'!$F$6:$F$1292,'So sánh giờ'!C69,'Salary sheet'!$E$6:$E$1292,'So sánh giờ'!B69)</f>
        <v>76696915</v>
      </c>
      <c r="G69" s="460">
        <f>+SUMIFS('Salary sheet'!$AO$6:$AO$2288,'Salary sheet'!$F$6:$F$2288,C69,'Salary sheet'!$E$6:$E$2288,B69)</f>
        <v>5319405</v>
      </c>
      <c r="H69" s="460">
        <f>+SUMIFS('Salary sheet'!$AP$6:$AP$2288,'Salary sheet'!$F$6:$F$2288,C69,'Salary sheet'!$E$6:$E$2288,B69)</f>
        <v>308700</v>
      </c>
      <c r="I69" s="460">
        <f>+SUMIFS('Salary sheet'!$AQ$6:$AQ$2288,'Salary sheet'!$F$6:$F$2288,C69,'Salary sheet'!$E$6:$E$2288,B69)</f>
        <v>0</v>
      </c>
      <c r="J69" s="460">
        <f>+SUMIFS('Salary sheet'!$AR$6:$AR$2288,'Salary sheet'!$F$6:$F$2288,C69,'Salary sheet'!$E$6:$E$2288,B69)</f>
        <v>0</v>
      </c>
      <c r="K69" s="460">
        <f>SUMIFS('Salary sheet'!$AS$6:$AS$1291,'Salary sheet'!$F$6:$F$1291,'So sánh giờ'!C69)</f>
        <v>0</v>
      </c>
      <c r="L69" s="460">
        <f t="shared" si="0"/>
        <v>71068810</v>
      </c>
      <c r="M69" s="1299">
        <f>SUMIFS('Salary sheet'!$M$6:$M$13045,'Salary sheet'!$F$6:$F$13045,'So sánh giờ'!$C69)</f>
        <v>163.70000000000002</v>
      </c>
      <c r="N69" s="1299">
        <f>SUMIFS('Salary sheet'!$O$6:$O$13045,'Salary sheet'!$F$6:$F$13045,'So sánh giờ'!$C69)</f>
        <v>16</v>
      </c>
      <c r="O69" s="1299">
        <f>SUMIFS('Salary sheet'!$AA$6:$AA$13045,'Salary sheet'!$F$6:$F$13045,'So sánh giờ'!$C69)</f>
        <v>0</v>
      </c>
      <c r="P69" s="1299">
        <f>SUMIFS('Salary sheet'!$Q$6:$Q$13045,'Salary sheet'!$F$6:$F$13045,'So sánh giờ'!$C69)</f>
        <v>0</v>
      </c>
      <c r="Q69" s="1299">
        <f>SUMIFS('Salary sheet'!$AH$6:$AH$13045,'Salary sheet'!$F$6:$F$13045,'So sánh giờ'!$C69)</f>
        <v>303</v>
      </c>
      <c r="R69" s="1299">
        <f>SUMIFS('Salary sheet'!$AI$6:$AI$13045,'Salary sheet'!$F$6:$F$13045,'So sánh giờ'!$C69)</f>
        <v>0</v>
      </c>
      <c r="S69" s="1299">
        <f>SUMIFS('Salary sheet'!$AJ$6:$AJ$13045,'Salary sheet'!$F$6:$F$13045,'So sánh giờ'!$C69)</f>
        <v>0</v>
      </c>
      <c r="T69" s="1299">
        <f>SUMIFS('Salary sheet'!$AK$6:$AK$13045,'Salary sheet'!$F$6:$F$13045,'So sánh giờ'!$C69)</f>
        <v>0</v>
      </c>
      <c r="U69" s="1299">
        <f>SUMIFS('Salary sheet'!$AL$6:$AL$13045,'Salary sheet'!$F$6:$F$13045,'So sánh giờ'!$C69)</f>
        <v>0</v>
      </c>
      <c r="V69" s="1394">
        <v>7</v>
      </c>
      <c r="W69" s="1392">
        <v>76185542</v>
      </c>
      <c r="X69" s="1392">
        <v>4739490</v>
      </c>
      <c r="Y69" s="1392">
        <v>308700</v>
      </c>
      <c r="Z69" s="1392">
        <v>0</v>
      </c>
      <c r="AA69" s="1392">
        <v>0</v>
      </c>
      <c r="AB69" s="1392">
        <v>263047</v>
      </c>
      <c r="AC69" s="1392">
        <v>70874305</v>
      </c>
      <c r="AD69" s="1395">
        <v>176.89999999999998</v>
      </c>
      <c r="AE69" s="1395">
        <v>1</v>
      </c>
      <c r="AF69" s="1395">
        <v>0</v>
      </c>
      <c r="AG69" s="1395">
        <v>0</v>
      </c>
      <c r="AH69" s="1395">
        <v>299.5</v>
      </c>
      <c r="AI69" s="1395">
        <v>0</v>
      </c>
      <c r="AJ69" s="1395">
        <v>0</v>
      </c>
      <c r="AK69" s="1395">
        <v>0</v>
      </c>
      <c r="AL69" s="1395">
        <v>0</v>
      </c>
      <c r="AM69" s="1376">
        <v>7</v>
      </c>
      <c r="AN69" s="1374">
        <v>71046022</v>
      </c>
      <c r="AO69" s="1374">
        <v>4131855</v>
      </c>
      <c r="AP69" s="1374">
        <v>220500</v>
      </c>
      <c r="AQ69" s="1374">
        <v>0</v>
      </c>
      <c r="AR69" s="1374">
        <v>0</v>
      </c>
      <c r="AS69" s="1374">
        <v>0</v>
      </c>
      <c r="AT69" s="1374">
        <v>66693667</v>
      </c>
      <c r="AU69" s="1377">
        <v>134.4</v>
      </c>
      <c r="AV69" s="1377">
        <v>10</v>
      </c>
      <c r="AW69" s="1377">
        <v>0</v>
      </c>
      <c r="AX69" s="1377">
        <v>0</v>
      </c>
      <c r="AY69" s="1377">
        <v>303</v>
      </c>
      <c r="AZ69" s="1377">
        <v>0</v>
      </c>
      <c r="BA69" s="1377">
        <v>0</v>
      </c>
      <c r="BB69" s="1377">
        <v>0</v>
      </c>
      <c r="BC69" s="1377">
        <v>0</v>
      </c>
      <c r="BD69" s="468">
        <v>7</v>
      </c>
      <c r="BE69" s="460">
        <v>108265933</v>
      </c>
      <c r="BF69" s="460">
        <v>5344395</v>
      </c>
      <c r="BG69" s="460">
        <v>308700</v>
      </c>
      <c r="BH69" s="460">
        <v>772824</v>
      </c>
      <c r="BI69" s="460">
        <v>0</v>
      </c>
      <c r="BJ69" s="460">
        <v>0</v>
      </c>
      <c r="BK69" s="460">
        <v>101840014</v>
      </c>
      <c r="BL69" s="1299">
        <v>129.5</v>
      </c>
      <c r="BM69" s="1299">
        <v>48</v>
      </c>
      <c r="BN69" s="1299">
        <v>0</v>
      </c>
      <c r="BO69" s="1299">
        <v>0</v>
      </c>
      <c r="BP69" s="1299">
        <v>285</v>
      </c>
      <c r="BQ69" s="1299">
        <v>8</v>
      </c>
      <c r="BR69" s="1299">
        <v>0</v>
      </c>
      <c r="BS69" s="1299">
        <v>0</v>
      </c>
      <c r="BT69" s="1299">
        <v>0</v>
      </c>
    </row>
    <row r="70" spans="1:72" s="22" customFormat="1" ht="26.25" customHeight="1">
      <c r="A70" s="464">
        <f>SUBTOTAL(3,B$4:B70)</f>
        <v>67</v>
      </c>
      <c r="B70" s="465" t="s">
        <v>217</v>
      </c>
      <c r="C70" s="466" t="s">
        <v>575</v>
      </c>
      <c r="D70" s="467" t="s">
        <v>607</v>
      </c>
      <c r="E70" s="468">
        <f>COUNTIFS('Salary sheet'!$F$6:$F$2288,C70,'Salary sheet'!$E$6:$E$2288,B70)</f>
        <v>16</v>
      </c>
      <c r="F70" s="460">
        <f>+SUMIFS('Salary sheet'!$AN$6:$AN$1292,'Salary sheet'!$F$6:$F$1292,'So sánh giờ'!C70,'Salary sheet'!$E$6:$E$1292,'So sánh giờ'!B70)</f>
        <v>144231033</v>
      </c>
      <c r="G70" s="460">
        <f>+SUMIFS('Salary sheet'!$AO$6:$AO$2288,'Salary sheet'!$F$6:$F$2288,C70,'Salary sheet'!$E$6:$E$2288,B70)</f>
        <v>10146780</v>
      </c>
      <c r="H70" s="460">
        <f>+SUMIFS('Salary sheet'!$AP$6:$AP$2288,'Salary sheet'!$F$6:$F$2288,C70,'Salary sheet'!$E$6:$E$2288,B70)</f>
        <v>661500</v>
      </c>
      <c r="I70" s="460">
        <f>+SUMIFS('Salary sheet'!$AQ$6:$AQ$2288,'Salary sheet'!$F$6:$F$2288,C70,'Salary sheet'!$E$6:$E$2288,B70)</f>
        <v>0</v>
      </c>
      <c r="J70" s="460">
        <f>+SUMIFS('Salary sheet'!$AR$6:$AR$2288,'Salary sheet'!$F$6:$F$2288,C70,'Salary sheet'!$E$6:$E$2288,B70)</f>
        <v>0</v>
      </c>
      <c r="K70" s="460">
        <f>SUMIFS('Salary sheet'!$AS$6:$AS$1291,'Salary sheet'!$F$6:$F$1291,'So sánh giờ'!C70)</f>
        <v>0</v>
      </c>
      <c r="L70" s="460">
        <f t="shared" si="0"/>
        <v>133422753</v>
      </c>
      <c r="M70" s="1299">
        <f>SUMIFS('Salary sheet'!$M$6:$M$13045,'Salary sheet'!$F$6:$F$13045,'So sánh giờ'!$C70)</f>
        <v>357.00000000000006</v>
      </c>
      <c r="N70" s="1299">
        <f>SUMIFS('Salary sheet'!$O$6:$O$13045,'Salary sheet'!$F$6:$F$13045,'So sánh giờ'!$C70)</f>
        <v>38</v>
      </c>
      <c r="O70" s="1299">
        <f>SUMIFS('Salary sheet'!$AA$6:$AA$13045,'Salary sheet'!$F$6:$F$13045,'So sánh giờ'!$C70)</f>
        <v>0</v>
      </c>
      <c r="P70" s="1299">
        <f>SUMIFS('Salary sheet'!$Q$6:$Q$13045,'Salary sheet'!$F$6:$F$13045,'So sánh giờ'!$C70)</f>
        <v>0</v>
      </c>
      <c r="Q70" s="1299">
        <f>SUMIFS('Salary sheet'!$AH$6:$AH$13045,'Salary sheet'!$F$6:$F$13045,'So sánh giờ'!$C70)</f>
        <v>693</v>
      </c>
      <c r="R70" s="1299">
        <f>SUMIFS('Salary sheet'!$AI$6:$AI$13045,'Salary sheet'!$F$6:$F$13045,'So sánh giờ'!$C70)</f>
        <v>0</v>
      </c>
      <c r="S70" s="1299">
        <f>SUMIFS('Salary sheet'!$AJ$6:$AJ$13045,'Salary sheet'!$F$6:$F$13045,'So sánh giờ'!$C70)</f>
        <v>0</v>
      </c>
      <c r="T70" s="1299">
        <f>SUMIFS('Salary sheet'!$AK$6:$AK$13045,'Salary sheet'!$F$6:$F$13045,'So sánh giờ'!$C70)</f>
        <v>0</v>
      </c>
      <c r="U70" s="1299">
        <f>SUMIFS('Salary sheet'!$AL$6:$AL$13045,'Salary sheet'!$F$6:$F$13045,'So sánh giờ'!$C70)</f>
        <v>0</v>
      </c>
      <c r="V70" s="1394">
        <v>16</v>
      </c>
      <c r="W70" s="1392">
        <v>137365893</v>
      </c>
      <c r="X70" s="1392">
        <v>9467850</v>
      </c>
      <c r="Y70" s="1392">
        <v>661500</v>
      </c>
      <c r="Z70" s="1392">
        <v>0</v>
      </c>
      <c r="AA70" s="1392">
        <v>0</v>
      </c>
      <c r="AB70" s="1392">
        <v>0</v>
      </c>
      <c r="AC70" s="1392">
        <v>127236543</v>
      </c>
      <c r="AD70" s="1395">
        <v>383.4</v>
      </c>
      <c r="AE70" s="1395">
        <v>0</v>
      </c>
      <c r="AF70" s="1395">
        <v>0</v>
      </c>
      <c r="AG70" s="1395">
        <v>0</v>
      </c>
      <c r="AH70" s="1395">
        <v>600</v>
      </c>
      <c r="AI70" s="1395">
        <v>0</v>
      </c>
      <c r="AJ70" s="1395">
        <v>0</v>
      </c>
      <c r="AK70" s="1395">
        <v>0</v>
      </c>
      <c r="AL70" s="1395">
        <v>0</v>
      </c>
      <c r="AM70" s="1376">
        <v>16</v>
      </c>
      <c r="AN70" s="1374">
        <v>147942658</v>
      </c>
      <c r="AO70" s="1374">
        <v>9517410</v>
      </c>
      <c r="AP70" s="1374">
        <v>661500</v>
      </c>
      <c r="AQ70" s="1374">
        <v>10552</v>
      </c>
      <c r="AR70" s="1374">
        <v>325000</v>
      </c>
      <c r="AS70" s="1374">
        <v>0</v>
      </c>
      <c r="AT70" s="1374">
        <v>137428196</v>
      </c>
      <c r="AU70" s="1377">
        <v>318.5</v>
      </c>
      <c r="AV70" s="1377">
        <v>30</v>
      </c>
      <c r="AW70" s="1377">
        <v>0</v>
      </c>
      <c r="AX70" s="1377">
        <v>0</v>
      </c>
      <c r="AY70" s="1377">
        <v>724</v>
      </c>
      <c r="AZ70" s="1377">
        <v>0</v>
      </c>
      <c r="BA70" s="1377">
        <v>0</v>
      </c>
      <c r="BB70" s="1377">
        <v>0</v>
      </c>
      <c r="BC70" s="1377">
        <v>0</v>
      </c>
      <c r="BD70" s="468">
        <v>16</v>
      </c>
      <c r="BE70" s="460">
        <v>217882296</v>
      </c>
      <c r="BF70" s="460">
        <v>9491055</v>
      </c>
      <c r="BG70" s="460">
        <v>705600</v>
      </c>
      <c r="BH70" s="460">
        <v>1791779</v>
      </c>
      <c r="BI70" s="460">
        <v>0</v>
      </c>
      <c r="BJ70" s="460">
        <v>0</v>
      </c>
      <c r="BK70" s="460">
        <v>205893862</v>
      </c>
      <c r="BL70" s="1299">
        <v>291.50000000000006</v>
      </c>
      <c r="BM70" s="1299">
        <v>106</v>
      </c>
      <c r="BN70" s="1299">
        <v>0</v>
      </c>
      <c r="BO70" s="1299">
        <v>0</v>
      </c>
      <c r="BP70" s="1299">
        <v>692</v>
      </c>
      <c r="BQ70" s="1299">
        <v>8</v>
      </c>
      <c r="BR70" s="1299">
        <v>0</v>
      </c>
      <c r="BS70" s="1299">
        <v>0</v>
      </c>
      <c r="BT70" s="1299">
        <v>0</v>
      </c>
    </row>
    <row r="71" spans="1:72" s="22" customFormat="1" ht="25.5" customHeight="1">
      <c r="A71" s="464">
        <f>SUBTOTAL(3,B$4:B71)</f>
        <v>68</v>
      </c>
      <c r="B71" s="465" t="s">
        <v>217</v>
      </c>
      <c r="C71" s="466" t="s">
        <v>576</v>
      </c>
      <c r="D71" s="467" t="s">
        <v>608</v>
      </c>
      <c r="E71" s="468">
        <f>COUNTIFS('Salary sheet'!$F$6:$F$2288,C71,'Salary sheet'!$E$6:$E$2288,B71)</f>
        <v>16</v>
      </c>
      <c r="F71" s="460">
        <f>+SUMIFS('Salary sheet'!$AN$6:$AN$1292,'Salary sheet'!$F$6:$F$1292,'So sánh giờ'!C71,'Salary sheet'!$E$6:$E$1292,'So sánh giờ'!B71)</f>
        <v>147098508</v>
      </c>
      <c r="G71" s="460">
        <f>+SUMIFS('Salary sheet'!$AO$6:$AO$2288,'Salary sheet'!$F$6:$F$2288,C71,'Salary sheet'!$E$6:$E$2288,B71)</f>
        <v>10487610</v>
      </c>
      <c r="H71" s="460">
        <f>+SUMIFS('Salary sheet'!$AP$6:$AP$2288,'Salary sheet'!$F$6:$F$2288,C71,'Salary sheet'!$E$6:$E$2288,B71)</f>
        <v>705600</v>
      </c>
      <c r="I71" s="460">
        <f>+SUMIFS('Salary sheet'!$AQ$6:$AQ$2288,'Salary sheet'!$F$6:$F$2288,C71,'Salary sheet'!$E$6:$E$2288,B71)</f>
        <v>0</v>
      </c>
      <c r="J71" s="460">
        <f>+SUMIFS('Salary sheet'!$AR$6:$AR$2288,'Salary sheet'!$F$6:$F$2288,C71,'Salary sheet'!$E$6:$E$2288,B71)</f>
        <v>0</v>
      </c>
      <c r="K71" s="460">
        <f>SUMIFS('Salary sheet'!$AS$6:$AS$1291,'Salary sheet'!$F$6:$F$1291,'So sánh giờ'!C71)</f>
        <v>0</v>
      </c>
      <c r="L71" s="460">
        <f t="shared" si="0"/>
        <v>135905298</v>
      </c>
      <c r="M71" s="1299">
        <f>SUMIFS('Salary sheet'!$M$6:$M$13045,'Salary sheet'!$F$6:$F$13045,'So sánh giờ'!$C71)</f>
        <v>365.2</v>
      </c>
      <c r="N71" s="1299">
        <f>SUMIFS('Salary sheet'!$O$6:$O$13045,'Salary sheet'!$F$6:$F$13045,'So sánh giờ'!$C71)</f>
        <v>39</v>
      </c>
      <c r="O71" s="1299">
        <f>SUMIFS('Salary sheet'!$AA$6:$AA$13045,'Salary sheet'!$F$6:$F$13045,'So sánh giờ'!$C71)</f>
        <v>0</v>
      </c>
      <c r="P71" s="1299">
        <f>SUMIFS('Salary sheet'!$Q$6:$Q$13045,'Salary sheet'!$F$6:$F$13045,'So sánh giờ'!$C71)</f>
        <v>0</v>
      </c>
      <c r="Q71" s="1299">
        <f>SUMIFS('Salary sheet'!$AH$6:$AH$13045,'Salary sheet'!$F$6:$F$13045,'So sánh giờ'!$C71)</f>
        <v>588</v>
      </c>
      <c r="R71" s="1299">
        <f>SUMIFS('Salary sheet'!$AI$6:$AI$13045,'Salary sheet'!$F$6:$F$13045,'So sánh giờ'!$C71)</f>
        <v>0</v>
      </c>
      <c r="S71" s="1299">
        <f>SUMIFS('Salary sheet'!$AJ$6:$AJ$13045,'Salary sheet'!$F$6:$F$13045,'So sánh giờ'!$C71)</f>
        <v>0</v>
      </c>
      <c r="T71" s="1299">
        <f>SUMIFS('Salary sheet'!$AK$6:$AK$13045,'Salary sheet'!$F$6:$F$13045,'So sánh giờ'!$C71)</f>
        <v>0</v>
      </c>
      <c r="U71" s="1299">
        <f>SUMIFS('Salary sheet'!$AL$6:$AL$13045,'Salary sheet'!$F$6:$F$13045,'So sánh giờ'!$C71)</f>
        <v>0</v>
      </c>
      <c r="V71" s="1394">
        <v>16</v>
      </c>
      <c r="W71" s="1392">
        <v>156483809</v>
      </c>
      <c r="X71" s="1392">
        <v>10395315</v>
      </c>
      <c r="Y71" s="1392">
        <v>705600</v>
      </c>
      <c r="Z71" s="1392">
        <v>0</v>
      </c>
      <c r="AA71" s="1392">
        <v>0</v>
      </c>
      <c r="AB71" s="1392">
        <v>0</v>
      </c>
      <c r="AC71" s="1392">
        <v>145382894</v>
      </c>
      <c r="AD71" s="1395">
        <v>403.99999999999994</v>
      </c>
      <c r="AE71" s="1395">
        <v>0</v>
      </c>
      <c r="AF71" s="1395">
        <v>0</v>
      </c>
      <c r="AG71" s="1395">
        <v>0</v>
      </c>
      <c r="AH71" s="1395">
        <v>688</v>
      </c>
      <c r="AI71" s="1395">
        <v>0</v>
      </c>
      <c r="AJ71" s="1395">
        <v>0</v>
      </c>
      <c r="AK71" s="1395">
        <v>0</v>
      </c>
      <c r="AL71" s="1395">
        <v>0</v>
      </c>
      <c r="AM71" s="1376">
        <v>17</v>
      </c>
      <c r="AN71" s="1374">
        <v>166952614</v>
      </c>
      <c r="AO71" s="1374">
        <v>11112570</v>
      </c>
      <c r="AP71" s="1374">
        <v>749700</v>
      </c>
      <c r="AQ71" s="1374">
        <v>0</v>
      </c>
      <c r="AR71" s="1374">
        <v>552500</v>
      </c>
      <c r="AS71" s="1374">
        <v>0</v>
      </c>
      <c r="AT71" s="1374">
        <v>154537844</v>
      </c>
      <c r="AU71" s="1377">
        <v>357.6</v>
      </c>
      <c r="AV71" s="1377">
        <v>34</v>
      </c>
      <c r="AW71" s="1377">
        <v>0</v>
      </c>
      <c r="AX71" s="1377">
        <v>0</v>
      </c>
      <c r="AY71" s="1377">
        <v>752</v>
      </c>
      <c r="AZ71" s="1377">
        <v>0</v>
      </c>
      <c r="BA71" s="1377">
        <v>0</v>
      </c>
      <c r="BB71" s="1377">
        <v>0</v>
      </c>
      <c r="BC71" s="1377">
        <v>0</v>
      </c>
      <c r="BD71" s="468">
        <v>18</v>
      </c>
      <c r="BE71" s="460">
        <v>254056528</v>
      </c>
      <c r="BF71" s="460">
        <v>11660985</v>
      </c>
      <c r="BG71" s="460">
        <v>793800</v>
      </c>
      <c r="BH71" s="460">
        <v>2105519</v>
      </c>
      <c r="BI71" s="460">
        <v>0</v>
      </c>
      <c r="BJ71" s="460">
        <v>0</v>
      </c>
      <c r="BK71" s="460">
        <v>239496224</v>
      </c>
      <c r="BL71" s="1299">
        <v>338.6</v>
      </c>
      <c r="BM71" s="1299">
        <v>126</v>
      </c>
      <c r="BN71" s="1299">
        <v>0</v>
      </c>
      <c r="BO71" s="1299">
        <v>0</v>
      </c>
      <c r="BP71" s="1299">
        <v>714</v>
      </c>
      <c r="BQ71" s="1299">
        <v>8</v>
      </c>
      <c r="BR71" s="1299">
        <v>0</v>
      </c>
      <c r="BS71" s="1299">
        <v>0</v>
      </c>
      <c r="BT71" s="1299">
        <v>0</v>
      </c>
    </row>
    <row r="72" spans="1:72" s="22" customFormat="1" ht="25.5" customHeight="1">
      <c r="A72" s="464">
        <f>SUBTOTAL(3,B$4:B72)</f>
        <v>69</v>
      </c>
      <c r="B72" s="465" t="s">
        <v>217</v>
      </c>
      <c r="C72" s="466" t="s">
        <v>657</v>
      </c>
      <c r="D72" s="467" t="s">
        <v>596</v>
      </c>
      <c r="E72" s="468">
        <f>COUNTIFS('Salary sheet'!$F$6:$F$2288,C72,'Salary sheet'!$E$6:$E$2288,B72)</f>
        <v>8</v>
      </c>
      <c r="F72" s="460">
        <f>+SUMIFS('Salary sheet'!$AN$6:$AN$1292,'Salary sheet'!$F$6:$F$1292,'So sánh giờ'!C72,'Salary sheet'!$E$6:$E$1292,'So sánh giờ'!B72)</f>
        <v>73852071</v>
      </c>
      <c r="G72" s="460">
        <f>+SUMIFS('Salary sheet'!$AO$6:$AO$2288,'Salary sheet'!$F$6:$F$2288,C72,'Salary sheet'!$E$6:$E$2288,B72)</f>
        <v>4902030</v>
      </c>
      <c r="H72" s="460">
        <f>+SUMIFS('Salary sheet'!$AP$6:$AP$2288,'Salary sheet'!$F$6:$F$2288,C72,'Salary sheet'!$E$6:$E$2288,B72)</f>
        <v>352800</v>
      </c>
      <c r="I72" s="460">
        <f>+SUMIFS('Salary sheet'!$AQ$6:$AQ$2288,'Salary sheet'!$F$6:$F$2288,C72,'Salary sheet'!$E$6:$E$2288,B72)</f>
        <v>0</v>
      </c>
      <c r="J72" s="460">
        <f>+SUMIFS('Salary sheet'!$AR$6:$AR$2288,'Salary sheet'!$F$6:$F$2288,C72,'Salary sheet'!$E$6:$E$2288,B72)</f>
        <v>0</v>
      </c>
      <c r="K72" s="460">
        <f>SUMIFS('Salary sheet'!$AS$6:$AS$1291,'Salary sheet'!$F$6:$F$1291,'So sánh giờ'!C72)</f>
        <v>0</v>
      </c>
      <c r="L72" s="460">
        <f>+(F72)-SUM(G72:K72)</f>
        <v>68597241</v>
      </c>
      <c r="M72" s="1299">
        <f>SUMIFS('Salary sheet'!$M$6:$M$13045,'Salary sheet'!$F$6:$F$13045,'So sánh giờ'!$C72)</f>
        <v>191.5</v>
      </c>
      <c r="N72" s="1299">
        <f>SUMIFS('Salary sheet'!$O$6:$O$13045,'Salary sheet'!$F$6:$F$13045,'So sánh giờ'!$C72)</f>
        <v>16</v>
      </c>
      <c r="O72" s="1299">
        <f>SUMIFS('Salary sheet'!$AA$6:$AA$13045,'Salary sheet'!$F$6:$F$13045,'So sánh giờ'!$C72)</f>
        <v>0</v>
      </c>
      <c r="P72" s="1299">
        <f>SUMIFS('Salary sheet'!$Q$6:$Q$13045,'Salary sheet'!$F$6:$F$13045,'So sánh giờ'!$C72)</f>
        <v>0</v>
      </c>
      <c r="Q72" s="1299">
        <f>SUMIFS('Salary sheet'!$AH$6:$AH$13045,'Salary sheet'!$F$6:$F$13045,'So sánh giờ'!$C72)</f>
        <v>326</v>
      </c>
      <c r="R72" s="1299">
        <f>SUMIFS('Salary sheet'!$AI$6:$AI$13045,'Salary sheet'!$F$6:$F$13045,'So sánh giờ'!$C72)</f>
        <v>0</v>
      </c>
      <c r="S72" s="1299">
        <f>SUMIFS('Salary sheet'!$AJ$6:$AJ$13045,'Salary sheet'!$F$6:$F$13045,'So sánh giờ'!$C72)</f>
        <v>0</v>
      </c>
      <c r="T72" s="1299">
        <f>SUMIFS('Salary sheet'!$AK$6:$AK$13045,'Salary sheet'!$F$6:$F$13045,'So sánh giờ'!$C72)</f>
        <v>0</v>
      </c>
      <c r="U72" s="1299">
        <f>SUMIFS('Salary sheet'!$AL$6:$AL$13045,'Salary sheet'!$F$6:$F$13045,'So sánh giờ'!$C72)</f>
        <v>0</v>
      </c>
      <c r="V72" s="1394">
        <v>8</v>
      </c>
      <c r="W72" s="1392">
        <v>79173513</v>
      </c>
      <c r="X72" s="1392">
        <v>4880666</v>
      </c>
      <c r="Y72" s="1392">
        <v>264600</v>
      </c>
      <c r="Z72" s="1392">
        <v>0</v>
      </c>
      <c r="AA72" s="1392">
        <v>0</v>
      </c>
      <c r="AB72" s="1392">
        <v>432355</v>
      </c>
      <c r="AC72" s="1392">
        <v>73595892</v>
      </c>
      <c r="AD72" s="1395">
        <v>205.10000000000002</v>
      </c>
      <c r="AE72" s="1395">
        <v>1</v>
      </c>
      <c r="AF72" s="1395">
        <v>0</v>
      </c>
      <c r="AG72" s="1395">
        <v>0</v>
      </c>
      <c r="AH72" s="1395">
        <v>437.5</v>
      </c>
      <c r="AI72" s="1395">
        <v>0</v>
      </c>
      <c r="AJ72" s="1395">
        <v>0</v>
      </c>
      <c r="AK72" s="1395">
        <v>0</v>
      </c>
      <c r="AL72" s="1395">
        <v>0</v>
      </c>
      <c r="AM72" s="1376">
        <v>7</v>
      </c>
      <c r="AN72" s="1374">
        <v>62505756</v>
      </c>
      <c r="AO72" s="1374">
        <v>3151260</v>
      </c>
      <c r="AP72" s="1374">
        <v>220500</v>
      </c>
      <c r="AQ72" s="1374">
        <v>0</v>
      </c>
      <c r="AR72" s="1374">
        <v>302500</v>
      </c>
      <c r="AS72" s="1374">
        <v>0</v>
      </c>
      <c r="AT72" s="1374">
        <v>58831496</v>
      </c>
      <c r="AU72" s="1377">
        <v>140.80000000000001</v>
      </c>
      <c r="AV72" s="1377">
        <v>10</v>
      </c>
      <c r="AW72" s="1377">
        <v>0</v>
      </c>
      <c r="AX72" s="1377">
        <v>0</v>
      </c>
      <c r="AY72" s="1377">
        <v>376</v>
      </c>
      <c r="AZ72" s="1377">
        <v>0</v>
      </c>
      <c r="BA72" s="1377">
        <v>0</v>
      </c>
      <c r="BB72" s="1377">
        <v>0</v>
      </c>
      <c r="BC72" s="1377">
        <v>0</v>
      </c>
      <c r="BD72" s="468">
        <v>5</v>
      </c>
      <c r="BE72" s="460">
        <v>73806218</v>
      </c>
      <c r="BF72" s="460">
        <v>3139080</v>
      </c>
      <c r="BG72" s="460">
        <v>220500</v>
      </c>
      <c r="BH72" s="460">
        <v>555911</v>
      </c>
      <c r="BI72" s="460">
        <v>0</v>
      </c>
      <c r="BJ72" s="460">
        <v>0</v>
      </c>
      <c r="BK72" s="460">
        <v>69890727</v>
      </c>
      <c r="BL72" s="1299">
        <v>91.300000000000011</v>
      </c>
      <c r="BM72" s="1299">
        <v>35</v>
      </c>
      <c r="BN72" s="1299">
        <v>0</v>
      </c>
      <c r="BO72" s="1299">
        <v>0</v>
      </c>
      <c r="BP72" s="1299">
        <v>270.5</v>
      </c>
      <c r="BQ72" s="1299">
        <v>24</v>
      </c>
      <c r="BR72" s="1299">
        <v>0</v>
      </c>
      <c r="BS72" s="1299">
        <v>0</v>
      </c>
      <c r="BT72" s="1299">
        <v>0</v>
      </c>
    </row>
    <row r="73" spans="1:72" s="22" customFormat="1" ht="26.25" customHeight="1">
      <c r="A73" s="464">
        <f>SUBTOTAL(3,B$4:B73)</f>
        <v>70</v>
      </c>
      <c r="B73" s="465" t="s">
        <v>217</v>
      </c>
      <c r="C73" s="466" t="s">
        <v>577</v>
      </c>
      <c r="D73" s="467" t="s">
        <v>609</v>
      </c>
      <c r="E73" s="468">
        <f>COUNTIFS('Salary sheet'!$F$6:$F$2288,C73,'Salary sheet'!$E$6:$E$2288,B73)</f>
        <v>12</v>
      </c>
      <c r="F73" s="460">
        <f>+SUMIFS('Salary sheet'!$AN$6:$AN$1292,'Salary sheet'!$F$6:$F$1292,'So sánh giờ'!C73,'Salary sheet'!$E$6:$E$1292,'So sánh giờ'!B73)</f>
        <v>93372676</v>
      </c>
      <c r="G73" s="460">
        <f>+SUMIFS('Salary sheet'!$AO$6:$AO$2288,'Salary sheet'!$F$6:$F$2288,C73,'Salary sheet'!$E$6:$E$2288,B73)</f>
        <v>7702275</v>
      </c>
      <c r="H73" s="460">
        <f>+SUMIFS('Salary sheet'!$AP$6:$AP$2288,'Salary sheet'!$F$6:$F$2288,C73,'Salary sheet'!$E$6:$E$2288,B73)</f>
        <v>529200</v>
      </c>
      <c r="I73" s="460">
        <f>+SUMIFS('Salary sheet'!$AQ$6:$AQ$2288,'Salary sheet'!$F$6:$F$2288,C73,'Salary sheet'!$E$6:$E$2288,B73)</f>
        <v>0</v>
      </c>
      <c r="J73" s="460">
        <f>+SUMIFS('Salary sheet'!$AR$6:$AR$2288,'Salary sheet'!$F$6:$F$2288,C73,'Salary sheet'!$E$6:$E$2288,B73)</f>
        <v>0</v>
      </c>
      <c r="K73" s="460">
        <f>SUMIFS('Salary sheet'!$AS$6:$AS$1291,'Salary sheet'!$F$6:$F$1291,'So sánh giờ'!C73)</f>
        <v>0</v>
      </c>
      <c r="L73" s="460">
        <f t="shared" si="0"/>
        <v>85141201</v>
      </c>
      <c r="M73" s="1299">
        <f>SUMIFS('Salary sheet'!$M$6:$M$13045,'Salary sheet'!$F$6:$F$13045,'So sánh giờ'!$C73)</f>
        <v>251.30000000000007</v>
      </c>
      <c r="N73" s="1299">
        <f>SUMIFS('Salary sheet'!$O$6:$O$13045,'Salary sheet'!$F$6:$F$13045,'So sánh giờ'!$C73)</f>
        <v>34</v>
      </c>
      <c r="O73" s="1299">
        <f>SUMIFS('Salary sheet'!$AA$6:$AA$13045,'Salary sheet'!$F$6:$F$13045,'So sánh giờ'!$C73)</f>
        <v>0</v>
      </c>
      <c r="P73" s="1299">
        <f>SUMIFS('Salary sheet'!$Q$6:$Q$13045,'Salary sheet'!$F$6:$F$13045,'So sánh giờ'!$C73)</f>
        <v>0</v>
      </c>
      <c r="Q73" s="1299">
        <f>SUMIFS('Salary sheet'!$AH$6:$AH$13045,'Salary sheet'!$F$6:$F$13045,'So sánh giờ'!$C73)</f>
        <v>306</v>
      </c>
      <c r="R73" s="1299">
        <f>SUMIFS('Salary sheet'!$AI$6:$AI$13045,'Salary sheet'!$F$6:$F$13045,'So sánh giờ'!$C73)</f>
        <v>0</v>
      </c>
      <c r="S73" s="1299">
        <f>SUMIFS('Salary sheet'!$AJ$6:$AJ$13045,'Salary sheet'!$F$6:$F$13045,'So sánh giờ'!$C73)</f>
        <v>0</v>
      </c>
      <c r="T73" s="1299">
        <f>SUMIFS('Salary sheet'!$AK$6:$AK$13045,'Salary sheet'!$F$6:$F$13045,'So sánh giờ'!$C73)</f>
        <v>0</v>
      </c>
      <c r="U73" s="1299">
        <f>SUMIFS('Salary sheet'!$AL$6:$AL$13045,'Salary sheet'!$F$6:$F$13045,'So sánh giờ'!$C73)</f>
        <v>0</v>
      </c>
      <c r="V73" s="1394">
        <v>12</v>
      </c>
      <c r="W73" s="1392">
        <v>104101256</v>
      </c>
      <c r="X73" s="1392">
        <v>7622692</v>
      </c>
      <c r="Y73" s="1392">
        <v>529200</v>
      </c>
      <c r="Z73" s="1392">
        <v>0</v>
      </c>
      <c r="AA73" s="1392">
        <v>0</v>
      </c>
      <c r="AB73" s="1392">
        <v>513742</v>
      </c>
      <c r="AC73" s="1392">
        <v>95435622</v>
      </c>
      <c r="AD73" s="1395">
        <v>299.09999999999997</v>
      </c>
      <c r="AE73" s="1395">
        <v>1</v>
      </c>
      <c r="AF73" s="1395">
        <v>0</v>
      </c>
      <c r="AG73" s="1395">
        <v>0</v>
      </c>
      <c r="AH73" s="1395">
        <v>404.5</v>
      </c>
      <c r="AI73" s="1395">
        <v>0</v>
      </c>
      <c r="AJ73" s="1395">
        <v>0</v>
      </c>
      <c r="AK73" s="1395">
        <v>0</v>
      </c>
      <c r="AL73" s="1395">
        <v>0</v>
      </c>
      <c r="AM73" s="1376">
        <v>12</v>
      </c>
      <c r="AN73" s="1374">
        <v>99584818</v>
      </c>
      <c r="AO73" s="1374">
        <v>6547590</v>
      </c>
      <c r="AP73" s="1374">
        <v>441000</v>
      </c>
      <c r="AQ73" s="1374">
        <v>0</v>
      </c>
      <c r="AR73" s="1374">
        <v>305000</v>
      </c>
      <c r="AS73" s="1374">
        <v>0</v>
      </c>
      <c r="AT73" s="1374">
        <v>92291228</v>
      </c>
      <c r="AU73" s="1377">
        <v>235.79999999999998</v>
      </c>
      <c r="AV73" s="1377">
        <v>20</v>
      </c>
      <c r="AW73" s="1377">
        <v>0</v>
      </c>
      <c r="AX73" s="1377">
        <v>0</v>
      </c>
      <c r="AY73" s="1377">
        <v>405</v>
      </c>
      <c r="AZ73" s="1377">
        <v>0</v>
      </c>
      <c r="BA73" s="1377">
        <v>0</v>
      </c>
      <c r="BB73" s="1377">
        <v>0</v>
      </c>
      <c r="BC73" s="1377">
        <v>0</v>
      </c>
      <c r="BD73" s="468">
        <v>11</v>
      </c>
      <c r="BE73" s="460">
        <v>141992453</v>
      </c>
      <c r="BF73" s="460">
        <v>7066920</v>
      </c>
      <c r="BG73" s="460">
        <v>485100</v>
      </c>
      <c r="BH73" s="460">
        <v>898808</v>
      </c>
      <c r="BI73" s="460">
        <v>0</v>
      </c>
      <c r="BJ73" s="460">
        <v>0</v>
      </c>
      <c r="BK73" s="460">
        <v>133541625</v>
      </c>
      <c r="BL73" s="1299">
        <v>208.80000000000004</v>
      </c>
      <c r="BM73" s="1299">
        <v>75</v>
      </c>
      <c r="BN73" s="1299">
        <v>0</v>
      </c>
      <c r="BO73" s="1299">
        <v>0</v>
      </c>
      <c r="BP73" s="1299">
        <v>387</v>
      </c>
      <c r="BQ73" s="1299">
        <v>0</v>
      </c>
      <c r="BR73" s="1299">
        <v>0</v>
      </c>
      <c r="BS73" s="1299">
        <v>0</v>
      </c>
      <c r="BT73" s="1299">
        <v>0</v>
      </c>
    </row>
    <row r="74" spans="1:72" s="22" customFormat="1" ht="26.25" customHeight="1">
      <c r="A74" s="464">
        <f>SUBTOTAL(3,B$4:B74)</f>
        <v>71</v>
      </c>
      <c r="B74" s="465" t="s">
        <v>217</v>
      </c>
      <c r="C74" s="466" t="s">
        <v>578</v>
      </c>
      <c r="D74" s="467" t="s">
        <v>610</v>
      </c>
      <c r="E74" s="468">
        <f>COUNTIFS('Salary sheet'!$F$6:$F$2288,C74,'Salary sheet'!$E$6:$E$2288,B74)</f>
        <v>11</v>
      </c>
      <c r="F74" s="460">
        <f>+SUMIFS('Salary sheet'!$AN$6:$AN$1292,'Salary sheet'!$F$6:$F$1292,'So sánh giờ'!C74,'Salary sheet'!$E$6:$E$1292,'So sánh giờ'!B74)</f>
        <v>82900630</v>
      </c>
      <c r="G74" s="460">
        <f>+SUMIFS('Salary sheet'!$AO$6:$AO$2288,'Salary sheet'!$F$6:$F$2288,C74,'Salary sheet'!$E$6:$E$2288,B74)</f>
        <v>6714330</v>
      </c>
      <c r="H74" s="460">
        <f>+SUMIFS('Salary sheet'!$AP$6:$AP$2288,'Salary sheet'!$F$6:$F$2288,C74,'Salary sheet'!$E$6:$E$2288,B74)</f>
        <v>485100</v>
      </c>
      <c r="I74" s="460">
        <f>+SUMIFS('Salary sheet'!$AQ$6:$AQ$2288,'Salary sheet'!$F$6:$F$2288,C74,'Salary sheet'!$E$6:$E$2288,B74)</f>
        <v>0</v>
      </c>
      <c r="J74" s="460">
        <f>+SUMIFS('Salary sheet'!$AR$6:$AR$2288,'Salary sheet'!$F$6:$F$2288,C74,'Salary sheet'!$E$6:$E$2288,B74)</f>
        <v>0</v>
      </c>
      <c r="K74" s="460">
        <f>SUMIFS('Salary sheet'!$AS$6:$AS$1291,'Salary sheet'!$F$6:$F$1291,'So sánh giờ'!C74)</f>
        <v>0</v>
      </c>
      <c r="L74" s="460">
        <f t="shared" si="0"/>
        <v>75701200</v>
      </c>
      <c r="M74" s="1299">
        <f>SUMIFS('Salary sheet'!$M$6:$M$13045,'Salary sheet'!$F$6:$F$13045,'So sánh giờ'!$C74)</f>
        <v>229.20000000000002</v>
      </c>
      <c r="N74" s="1299">
        <f>SUMIFS('Salary sheet'!$O$6:$O$13045,'Salary sheet'!$F$6:$F$13045,'So sánh giờ'!$C74)</f>
        <v>27</v>
      </c>
      <c r="O74" s="1299">
        <f>SUMIFS('Salary sheet'!$AA$6:$AA$13045,'Salary sheet'!$F$6:$F$13045,'So sánh giờ'!$C74)</f>
        <v>0</v>
      </c>
      <c r="P74" s="1299">
        <f>SUMIFS('Salary sheet'!$Q$6:$Q$13045,'Salary sheet'!$F$6:$F$13045,'So sánh giờ'!$C74)</f>
        <v>0</v>
      </c>
      <c r="Q74" s="1299">
        <f>SUMIFS('Salary sheet'!$AH$6:$AH$13045,'Salary sheet'!$F$6:$F$13045,'So sánh giờ'!$C74)</f>
        <v>334</v>
      </c>
      <c r="R74" s="1299">
        <f>SUMIFS('Salary sheet'!$AI$6:$AI$13045,'Salary sheet'!$F$6:$F$13045,'So sánh giờ'!$C74)</f>
        <v>0</v>
      </c>
      <c r="S74" s="1299">
        <f>SUMIFS('Salary sheet'!$AJ$6:$AJ$13045,'Salary sheet'!$F$6:$F$13045,'So sánh giờ'!$C74)</f>
        <v>0</v>
      </c>
      <c r="T74" s="1299">
        <f>SUMIFS('Salary sheet'!$AK$6:$AK$13045,'Salary sheet'!$F$6:$F$13045,'So sánh giờ'!$C74)</f>
        <v>0</v>
      </c>
      <c r="U74" s="1299">
        <f>SUMIFS('Salary sheet'!$AL$6:$AL$13045,'Salary sheet'!$F$6:$F$13045,'So sánh giờ'!$C74)</f>
        <v>0</v>
      </c>
      <c r="V74" s="1394">
        <v>11</v>
      </c>
      <c r="W74" s="1392">
        <v>85742077</v>
      </c>
      <c r="X74" s="1392">
        <v>5542425</v>
      </c>
      <c r="Y74" s="1392">
        <v>485100</v>
      </c>
      <c r="Z74" s="1392">
        <v>0</v>
      </c>
      <c r="AA74" s="1392">
        <v>0</v>
      </c>
      <c r="AB74" s="1392">
        <v>0</v>
      </c>
      <c r="AC74" s="1392">
        <v>79714552</v>
      </c>
      <c r="AD74" s="1395">
        <v>256.7</v>
      </c>
      <c r="AE74" s="1395">
        <v>1</v>
      </c>
      <c r="AF74" s="1395">
        <v>0</v>
      </c>
      <c r="AG74" s="1395">
        <v>0</v>
      </c>
      <c r="AH74" s="1395">
        <v>411.5</v>
      </c>
      <c r="AI74" s="1395">
        <v>0</v>
      </c>
      <c r="AJ74" s="1395">
        <v>0</v>
      </c>
      <c r="AK74" s="1395">
        <v>0</v>
      </c>
      <c r="AL74" s="1395">
        <v>0</v>
      </c>
      <c r="AM74" s="1376">
        <v>12</v>
      </c>
      <c r="AN74" s="1374">
        <v>89818346</v>
      </c>
      <c r="AO74" s="1374">
        <v>5986680</v>
      </c>
      <c r="AP74" s="1374">
        <v>441000</v>
      </c>
      <c r="AQ74" s="1374">
        <v>0</v>
      </c>
      <c r="AR74" s="1374">
        <v>65000</v>
      </c>
      <c r="AS74" s="1374">
        <v>0</v>
      </c>
      <c r="AT74" s="1374">
        <v>83325666</v>
      </c>
      <c r="AU74" s="1377">
        <v>213</v>
      </c>
      <c r="AV74" s="1377">
        <v>20</v>
      </c>
      <c r="AW74" s="1377">
        <v>0</v>
      </c>
      <c r="AX74" s="1377">
        <v>0</v>
      </c>
      <c r="AY74" s="1377">
        <v>544</v>
      </c>
      <c r="AZ74" s="1377">
        <v>0</v>
      </c>
      <c r="BA74" s="1377">
        <v>0</v>
      </c>
      <c r="BB74" s="1377">
        <v>0</v>
      </c>
      <c r="BC74" s="1377">
        <v>0</v>
      </c>
      <c r="BD74" s="468">
        <v>12</v>
      </c>
      <c r="BE74" s="460">
        <v>141926594</v>
      </c>
      <c r="BF74" s="460">
        <v>7109865</v>
      </c>
      <c r="BG74" s="460">
        <v>529200</v>
      </c>
      <c r="BH74" s="460">
        <v>241077</v>
      </c>
      <c r="BI74" s="460">
        <v>0</v>
      </c>
      <c r="BJ74" s="460">
        <v>0</v>
      </c>
      <c r="BK74" s="460">
        <v>134046452</v>
      </c>
      <c r="BL74" s="1299">
        <v>214.20000000000002</v>
      </c>
      <c r="BM74" s="1299">
        <v>84</v>
      </c>
      <c r="BN74" s="1299">
        <v>0</v>
      </c>
      <c r="BO74" s="1299">
        <v>0</v>
      </c>
      <c r="BP74" s="1299">
        <v>496</v>
      </c>
      <c r="BQ74" s="1299">
        <v>0</v>
      </c>
      <c r="BR74" s="1299">
        <v>0</v>
      </c>
      <c r="BS74" s="1299">
        <v>0</v>
      </c>
      <c r="BT74" s="1299">
        <v>0</v>
      </c>
    </row>
    <row r="75" spans="1:72" s="22" customFormat="1" ht="26.25" customHeight="1">
      <c r="A75" s="464">
        <f>SUBTOTAL(3,B$4:B75)</f>
        <v>72</v>
      </c>
      <c r="B75" s="465" t="s">
        <v>217</v>
      </c>
      <c r="C75" s="466" t="s">
        <v>579</v>
      </c>
      <c r="D75" s="467" t="s">
        <v>611</v>
      </c>
      <c r="E75" s="468">
        <f>COUNTIFS('Salary sheet'!$F$6:$F$2288,C75,'Salary sheet'!$E$6:$E$2288,B75)</f>
        <v>9</v>
      </c>
      <c r="F75" s="460">
        <f>+SUMIFS('Salary sheet'!$AN$6:$AN$1292,'Salary sheet'!$F$6:$F$1292,'So sánh giờ'!C75,'Salary sheet'!$E$6:$E$1292,'So sánh giờ'!B75)</f>
        <v>87455664</v>
      </c>
      <c r="G75" s="460">
        <f>+SUMIFS('Salary sheet'!$AO$6:$AO$2288,'Salary sheet'!$F$6:$F$2288,C75,'Salary sheet'!$E$6:$E$2288,B75)</f>
        <v>5940795</v>
      </c>
      <c r="H75" s="460">
        <f>+SUMIFS('Salary sheet'!$AP$6:$AP$2288,'Salary sheet'!$F$6:$F$2288,C75,'Salary sheet'!$E$6:$E$2288,B75)</f>
        <v>396900</v>
      </c>
      <c r="I75" s="460">
        <f>+SUMIFS('Salary sheet'!$AQ$6:$AQ$2288,'Salary sheet'!$F$6:$F$2288,C75,'Salary sheet'!$E$6:$E$2288,B75)</f>
        <v>0</v>
      </c>
      <c r="J75" s="460">
        <f>+SUMIFS('Salary sheet'!$AR$6:$AR$2288,'Salary sheet'!$F$6:$F$2288,C75,'Salary sheet'!$E$6:$E$2288,B75)</f>
        <v>0</v>
      </c>
      <c r="K75" s="460">
        <f>SUMIFS('Salary sheet'!$AS$6:$AS$1291,'Salary sheet'!$F$6:$F$1291,'So sánh giờ'!C75)</f>
        <v>0</v>
      </c>
      <c r="L75" s="460">
        <f t="shared" si="0"/>
        <v>81117969</v>
      </c>
      <c r="M75" s="1299">
        <f>SUMIFS('Salary sheet'!$M$6:$M$13045,'Salary sheet'!$F$6:$F$13045,'So sánh giờ'!$C75)</f>
        <v>208.50000000000003</v>
      </c>
      <c r="N75" s="1299">
        <f>SUMIFS('Salary sheet'!$O$6:$O$13045,'Salary sheet'!$F$6:$F$13045,'So sánh giờ'!$C75)</f>
        <v>20</v>
      </c>
      <c r="O75" s="1299">
        <f>SUMIFS('Salary sheet'!$AA$6:$AA$13045,'Salary sheet'!$F$6:$F$13045,'So sánh giờ'!$C75)</f>
        <v>0</v>
      </c>
      <c r="P75" s="1299">
        <f>SUMIFS('Salary sheet'!$Q$6:$Q$13045,'Salary sheet'!$F$6:$F$13045,'So sánh giờ'!$C75)</f>
        <v>0</v>
      </c>
      <c r="Q75" s="1299">
        <f>SUMIFS('Salary sheet'!$AH$6:$AH$13045,'Salary sheet'!$F$6:$F$13045,'So sánh giờ'!$C75)</f>
        <v>400</v>
      </c>
      <c r="R75" s="1299">
        <f>SUMIFS('Salary sheet'!$AI$6:$AI$13045,'Salary sheet'!$F$6:$F$13045,'So sánh giờ'!$C75)</f>
        <v>0</v>
      </c>
      <c r="S75" s="1299">
        <f>SUMIFS('Salary sheet'!$AJ$6:$AJ$13045,'Salary sheet'!$F$6:$F$13045,'So sánh giờ'!$C75)</f>
        <v>0</v>
      </c>
      <c r="T75" s="1299">
        <f>SUMIFS('Salary sheet'!$AK$6:$AK$13045,'Salary sheet'!$F$6:$F$13045,'So sánh giờ'!$C75)</f>
        <v>0</v>
      </c>
      <c r="U75" s="1299">
        <f>SUMIFS('Salary sheet'!$AL$6:$AL$13045,'Salary sheet'!$F$6:$F$13045,'So sánh giờ'!$C75)</f>
        <v>0</v>
      </c>
      <c r="V75" s="1394">
        <v>9</v>
      </c>
      <c r="W75" s="1392">
        <v>97444462</v>
      </c>
      <c r="X75" s="1392">
        <v>5940795</v>
      </c>
      <c r="Y75" s="1392">
        <v>396900</v>
      </c>
      <c r="Z75" s="1392">
        <v>0</v>
      </c>
      <c r="AA75" s="1392">
        <v>0</v>
      </c>
      <c r="AB75" s="1392">
        <v>0</v>
      </c>
      <c r="AC75" s="1392">
        <v>91106767</v>
      </c>
      <c r="AD75" s="1395">
        <v>230.3</v>
      </c>
      <c r="AE75" s="1395">
        <v>0</v>
      </c>
      <c r="AF75" s="1395">
        <v>0</v>
      </c>
      <c r="AG75" s="1395">
        <v>0</v>
      </c>
      <c r="AH75" s="1395">
        <v>552</v>
      </c>
      <c r="AI75" s="1395">
        <v>0</v>
      </c>
      <c r="AJ75" s="1395">
        <v>0</v>
      </c>
      <c r="AK75" s="1395">
        <v>0</v>
      </c>
      <c r="AL75" s="1395">
        <v>0</v>
      </c>
      <c r="AM75" s="1376">
        <v>9</v>
      </c>
      <c r="AN75" s="1374">
        <v>82972484</v>
      </c>
      <c r="AO75" s="1374">
        <v>5940795</v>
      </c>
      <c r="AP75" s="1374">
        <v>396900</v>
      </c>
      <c r="AQ75" s="1374">
        <v>0</v>
      </c>
      <c r="AR75" s="1374">
        <v>70000</v>
      </c>
      <c r="AS75" s="1374">
        <v>0</v>
      </c>
      <c r="AT75" s="1374">
        <v>76564789</v>
      </c>
      <c r="AU75" s="1377">
        <v>178.6</v>
      </c>
      <c r="AV75" s="1377">
        <v>18</v>
      </c>
      <c r="AW75" s="1377">
        <v>0</v>
      </c>
      <c r="AX75" s="1377">
        <v>0</v>
      </c>
      <c r="AY75" s="1377">
        <v>412</v>
      </c>
      <c r="AZ75" s="1377">
        <v>0</v>
      </c>
      <c r="BA75" s="1377">
        <v>0</v>
      </c>
      <c r="BB75" s="1377">
        <v>0</v>
      </c>
      <c r="BC75" s="1377">
        <v>0</v>
      </c>
      <c r="BD75" s="468">
        <v>9</v>
      </c>
      <c r="BE75" s="460">
        <v>140057673</v>
      </c>
      <c r="BF75" s="460">
        <v>5940795</v>
      </c>
      <c r="BG75" s="460">
        <v>396900</v>
      </c>
      <c r="BH75" s="460">
        <v>1455870</v>
      </c>
      <c r="BI75" s="460">
        <v>0</v>
      </c>
      <c r="BJ75" s="460">
        <v>0</v>
      </c>
      <c r="BK75" s="460">
        <v>132264108</v>
      </c>
      <c r="BL75" s="1299">
        <v>168.4</v>
      </c>
      <c r="BM75" s="1299">
        <v>63</v>
      </c>
      <c r="BN75" s="1299">
        <v>0</v>
      </c>
      <c r="BO75" s="1299">
        <v>0</v>
      </c>
      <c r="BP75" s="1299">
        <v>384</v>
      </c>
      <c r="BQ75" s="1299">
        <v>16</v>
      </c>
      <c r="BR75" s="1299">
        <v>0</v>
      </c>
      <c r="BS75" s="1299">
        <v>0</v>
      </c>
      <c r="BT75" s="1299">
        <v>0</v>
      </c>
    </row>
    <row r="76" spans="1:72" s="22" customFormat="1" ht="26.25" customHeight="1">
      <c r="A76" s="464">
        <f>SUBTOTAL(3,B$4:B76)</f>
        <v>73</v>
      </c>
      <c r="B76" s="465" t="s">
        <v>217</v>
      </c>
      <c r="C76" s="466" t="s">
        <v>580</v>
      </c>
      <c r="D76" s="467" t="s">
        <v>612</v>
      </c>
      <c r="E76" s="468">
        <f>COUNTIFS('Salary sheet'!$F$6:$F$2288,C76,'Salary sheet'!$E$6:$E$2288,B76)</f>
        <v>3</v>
      </c>
      <c r="F76" s="460">
        <f>+SUMIFS('Salary sheet'!$AN$6:$AN$1292,'Salary sheet'!$F$6:$F$1292,'So sánh giờ'!C76,'Salary sheet'!$E$6:$E$1292,'So sánh giờ'!B76)</f>
        <v>26609149</v>
      </c>
      <c r="G76" s="460">
        <f>+SUMIFS('Salary sheet'!$AO$6:$AO$2288,'Salary sheet'!$F$6:$F$2288,C76,'Salary sheet'!$E$6:$E$2288,B76)</f>
        <v>1923600</v>
      </c>
      <c r="H76" s="460">
        <f>+SUMIFS('Salary sheet'!$AP$6:$AP$2288,'Salary sheet'!$F$6:$F$2288,C76,'Salary sheet'!$E$6:$E$2288,B76)</f>
        <v>132300</v>
      </c>
      <c r="I76" s="460">
        <f>+SUMIFS('Salary sheet'!$AQ$6:$AQ$2288,'Salary sheet'!$F$6:$F$2288,C76,'Salary sheet'!$E$6:$E$2288,B76)</f>
        <v>0</v>
      </c>
      <c r="J76" s="460">
        <f>+SUMIFS('Salary sheet'!$AR$6:$AR$2288,'Salary sheet'!$F$6:$F$2288,C76,'Salary sheet'!$E$6:$E$2288,B76)</f>
        <v>0</v>
      </c>
      <c r="K76" s="460">
        <f>SUMIFS('Salary sheet'!$AS$6:$AS$1291,'Salary sheet'!$F$6:$F$1291,'So sánh giờ'!C76)</f>
        <v>0</v>
      </c>
      <c r="L76" s="460">
        <f t="shared" si="0"/>
        <v>24553249</v>
      </c>
      <c r="M76" s="1299">
        <f>SUMIFS('Salary sheet'!$M$6:$M$13045,'Salary sheet'!$F$6:$F$13045,'So sánh giờ'!$C76)</f>
        <v>69.099999999999994</v>
      </c>
      <c r="N76" s="1299">
        <f>SUMIFS('Salary sheet'!$O$6:$O$13045,'Salary sheet'!$F$6:$F$13045,'So sánh giờ'!$C76)</f>
        <v>7</v>
      </c>
      <c r="O76" s="1299">
        <f>SUMIFS('Salary sheet'!$AA$6:$AA$13045,'Salary sheet'!$F$6:$F$13045,'So sánh giờ'!$C76)</f>
        <v>0</v>
      </c>
      <c r="P76" s="1299">
        <f>SUMIFS('Salary sheet'!$Q$6:$Q$13045,'Salary sheet'!$F$6:$F$13045,'So sánh giờ'!$C76)</f>
        <v>0</v>
      </c>
      <c r="Q76" s="1299">
        <f>SUMIFS('Salary sheet'!$AH$6:$AH$13045,'Salary sheet'!$F$6:$F$13045,'So sánh giờ'!$C76)</f>
        <v>112</v>
      </c>
      <c r="R76" s="1299">
        <f>SUMIFS('Salary sheet'!$AI$6:$AI$13045,'Salary sheet'!$F$6:$F$13045,'So sánh giờ'!$C76)</f>
        <v>0</v>
      </c>
      <c r="S76" s="1299">
        <f>SUMIFS('Salary sheet'!$AJ$6:$AJ$13045,'Salary sheet'!$F$6:$F$13045,'So sánh giờ'!$C76)</f>
        <v>0</v>
      </c>
      <c r="T76" s="1299">
        <f>SUMIFS('Salary sheet'!$AK$6:$AK$13045,'Salary sheet'!$F$6:$F$13045,'So sánh giờ'!$C76)</f>
        <v>0</v>
      </c>
      <c r="U76" s="1299">
        <f>SUMIFS('Salary sheet'!$AL$6:$AL$13045,'Salary sheet'!$F$6:$F$13045,'So sánh giờ'!$C76)</f>
        <v>0</v>
      </c>
      <c r="V76" s="1394">
        <v>3</v>
      </c>
      <c r="W76" s="1392">
        <v>26694239</v>
      </c>
      <c r="X76" s="1392">
        <v>1923600</v>
      </c>
      <c r="Y76" s="1392">
        <v>132300</v>
      </c>
      <c r="Z76" s="1392">
        <v>0</v>
      </c>
      <c r="AA76" s="1392">
        <v>0</v>
      </c>
      <c r="AB76" s="1392">
        <v>0</v>
      </c>
      <c r="AC76" s="1392">
        <v>24638339</v>
      </c>
      <c r="AD76" s="1395">
        <v>76.2</v>
      </c>
      <c r="AE76" s="1395">
        <v>0</v>
      </c>
      <c r="AF76" s="1395">
        <v>0</v>
      </c>
      <c r="AG76" s="1395">
        <v>0</v>
      </c>
      <c r="AH76" s="1395">
        <v>92</v>
      </c>
      <c r="AI76" s="1395">
        <v>0</v>
      </c>
      <c r="AJ76" s="1395">
        <v>0</v>
      </c>
      <c r="AK76" s="1395">
        <v>0</v>
      </c>
      <c r="AL76" s="1395">
        <v>0</v>
      </c>
      <c r="AM76" s="1376">
        <v>3</v>
      </c>
      <c r="AN76" s="1374">
        <v>25801998</v>
      </c>
      <c r="AO76" s="1374">
        <v>1923600</v>
      </c>
      <c r="AP76" s="1374">
        <v>132300</v>
      </c>
      <c r="AQ76" s="1374">
        <v>0</v>
      </c>
      <c r="AR76" s="1374">
        <v>105000</v>
      </c>
      <c r="AS76" s="1374">
        <v>0</v>
      </c>
      <c r="AT76" s="1374">
        <v>23641098</v>
      </c>
      <c r="AU76" s="1377">
        <v>64.099999999999994</v>
      </c>
      <c r="AV76" s="1377">
        <v>6</v>
      </c>
      <c r="AW76" s="1377">
        <v>0</v>
      </c>
      <c r="AX76" s="1377">
        <v>0</v>
      </c>
      <c r="AY76" s="1377">
        <v>80</v>
      </c>
      <c r="AZ76" s="1377">
        <v>0</v>
      </c>
      <c r="BA76" s="1377">
        <v>0</v>
      </c>
      <c r="BB76" s="1377">
        <v>0</v>
      </c>
      <c r="BC76" s="1377">
        <v>0</v>
      </c>
      <c r="BD76" s="468">
        <v>3</v>
      </c>
      <c r="BE76" s="460">
        <v>43403321</v>
      </c>
      <c r="BF76" s="460">
        <v>1923600</v>
      </c>
      <c r="BG76" s="460">
        <v>132300</v>
      </c>
      <c r="BH76" s="460">
        <v>341885</v>
      </c>
      <c r="BI76" s="460">
        <v>0</v>
      </c>
      <c r="BJ76" s="460">
        <v>0</v>
      </c>
      <c r="BK76" s="460">
        <v>41005536</v>
      </c>
      <c r="BL76" s="1299">
        <v>59.5</v>
      </c>
      <c r="BM76" s="1299">
        <v>21</v>
      </c>
      <c r="BN76" s="1299">
        <v>0</v>
      </c>
      <c r="BO76" s="1299">
        <v>0</v>
      </c>
      <c r="BP76" s="1299">
        <v>112</v>
      </c>
      <c r="BQ76" s="1299">
        <v>0</v>
      </c>
      <c r="BR76" s="1299">
        <v>0</v>
      </c>
      <c r="BS76" s="1299">
        <v>0</v>
      </c>
      <c r="BT76" s="1299">
        <v>0</v>
      </c>
    </row>
    <row r="77" spans="1:72" s="22" customFormat="1" ht="26.25" customHeight="1">
      <c r="A77" s="464">
        <f>SUBTOTAL(3,B$4:B77)</f>
        <v>74</v>
      </c>
      <c r="B77" s="465" t="s">
        <v>217</v>
      </c>
      <c r="C77" s="466" t="s">
        <v>581</v>
      </c>
      <c r="D77" s="467" t="s">
        <v>613</v>
      </c>
      <c r="E77" s="468">
        <f>COUNTIFS('Salary sheet'!$F$6:$F$2288,C77,'Salary sheet'!$E$6:$E$2288,B77)</f>
        <v>4</v>
      </c>
      <c r="F77" s="460">
        <f>+SUMIFS('Salary sheet'!$AN$6:$AN$1292,'Salary sheet'!$F$6:$F$1292,'So sánh giờ'!C77,'Salary sheet'!$E$6:$E$1292,'So sánh giờ'!B77)</f>
        <v>26892124</v>
      </c>
      <c r="G77" s="460">
        <f>+SUMIFS('Salary sheet'!$AO$6:$AO$2288,'Salary sheet'!$F$6:$F$2288,C77,'Salary sheet'!$E$6:$E$2288,B77)</f>
        <v>1755810</v>
      </c>
      <c r="H77" s="460">
        <f>+SUMIFS('Salary sheet'!$AP$6:$AP$2288,'Salary sheet'!$F$6:$F$2288,C77,'Salary sheet'!$E$6:$E$2288,B77)</f>
        <v>176400</v>
      </c>
      <c r="I77" s="460">
        <f>+SUMIFS('Salary sheet'!$AQ$6:$AQ$2288,'Salary sheet'!$F$6:$F$2288,C77,'Salary sheet'!$E$6:$E$2288,B77)</f>
        <v>0</v>
      </c>
      <c r="J77" s="460">
        <f>+SUMIFS('Salary sheet'!$AR$6:$AR$2288,'Salary sheet'!$F$6:$F$2288,C77,'Salary sheet'!$E$6:$E$2288,B77)</f>
        <v>0</v>
      </c>
      <c r="K77" s="460">
        <f>SUMIFS('Salary sheet'!$AS$6:$AS$1291,'Salary sheet'!$F$6:$F$1291,'So sánh giờ'!C77)</f>
        <v>0</v>
      </c>
      <c r="L77" s="460">
        <f t="shared" si="0"/>
        <v>24959914</v>
      </c>
      <c r="M77" s="1299">
        <f>SUMIFS('Salary sheet'!$M$6:$M$13045,'Salary sheet'!$F$6:$F$13045,'So sánh giờ'!$C77)</f>
        <v>79</v>
      </c>
      <c r="N77" s="1299">
        <f>SUMIFS('Salary sheet'!$O$6:$O$13045,'Salary sheet'!$F$6:$F$13045,'So sánh giờ'!$C77)</f>
        <v>10</v>
      </c>
      <c r="O77" s="1299">
        <f>SUMIFS('Salary sheet'!$AA$6:$AA$13045,'Salary sheet'!$F$6:$F$13045,'So sánh giờ'!$C77)</f>
        <v>0</v>
      </c>
      <c r="P77" s="1299">
        <f>SUMIFS('Salary sheet'!$Q$6:$Q$13045,'Salary sheet'!$F$6:$F$13045,'So sánh giờ'!$C77)</f>
        <v>0</v>
      </c>
      <c r="Q77" s="1299">
        <f>SUMIFS('Salary sheet'!$AH$6:$AH$13045,'Salary sheet'!$F$6:$F$13045,'So sánh giờ'!$C77)</f>
        <v>84</v>
      </c>
      <c r="R77" s="1299">
        <f>SUMIFS('Salary sheet'!$AI$6:$AI$13045,'Salary sheet'!$F$6:$F$13045,'So sánh giờ'!$C77)</f>
        <v>0</v>
      </c>
      <c r="S77" s="1299">
        <f>SUMIFS('Salary sheet'!$AJ$6:$AJ$13045,'Salary sheet'!$F$6:$F$13045,'So sánh giờ'!$C77)</f>
        <v>0</v>
      </c>
      <c r="T77" s="1299">
        <f>SUMIFS('Salary sheet'!$AK$6:$AK$13045,'Salary sheet'!$F$6:$F$13045,'So sánh giờ'!$C77)</f>
        <v>0</v>
      </c>
      <c r="U77" s="1299">
        <f>SUMIFS('Salary sheet'!$AL$6:$AL$13045,'Salary sheet'!$F$6:$F$13045,'So sánh giờ'!$C77)</f>
        <v>0</v>
      </c>
      <c r="V77" s="1394">
        <v>4</v>
      </c>
      <c r="W77" s="1392">
        <v>32714292</v>
      </c>
      <c r="X77" s="1392">
        <v>2415210</v>
      </c>
      <c r="Y77" s="1392">
        <v>176400</v>
      </c>
      <c r="Z77" s="1392">
        <v>0</v>
      </c>
      <c r="AA77" s="1392">
        <v>0</v>
      </c>
      <c r="AB77" s="1392">
        <v>0</v>
      </c>
      <c r="AC77" s="1392">
        <v>30122682</v>
      </c>
      <c r="AD77" s="1395">
        <v>94.2</v>
      </c>
      <c r="AE77" s="1395">
        <v>0</v>
      </c>
      <c r="AF77" s="1395">
        <v>0</v>
      </c>
      <c r="AG77" s="1395">
        <v>0</v>
      </c>
      <c r="AH77" s="1395">
        <v>168</v>
      </c>
      <c r="AI77" s="1395">
        <v>0</v>
      </c>
      <c r="AJ77" s="1395">
        <v>0</v>
      </c>
      <c r="AK77" s="1395">
        <v>0</v>
      </c>
      <c r="AL77" s="1395">
        <v>0</v>
      </c>
      <c r="AM77" s="1376">
        <v>4</v>
      </c>
      <c r="AN77" s="1374">
        <v>36201435</v>
      </c>
      <c r="AO77" s="1374">
        <v>2415210</v>
      </c>
      <c r="AP77" s="1374">
        <v>132300</v>
      </c>
      <c r="AQ77" s="1374">
        <v>0</v>
      </c>
      <c r="AR77" s="1374">
        <v>135000</v>
      </c>
      <c r="AS77" s="1374">
        <v>0</v>
      </c>
      <c r="AT77" s="1374">
        <v>33518925</v>
      </c>
      <c r="AU77" s="1377">
        <v>84.7</v>
      </c>
      <c r="AV77" s="1377">
        <v>8</v>
      </c>
      <c r="AW77" s="1377">
        <v>0</v>
      </c>
      <c r="AX77" s="1377">
        <v>0</v>
      </c>
      <c r="AY77" s="1377">
        <v>172</v>
      </c>
      <c r="AZ77" s="1377">
        <v>0</v>
      </c>
      <c r="BA77" s="1377">
        <v>0</v>
      </c>
      <c r="BB77" s="1377">
        <v>0</v>
      </c>
      <c r="BC77" s="1377">
        <v>0</v>
      </c>
      <c r="BD77" s="468">
        <v>5</v>
      </c>
      <c r="BE77" s="460">
        <v>54255643</v>
      </c>
      <c r="BF77" s="460">
        <v>2415210</v>
      </c>
      <c r="BG77" s="460">
        <v>176400</v>
      </c>
      <c r="BH77" s="460">
        <v>195511</v>
      </c>
      <c r="BI77" s="460">
        <v>0</v>
      </c>
      <c r="BJ77" s="460">
        <v>0</v>
      </c>
      <c r="BK77" s="460">
        <v>51468522</v>
      </c>
      <c r="BL77" s="1299">
        <v>75.5</v>
      </c>
      <c r="BM77" s="1299">
        <v>29</v>
      </c>
      <c r="BN77" s="1299">
        <v>0</v>
      </c>
      <c r="BO77" s="1299">
        <v>0</v>
      </c>
      <c r="BP77" s="1299">
        <v>152</v>
      </c>
      <c r="BQ77" s="1299">
        <v>0</v>
      </c>
      <c r="BR77" s="1299">
        <v>0</v>
      </c>
      <c r="BS77" s="1299">
        <v>0</v>
      </c>
      <c r="BT77" s="1299">
        <v>0</v>
      </c>
    </row>
    <row r="78" spans="1:72" s="22" customFormat="1" ht="26.25" customHeight="1">
      <c r="A78" s="464">
        <f>SUBTOTAL(3,B$4:B78)</f>
        <v>75</v>
      </c>
      <c r="B78" s="465" t="s">
        <v>216</v>
      </c>
      <c r="C78" s="466" t="s">
        <v>691</v>
      </c>
      <c r="D78" s="467" t="s">
        <v>708</v>
      </c>
      <c r="E78" s="468">
        <f>COUNTIFS('Salary sheet'!$F$6:$F$2288,C78,'Salary sheet'!$E$6:$E$2288,B78)</f>
        <v>42</v>
      </c>
      <c r="F78" s="460">
        <f>+SUMIFS('Salary sheet'!$AN$6:$AN$1292,'Salary sheet'!$F$6:$F$1292,'So sánh giờ'!C78,'Salary sheet'!$E$6:$E$1292,'So sánh giờ'!B78)</f>
        <v>404482522</v>
      </c>
      <c r="G78" s="460">
        <f>+SUMIFS('Salary sheet'!$AO$6:$AO$2288,'Salary sheet'!$F$6:$F$2288,C78,'Salary sheet'!$E$6:$E$2288,B78)</f>
        <v>26197500</v>
      </c>
      <c r="H78" s="460">
        <f>+SUMIFS('Salary sheet'!$AP$6:$AP$2288,'Salary sheet'!$F$6:$F$2288,C78,'Salary sheet'!$E$6:$E$2288,B78)</f>
        <v>1852200</v>
      </c>
      <c r="I78" s="460">
        <f>+SUMIFS('Salary sheet'!$AQ$6:$AQ$2288,'Salary sheet'!$F$6:$F$2288,C78,'Salary sheet'!$E$6:$E$2288,B78)</f>
        <v>0</v>
      </c>
      <c r="J78" s="460">
        <f>+SUMIFS('Salary sheet'!$AR$6:$AR$2288,'Salary sheet'!$F$6:$F$2288,C78,'Salary sheet'!$E$6:$E$2288,B78)</f>
        <v>0</v>
      </c>
      <c r="K78" s="460">
        <f>SUMIFS('Salary sheet'!$AS$6:$AS$1291,'Salary sheet'!$F$6:$F$1291,'So sánh giờ'!C78)</f>
        <v>56943</v>
      </c>
      <c r="L78" s="460">
        <f t="shared" ref="L78:L109" si="3">+(F78)-SUM(G78:K78)</f>
        <v>376375879</v>
      </c>
      <c r="M78" s="1299">
        <f>SUMIFS('Salary sheet'!$M$6:$M$13045,'Salary sheet'!$F$6:$F$13045,'So sánh giờ'!$C78)</f>
        <v>967.70000000000016</v>
      </c>
      <c r="N78" s="1299">
        <f>SUMIFS('Salary sheet'!$O$6:$O$13045,'Salary sheet'!$F$6:$F$13045,'So sánh giờ'!$C78)</f>
        <v>95</v>
      </c>
      <c r="O78" s="1299">
        <f>SUMIFS('Salary sheet'!$AA$6:$AA$13045,'Salary sheet'!$F$6:$F$13045,'So sánh giờ'!$C78)</f>
        <v>0</v>
      </c>
      <c r="P78" s="1299">
        <f>SUMIFS('Salary sheet'!$Q$6:$Q$13045,'Salary sheet'!$F$6:$F$13045,'So sánh giờ'!$C78)</f>
        <v>0</v>
      </c>
      <c r="Q78" s="1299">
        <f>SUMIFS('Salary sheet'!$AH$6:$AH$13045,'Salary sheet'!$F$6:$F$13045,'So sánh giờ'!$C78)</f>
        <v>1924.5</v>
      </c>
      <c r="R78" s="1299">
        <f>SUMIFS('Salary sheet'!$AI$6:$AI$13045,'Salary sheet'!$F$6:$F$13045,'So sánh giờ'!$C78)</f>
        <v>0</v>
      </c>
      <c r="S78" s="1299">
        <f>SUMIFS('Salary sheet'!$AJ$6:$AJ$13045,'Salary sheet'!$F$6:$F$13045,'So sánh giờ'!$C78)</f>
        <v>0</v>
      </c>
      <c r="T78" s="1299">
        <f>SUMIFS('Salary sheet'!$AK$6:$AK$13045,'Salary sheet'!$F$6:$F$13045,'So sánh giờ'!$C78)</f>
        <v>0</v>
      </c>
      <c r="U78" s="1299">
        <f>SUMIFS('Salary sheet'!$AL$6:$AL$13045,'Salary sheet'!$F$6:$F$13045,'So sánh giờ'!$C78)</f>
        <v>0</v>
      </c>
      <c r="V78" s="1394">
        <v>42</v>
      </c>
      <c r="W78" s="1392">
        <v>435898939</v>
      </c>
      <c r="X78" s="1392">
        <v>26143054</v>
      </c>
      <c r="Y78" s="1392">
        <v>1808100</v>
      </c>
      <c r="Z78" s="1392">
        <v>0</v>
      </c>
      <c r="AA78" s="1392">
        <v>0</v>
      </c>
      <c r="AB78" s="1392">
        <v>134764</v>
      </c>
      <c r="AC78" s="1392">
        <v>407813021</v>
      </c>
      <c r="AD78" s="1395">
        <v>1058.5999999999999</v>
      </c>
      <c r="AE78" s="1395">
        <v>3</v>
      </c>
      <c r="AF78" s="1395">
        <v>0</v>
      </c>
      <c r="AG78" s="1395">
        <v>0</v>
      </c>
      <c r="AH78" s="1395">
        <v>2623.5</v>
      </c>
      <c r="AI78" s="1395">
        <v>0</v>
      </c>
      <c r="AJ78" s="1395">
        <v>0</v>
      </c>
      <c r="AK78" s="1395">
        <v>0</v>
      </c>
      <c r="AL78" s="1395">
        <v>0</v>
      </c>
      <c r="AM78" s="1376">
        <v>44</v>
      </c>
      <c r="AN78" s="1374">
        <v>386650660</v>
      </c>
      <c r="AO78" s="1374">
        <v>26560905</v>
      </c>
      <c r="AP78" s="1374">
        <v>1896300</v>
      </c>
      <c r="AQ78" s="1374">
        <v>0</v>
      </c>
      <c r="AR78" s="1374">
        <v>1070000</v>
      </c>
      <c r="AS78" s="1374">
        <v>0</v>
      </c>
      <c r="AT78" s="1374">
        <v>357123455</v>
      </c>
      <c r="AU78" s="1377">
        <v>892.69999999999993</v>
      </c>
      <c r="AV78" s="1377">
        <v>85</v>
      </c>
      <c r="AW78" s="1377">
        <v>0</v>
      </c>
      <c r="AX78" s="1377">
        <v>0</v>
      </c>
      <c r="AY78" s="1377">
        <v>1703</v>
      </c>
      <c r="AZ78" s="1377">
        <v>0</v>
      </c>
      <c r="BA78" s="1377">
        <v>0</v>
      </c>
      <c r="BB78" s="1377">
        <v>0</v>
      </c>
      <c r="BC78" s="1377">
        <v>0</v>
      </c>
      <c r="BD78" s="468">
        <v>42</v>
      </c>
      <c r="BE78" s="460">
        <v>644262907</v>
      </c>
      <c r="BF78" s="460">
        <v>26613405</v>
      </c>
      <c r="BG78" s="460">
        <v>1852200</v>
      </c>
      <c r="BH78" s="460">
        <v>5180713</v>
      </c>
      <c r="BI78" s="460">
        <v>0</v>
      </c>
      <c r="BJ78" s="460">
        <v>0</v>
      </c>
      <c r="BK78" s="460">
        <v>610616589</v>
      </c>
      <c r="BL78" s="1299">
        <v>807.59999999999991</v>
      </c>
      <c r="BM78" s="1299">
        <v>311</v>
      </c>
      <c r="BN78" s="1299">
        <v>0</v>
      </c>
      <c r="BO78" s="1299">
        <v>0</v>
      </c>
      <c r="BP78" s="1299">
        <v>2230</v>
      </c>
      <c r="BQ78" s="1299">
        <v>64</v>
      </c>
      <c r="BR78" s="1299">
        <v>0</v>
      </c>
      <c r="BS78" s="1299">
        <v>0</v>
      </c>
      <c r="BT78" s="1299">
        <v>0</v>
      </c>
    </row>
    <row r="79" spans="1:72" s="22" customFormat="1" ht="26.25" customHeight="1">
      <c r="A79" s="464">
        <f>SUBTOTAL(3,B$4:B79)</f>
        <v>76</v>
      </c>
      <c r="B79" s="465" t="s">
        <v>216</v>
      </c>
      <c r="C79" s="466" t="s">
        <v>692</v>
      </c>
      <c r="D79" s="467" t="s">
        <v>474</v>
      </c>
      <c r="E79" s="468">
        <f>COUNTIFS('Salary sheet'!$F$6:$F$2288,C79,'Salary sheet'!$E$6:$E$2288,B79)</f>
        <v>21</v>
      </c>
      <c r="F79" s="460">
        <f>+SUMIFS('Salary sheet'!$AN$6:$AN$1292,'Salary sheet'!$F$6:$F$1292,'So sánh giờ'!C79,'Salary sheet'!$E$6:$E$1292,'So sánh giờ'!B79)</f>
        <v>213852512</v>
      </c>
      <c r="G79" s="460">
        <f>+SUMIFS('Salary sheet'!$AO$6:$AO$2288,'Salary sheet'!$F$6:$F$2288,C79,'Salary sheet'!$E$6:$E$2288,B79)</f>
        <v>14352870</v>
      </c>
      <c r="H79" s="460">
        <f>+SUMIFS('Salary sheet'!$AP$6:$AP$2288,'Salary sheet'!$F$6:$F$2288,C79,'Salary sheet'!$E$6:$E$2288,B79)</f>
        <v>882000</v>
      </c>
      <c r="I79" s="460">
        <f>+SUMIFS('Salary sheet'!$AQ$6:$AQ$2288,'Salary sheet'!$F$6:$F$2288,C79,'Salary sheet'!$E$6:$E$2288,B79)</f>
        <v>12850</v>
      </c>
      <c r="J79" s="460">
        <f>+SUMIFS('Salary sheet'!$AR$6:$AR$2288,'Salary sheet'!$F$6:$F$2288,C79,'Salary sheet'!$E$6:$E$2288,B79)</f>
        <v>0</v>
      </c>
      <c r="K79" s="460">
        <f>SUMIFS('Salary sheet'!$AS$6:$AS$1291,'Salary sheet'!$F$6:$F$1291,'So sánh giờ'!C79)</f>
        <v>0</v>
      </c>
      <c r="L79" s="460">
        <f t="shared" si="3"/>
        <v>198604792</v>
      </c>
      <c r="M79" s="1299">
        <f>SUMIFS('Salary sheet'!$M$6:$M$13045,'Salary sheet'!$F$6:$F$13045,'So sánh giờ'!$C79)</f>
        <v>466.1</v>
      </c>
      <c r="N79" s="1299">
        <f>SUMIFS('Salary sheet'!$O$6:$O$13045,'Salary sheet'!$F$6:$F$13045,'So sánh giờ'!$C79)</f>
        <v>51</v>
      </c>
      <c r="O79" s="1299">
        <f>SUMIFS('Salary sheet'!$AA$6:$AA$13045,'Salary sheet'!$F$6:$F$13045,'So sánh giờ'!$C79)</f>
        <v>0</v>
      </c>
      <c r="P79" s="1299">
        <f>SUMIFS('Salary sheet'!$Q$6:$Q$13045,'Salary sheet'!$F$6:$F$13045,'So sánh giờ'!$C79)</f>
        <v>0</v>
      </c>
      <c r="Q79" s="1299">
        <f>SUMIFS('Salary sheet'!$AH$6:$AH$13045,'Salary sheet'!$F$6:$F$13045,'So sánh giờ'!$C79)</f>
        <v>940.5</v>
      </c>
      <c r="R79" s="1299">
        <f>SUMIFS('Salary sheet'!$AI$6:$AI$13045,'Salary sheet'!$F$6:$F$13045,'So sánh giờ'!$C79)</f>
        <v>0</v>
      </c>
      <c r="S79" s="1299">
        <f>SUMIFS('Salary sheet'!$AJ$6:$AJ$13045,'Salary sheet'!$F$6:$F$13045,'So sánh giờ'!$C79)</f>
        <v>0</v>
      </c>
      <c r="T79" s="1299">
        <f>SUMIFS('Salary sheet'!$AK$6:$AK$13045,'Salary sheet'!$F$6:$F$13045,'So sánh giờ'!$C79)</f>
        <v>0</v>
      </c>
      <c r="U79" s="1299">
        <f>SUMIFS('Salary sheet'!$AL$6:$AL$13045,'Salary sheet'!$F$6:$F$13045,'So sánh giờ'!$C79)</f>
        <v>0</v>
      </c>
      <c r="V79" s="1394">
        <v>21</v>
      </c>
      <c r="W79" s="1392">
        <v>217156620</v>
      </c>
      <c r="X79" s="1392">
        <v>13563480</v>
      </c>
      <c r="Y79" s="1392">
        <v>882000</v>
      </c>
      <c r="Z79" s="1392">
        <v>57238</v>
      </c>
      <c r="AA79" s="1392">
        <v>0</v>
      </c>
      <c r="AB79" s="1392">
        <v>0</v>
      </c>
      <c r="AC79" s="1392">
        <v>202653902</v>
      </c>
      <c r="AD79" s="1395">
        <v>482.7999999999999</v>
      </c>
      <c r="AE79" s="1395">
        <v>3</v>
      </c>
      <c r="AF79" s="1395">
        <v>0</v>
      </c>
      <c r="AG79" s="1395">
        <v>0</v>
      </c>
      <c r="AH79" s="1395">
        <v>1240.5</v>
      </c>
      <c r="AI79" s="1395">
        <v>0</v>
      </c>
      <c r="AJ79" s="1395">
        <v>0</v>
      </c>
      <c r="AK79" s="1395">
        <v>0</v>
      </c>
      <c r="AL79" s="1395">
        <v>0</v>
      </c>
      <c r="AM79" s="1376">
        <v>22</v>
      </c>
      <c r="AN79" s="1374">
        <v>215945025</v>
      </c>
      <c r="AO79" s="1374">
        <v>14063175</v>
      </c>
      <c r="AP79" s="1374">
        <v>837900</v>
      </c>
      <c r="AQ79" s="1374">
        <v>9725</v>
      </c>
      <c r="AR79" s="1374">
        <v>70000</v>
      </c>
      <c r="AS79" s="1374">
        <v>0</v>
      </c>
      <c r="AT79" s="1374">
        <v>200964225</v>
      </c>
      <c r="AU79" s="1377">
        <v>436.49999999999994</v>
      </c>
      <c r="AV79" s="1377">
        <v>38</v>
      </c>
      <c r="AW79" s="1377">
        <v>0</v>
      </c>
      <c r="AX79" s="1377">
        <v>0</v>
      </c>
      <c r="AY79" s="1377">
        <v>888</v>
      </c>
      <c r="AZ79" s="1377">
        <v>0</v>
      </c>
      <c r="BA79" s="1377">
        <v>0</v>
      </c>
      <c r="BB79" s="1377">
        <v>0</v>
      </c>
      <c r="BC79" s="1377">
        <v>0</v>
      </c>
      <c r="BD79" s="468">
        <v>20</v>
      </c>
      <c r="BE79" s="460">
        <v>323856530</v>
      </c>
      <c r="BF79" s="460">
        <v>13522965</v>
      </c>
      <c r="BG79" s="460">
        <v>837900</v>
      </c>
      <c r="BH79" s="460">
        <v>4254442</v>
      </c>
      <c r="BI79" s="460">
        <v>0</v>
      </c>
      <c r="BJ79" s="460">
        <v>136030</v>
      </c>
      <c r="BK79" s="460">
        <v>305105193</v>
      </c>
      <c r="BL79" s="1299">
        <v>371.8</v>
      </c>
      <c r="BM79" s="1299">
        <v>134</v>
      </c>
      <c r="BN79" s="1299">
        <v>0</v>
      </c>
      <c r="BO79" s="1299">
        <v>0</v>
      </c>
      <c r="BP79" s="1299">
        <v>1154</v>
      </c>
      <c r="BQ79" s="1299">
        <v>8</v>
      </c>
      <c r="BR79" s="1299">
        <v>0</v>
      </c>
      <c r="BS79" s="1299">
        <v>0</v>
      </c>
      <c r="BT79" s="1299">
        <v>0</v>
      </c>
    </row>
    <row r="80" spans="1:72" s="22" customFormat="1" ht="26.25" customHeight="1">
      <c r="A80" s="464">
        <f>SUBTOTAL(3,B$4:B80)</f>
        <v>77</v>
      </c>
      <c r="B80" s="465" t="s">
        <v>216</v>
      </c>
      <c r="C80" s="466" t="s">
        <v>693</v>
      </c>
      <c r="D80" s="467" t="s">
        <v>709</v>
      </c>
      <c r="E80" s="468">
        <f>COUNTIFS('Salary sheet'!$F$6:$F$2288,C80,'Salary sheet'!$E$6:$E$2288,B80)</f>
        <v>26</v>
      </c>
      <c r="F80" s="460">
        <f>+SUMIFS('Salary sheet'!$AN$6:$AN$1292,'Salary sheet'!$F$6:$F$1292,'So sánh giờ'!C80,'Salary sheet'!$E$6:$E$1292,'So sánh giờ'!B80)</f>
        <v>242589923</v>
      </c>
      <c r="G80" s="460">
        <f>+SUMIFS('Salary sheet'!$AO$6:$AO$2288,'Salary sheet'!$F$6:$F$2288,C80,'Salary sheet'!$E$6:$E$2288,B80)</f>
        <v>16411605</v>
      </c>
      <c r="H80" s="460">
        <f>+SUMIFS('Salary sheet'!$AP$6:$AP$2288,'Salary sheet'!$F$6:$F$2288,C80,'Salary sheet'!$E$6:$E$2288,B80)</f>
        <v>1146600</v>
      </c>
      <c r="I80" s="460">
        <f>+SUMIFS('Salary sheet'!$AQ$6:$AQ$2288,'Salary sheet'!$F$6:$F$2288,C80,'Salary sheet'!$E$6:$E$2288,B80)</f>
        <v>15299</v>
      </c>
      <c r="J80" s="460">
        <f>+SUMIFS('Salary sheet'!$AR$6:$AR$2288,'Salary sheet'!$F$6:$F$2288,C80,'Salary sheet'!$E$6:$E$2288,B80)</f>
        <v>0</v>
      </c>
      <c r="K80" s="460">
        <f>SUMIFS('Salary sheet'!$AS$6:$AS$1291,'Salary sheet'!$F$6:$F$1291,'So sánh giờ'!C80)</f>
        <v>0</v>
      </c>
      <c r="L80" s="460">
        <f t="shared" si="3"/>
        <v>225016419</v>
      </c>
      <c r="M80" s="1299">
        <f>SUMIFS('Salary sheet'!$M$6:$M$13045,'Salary sheet'!$F$6:$F$13045,'So sánh giờ'!$C80)</f>
        <v>611</v>
      </c>
      <c r="N80" s="1299">
        <f>SUMIFS('Salary sheet'!$O$6:$O$13045,'Salary sheet'!$F$6:$F$13045,'So sánh giờ'!$C80)</f>
        <v>57</v>
      </c>
      <c r="O80" s="1299">
        <f>SUMIFS('Salary sheet'!$AA$6:$AA$13045,'Salary sheet'!$F$6:$F$13045,'So sánh giờ'!$C80)</f>
        <v>0</v>
      </c>
      <c r="P80" s="1299">
        <f>SUMIFS('Salary sheet'!$Q$6:$Q$13045,'Salary sheet'!$F$6:$F$13045,'So sánh giờ'!$C80)</f>
        <v>0</v>
      </c>
      <c r="Q80" s="1299">
        <f>SUMIFS('Salary sheet'!$AH$6:$AH$13045,'Salary sheet'!$F$6:$F$13045,'So sánh giờ'!$C80)</f>
        <v>1148</v>
      </c>
      <c r="R80" s="1299">
        <f>SUMIFS('Salary sheet'!$AI$6:$AI$13045,'Salary sheet'!$F$6:$F$13045,'So sánh giờ'!$C80)</f>
        <v>0</v>
      </c>
      <c r="S80" s="1299">
        <f>SUMIFS('Salary sheet'!$AJ$6:$AJ$13045,'Salary sheet'!$F$6:$F$13045,'So sánh giờ'!$C80)</f>
        <v>0</v>
      </c>
      <c r="T80" s="1299">
        <f>SUMIFS('Salary sheet'!$AK$6:$AK$13045,'Salary sheet'!$F$6:$F$13045,'So sánh giờ'!$C80)</f>
        <v>0</v>
      </c>
      <c r="U80" s="1299">
        <f>SUMIFS('Salary sheet'!$AL$6:$AL$13045,'Salary sheet'!$F$6:$F$13045,'So sánh giờ'!$C80)</f>
        <v>0</v>
      </c>
      <c r="V80" s="1394">
        <v>27</v>
      </c>
      <c r="W80" s="1392">
        <v>255050783</v>
      </c>
      <c r="X80" s="1392">
        <v>16202655</v>
      </c>
      <c r="Y80" s="1392">
        <v>1146600</v>
      </c>
      <c r="Z80" s="1392">
        <v>8243</v>
      </c>
      <c r="AA80" s="1392">
        <v>0</v>
      </c>
      <c r="AB80" s="1392">
        <v>0</v>
      </c>
      <c r="AC80" s="1392">
        <v>237693285</v>
      </c>
      <c r="AD80" s="1395">
        <v>659.3</v>
      </c>
      <c r="AE80" s="1395">
        <v>0</v>
      </c>
      <c r="AF80" s="1395">
        <v>0</v>
      </c>
      <c r="AG80" s="1395">
        <v>0</v>
      </c>
      <c r="AH80" s="1395">
        <v>1538.5</v>
      </c>
      <c r="AI80" s="1395">
        <v>0</v>
      </c>
      <c r="AJ80" s="1395">
        <v>0</v>
      </c>
      <c r="AK80" s="1395">
        <v>0</v>
      </c>
      <c r="AL80" s="1395">
        <v>0</v>
      </c>
      <c r="AM80" s="1376">
        <v>27</v>
      </c>
      <c r="AN80" s="1374">
        <v>257474159</v>
      </c>
      <c r="AO80" s="1374">
        <v>16834230</v>
      </c>
      <c r="AP80" s="1374">
        <v>1146600</v>
      </c>
      <c r="AQ80" s="1374">
        <v>57866</v>
      </c>
      <c r="AR80" s="1374">
        <v>460000</v>
      </c>
      <c r="AS80" s="1374">
        <v>0</v>
      </c>
      <c r="AT80" s="1374">
        <v>238975463</v>
      </c>
      <c r="AU80" s="1377">
        <v>571.50000000000011</v>
      </c>
      <c r="AV80" s="1377">
        <v>54</v>
      </c>
      <c r="AW80" s="1377">
        <v>0</v>
      </c>
      <c r="AX80" s="1377">
        <v>0</v>
      </c>
      <c r="AY80" s="1377">
        <v>1349</v>
      </c>
      <c r="AZ80" s="1377">
        <v>0</v>
      </c>
      <c r="BA80" s="1377">
        <v>0</v>
      </c>
      <c r="BB80" s="1377">
        <v>0</v>
      </c>
      <c r="BC80" s="1377">
        <v>0</v>
      </c>
      <c r="BD80" s="468">
        <v>27</v>
      </c>
      <c r="BE80" s="460">
        <v>401255658</v>
      </c>
      <c r="BF80" s="460">
        <v>16807875</v>
      </c>
      <c r="BG80" s="460">
        <v>1146600</v>
      </c>
      <c r="BH80" s="460">
        <v>3877486</v>
      </c>
      <c r="BI80" s="460">
        <v>0</v>
      </c>
      <c r="BJ80" s="460">
        <v>0</v>
      </c>
      <c r="BK80" s="460">
        <v>379423697</v>
      </c>
      <c r="BL80" s="1299">
        <v>524.19999999999993</v>
      </c>
      <c r="BM80" s="1299">
        <v>189</v>
      </c>
      <c r="BN80" s="1299">
        <v>0</v>
      </c>
      <c r="BO80" s="1299">
        <v>0</v>
      </c>
      <c r="BP80" s="1299">
        <v>1513</v>
      </c>
      <c r="BQ80" s="1299">
        <v>87.5</v>
      </c>
      <c r="BR80" s="1299">
        <v>0</v>
      </c>
      <c r="BS80" s="1299">
        <v>0</v>
      </c>
      <c r="BT80" s="1299">
        <v>0</v>
      </c>
    </row>
    <row r="81" spans="1:72" s="22" customFormat="1" ht="26.25" customHeight="1">
      <c r="A81" s="464">
        <f>SUBTOTAL(3,B$4:B81)</f>
        <v>78</v>
      </c>
      <c r="B81" s="465" t="s">
        <v>216</v>
      </c>
      <c r="C81" s="466" t="s">
        <v>694</v>
      </c>
      <c r="D81" s="467" t="s">
        <v>710</v>
      </c>
      <c r="E81" s="468">
        <f>COUNTIFS('Salary sheet'!$F$6:$F$2288,C81,'Salary sheet'!$E$6:$E$2288,B81)</f>
        <v>24</v>
      </c>
      <c r="F81" s="460">
        <f>+SUMIFS('Salary sheet'!$AN$6:$AN$1292,'Salary sheet'!$F$6:$F$1292,'So sánh giờ'!C81,'Salary sheet'!$E$6:$E$1292,'So sánh giờ'!B81)</f>
        <v>229238234</v>
      </c>
      <c r="G81" s="460">
        <f>+SUMIFS('Salary sheet'!$AO$6:$AO$2288,'Salary sheet'!$F$6:$F$2288,C81,'Salary sheet'!$E$6:$E$2288,B81)</f>
        <v>14942970</v>
      </c>
      <c r="H81" s="460">
        <f>+SUMIFS('Salary sheet'!$AP$6:$AP$2288,'Salary sheet'!$F$6:$F$2288,C81,'Salary sheet'!$E$6:$E$2288,B81)</f>
        <v>1058400</v>
      </c>
      <c r="I81" s="460">
        <f>+SUMIFS('Salary sheet'!$AQ$6:$AQ$2288,'Salary sheet'!$F$6:$F$2288,C81,'Salary sheet'!$E$6:$E$2288,B81)</f>
        <v>0</v>
      </c>
      <c r="J81" s="460">
        <f>+SUMIFS('Salary sheet'!$AR$6:$AR$2288,'Salary sheet'!$F$6:$F$2288,C81,'Salary sheet'!$E$6:$E$2288,B81)</f>
        <v>0</v>
      </c>
      <c r="K81" s="460">
        <f>SUMIFS('Salary sheet'!$AS$6:$AS$1291,'Salary sheet'!$F$6:$F$1291,'So sánh giờ'!C81)</f>
        <v>0</v>
      </c>
      <c r="L81" s="460">
        <f t="shared" si="3"/>
        <v>213236864</v>
      </c>
      <c r="M81" s="1299">
        <f>SUMIFS('Salary sheet'!$M$6:$M$13045,'Salary sheet'!$F$6:$F$13045,'So sánh giờ'!$C81)</f>
        <v>536.4</v>
      </c>
      <c r="N81" s="1299">
        <f>SUMIFS('Salary sheet'!$O$6:$O$13045,'Salary sheet'!$F$6:$F$13045,'So sánh giờ'!$C81)</f>
        <v>59</v>
      </c>
      <c r="O81" s="1299">
        <f>SUMIFS('Salary sheet'!$AA$6:$AA$13045,'Salary sheet'!$F$6:$F$13045,'So sánh giờ'!$C81)</f>
        <v>0</v>
      </c>
      <c r="P81" s="1299">
        <f>SUMIFS('Salary sheet'!$Q$6:$Q$13045,'Salary sheet'!$F$6:$F$13045,'So sánh giờ'!$C81)</f>
        <v>0</v>
      </c>
      <c r="Q81" s="1299">
        <f>SUMIFS('Salary sheet'!$AH$6:$AH$13045,'Salary sheet'!$F$6:$F$13045,'So sánh giờ'!$C81)</f>
        <v>1104</v>
      </c>
      <c r="R81" s="1299">
        <f>SUMIFS('Salary sheet'!$AI$6:$AI$13045,'Salary sheet'!$F$6:$F$13045,'So sánh giờ'!$C81)</f>
        <v>0</v>
      </c>
      <c r="S81" s="1299">
        <f>SUMIFS('Salary sheet'!$AJ$6:$AJ$13045,'Salary sheet'!$F$6:$F$13045,'So sánh giờ'!$C81)</f>
        <v>0</v>
      </c>
      <c r="T81" s="1299">
        <f>SUMIFS('Salary sheet'!$AK$6:$AK$13045,'Salary sheet'!$F$6:$F$13045,'So sánh giờ'!$C81)</f>
        <v>0</v>
      </c>
      <c r="U81" s="1299">
        <f>SUMIFS('Salary sheet'!$AL$6:$AL$13045,'Salary sheet'!$F$6:$F$13045,'So sánh giờ'!$C81)</f>
        <v>0</v>
      </c>
      <c r="V81" s="1394">
        <v>25</v>
      </c>
      <c r="W81" s="1392">
        <v>260136258</v>
      </c>
      <c r="X81" s="1392">
        <v>15501724</v>
      </c>
      <c r="Y81" s="1392">
        <v>1102500</v>
      </c>
      <c r="Z81" s="1392">
        <v>0</v>
      </c>
      <c r="AA81" s="1392">
        <v>0</v>
      </c>
      <c r="AB81" s="1392">
        <v>145518</v>
      </c>
      <c r="AC81" s="1392">
        <v>243386516</v>
      </c>
      <c r="AD81" s="1395">
        <v>624.6</v>
      </c>
      <c r="AE81" s="1395">
        <v>3</v>
      </c>
      <c r="AF81" s="1395">
        <v>0</v>
      </c>
      <c r="AG81" s="1395">
        <v>0</v>
      </c>
      <c r="AH81" s="1395">
        <v>1592</v>
      </c>
      <c r="AI81" s="1395">
        <v>0</v>
      </c>
      <c r="AJ81" s="1395">
        <v>0</v>
      </c>
      <c r="AK81" s="1395">
        <v>0</v>
      </c>
      <c r="AL81" s="1395">
        <v>0</v>
      </c>
      <c r="AM81" s="1376">
        <v>24</v>
      </c>
      <c r="AN81" s="1374">
        <v>220817718</v>
      </c>
      <c r="AO81" s="1374">
        <v>14334390</v>
      </c>
      <c r="AP81" s="1374">
        <v>970200</v>
      </c>
      <c r="AQ81" s="1374">
        <v>0</v>
      </c>
      <c r="AR81" s="1374">
        <v>427500</v>
      </c>
      <c r="AS81" s="1374">
        <v>116519</v>
      </c>
      <c r="AT81" s="1374">
        <v>204969109</v>
      </c>
      <c r="AU81" s="1377">
        <v>492.5</v>
      </c>
      <c r="AV81" s="1377">
        <v>44</v>
      </c>
      <c r="AW81" s="1377">
        <v>0</v>
      </c>
      <c r="AX81" s="1377">
        <v>0</v>
      </c>
      <c r="AY81" s="1377">
        <v>967.5</v>
      </c>
      <c r="AZ81" s="1377">
        <v>0</v>
      </c>
      <c r="BA81" s="1377">
        <v>0</v>
      </c>
      <c r="BB81" s="1377">
        <v>0</v>
      </c>
      <c r="BC81" s="1377">
        <v>0</v>
      </c>
      <c r="BD81" s="468">
        <v>22</v>
      </c>
      <c r="BE81" s="460">
        <v>347405681</v>
      </c>
      <c r="BF81" s="460">
        <v>13693890</v>
      </c>
      <c r="BG81" s="460">
        <v>926100</v>
      </c>
      <c r="BH81" s="460">
        <v>3376162</v>
      </c>
      <c r="BI81" s="460">
        <v>0</v>
      </c>
      <c r="BJ81" s="460">
        <v>0</v>
      </c>
      <c r="BK81" s="460">
        <v>329409529</v>
      </c>
      <c r="BL81" s="1299">
        <v>426.59999999999997</v>
      </c>
      <c r="BM81" s="1299">
        <v>153</v>
      </c>
      <c r="BN81" s="1299">
        <v>0</v>
      </c>
      <c r="BO81" s="1299">
        <v>0</v>
      </c>
      <c r="BP81" s="1299">
        <v>1256</v>
      </c>
      <c r="BQ81" s="1299">
        <v>56</v>
      </c>
      <c r="BR81" s="1299">
        <v>0</v>
      </c>
      <c r="BS81" s="1299">
        <v>0</v>
      </c>
      <c r="BT81" s="1299">
        <v>0</v>
      </c>
    </row>
    <row r="82" spans="1:72" s="22" customFormat="1" ht="26.25" customHeight="1">
      <c r="A82" s="464">
        <f>SUBTOTAL(3,B$4:B82)</f>
        <v>79</v>
      </c>
      <c r="B82" s="465" t="s">
        <v>216</v>
      </c>
      <c r="C82" s="466" t="s">
        <v>695</v>
      </c>
      <c r="D82" s="467" t="s">
        <v>711</v>
      </c>
      <c r="E82" s="468">
        <f>COUNTIFS('Salary sheet'!$F$6:$F$2288,C82,'Salary sheet'!$E$6:$E$2288,B82)</f>
        <v>23</v>
      </c>
      <c r="F82" s="460">
        <f>+SUMIFS('Salary sheet'!$AN$6:$AN$1292,'Salary sheet'!$F$6:$F$1292,'So sánh giờ'!C82,'Salary sheet'!$E$6:$E$1292,'So sánh giờ'!B82)</f>
        <v>215684046</v>
      </c>
      <c r="G82" s="460">
        <f>+SUMIFS('Salary sheet'!$AO$6:$AO$2288,'Salary sheet'!$F$6:$F$2288,C82,'Salary sheet'!$E$6:$E$2288,B82)</f>
        <v>14494935</v>
      </c>
      <c r="H82" s="460">
        <f>+SUMIFS('Salary sheet'!$AP$6:$AP$2288,'Salary sheet'!$F$6:$F$2288,C82,'Salary sheet'!$E$6:$E$2288,B82)</f>
        <v>1014300</v>
      </c>
      <c r="I82" s="460">
        <f>+SUMIFS('Salary sheet'!$AQ$6:$AQ$2288,'Salary sheet'!$F$6:$F$2288,C82,'Salary sheet'!$E$6:$E$2288,B82)</f>
        <v>0</v>
      </c>
      <c r="J82" s="460">
        <f>+SUMIFS('Salary sheet'!$AR$6:$AR$2288,'Salary sheet'!$F$6:$F$2288,C82,'Salary sheet'!$E$6:$E$2288,B82)</f>
        <v>0</v>
      </c>
      <c r="K82" s="460">
        <f>SUMIFS('Salary sheet'!$AS$6:$AS$1291,'Salary sheet'!$F$6:$F$1291,'So sánh giờ'!C82)</f>
        <v>0</v>
      </c>
      <c r="L82" s="460">
        <f t="shared" si="3"/>
        <v>200174811</v>
      </c>
      <c r="M82" s="1299">
        <f>SUMIFS('Salary sheet'!$M$6:$M$13045,'Salary sheet'!$F$6:$F$13045,'So sánh giờ'!$C82)</f>
        <v>530.39999999999986</v>
      </c>
      <c r="N82" s="1299">
        <f>SUMIFS('Salary sheet'!$O$6:$O$13045,'Salary sheet'!$F$6:$F$13045,'So sánh giờ'!$C82)</f>
        <v>55</v>
      </c>
      <c r="O82" s="1299">
        <f>SUMIFS('Salary sheet'!$AA$6:$AA$13045,'Salary sheet'!$F$6:$F$13045,'So sánh giờ'!$C82)</f>
        <v>0</v>
      </c>
      <c r="P82" s="1299">
        <f>SUMIFS('Salary sheet'!$Q$6:$Q$13045,'Salary sheet'!$F$6:$F$13045,'So sánh giờ'!$C82)</f>
        <v>0</v>
      </c>
      <c r="Q82" s="1299">
        <f>SUMIFS('Salary sheet'!$AH$6:$AH$13045,'Salary sheet'!$F$6:$F$13045,'So sánh giờ'!$C82)</f>
        <v>1075.5</v>
      </c>
      <c r="R82" s="1299">
        <f>SUMIFS('Salary sheet'!$AI$6:$AI$13045,'Salary sheet'!$F$6:$F$13045,'So sánh giờ'!$C82)</f>
        <v>0</v>
      </c>
      <c r="S82" s="1299">
        <f>SUMIFS('Salary sheet'!$AJ$6:$AJ$13045,'Salary sheet'!$F$6:$F$13045,'So sánh giờ'!$C82)</f>
        <v>0</v>
      </c>
      <c r="T82" s="1299">
        <f>SUMIFS('Salary sheet'!$AK$6:$AK$13045,'Salary sheet'!$F$6:$F$13045,'So sánh giờ'!$C82)</f>
        <v>0</v>
      </c>
      <c r="U82" s="1299">
        <f>SUMIFS('Salary sheet'!$AL$6:$AL$13045,'Salary sheet'!$F$6:$F$13045,'So sánh giờ'!$C82)</f>
        <v>0</v>
      </c>
      <c r="V82" s="1394">
        <v>24</v>
      </c>
      <c r="W82" s="1392">
        <v>244188316</v>
      </c>
      <c r="X82" s="1392">
        <v>15022350</v>
      </c>
      <c r="Y82" s="1392">
        <v>1058400</v>
      </c>
      <c r="Z82" s="1392">
        <v>0</v>
      </c>
      <c r="AA82" s="1392">
        <v>0</v>
      </c>
      <c r="AB82" s="1392">
        <v>0</v>
      </c>
      <c r="AC82" s="1392">
        <v>228107566</v>
      </c>
      <c r="AD82" s="1395">
        <v>608.30000000000007</v>
      </c>
      <c r="AE82" s="1395">
        <v>1</v>
      </c>
      <c r="AF82" s="1395">
        <v>0</v>
      </c>
      <c r="AG82" s="1395">
        <v>0</v>
      </c>
      <c r="AH82" s="1395">
        <v>1493</v>
      </c>
      <c r="AI82" s="1395">
        <v>0</v>
      </c>
      <c r="AJ82" s="1395">
        <v>0</v>
      </c>
      <c r="AK82" s="1395">
        <v>0</v>
      </c>
      <c r="AL82" s="1395">
        <v>0</v>
      </c>
      <c r="AM82" s="1376">
        <v>24</v>
      </c>
      <c r="AN82" s="1374">
        <v>222759036</v>
      </c>
      <c r="AO82" s="1374">
        <v>15022350</v>
      </c>
      <c r="AP82" s="1374">
        <v>1058400</v>
      </c>
      <c r="AQ82" s="1374">
        <v>0</v>
      </c>
      <c r="AR82" s="1374">
        <v>730000</v>
      </c>
      <c r="AS82" s="1374">
        <v>0</v>
      </c>
      <c r="AT82" s="1374">
        <v>205948286</v>
      </c>
      <c r="AU82" s="1377">
        <v>502.00000000000006</v>
      </c>
      <c r="AV82" s="1377">
        <v>52</v>
      </c>
      <c r="AW82" s="1377">
        <v>0</v>
      </c>
      <c r="AX82" s="1377">
        <v>0</v>
      </c>
      <c r="AY82" s="1377">
        <v>1067</v>
      </c>
      <c r="AZ82" s="1377">
        <v>0</v>
      </c>
      <c r="BA82" s="1377">
        <v>0</v>
      </c>
      <c r="BB82" s="1377">
        <v>0</v>
      </c>
      <c r="BC82" s="1377">
        <v>0</v>
      </c>
      <c r="BD82" s="468">
        <v>25</v>
      </c>
      <c r="BE82" s="460">
        <v>388163111</v>
      </c>
      <c r="BF82" s="460">
        <v>15138690</v>
      </c>
      <c r="BG82" s="460">
        <v>1058400</v>
      </c>
      <c r="BH82" s="460">
        <v>3512230</v>
      </c>
      <c r="BI82" s="460">
        <v>0</v>
      </c>
      <c r="BJ82" s="460">
        <v>0</v>
      </c>
      <c r="BK82" s="460">
        <v>368453791</v>
      </c>
      <c r="BL82" s="1299">
        <v>477.19999999999993</v>
      </c>
      <c r="BM82" s="1299">
        <v>173</v>
      </c>
      <c r="BN82" s="1299">
        <v>0</v>
      </c>
      <c r="BO82" s="1299">
        <v>0</v>
      </c>
      <c r="BP82" s="1299">
        <v>1384.5</v>
      </c>
      <c r="BQ82" s="1299">
        <v>88</v>
      </c>
      <c r="BR82" s="1299">
        <v>0</v>
      </c>
      <c r="BS82" s="1299">
        <v>0</v>
      </c>
      <c r="BT82" s="1299">
        <v>0</v>
      </c>
    </row>
    <row r="83" spans="1:72" s="22" customFormat="1" ht="26.25" customHeight="1">
      <c r="A83" s="464">
        <f>SUBTOTAL(3,B$4:B83)</f>
        <v>80</v>
      </c>
      <c r="B83" s="465" t="s">
        <v>216</v>
      </c>
      <c r="C83" s="466" t="s">
        <v>237</v>
      </c>
      <c r="D83" s="467" t="s">
        <v>469</v>
      </c>
      <c r="E83" s="468">
        <f>COUNTIFS('Salary sheet'!$F$6:$F$2288,C83,'Salary sheet'!$E$6:$E$2288,B83)</f>
        <v>1</v>
      </c>
      <c r="F83" s="460">
        <f>+SUMIFS('Salary sheet'!$AN$6:$AN$1292,'Salary sheet'!$F$6:$F$1292,'So sánh giờ'!C83,'Salary sheet'!$E$6:$E$1292,'So sánh giờ'!B83)</f>
        <v>7338924</v>
      </c>
      <c r="G83" s="460">
        <f>+SUMIFS('Salary sheet'!$AO$6:$AO$2288,'Salary sheet'!$F$6:$F$2288,C83,'Salary sheet'!$E$6:$E$2288,B83)</f>
        <v>621915</v>
      </c>
      <c r="H83" s="460">
        <f>+SUMIFS('Salary sheet'!$AP$6:$AP$2288,'Salary sheet'!$F$6:$F$2288,C83,'Salary sheet'!$E$6:$E$2288,B83)</f>
        <v>44100</v>
      </c>
      <c r="I83" s="460">
        <f>+SUMIFS('Salary sheet'!$AQ$6:$AQ$2288,'Salary sheet'!$F$6:$F$2288,C83,'Salary sheet'!$E$6:$E$2288,B83)</f>
        <v>0</v>
      </c>
      <c r="J83" s="460">
        <f>+SUMIFS('Salary sheet'!$AR$6:$AR$2288,'Salary sheet'!$F$6:$F$2288,C83,'Salary sheet'!$E$6:$E$2288,B83)</f>
        <v>0</v>
      </c>
      <c r="K83" s="460">
        <f>SUMIFS('Salary sheet'!$AS$6:$AS$1291,'Salary sheet'!$F$6:$F$1291,'So sánh giờ'!C83)</f>
        <v>0</v>
      </c>
      <c r="L83" s="460">
        <f t="shared" si="3"/>
        <v>6672909</v>
      </c>
      <c r="M83" s="1299">
        <f>SUMIFS('Salary sheet'!$M$6:$M$13045,'Salary sheet'!$F$6:$F$13045,'So sánh giờ'!$C83)</f>
        <v>20.9</v>
      </c>
      <c r="N83" s="1299">
        <f>SUMIFS('Salary sheet'!$O$6:$O$13045,'Salary sheet'!$F$6:$F$13045,'So sánh giờ'!$C83)</f>
        <v>2</v>
      </c>
      <c r="O83" s="1299">
        <f>SUMIFS('Salary sheet'!$AA$6:$AA$13045,'Salary sheet'!$F$6:$F$13045,'So sánh giờ'!$C83)</f>
        <v>0</v>
      </c>
      <c r="P83" s="1299">
        <f>SUMIFS('Salary sheet'!$Q$6:$Q$13045,'Salary sheet'!$F$6:$F$13045,'So sánh giờ'!$C83)</f>
        <v>0</v>
      </c>
      <c r="Q83" s="1299">
        <f>SUMIFS('Salary sheet'!$AH$6:$AH$13045,'Salary sheet'!$F$6:$F$13045,'So sánh giờ'!$C83)</f>
        <v>44</v>
      </c>
      <c r="R83" s="1299">
        <f>SUMIFS('Salary sheet'!$AI$6:$AI$13045,'Salary sheet'!$F$6:$F$13045,'So sánh giờ'!$C83)</f>
        <v>0</v>
      </c>
      <c r="S83" s="1299">
        <f>SUMIFS('Salary sheet'!$AJ$6:$AJ$13045,'Salary sheet'!$F$6:$F$13045,'So sánh giờ'!$C83)</f>
        <v>0</v>
      </c>
      <c r="T83" s="1299">
        <f>SUMIFS('Salary sheet'!$AK$6:$AK$13045,'Salary sheet'!$F$6:$F$13045,'So sánh giờ'!$C83)</f>
        <v>0</v>
      </c>
      <c r="U83" s="1299">
        <f>SUMIFS('Salary sheet'!$AL$6:$AL$13045,'Salary sheet'!$F$6:$F$13045,'So sánh giờ'!$C83)</f>
        <v>0</v>
      </c>
      <c r="V83" s="1394">
        <v>1</v>
      </c>
      <c r="W83" s="1392">
        <v>9548819</v>
      </c>
      <c r="X83" s="1392">
        <v>572283</v>
      </c>
      <c r="Y83" s="1392">
        <v>44100</v>
      </c>
      <c r="Z83" s="1392">
        <v>0</v>
      </c>
      <c r="AA83" s="1392">
        <v>0</v>
      </c>
      <c r="AB83" s="1392">
        <v>145520</v>
      </c>
      <c r="AC83" s="1392">
        <v>8786916</v>
      </c>
      <c r="AD83" s="1395">
        <v>24.9</v>
      </c>
      <c r="AE83" s="1395">
        <v>0</v>
      </c>
      <c r="AF83" s="1395">
        <v>0</v>
      </c>
      <c r="AG83" s="1395">
        <v>0</v>
      </c>
      <c r="AH83" s="1395">
        <v>64</v>
      </c>
      <c r="AI83" s="1395">
        <v>0</v>
      </c>
      <c r="AJ83" s="1395">
        <v>0</v>
      </c>
      <c r="AK83" s="1395">
        <v>0</v>
      </c>
      <c r="AL83" s="1395">
        <v>0</v>
      </c>
      <c r="AM83" s="1376">
        <v>1</v>
      </c>
      <c r="AN83" s="1374">
        <v>4738714</v>
      </c>
      <c r="AO83" s="1374">
        <v>0</v>
      </c>
      <c r="AP83" s="1374">
        <v>0</v>
      </c>
      <c r="AQ83" s="1374">
        <v>0</v>
      </c>
      <c r="AR83" s="1374">
        <v>0</v>
      </c>
      <c r="AS83" s="1374">
        <v>0</v>
      </c>
      <c r="AT83" s="1374">
        <v>4738714</v>
      </c>
      <c r="AU83" s="1377">
        <v>14</v>
      </c>
      <c r="AV83" s="1377">
        <v>0</v>
      </c>
      <c r="AW83" s="1377">
        <v>0</v>
      </c>
      <c r="AX83" s="1377">
        <v>0</v>
      </c>
      <c r="AY83" s="1377">
        <v>40</v>
      </c>
      <c r="AZ83" s="1377">
        <v>0</v>
      </c>
      <c r="BA83" s="1377">
        <v>0</v>
      </c>
      <c r="BB83" s="1377">
        <v>0</v>
      </c>
      <c r="BC83" s="1377">
        <v>0</v>
      </c>
      <c r="BD83" s="468">
        <v>1</v>
      </c>
      <c r="BE83" s="460">
        <v>16932665</v>
      </c>
      <c r="BF83" s="460">
        <v>717255</v>
      </c>
      <c r="BG83" s="460">
        <v>44100</v>
      </c>
      <c r="BH83" s="460">
        <v>214793</v>
      </c>
      <c r="BI83" s="460">
        <v>0</v>
      </c>
      <c r="BJ83" s="460">
        <v>0</v>
      </c>
      <c r="BK83" s="460">
        <v>15956517</v>
      </c>
      <c r="BL83" s="1299">
        <v>20</v>
      </c>
      <c r="BM83" s="1299">
        <v>7</v>
      </c>
      <c r="BN83" s="1299">
        <v>0</v>
      </c>
      <c r="BO83" s="1299">
        <v>0</v>
      </c>
      <c r="BP83" s="1299">
        <v>56</v>
      </c>
      <c r="BQ83" s="1299">
        <v>0</v>
      </c>
      <c r="BR83" s="1299">
        <v>0</v>
      </c>
      <c r="BS83" s="1299">
        <v>0</v>
      </c>
      <c r="BT83" s="1299">
        <v>0</v>
      </c>
    </row>
    <row r="84" spans="1:72" s="22" customFormat="1" ht="26.25" customHeight="1">
      <c r="A84" s="464">
        <f>SUBTOTAL(3,B$4:B84)</f>
        <v>81</v>
      </c>
      <c r="B84" s="465" t="s">
        <v>216</v>
      </c>
      <c r="C84" s="466" t="s">
        <v>696</v>
      </c>
      <c r="D84" s="467" t="s">
        <v>712</v>
      </c>
      <c r="E84" s="468">
        <f>COUNTIFS('Salary sheet'!$F$6:$F$2288,C84,'Salary sheet'!$E$6:$E$2288,B84)</f>
        <v>45</v>
      </c>
      <c r="F84" s="460">
        <f>+SUMIFS('Salary sheet'!$AN$6:$AN$1292,'Salary sheet'!$F$6:$F$1292,'So sánh giờ'!C84,'Salary sheet'!$E$6:$E$1292,'So sánh giờ'!B84)</f>
        <v>360878877</v>
      </c>
      <c r="G84" s="460">
        <f>+SUMIFS('Salary sheet'!$AO$6:$AO$2288,'Salary sheet'!$F$6:$F$2288,C84,'Salary sheet'!$E$6:$E$2288,B84)</f>
        <v>21518575</v>
      </c>
      <c r="H84" s="460">
        <f>+SUMIFS('Salary sheet'!$AP$6:$AP$2288,'Salary sheet'!$F$6:$F$2288,C84,'Salary sheet'!$E$6:$E$2288,B84)</f>
        <v>1455300</v>
      </c>
      <c r="I84" s="460">
        <f>+SUMIFS('Salary sheet'!$AQ$6:$AQ$2288,'Salary sheet'!$F$6:$F$2288,C84,'Salary sheet'!$E$6:$E$2288,B84)</f>
        <v>0</v>
      </c>
      <c r="J84" s="460">
        <f>+SUMIFS('Salary sheet'!$AR$6:$AR$2288,'Salary sheet'!$F$6:$F$2288,C84,'Salary sheet'!$E$6:$E$2288,B84)</f>
        <v>0</v>
      </c>
      <c r="K84" s="460">
        <f>SUMIFS('Salary sheet'!$AS$6:$AS$1291,'Salary sheet'!$F$6:$F$1291,'So sánh giờ'!C84)</f>
        <v>177154</v>
      </c>
      <c r="L84" s="460">
        <f t="shared" si="3"/>
        <v>337727848</v>
      </c>
      <c r="M84" s="1299">
        <f>SUMIFS('Salary sheet'!$M$6:$M$13045,'Salary sheet'!$F$6:$F$13045,'So sánh giờ'!$C84)</f>
        <v>943.69999999999993</v>
      </c>
      <c r="N84" s="1299">
        <f>SUMIFS('Salary sheet'!$O$6:$O$13045,'Salary sheet'!$F$6:$F$13045,'So sánh giờ'!$C84)</f>
        <v>104</v>
      </c>
      <c r="O84" s="1299">
        <f>SUMIFS('Salary sheet'!$AA$6:$AA$13045,'Salary sheet'!$F$6:$F$13045,'So sánh giờ'!$C84)</f>
        <v>0</v>
      </c>
      <c r="P84" s="1299">
        <f>SUMIFS('Salary sheet'!$Q$6:$Q$13045,'Salary sheet'!$F$6:$F$13045,'So sánh giờ'!$C84)</f>
        <v>0</v>
      </c>
      <c r="Q84" s="1299">
        <f>SUMIFS('Salary sheet'!$AH$6:$AH$13045,'Salary sheet'!$F$6:$F$13045,'So sánh giờ'!$C84)</f>
        <v>1852</v>
      </c>
      <c r="R84" s="1299">
        <f>SUMIFS('Salary sheet'!$AI$6:$AI$13045,'Salary sheet'!$F$6:$F$13045,'So sánh giờ'!$C84)</f>
        <v>0</v>
      </c>
      <c r="S84" s="1299">
        <f>SUMIFS('Salary sheet'!$AJ$6:$AJ$13045,'Salary sheet'!$F$6:$F$13045,'So sánh giờ'!$C84)</f>
        <v>0</v>
      </c>
      <c r="T84" s="1299">
        <f>SUMIFS('Salary sheet'!$AK$6:$AK$13045,'Salary sheet'!$F$6:$F$13045,'So sánh giờ'!$C84)</f>
        <v>0</v>
      </c>
      <c r="U84" s="1299">
        <f>SUMIFS('Salary sheet'!$AL$6:$AL$13045,'Salary sheet'!$F$6:$F$13045,'So sánh giờ'!$C84)</f>
        <v>0</v>
      </c>
      <c r="V84" s="1394">
        <v>42</v>
      </c>
      <c r="W84" s="1392">
        <v>336245426</v>
      </c>
      <c r="X84" s="1392">
        <v>20011999</v>
      </c>
      <c r="Y84" s="1392">
        <v>1455300</v>
      </c>
      <c r="Z84" s="1392">
        <v>0</v>
      </c>
      <c r="AA84" s="1392">
        <v>0</v>
      </c>
      <c r="AB84" s="1392">
        <v>120211</v>
      </c>
      <c r="AC84" s="1392">
        <v>314657916</v>
      </c>
      <c r="AD84" s="1395">
        <v>900.9</v>
      </c>
      <c r="AE84" s="1395">
        <v>0</v>
      </c>
      <c r="AF84" s="1395">
        <v>0</v>
      </c>
      <c r="AG84" s="1395">
        <v>0</v>
      </c>
      <c r="AH84" s="1395">
        <v>2082.5</v>
      </c>
      <c r="AI84" s="1395">
        <v>0</v>
      </c>
      <c r="AJ84" s="1395">
        <v>0</v>
      </c>
      <c r="AK84" s="1395">
        <v>0</v>
      </c>
      <c r="AL84" s="1395">
        <v>0</v>
      </c>
      <c r="AM84" s="1376">
        <v>41</v>
      </c>
      <c r="AN84" s="1374">
        <v>334125968</v>
      </c>
      <c r="AO84" s="1374">
        <v>21297255</v>
      </c>
      <c r="AP84" s="1374">
        <v>1499400</v>
      </c>
      <c r="AQ84" s="1374">
        <v>0</v>
      </c>
      <c r="AR84" s="1374">
        <v>535000</v>
      </c>
      <c r="AS84" s="1374">
        <v>222769</v>
      </c>
      <c r="AT84" s="1374">
        <v>310571544</v>
      </c>
      <c r="AU84" s="1377">
        <v>739.29999999999984</v>
      </c>
      <c r="AV84" s="1377">
        <v>76</v>
      </c>
      <c r="AW84" s="1377">
        <v>0</v>
      </c>
      <c r="AX84" s="1377">
        <v>0</v>
      </c>
      <c r="AY84" s="1377">
        <v>1827.5</v>
      </c>
      <c r="AZ84" s="1377">
        <v>0</v>
      </c>
      <c r="BA84" s="1377">
        <v>0</v>
      </c>
      <c r="BB84" s="1377">
        <v>0</v>
      </c>
      <c r="BC84" s="1377">
        <v>0</v>
      </c>
      <c r="BD84" s="468">
        <v>38</v>
      </c>
      <c r="BE84" s="460">
        <v>573997848</v>
      </c>
      <c r="BF84" s="460">
        <v>23052855</v>
      </c>
      <c r="BG84" s="460">
        <v>1587600</v>
      </c>
      <c r="BH84" s="460">
        <v>4863437</v>
      </c>
      <c r="BI84" s="460">
        <v>0</v>
      </c>
      <c r="BJ84" s="460">
        <v>0</v>
      </c>
      <c r="BK84" s="460">
        <v>544493956</v>
      </c>
      <c r="BL84" s="1299">
        <v>718.49999999999989</v>
      </c>
      <c r="BM84" s="1299">
        <v>263</v>
      </c>
      <c r="BN84" s="1299">
        <v>0</v>
      </c>
      <c r="BO84" s="1299">
        <v>0</v>
      </c>
      <c r="BP84" s="1299">
        <v>2109</v>
      </c>
      <c r="BQ84" s="1299">
        <v>135.5</v>
      </c>
      <c r="BR84" s="1299">
        <v>0</v>
      </c>
      <c r="BS84" s="1299">
        <v>0</v>
      </c>
      <c r="BT84" s="1299">
        <v>0</v>
      </c>
    </row>
    <row r="85" spans="1:72" s="22" customFormat="1" ht="26.25" customHeight="1">
      <c r="A85" s="464">
        <f>SUBTOTAL(3,B$4:B85)</f>
        <v>82</v>
      </c>
      <c r="B85" s="465" t="s">
        <v>216</v>
      </c>
      <c r="C85" s="466" t="s">
        <v>697</v>
      </c>
      <c r="D85" s="467" t="s">
        <v>470</v>
      </c>
      <c r="E85" s="468">
        <f>COUNTIFS('Salary sheet'!$F$6:$F$2288,C85,'Salary sheet'!$E$6:$E$2288,B85)</f>
        <v>19</v>
      </c>
      <c r="F85" s="460">
        <f>+SUMIFS('Salary sheet'!$AN$6:$AN$1292,'Salary sheet'!$F$6:$F$1292,'So sánh giờ'!C85,'Salary sheet'!$E$6:$E$1292,'So sánh giờ'!B85)</f>
        <v>189417094</v>
      </c>
      <c r="G85" s="460">
        <f>+SUMIFS('Salary sheet'!$AO$6:$AO$2288,'Salary sheet'!$F$6:$F$2288,C85,'Salary sheet'!$E$6:$E$2288,B85)</f>
        <v>12382335</v>
      </c>
      <c r="H85" s="460">
        <f>+SUMIFS('Salary sheet'!$AP$6:$AP$2288,'Salary sheet'!$F$6:$F$2288,C85,'Salary sheet'!$E$6:$E$2288,B85)</f>
        <v>749700</v>
      </c>
      <c r="I85" s="460">
        <f>+SUMIFS('Salary sheet'!$AQ$6:$AQ$2288,'Salary sheet'!$F$6:$F$2288,C85,'Salary sheet'!$E$6:$E$2288,B85)</f>
        <v>12657</v>
      </c>
      <c r="J85" s="460">
        <f>+SUMIFS('Salary sheet'!$AR$6:$AR$2288,'Salary sheet'!$F$6:$F$2288,C85,'Salary sheet'!$E$6:$E$2288,B85)</f>
        <v>0</v>
      </c>
      <c r="K85" s="460">
        <f>SUMIFS('Salary sheet'!$AS$6:$AS$1291,'Salary sheet'!$F$6:$F$1291,'So sánh giờ'!C85)</f>
        <v>0</v>
      </c>
      <c r="L85" s="460">
        <f t="shared" si="3"/>
        <v>176272402</v>
      </c>
      <c r="M85" s="1299">
        <f>SUMIFS('Salary sheet'!$M$6:$M$13045,'Salary sheet'!$F$6:$F$13045,'So sánh giờ'!$C85)</f>
        <v>421.3</v>
      </c>
      <c r="N85" s="1299">
        <f>SUMIFS('Salary sheet'!$O$6:$O$13045,'Salary sheet'!$F$6:$F$13045,'So sánh giờ'!$C85)</f>
        <v>51</v>
      </c>
      <c r="O85" s="1299">
        <f>SUMIFS('Salary sheet'!$AA$6:$AA$13045,'Salary sheet'!$F$6:$F$13045,'So sánh giờ'!$C85)</f>
        <v>0</v>
      </c>
      <c r="P85" s="1299">
        <f>SUMIFS('Salary sheet'!$Q$6:$Q$13045,'Salary sheet'!$F$6:$F$13045,'So sánh giờ'!$C85)</f>
        <v>0</v>
      </c>
      <c r="Q85" s="1299">
        <f>SUMIFS('Salary sheet'!$AH$6:$AH$13045,'Salary sheet'!$F$6:$F$13045,'So sánh giờ'!$C85)</f>
        <v>852</v>
      </c>
      <c r="R85" s="1299">
        <f>SUMIFS('Salary sheet'!$AI$6:$AI$13045,'Salary sheet'!$F$6:$F$13045,'So sánh giờ'!$C85)</f>
        <v>0</v>
      </c>
      <c r="S85" s="1299">
        <f>SUMIFS('Salary sheet'!$AJ$6:$AJ$13045,'Salary sheet'!$F$6:$F$13045,'So sánh giờ'!$C85)</f>
        <v>0</v>
      </c>
      <c r="T85" s="1299">
        <f>SUMIFS('Salary sheet'!$AK$6:$AK$13045,'Salary sheet'!$F$6:$F$13045,'So sánh giờ'!$C85)</f>
        <v>0</v>
      </c>
      <c r="U85" s="1299">
        <f>SUMIFS('Salary sheet'!$AL$6:$AL$13045,'Salary sheet'!$F$6:$F$13045,'So sánh giờ'!$C85)</f>
        <v>0</v>
      </c>
      <c r="V85" s="1394">
        <v>25</v>
      </c>
      <c r="W85" s="1392">
        <v>262698291</v>
      </c>
      <c r="X85" s="1392">
        <v>17035620</v>
      </c>
      <c r="Y85" s="1392">
        <v>1102500</v>
      </c>
      <c r="Z85" s="1392">
        <v>20011</v>
      </c>
      <c r="AA85" s="1392">
        <v>0</v>
      </c>
      <c r="AB85" s="1392">
        <v>0</v>
      </c>
      <c r="AC85" s="1392">
        <v>244540160</v>
      </c>
      <c r="AD85" s="1395">
        <v>595.10000000000014</v>
      </c>
      <c r="AE85" s="1395">
        <v>1</v>
      </c>
      <c r="AF85" s="1395">
        <v>0</v>
      </c>
      <c r="AG85" s="1395">
        <v>0</v>
      </c>
      <c r="AH85" s="1395">
        <v>1500</v>
      </c>
      <c r="AI85" s="1395">
        <v>0</v>
      </c>
      <c r="AJ85" s="1395">
        <v>0</v>
      </c>
      <c r="AK85" s="1395">
        <v>0</v>
      </c>
      <c r="AL85" s="1395">
        <v>0</v>
      </c>
      <c r="AM85" s="1376">
        <v>26</v>
      </c>
      <c r="AN85" s="1374">
        <v>272148556</v>
      </c>
      <c r="AO85" s="1374">
        <v>18311685</v>
      </c>
      <c r="AP85" s="1374">
        <v>1146600</v>
      </c>
      <c r="AQ85" s="1374">
        <v>0</v>
      </c>
      <c r="AR85" s="1374">
        <v>610000</v>
      </c>
      <c r="AS85" s="1374">
        <v>0</v>
      </c>
      <c r="AT85" s="1374">
        <v>252080271</v>
      </c>
      <c r="AU85" s="1377">
        <v>533.5</v>
      </c>
      <c r="AV85" s="1377">
        <v>69</v>
      </c>
      <c r="AW85" s="1377">
        <v>0</v>
      </c>
      <c r="AX85" s="1377">
        <v>0</v>
      </c>
      <c r="AY85" s="1377">
        <v>1256</v>
      </c>
      <c r="AZ85" s="1377">
        <v>0</v>
      </c>
      <c r="BA85" s="1377">
        <v>0</v>
      </c>
      <c r="BB85" s="1377">
        <v>0</v>
      </c>
      <c r="BC85" s="1377">
        <v>0</v>
      </c>
      <c r="BD85" s="468">
        <v>25</v>
      </c>
      <c r="BE85" s="460">
        <v>424415216</v>
      </c>
      <c r="BF85" s="460">
        <v>17552430</v>
      </c>
      <c r="BG85" s="460">
        <v>1102500</v>
      </c>
      <c r="BH85" s="460">
        <v>4451244</v>
      </c>
      <c r="BI85" s="460">
        <v>0</v>
      </c>
      <c r="BJ85" s="460">
        <v>0</v>
      </c>
      <c r="BK85" s="460">
        <v>401309042</v>
      </c>
      <c r="BL85" s="1299">
        <v>492.3</v>
      </c>
      <c r="BM85" s="1299">
        <v>175</v>
      </c>
      <c r="BN85" s="1299">
        <v>0</v>
      </c>
      <c r="BO85" s="1299">
        <v>0</v>
      </c>
      <c r="BP85" s="1299">
        <v>1352</v>
      </c>
      <c r="BQ85" s="1299">
        <v>32</v>
      </c>
      <c r="BR85" s="1299">
        <v>0</v>
      </c>
      <c r="BS85" s="1299">
        <v>0</v>
      </c>
      <c r="BT85" s="1299">
        <v>0</v>
      </c>
    </row>
    <row r="86" spans="1:72" s="22" customFormat="1" ht="26.25" customHeight="1">
      <c r="A86" s="464">
        <f>SUBTOTAL(3,B$4:B86)</f>
        <v>83</v>
      </c>
      <c r="B86" s="465" t="s">
        <v>216</v>
      </c>
      <c r="C86" s="466" t="s">
        <v>698</v>
      </c>
      <c r="D86" s="467" t="s">
        <v>713</v>
      </c>
      <c r="E86" s="468">
        <f>COUNTIFS('Salary sheet'!$F$6:$F$2288,C86,'Salary sheet'!$E$6:$E$2288,B86)</f>
        <v>19</v>
      </c>
      <c r="F86" s="460">
        <f>+SUMIFS('Salary sheet'!$AN$6:$AN$1292,'Salary sheet'!$F$6:$F$1292,'So sánh giờ'!C86,'Salary sheet'!$E$6:$E$1292,'So sánh giờ'!B86)</f>
        <v>169083679</v>
      </c>
      <c r="G86" s="460">
        <f>+SUMIFS('Salary sheet'!$AO$6:$AO$2288,'Salary sheet'!$F$6:$F$2288,C86,'Salary sheet'!$E$6:$E$2288,B86)</f>
        <v>11531625</v>
      </c>
      <c r="H86" s="460">
        <f>+SUMIFS('Salary sheet'!$AP$6:$AP$2288,'Salary sheet'!$F$6:$F$2288,C86,'Salary sheet'!$E$6:$E$2288,B86)</f>
        <v>793800</v>
      </c>
      <c r="I86" s="460">
        <f>+SUMIFS('Salary sheet'!$AQ$6:$AQ$2288,'Salary sheet'!$F$6:$F$2288,C86,'Salary sheet'!$E$6:$E$2288,B86)</f>
        <v>0</v>
      </c>
      <c r="J86" s="460">
        <f>+SUMIFS('Salary sheet'!$AR$6:$AR$2288,'Salary sheet'!$F$6:$F$2288,C86,'Salary sheet'!$E$6:$E$2288,B86)</f>
        <v>0</v>
      </c>
      <c r="K86" s="460">
        <f>SUMIFS('Salary sheet'!$AS$6:$AS$1291,'Salary sheet'!$F$6:$F$1291,'So sánh giờ'!C86)</f>
        <v>0</v>
      </c>
      <c r="L86" s="460">
        <f t="shared" si="3"/>
        <v>156758254</v>
      </c>
      <c r="M86" s="1299">
        <f>SUMIFS('Salary sheet'!$M$6:$M$13045,'Salary sheet'!$F$6:$F$13045,'So sánh giờ'!$C86)</f>
        <v>422.20000000000005</v>
      </c>
      <c r="N86" s="1299">
        <f>SUMIFS('Salary sheet'!$O$6:$O$13045,'Salary sheet'!$F$6:$F$13045,'So sánh giờ'!$C86)</f>
        <v>42</v>
      </c>
      <c r="O86" s="1299">
        <f>SUMIFS('Salary sheet'!$AA$6:$AA$13045,'Salary sheet'!$F$6:$F$13045,'So sánh giờ'!$C86)</f>
        <v>0</v>
      </c>
      <c r="P86" s="1299">
        <f>SUMIFS('Salary sheet'!$Q$6:$Q$13045,'Salary sheet'!$F$6:$F$13045,'So sánh giờ'!$C86)</f>
        <v>0</v>
      </c>
      <c r="Q86" s="1299">
        <f>SUMIFS('Salary sheet'!$AH$6:$AH$13045,'Salary sheet'!$F$6:$F$13045,'So sánh giờ'!$C86)</f>
        <v>807.5</v>
      </c>
      <c r="R86" s="1299">
        <f>SUMIFS('Salary sheet'!$AI$6:$AI$13045,'Salary sheet'!$F$6:$F$13045,'So sánh giờ'!$C86)</f>
        <v>0</v>
      </c>
      <c r="S86" s="1299">
        <f>SUMIFS('Salary sheet'!$AJ$6:$AJ$13045,'Salary sheet'!$F$6:$F$13045,'So sánh giờ'!$C86)</f>
        <v>0</v>
      </c>
      <c r="T86" s="1299">
        <f>SUMIFS('Salary sheet'!$AK$6:$AK$13045,'Salary sheet'!$F$6:$F$13045,'So sánh giờ'!$C86)</f>
        <v>0</v>
      </c>
      <c r="U86" s="1299">
        <f>SUMIFS('Salary sheet'!$AL$6:$AL$13045,'Salary sheet'!$F$6:$F$13045,'So sánh giờ'!$C86)</f>
        <v>0</v>
      </c>
      <c r="V86" s="1394">
        <v>19</v>
      </c>
      <c r="W86" s="1392">
        <v>181603651</v>
      </c>
      <c r="X86" s="1392">
        <v>11415285</v>
      </c>
      <c r="Y86" s="1392">
        <v>837900</v>
      </c>
      <c r="Z86" s="1392">
        <v>0</v>
      </c>
      <c r="AA86" s="1392">
        <v>0</v>
      </c>
      <c r="AB86" s="1392">
        <v>0</v>
      </c>
      <c r="AC86" s="1392">
        <v>169350466</v>
      </c>
      <c r="AD86" s="1395">
        <v>458.9</v>
      </c>
      <c r="AE86" s="1395">
        <v>3</v>
      </c>
      <c r="AF86" s="1395">
        <v>0</v>
      </c>
      <c r="AG86" s="1395">
        <v>0</v>
      </c>
      <c r="AH86" s="1395">
        <v>1110</v>
      </c>
      <c r="AI86" s="1395">
        <v>0</v>
      </c>
      <c r="AJ86" s="1395">
        <v>0</v>
      </c>
      <c r="AK86" s="1395">
        <v>0</v>
      </c>
      <c r="AL86" s="1395">
        <v>0</v>
      </c>
      <c r="AM86" s="1376">
        <v>20</v>
      </c>
      <c r="AN86" s="1374">
        <v>189032446</v>
      </c>
      <c r="AO86" s="1374">
        <v>12649350</v>
      </c>
      <c r="AP86" s="1374">
        <v>882000</v>
      </c>
      <c r="AQ86" s="1374">
        <v>0</v>
      </c>
      <c r="AR86" s="1374">
        <v>520000</v>
      </c>
      <c r="AS86" s="1374">
        <v>0</v>
      </c>
      <c r="AT86" s="1374">
        <v>174981096</v>
      </c>
      <c r="AU86" s="1377">
        <v>420.40000000000003</v>
      </c>
      <c r="AV86" s="1377">
        <v>40</v>
      </c>
      <c r="AW86" s="1377">
        <v>0</v>
      </c>
      <c r="AX86" s="1377">
        <v>0</v>
      </c>
      <c r="AY86" s="1377">
        <v>968</v>
      </c>
      <c r="AZ86" s="1377">
        <v>0</v>
      </c>
      <c r="BA86" s="1377">
        <v>0</v>
      </c>
      <c r="BB86" s="1377">
        <v>0</v>
      </c>
      <c r="BC86" s="1377">
        <v>0</v>
      </c>
      <c r="BD86" s="468">
        <v>21</v>
      </c>
      <c r="BE86" s="460">
        <v>321940389</v>
      </c>
      <c r="BF86" s="460">
        <v>13176765</v>
      </c>
      <c r="BG86" s="460">
        <v>926100</v>
      </c>
      <c r="BH86" s="460">
        <v>3215671</v>
      </c>
      <c r="BI86" s="460">
        <v>0</v>
      </c>
      <c r="BJ86" s="460">
        <v>0</v>
      </c>
      <c r="BK86" s="460">
        <v>304621853</v>
      </c>
      <c r="BL86" s="1299">
        <v>406.8</v>
      </c>
      <c r="BM86" s="1299">
        <v>146</v>
      </c>
      <c r="BN86" s="1299">
        <v>0</v>
      </c>
      <c r="BO86" s="1299">
        <v>0</v>
      </c>
      <c r="BP86" s="1299">
        <v>1160</v>
      </c>
      <c r="BQ86" s="1299">
        <v>104</v>
      </c>
      <c r="BR86" s="1299">
        <v>0</v>
      </c>
      <c r="BS86" s="1299">
        <v>0</v>
      </c>
      <c r="BT86" s="1299">
        <v>0</v>
      </c>
    </row>
    <row r="87" spans="1:72" s="22" customFormat="1" ht="26.25" customHeight="1">
      <c r="A87" s="464">
        <f>SUBTOTAL(3,B$4:B87)</f>
        <v>84</v>
      </c>
      <c r="B87" s="465" t="s">
        <v>216</v>
      </c>
      <c r="C87" s="466" t="s">
        <v>238</v>
      </c>
      <c r="D87" s="467" t="s">
        <v>471</v>
      </c>
      <c r="E87" s="468">
        <f>COUNTIFS('Salary sheet'!$F$6:$F$2288,C87,'Salary sheet'!$E$6:$E$2288,B87)</f>
        <v>2</v>
      </c>
      <c r="F87" s="460">
        <f>+SUMIFS('Salary sheet'!$AN$6:$AN$1292,'Salary sheet'!$F$6:$F$1292,'So sánh giờ'!C87,'Salary sheet'!$E$6:$E$1292,'So sánh giờ'!B87)</f>
        <v>23917406</v>
      </c>
      <c r="G87" s="460">
        <f>+SUMIFS('Salary sheet'!$AO$6:$AO$2288,'Salary sheet'!$F$6:$F$2288,C87,'Salary sheet'!$E$6:$E$2288,B87)</f>
        <v>1602090</v>
      </c>
      <c r="H87" s="460">
        <f>+SUMIFS('Salary sheet'!$AP$6:$AP$2288,'Salary sheet'!$F$6:$F$2288,C87,'Salary sheet'!$E$6:$E$2288,B87)</f>
        <v>88200</v>
      </c>
      <c r="I87" s="460">
        <f>+SUMIFS('Salary sheet'!$AQ$6:$AQ$2288,'Salary sheet'!$F$6:$F$2288,C87,'Salary sheet'!$E$6:$E$2288,B87)</f>
        <v>0</v>
      </c>
      <c r="J87" s="460">
        <f>+SUMIFS('Salary sheet'!$AR$6:$AR$2288,'Salary sheet'!$F$6:$F$2288,C87,'Salary sheet'!$E$6:$E$2288,B87)</f>
        <v>0</v>
      </c>
      <c r="K87" s="460">
        <f>SUMIFS('Salary sheet'!$AS$6:$AS$1291,'Salary sheet'!$F$6:$F$1291,'So sánh giờ'!C87)</f>
        <v>0</v>
      </c>
      <c r="L87" s="460">
        <f t="shared" si="3"/>
        <v>22227116</v>
      </c>
      <c r="M87" s="1299">
        <f>SUMIFS('Salary sheet'!$M$6:$M$13045,'Salary sheet'!$F$6:$F$13045,'So sánh giờ'!$C87)</f>
        <v>47.7</v>
      </c>
      <c r="N87" s="1299">
        <f>SUMIFS('Salary sheet'!$O$6:$O$13045,'Salary sheet'!$F$6:$F$13045,'So sánh giờ'!$C87)</f>
        <v>4</v>
      </c>
      <c r="O87" s="1299">
        <f>SUMIFS('Salary sheet'!$AA$6:$AA$13045,'Salary sheet'!$F$6:$F$13045,'So sánh giờ'!$C87)</f>
        <v>0</v>
      </c>
      <c r="P87" s="1299">
        <f>SUMIFS('Salary sheet'!$Q$6:$Q$13045,'Salary sheet'!$F$6:$F$13045,'So sánh giờ'!$C87)</f>
        <v>0</v>
      </c>
      <c r="Q87" s="1299">
        <f>SUMIFS('Salary sheet'!$AH$6:$AH$13045,'Salary sheet'!$F$6:$F$13045,'So sánh giờ'!$C87)</f>
        <v>104</v>
      </c>
      <c r="R87" s="1299">
        <f>SUMIFS('Salary sheet'!$AI$6:$AI$13045,'Salary sheet'!$F$6:$F$13045,'So sánh giờ'!$C87)</f>
        <v>0</v>
      </c>
      <c r="S87" s="1299">
        <f>SUMIFS('Salary sheet'!$AJ$6:$AJ$13045,'Salary sheet'!$F$6:$F$13045,'So sánh giờ'!$C87)</f>
        <v>0</v>
      </c>
      <c r="T87" s="1299">
        <f>SUMIFS('Salary sheet'!$AK$6:$AK$13045,'Salary sheet'!$F$6:$F$13045,'So sánh giờ'!$C87)</f>
        <v>0</v>
      </c>
      <c r="U87" s="1299">
        <f>SUMIFS('Salary sheet'!$AL$6:$AL$13045,'Salary sheet'!$F$6:$F$13045,'So sánh giờ'!$C87)</f>
        <v>0</v>
      </c>
      <c r="V87" s="1394">
        <v>2</v>
      </c>
      <c r="W87" s="1392">
        <v>25763497</v>
      </c>
      <c r="X87" s="1392">
        <v>1589280</v>
      </c>
      <c r="Y87" s="1392">
        <v>88200</v>
      </c>
      <c r="Z87" s="1392">
        <v>20667</v>
      </c>
      <c r="AA87" s="1392">
        <v>0</v>
      </c>
      <c r="AB87" s="1392">
        <v>0</v>
      </c>
      <c r="AC87" s="1392">
        <v>24065350</v>
      </c>
      <c r="AD87" s="1395">
        <v>52</v>
      </c>
      <c r="AE87" s="1395">
        <v>0</v>
      </c>
      <c r="AF87" s="1395">
        <v>0</v>
      </c>
      <c r="AG87" s="1395">
        <v>0</v>
      </c>
      <c r="AH87" s="1395">
        <v>136</v>
      </c>
      <c r="AI87" s="1395">
        <v>0</v>
      </c>
      <c r="AJ87" s="1395">
        <v>0</v>
      </c>
      <c r="AK87" s="1395">
        <v>0</v>
      </c>
      <c r="AL87" s="1395">
        <v>0</v>
      </c>
      <c r="AM87" s="1376">
        <v>2</v>
      </c>
      <c r="AN87" s="1374">
        <v>23999646</v>
      </c>
      <c r="AO87" s="1374">
        <v>1589280</v>
      </c>
      <c r="AP87" s="1374">
        <v>88200</v>
      </c>
      <c r="AQ87" s="1374">
        <v>22192</v>
      </c>
      <c r="AR87" s="1374">
        <v>67000</v>
      </c>
      <c r="AS87" s="1374">
        <v>0</v>
      </c>
      <c r="AT87" s="1374">
        <v>22232974</v>
      </c>
      <c r="AU87" s="1377">
        <v>43.6</v>
      </c>
      <c r="AV87" s="1377">
        <v>3</v>
      </c>
      <c r="AW87" s="1377">
        <v>0</v>
      </c>
      <c r="AX87" s="1377">
        <v>0</v>
      </c>
      <c r="AY87" s="1377">
        <v>104</v>
      </c>
      <c r="AZ87" s="1377">
        <v>0</v>
      </c>
      <c r="BA87" s="1377">
        <v>0</v>
      </c>
      <c r="BB87" s="1377">
        <v>0</v>
      </c>
      <c r="BC87" s="1377">
        <v>0</v>
      </c>
      <c r="BD87" s="468">
        <v>2</v>
      </c>
      <c r="BE87" s="460">
        <v>37296015</v>
      </c>
      <c r="BF87" s="460">
        <v>1568280</v>
      </c>
      <c r="BG87" s="460">
        <v>88200</v>
      </c>
      <c r="BH87" s="460">
        <v>669508</v>
      </c>
      <c r="BI87" s="460">
        <v>0</v>
      </c>
      <c r="BJ87" s="460">
        <v>0</v>
      </c>
      <c r="BK87" s="460">
        <v>34970027</v>
      </c>
      <c r="BL87" s="1299">
        <v>39</v>
      </c>
      <c r="BM87" s="1299">
        <v>14</v>
      </c>
      <c r="BN87" s="1299">
        <v>0</v>
      </c>
      <c r="BO87" s="1299">
        <v>0</v>
      </c>
      <c r="BP87" s="1299">
        <v>113</v>
      </c>
      <c r="BQ87" s="1299">
        <v>8</v>
      </c>
      <c r="BR87" s="1299">
        <v>0</v>
      </c>
      <c r="BS87" s="1299">
        <v>0</v>
      </c>
      <c r="BT87" s="1299">
        <v>0</v>
      </c>
    </row>
    <row r="88" spans="1:72" s="22" customFormat="1" ht="26.25" customHeight="1">
      <c r="A88" s="464">
        <f>SUBTOTAL(3,B$4:B88)</f>
        <v>85</v>
      </c>
      <c r="B88" s="465" t="s">
        <v>216</v>
      </c>
      <c r="C88" s="466" t="s">
        <v>699</v>
      </c>
      <c r="D88" s="467" t="s">
        <v>714</v>
      </c>
      <c r="E88" s="468">
        <f>COUNTIFS('Salary sheet'!$F$6:$F$2288,C88,'Salary sheet'!$E$6:$E$2288,B88)</f>
        <v>33</v>
      </c>
      <c r="F88" s="460">
        <f>+SUMIFS('Salary sheet'!$AN$6:$AN$1292,'Salary sheet'!$F$6:$F$1292,'So sánh giờ'!C88,'Salary sheet'!$E$6:$E$1292,'So sánh giờ'!B88)</f>
        <v>325641433</v>
      </c>
      <c r="G88" s="460">
        <f>+SUMIFS('Salary sheet'!$AO$6:$AO$2288,'Salary sheet'!$F$6:$F$2288,C88,'Salary sheet'!$E$6:$E$2288,B88)</f>
        <v>22013040</v>
      </c>
      <c r="H88" s="460">
        <f>+SUMIFS('Salary sheet'!$AP$6:$AP$2288,'Salary sheet'!$F$6:$F$2288,C88,'Salary sheet'!$E$6:$E$2288,B88)</f>
        <v>1455300</v>
      </c>
      <c r="I88" s="460">
        <f>+SUMIFS('Salary sheet'!$AQ$6:$AQ$2288,'Salary sheet'!$F$6:$F$2288,C88,'Salary sheet'!$E$6:$E$2288,B88)</f>
        <v>0</v>
      </c>
      <c r="J88" s="460">
        <f>+SUMIFS('Salary sheet'!$AR$6:$AR$2288,'Salary sheet'!$F$6:$F$2288,C88,'Salary sheet'!$E$6:$E$2288,B88)</f>
        <v>0</v>
      </c>
      <c r="K88" s="460">
        <f>SUMIFS('Salary sheet'!$AS$6:$AS$1291,'Salary sheet'!$F$6:$F$1291,'So sánh giờ'!C88)</f>
        <v>0</v>
      </c>
      <c r="L88" s="460">
        <f t="shared" si="3"/>
        <v>302173093</v>
      </c>
      <c r="M88" s="1299">
        <f>SUMIFS('Salary sheet'!$M$6:$M$13045,'Salary sheet'!$F$6:$F$13045,'So sánh giờ'!$C88)</f>
        <v>752.79999999999984</v>
      </c>
      <c r="N88" s="1299">
        <f>SUMIFS('Salary sheet'!$O$6:$O$13045,'Salary sheet'!$F$6:$F$13045,'So sánh giờ'!$C88)</f>
        <v>84</v>
      </c>
      <c r="O88" s="1299">
        <f>SUMIFS('Salary sheet'!$AA$6:$AA$13045,'Salary sheet'!$F$6:$F$13045,'So sánh giờ'!$C88)</f>
        <v>0</v>
      </c>
      <c r="P88" s="1299">
        <f>SUMIFS('Salary sheet'!$Q$6:$Q$13045,'Salary sheet'!$F$6:$F$13045,'So sánh giờ'!$C88)</f>
        <v>0</v>
      </c>
      <c r="Q88" s="1299">
        <f>SUMIFS('Salary sheet'!$AH$6:$AH$13045,'Salary sheet'!$F$6:$F$13045,'So sánh giờ'!$C88)</f>
        <v>1488</v>
      </c>
      <c r="R88" s="1299">
        <f>SUMIFS('Salary sheet'!$AI$6:$AI$13045,'Salary sheet'!$F$6:$F$13045,'So sánh giờ'!$C88)</f>
        <v>0</v>
      </c>
      <c r="S88" s="1299">
        <f>SUMIFS('Salary sheet'!$AJ$6:$AJ$13045,'Salary sheet'!$F$6:$F$13045,'So sánh giờ'!$C88)</f>
        <v>0</v>
      </c>
      <c r="T88" s="1299">
        <f>SUMIFS('Salary sheet'!$AK$6:$AK$13045,'Salary sheet'!$F$6:$F$13045,'So sánh giờ'!$C88)</f>
        <v>0</v>
      </c>
      <c r="U88" s="1299">
        <f>SUMIFS('Salary sheet'!$AL$6:$AL$13045,'Salary sheet'!$F$6:$F$13045,'So sánh giờ'!$C88)</f>
        <v>0</v>
      </c>
      <c r="V88" s="1394">
        <v>35</v>
      </c>
      <c r="W88" s="1392">
        <v>337906930</v>
      </c>
      <c r="X88" s="1392">
        <v>20816355</v>
      </c>
      <c r="Y88" s="1392">
        <v>1411200</v>
      </c>
      <c r="Z88" s="1392">
        <v>0</v>
      </c>
      <c r="AA88" s="1392">
        <v>0</v>
      </c>
      <c r="AB88" s="1392">
        <v>0</v>
      </c>
      <c r="AC88" s="1392">
        <v>315679375</v>
      </c>
      <c r="AD88" s="1395">
        <v>823.2</v>
      </c>
      <c r="AE88" s="1395">
        <v>1</v>
      </c>
      <c r="AF88" s="1395">
        <v>0</v>
      </c>
      <c r="AG88" s="1395">
        <v>0</v>
      </c>
      <c r="AH88" s="1395">
        <v>1849</v>
      </c>
      <c r="AI88" s="1395">
        <v>0</v>
      </c>
      <c r="AJ88" s="1395">
        <v>0</v>
      </c>
      <c r="AK88" s="1395">
        <v>0</v>
      </c>
      <c r="AL88" s="1395">
        <v>0</v>
      </c>
      <c r="AM88" s="1376">
        <v>34</v>
      </c>
      <c r="AN88" s="1374">
        <v>303835479</v>
      </c>
      <c r="AO88" s="1374">
        <v>20765325</v>
      </c>
      <c r="AP88" s="1374">
        <v>1455300</v>
      </c>
      <c r="AQ88" s="1374">
        <v>0</v>
      </c>
      <c r="AR88" s="1374">
        <v>400000</v>
      </c>
      <c r="AS88" s="1374">
        <v>0</v>
      </c>
      <c r="AT88" s="1374">
        <v>281214854</v>
      </c>
      <c r="AU88" s="1377">
        <v>655.30000000000007</v>
      </c>
      <c r="AV88" s="1377">
        <v>66</v>
      </c>
      <c r="AW88" s="1377">
        <v>0</v>
      </c>
      <c r="AX88" s="1377">
        <v>0</v>
      </c>
      <c r="AY88" s="1377">
        <v>1301.5</v>
      </c>
      <c r="AZ88" s="1377">
        <v>0</v>
      </c>
      <c r="BA88" s="1377">
        <v>0</v>
      </c>
      <c r="BB88" s="1377">
        <v>0</v>
      </c>
      <c r="BC88" s="1377">
        <v>0</v>
      </c>
      <c r="BD88" s="468">
        <v>33</v>
      </c>
      <c r="BE88" s="460">
        <v>518706829</v>
      </c>
      <c r="BF88" s="460">
        <v>22058715</v>
      </c>
      <c r="BG88" s="460">
        <v>1455300</v>
      </c>
      <c r="BH88" s="460">
        <v>4493704</v>
      </c>
      <c r="BI88" s="460">
        <v>0</v>
      </c>
      <c r="BJ88" s="460">
        <v>0</v>
      </c>
      <c r="BK88" s="460">
        <v>490699110</v>
      </c>
      <c r="BL88" s="1299">
        <v>603.30000000000007</v>
      </c>
      <c r="BM88" s="1299">
        <v>229</v>
      </c>
      <c r="BN88" s="1299">
        <v>0</v>
      </c>
      <c r="BO88" s="1299">
        <v>0</v>
      </c>
      <c r="BP88" s="1299">
        <v>1793.5</v>
      </c>
      <c r="BQ88" s="1299">
        <v>165.5</v>
      </c>
      <c r="BR88" s="1299">
        <v>0</v>
      </c>
      <c r="BS88" s="1299">
        <v>0</v>
      </c>
      <c r="BT88" s="1299">
        <v>0</v>
      </c>
    </row>
    <row r="89" spans="1:72" s="22" customFormat="1" ht="26.25" customHeight="1">
      <c r="A89" s="464">
        <f>SUBTOTAL(3,B$4:B89)</f>
        <v>86</v>
      </c>
      <c r="B89" s="465" t="s">
        <v>216</v>
      </c>
      <c r="C89" s="466" t="s">
        <v>511</v>
      </c>
      <c r="D89" s="467" t="s">
        <v>472</v>
      </c>
      <c r="E89" s="468">
        <f>COUNTIFS('Salary sheet'!$F$6:$F$2288,C89,'Salary sheet'!$E$6:$E$2288,B89)</f>
        <v>5</v>
      </c>
      <c r="F89" s="460">
        <f>+SUMIFS('Salary sheet'!$AN$6:$AN$1292,'Salary sheet'!$F$6:$F$1292,'So sánh giờ'!C89,'Salary sheet'!$E$6:$E$1292,'So sánh giờ'!B89)</f>
        <v>103816917</v>
      </c>
      <c r="G89" s="460">
        <f>+SUMIFS('Salary sheet'!$AO$6:$AO$2288,'Salary sheet'!$F$6:$F$2288,C89,'Salary sheet'!$E$6:$E$2288,B89)</f>
        <v>9012675</v>
      </c>
      <c r="H89" s="460">
        <f>+SUMIFS('Salary sheet'!$AP$6:$AP$2288,'Salary sheet'!$F$6:$F$2288,C89,'Salary sheet'!$E$6:$E$2288,B89)</f>
        <v>220500</v>
      </c>
      <c r="I89" s="460">
        <f>+SUMIFS('Salary sheet'!$AQ$6:$AQ$2288,'Salary sheet'!$F$6:$F$2288,C89,'Salary sheet'!$E$6:$E$2288,B89)</f>
        <v>210288</v>
      </c>
      <c r="J89" s="460">
        <f>+SUMIFS('Salary sheet'!$AR$6:$AR$2288,'Salary sheet'!$F$6:$F$2288,C89,'Salary sheet'!$E$6:$E$2288,B89)</f>
        <v>0</v>
      </c>
      <c r="K89" s="460">
        <f>SUMIFS('Salary sheet'!$AS$6:$AS$1291,'Salary sheet'!$F$6:$F$1291,'So sánh giờ'!C89)</f>
        <v>0</v>
      </c>
      <c r="L89" s="460">
        <f t="shared" si="3"/>
        <v>94373454</v>
      </c>
      <c r="M89" s="1299">
        <f>SUMIFS('Salary sheet'!$M$6:$M$13045,'Salary sheet'!$F$6:$F$13045,'So sánh giờ'!$C89)</f>
        <v>119.10000000000001</v>
      </c>
      <c r="N89" s="1299">
        <f>SUMIFS('Salary sheet'!$O$6:$O$13045,'Salary sheet'!$F$6:$F$13045,'So sánh giờ'!$C89)</f>
        <v>10</v>
      </c>
      <c r="O89" s="1299">
        <f>SUMIFS('Salary sheet'!$AA$6:$AA$13045,'Salary sheet'!$F$6:$F$13045,'So sánh giờ'!$C89)</f>
        <v>0</v>
      </c>
      <c r="P89" s="1299">
        <f>SUMIFS('Salary sheet'!$Q$6:$Q$13045,'Salary sheet'!$F$6:$F$13045,'So sánh giờ'!$C89)</f>
        <v>0</v>
      </c>
      <c r="Q89" s="1299">
        <f>SUMIFS('Salary sheet'!$AH$6:$AH$13045,'Salary sheet'!$F$6:$F$13045,'So sánh giờ'!$C89)</f>
        <v>151</v>
      </c>
      <c r="R89" s="1299">
        <f>SUMIFS('Salary sheet'!$AI$6:$AI$13045,'Salary sheet'!$F$6:$F$13045,'So sánh giờ'!$C89)</f>
        <v>0</v>
      </c>
      <c r="S89" s="1299">
        <f>SUMIFS('Salary sheet'!$AJ$6:$AJ$13045,'Salary sheet'!$F$6:$F$13045,'So sánh giờ'!$C89)</f>
        <v>0</v>
      </c>
      <c r="T89" s="1299">
        <f>SUMIFS('Salary sheet'!$AK$6:$AK$13045,'Salary sheet'!$F$6:$F$13045,'So sánh giờ'!$C89)</f>
        <v>0</v>
      </c>
      <c r="U89" s="1299">
        <f>SUMIFS('Salary sheet'!$AL$6:$AL$13045,'Salary sheet'!$F$6:$F$13045,'So sánh giờ'!$C89)</f>
        <v>0</v>
      </c>
      <c r="V89" s="1394">
        <v>5</v>
      </c>
      <c r="W89" s="1392">
        <v>104571934</v>
      </c>
      <c r="X89" s="1392">
        <v>8939175</v>
      </c>
      <c r="Y89" s="1392">
        <v>220500</v>
      </c>
      <c r="Z89" s="1392">
        <v>106442</v>
      </c>
      <c r="AA89" s="1392">
        <v>0</v>
      </c>
      <c r="AB89" s="1392">
        <v>0</v>
      </c>
      <c r="AC89" s="1392">
        <v>95305817</v>
      </c>
      <c r="AD89" s="1395">
        <v>125.5</v>
      </c>
      <c r="AE89" s="1395">
        <v>1</v>
      </c>
      <c r="AF89" s="1395">
        <v>0</v>
      </c>
      <c r="AG89" s="1395">
        <v>0</v>
      </c>
      <c r="AH89" s="1395">
        <v>190.5</v>
      </c>
      <c r="AI89" s="1395">
        <v>0</v>
      </c>
      <c r="AJ89" s="1395">
        <v>0</v>
      </c>
      <c r="AK89" s="1395">
        <v>0</v>
      </c>
      <c r="AL89" s="1395">
        <v>0</v>
      </c>
      <c r="AM89" s="1376">
        <v>5</v>
      </c>
      <c r="AN89" s="1374">
        <v>104796763</v>
      </c>
      <c r="AO89" s="1374">
        <v>8939175</v>
      </c>
      <c r="AP89" s="1374">
        <v>220500</v>
      </c>
      <c r="AQ89" s="1374">
        <v>194763</v>
      </c>
      <c r="AR89" s="1374">
        <v>270000</v>
      </c>
      <c r="AS89" s="1374">
        <v>0</v>
      </c>
      <c r="AT89" s="1374">
        <v>95172325</v>
      </c>
      <c r="AU89" s="1377">
        <v>109.5</v>
      </c>
      <c r="AV89" s="1377">
        <v>10</v>
      </c>
      <c r="AW89" s="1377">
        <v>0</v>
      </c>
      <c r="AX89" s="1377">
        <v>0</v>
      </c>
      <c r="AY89" s="1377">
        <v>154.5</v>
      </c>
      <c r="AZ89" s="1377">
        <v>0</v>
      </c>
      <c r="BA89" s="1377">
        <v>0</v>
      </c>
      <c r="BB89" s="1377">
        <v>0</v>
      </c>
      <c r="BC89" s="1377">
        <v>0</v>
      </c>
      <c r="BD89" s="468">
        <v>5</v>
      </c>
      <c r="BE89" s="460">
        <v>176787347</v>
      </c>
      <c r="BF89" s="460">
        <v>8939175</v>
      </c>
      <c r="BG89" s="460">
        <v>220500</v>
      </c>
      <c r="BH89" s="460">
        <v>7282850</v>
      </c>
      <c r="BI89" s="460">
        <v>0</v>
      </c>
      <c r="BJ89" s="460">
        <v>0</v>
      </c>
      <c r="BK89" s="460">
        <v>160344822</v>
      </c>
      <c r="BL89" s="1299">
        <v>99.6</v>
      </c>
      <c r="BM89" s="1299">
        <v>35</v>
      </c>
      <c r="BN89" s="1299">
        <v>0</v>
      </c>
      <c r="BO89" s="1299">
        <v>0</v>
      </c>
      <c r="BP89" s="1299">
        <v>182</v>
      </c>
      <c r="BQ89" s="1299">
        <v>24</v>
      </c>
      <c r="BR89" s="1299">
        <v>0</v>
      </c>
      <c r="BS89" s="1299">
        <v>0</v>
      </c>
      <c r="BT89" s="1299">
        <v>0</v>
      </c>
    </row>
    <row r="90" spans="1:72" s="22" customFormat="1" ht="26.25" customHeight="1">
      <c r="A90" s="464">
        <f>SUBTOTAL(3,B$4:B90)</f>
        <v>87</v>
      </c>
      <c r="B90" s="465" t="s">
        <v>216</v>
      </c>
      <c r="C90" s="466" t="s">
        <v>512</v>
      </c>
      <c r="D90" s="467" t="s">
        <v>473</v>
      </c>
      <c r="E90" s="468">
        <f>COUNTIFS('Salary sheet'!$F$6:$F$2288,C90,'Salary sheet'!$E$6:$E$2288,B90)</f>
        <v>8</v>
      </c>
      <c r="F90" s="460">
        <f>+SUMIFS('Salary sheet'!$AN$6:$AN$1292,'Salary sheet'!$F$6:$F$1292,'So sánh giờ'!C90,'Salary sheet'!$E$6:$E$1292,'So sánh giờ'!B90)</f>
        <v>91323587</v>
      </c>
      <c r="G90" s="460">
        <f>+SUMIFS('Salary sheet'!$AO$6:$AO$2288,'Salary sheet'!$F$6:$F$2288,C90,'Salary sheet'!$E$6:$E$2288,B90)</f>
        <v>6381690</v>
      </c>
      <c r="H90" s="460">
        <f>+SUMIFS('Salary sheet'!$AP$6:$AP$2288,'Salary sheet'!$F$6:$F$2288,C90,'Salary sheet'!$E$6:$E$2288,B90)</f>
        <v>308700</v>
      </c>
      <c r="I90" s="460">
        <f>+SUMIFS('Salary sheet'!$AQ$6:$AQ$2288,'Salary sheet'!$F$6:$F$2288,C90,'Salary sheet'!$E$6:$E$2288,B90)</f>
        <v>43689</v>
      </c>
      <c r="J90" s="460">
        <f>+SUMIFS('Salary sheet'!$AR$6:$AR$2288,'Salary sheet'!$F$6:$F$2288,C90,'Salary sheet'!$E$6:$E$2288,B90)</f>
        <v>0</v>
      </c>
      <c r="K90" s="460">
        <f>SUMIFS('Salary sheet'!$AS$6:$AS$1291,'Salary sheet'!$F$6:$F$1291,'So sánh giờ'!C90)</f>
        <v>0</v>
      </c>
      <c r="L90" s="460">
        <f t="shared" si="3"/>
        <v>84589508</v>
      </c>
      <c r="M90" s="1299">
        <f>SUMIFS('Salary sheet'!$M$6:$M$13045,'Salary sheet'!$F$6:$F$13045,'So sánh giờ'!$C90)</f>
        <v>188.9</v>
      </c>
      <c r="N90" s="1299">
        <f>SUMIFS('Salary sheet'!$O$6:$O$13045,'Salary sheet'!$F$6:$F$13045,'So sánh giờ'!$C90)</f>
        <v>18</v>
      </c>
      <c r="O90" s="1299">
        <f>SUMIFS('Salary sheet'!$AA$6:$AA$13045,'Salary sheet'!$F$6:$F$13045,'So sánh giờ'!$C90)</f>
        <v>0</v>
      </c>
      <c r="P90" s="1299">
        <f>SUMIFS('Salary sheet'!$Q$6:$Q$13045,'Salary sheet'!$F$6:$F$13045,'So sánh giờ'!$C90)</f>
        <v>0</v>
      </c>
      <c r="Q90" s="1299">
        <f>SUMIFS('Salary sheet'!$AH$6:$AH$13045,'Salary sheet'!$F$6:$F$13045,'So sánh giờ'!$C90)</f>
        <v>317.5</v>
      </c>
      <c r="R90" s="1299">
        <f>SUMIFS('Salary sheet'!$AI$6:$AI$13045,'Salary sheet'!$F$6:$F$13045,'So sánh giờ'!$C90)</f>
        <v>0</v>
      </c>
      <c r="S90" s="1299">
        <f>SUMIFS('Salary sheet'!$AJ$6:$AJ$13045,'Salary sheet'!$F$6:$F$13045,'So sánh giờ'!$C90)</f>
        <v>0</v>
      </c>
      <c r="T90" s="1299">
        <f>SUMIFS('Salary sheet'!$AK$6:$AK$13045,'Salary sheet'!$F$6:$F$13045,'So sánh giờ'!$C90)</f>
        <v>0</v>
      </c>
      <c r="U90" s="1299">
        <f>SUMIFS('Salary sheet'!$AL$6:$AL$13045,'Salary sheet'!$F$6:$F$13045,'So sánh giờ'!$C90)</f>
        <v>0</v>
      </c>
      <c r="V90" s="1394">
        <v>8</v>
      </c>
      <c r="W90" s="1392">
        <v>89460558</v>
      </c>
      <c r="X90" s="1392">
        <v>5801775</v>
      </c>
      <c r="Y90" s="1392">
        <v>308700</v>
      </c>
      <c r="Z90" s="1392">
        <v>80533</v>
      </c>
      <c r="AA90" s="1392">
        <v>0</v>
      </c>
      <c r="AB90" s="1392">
        <v>0</v>
      </c>
      <c r="AC90" s="1392">
        <v>83269550</v>
      </c>
      <c r="AD90" s="1395">
        <v>197.6</v>
      </c>
      <c r="AE90" s="1395">
        <v>1</v>
      </c>
      <c r="AF90" s="1395">
        <v>0</v>
      </c>
      <c r="AG90" s="1395">
        <v>0</v>
      </c>
      <c r="AH90" s="1395">
        <v>352</v>
      </c>
      <c r="AI90" s="1395">
        <v>0</v>
      </c>
      <c r="AJ90" s="1395">
        <v>0</v>
      </c>
      <c r="AK90" s="1395">
        <v>0</v>
      </c>
      <c r="AL90" s="1395">
        <v>0</v>
      </c>
      <c r="AM90" s="1376">
        <v>8</v>
      </c>
      <c r="AN90" s="1374">
        <v>83843008</v>
      </c>
      <c r="AO90" s="1374">
        <v>5801775</v>
      </c>
      <c r="AP90" s="1374">
        <v>308700</v>
      </c>
      <c r="AQ90" s="1374">
        <v>13809</v>
      </c>
      <c r="AR90" s="1374">
        <v>0</v>
      </c>
      <c r="AS90" s="1374">
        <v>0</v>
      </c>
      <c r="AT90" s="1374">
        <v>77718724</v>
      </c>
      <c r="AU90" s="1377">
        <v>156.30000000000001</v>
      </c>
      <c r="AV90" s="1377">
        <v>14</v>
      </c>
      <c r="AW90" s="1377">
        <v>0</v>
      </c>
      <c r="AX90" s="1377">
        <v>0</v>
      </c>
      <c r="AY90" s="1377">
        <v>272.5</v>
      </c>
      <c r="AZ90" s="1377">
        <v>0</v>
      </c>
      <c r="BA90" s="1377">
        <v>0</v>
      </c>
      <c r="BB90" s="1377">
        <v>0</v>
      </c>
      <c r="BC90" s="1377">
        <v>0</v>
      </c>
      <c r="BD90" s="468">
        <v>8</v>
      </c>
      <c r="BE90" s="460">
        <v>131632690</v>
      </c>
      <c r="BF90" s="460">
        <v>6381690</v>
      </c>
      <c r="BG90" s="460">
        <v>352800</v>
      </c>
      <c r="BH90" s="460">
        <v>1197735</v>
      </c>
      <c r="BI90" s="460">
        <v>0</v>
      </c>
      <c r="BJ90" s="460">
        <v>0</v>
      </c>
      <c r="BK90" s="460">
        <v>123700465</v>
      </c>
      <c r="BL90" s="1299">
        <v>150.1</v>
      </c>
      <c r="BM90" s="1299">
        <v>56</v>
      </c>
      <c r="BN90" s="1299">
        <v>0</v>
      </c>
      <c r="BO90" s="1299">
        <v>0</v>
      </c>
      <c r="BP90" s="1299">
        <v>321</v>
      </c>
      <c r="BQ90" s="1299">
        <v>16</v>
      </c>
      <c r="BR90" s="1299">
        <v>0</v>
      </c>
      <c r="BS90" s="1299">
        <v>0</v>
      </c>
      <c r="BT90" s="1299">
        <v>0</v>
      </c>
    </row>
    <row r="91" spans="1:72" s="22" customFormat="1" ht="26.25" customHeight="1">
      <c r="A91" s="464">
        <f>SUBTOTAL(3,B$4:B91)</f>
        <v>88</v>
      </c>
      <c r="B91" s="465" t="s">
        <v>216</v>
      </c>
      <c r="C91" s="466" t="s">
        <v>513</v>
      </c>
      <c r="D91" s="467" t="s">
        <v>475</v>
      </c>
      <c r="E91" s="468">
        <f>COUNTIFS('Salary sheet'!$F$6:$F$2288,C91,'Salary sheet'!$E$6:$E$2288,B91)</f>
        <v>1</v>
      </c>
      <c r="F91" s="460">
        <f>+SUMIFS('Salary sheet'!$AN$6:$AN$1292,'Salary sheet'!$F$6:$F$1292,'So sánh giờ'!C91,'Salary sheet'!$E$6:$E$1292,'So sánh giờ'!B91)</f>
        <v>10369571</v>
      </c>
      <c r="G91" s="460">
        <f>+SUMIFS('Salary sheet'!$AO$6:$AO$2288,'Salary sheet'!$F$6:$F$2288,C91,'Salary sheet'!$E$6:$E$2288,B91)</f>
        <v>675255</v>
      </c>
      <c r="H91" s="460">
        <f>+SUMIFS('Salary sheet'!$AP$6:$AP$2288,'Salary sheet'!$F$6:$F$2288,C91,'Salary sheet'!$E$6:$E$2288,B91)</f>
        <v>44100</v>
      </c>
      <c r="I91" s="460">
        <f>+SUMIFS('Salary sheet'!$AQ$6:$AQ$2288,'Salary sheet'!$F$6:$F$2288,C91,'Salary sheet'!$E$6:$E$2288,B91)</f>
        <v>0</v>
      </c>
      <c r="J91" s="460">
        <f>+SUMIFS('Salary sheet'!$AR$6:$AR$2288,'Salary sheet'!$F$6:$F$2288,C91,'Salary sheet'!$E$6:$E$2288,B91)</f>
        <v>0</v>
      </c>
      <c r="K91" s="460">
        <f>SUMIFS('Salary sheet'!$AS$6:$AS$1291,'Salary sheet'!$F$6:$F$1291,'So sánh giờ'!C91)</f>
        <v>0</v>
      </c>
      <c r="L91" s="460">
        <f t="shared" si="3"/>
        <v>9650216</v>
      </c>
      <c r="M91" s="1299">
        <f>SUMIFS('Salary sheet'!$M$6:$M$13045,'Salary sheet'!$F$6:$F$13045,'So sánh giờ'!$C91)</f>
        <v>23.9</v>
      </c>
      <c r="N91" s="1299">
        <f>SUMIFS('Salary sheet'!$O$6:$O$13045,'Salary sheet'!$F$6:$F$13045,'So sánh giờ'!$C91)</f>
        <v>2</v>
      </c>
      <c r="O91" s="1299">
        <f>SUMIFS('Salary sheet'!$AA$6:$AA$13045,'Salary sheet'!$F$6:$F$13045,'So sánh giờ'!$C91)</f>
        <v>0</v>
      </c>
      <c r="P91" s="1299">
        <f>SUMIFS('Salary sheet'!$Q$6:$Q$13045,'Salary sheet'!$F$6:$F$13045,'So sánh giờ'!$C91)</f>
        <v>0</v>
      </c>
      <c r="Q91" s="1299">
        <f>SUMIFS('Salary sheet'!$AH$6:$AH$13045,'Salary sheet'!$F$6:$F$13045,'So sánh giờ'!$C91)</f>
        <v>49</v>
      </c>
      <c r="R91" s="1299">
        <f>SUMIFS('Salary sheet'!$AI$6:$AI$13045,'Salary sheet'!$F$6:$F$13045,'So sánh giờ'!$C91)</f>
        <v>0</v>
      </c>
      <c r="S91" s="1299">
        <f>SUMIFS('Salary sheet'!$AJ$6:$AJ$13045,'Salary sheet'!$F$6:$F$13045,'So sánh giờ'!$C91)</f>
        <v>0</v>
      </c>
      <c r="T91" s="1299">
        <f>SUMIFS('Salary sheet'!$AK$6:$AK$13045,'Salary sheet'!$F$6:$F$13045,'So sánh giờ'!$C91)</f>
        <v>0</v>
      </c>
      <c r="U91" s="1299">
        <f>SUMIFS('Salary sheet'!$AL$6:$AL$13045,'Salary sheet'!$F$6:$F$13045,'So sánh giờ'!$C91)</f>
        <v>0</v>
      </c>
      <c r="V91" s="1394">
        <v>1</v>
      </c>
      <c r="W91" s="1392">
        <v>10521243</v>
      </c>
      <c r="X91" s="1392">
        <v>675255</v>
      </c>
      <c r="Y91" s="1392">
        <v>44100</v>
      </c>
      <c r="Z91" s="1392">
        <v>0</v>
      </c>
      <c r="AA91" s="1392">
        <v>0</v>
      </c>
      <c r="AB91" s="1392">
        <v>0</v>
      </c>
      <c r="AC91" s="1392">
        <v>9801888</v>
      </c>
      <c r="AD91" s="1395">
        <v>24.6</v>
      </c>
      <c r="AE91" s="1395">
        <v>0</v>
      </c>
      <c r="AF91" s="1395">
        <v>0</v>
      </c>
      <c r="AG91" s="1395">
        <v>0</v>
      </c>
      <c r="AH91" s="1395">
        <v>59.5</v>
      </c>
      <c r="AI91" s="1395">
        <v>0</v>
      </c>
      <c r="AJ91" s="1395">
        <v>0</v>
      </c>
      <c r="AK91" s="1395">
        <v>0</v>
      </c>
      <c r="AL91" s="1395">
        <v>0</v>
      </c>
      <c r="AM91" s="1376">
        <v>1</v>
      </c>
      <c r="AN91" s="1374">
        <v>9688011</v>
      </c>
      <c r="AO91" s="1374">
        <v>675255</v>
      </c>
      <c r="AP91" s="1374">
        <v>44100</v>
      </c>
      <c r="AQ91" s="1374">
        <v>0</v>
      </c>
      <c r="AR91" s="1374">
        <v>70000</v>
      </c>
      <c r="AS91" s="1374">
        <v>0</v>
      </c>
      <c r="AT91" s="1374">
        <v>8898656</v>
      </c>
      <c r="AU91" s="1377">
        <v>20.8</v>
      </c>
      <c r="AV91" s="1377">
        <v>2</v>
      </c>
      <c r="AW91" s="1377">
        <v>0</v>
      </c>
      <c r="AX91" s="1377">
        <v>0</v>
      </c>
      <c r="AY91" s="1377">
        <v>40</v>
      </c>
      <c r="AZ91" s="1377">
        <v>0</v>
      </c>
      <c r="BA91" s="1377">
        <v>0</v>
      </c>
      <c r="BB91" s="1377">
        <v>0</v>
      </c>
      <c r="BC91" s="1377">
        <v>0</v>
      </c>
      <c r="BD91" s="468">
        <v>1</v>
      </c>
      <c r="BE91" s="460">
        <v>15339378</v>
      </c>
      <c r="BF91" s="460">
        <v>663075</v>
      </c>
      <c r="BG91" s="460">
        <v>44100</v>
      </c>
      <c r="BH91" s="460">
        <v>153455</v>
      </c>
      <c r="BI91" s="460">
        <v>0</v>
      </c>
      <c r="BJ91" s="460">
        <v>0</v>
      </c>
      <c r="BK91" s="460">
        <v>14478748</v>
      </c>
      <c r="BL91" s="1299">
        <v>18.600000000000001</v>
      </c>
      <c r="BM91" s="1299">
        <v>7</v>
      </c>
      <c r="BN91" s="1299">
        <v>0</v>
      </c>
      <c r="BO91" s="1299">
        <v>0</v>
      </c>
      <c r="BP91" s="1299">
        <v>40</v>
      </c>
      <c r="BQ91" s="1299">
        <v>0</v>
      </c>
      <c r="BR91" s="1299">
        <v>0</v>
      </c>
      <c r="BS91" s="1299">
        <v>0</v>
      </c>
      <c r="BT91" s="1299">
        <v>0</v>
      </c>
    </row>
    <row r="92" spans="1:72" s="22" customFormat="1" ht="26.25" customHeight="1">
      <c r="A92" s="464">
        <f>SUBTOTAL(3,B$4:B92)</f>
        <v>89</v>
      </c>
      <c r="B92" s="465" t="s">
        <v>220</v>
      </c>
      <c r="C92" s="466" t="s">
        <v>541</v>
      </c>
      <c r="D92" s="467" t="s">
        <v>614</v>
      </c>
      <c r="E92" s="468">
        <f>COUNTIFS('Salary sheet'!$F$6:$F$2288,C92,'Salary sheet'!$E$6:$E$2288,B92)</f>
        <v>6</v>
      </c>
      <c r="F92" s="460">
        <f>+SUMIFS('Salary sheet'!$AN$6:$AN$1292,'Salary sheet'!$F$6:$F$1292,'So sánh giờ'!C92,'Salary sheet'!$E$6:$E$1292,'So sánh giờ'!B92)</f>
        <v>116538510</v>
      </c>
      <c r="G92" s="460">
        <f>+SUMIFS('Salary sheet'!$AO$6:$AO$2288,'Salary sheet'!$F$6:$F$2288,C92,'Salary sheet'!$E$6:$E$2288,B92)</f>
        <v>12726000</v>
      </c>
      <c r="H92" s="460">
        <f>+SUMIFS('Salary sheet'!$AP$6:$AP$2288,'Salary sheet'!$F$6:$F$2288,C92,'Salary sheet'!$E$6:$E$2288,B92)</f>
        <v>264600</v>
      </c>
      <c r="I92" s="460">
        <f>+SUMIFS('Salary sheet'!$AQ$6:$AQ$2288,'Salary sheet'!$F$6:$F$2288,C92,'Salary sheet'!$E$6:$E$2288,B92)</f>
        <v>0</v>
      </c>
      <c r="J92" s="460">
        <f>+SUMIFS('Salary sheet'!$AR$6:$AR$2288,'Salary sheet'!$F$6:$F$2288,C92,'Salary sheet'!$E$6:$E$2288,B92)</f>
        <v>0</v>
      </c>
      <c r="K92" s="460">
        <f>SUMIFS('Salary sheet'!$AS$6:$AS$1291,'Salary sheet'!$F$6:$F$1291,'So sánh giờ'!C92)</f>
        <v>0</v>
      </c>
      <c r="L92" s="460">
        <f t="shared" si="3"/>
        <v>103547910</v>
      </c>
      <c r="M92" s="1299">
        <f>SUMIFS('Salary sheet'!$M$6:$M$13045,'Salary sheet'!$F$6:$F$13045,'So sánh giờ'!$C92)</f>
        <v>133.4</v>
      </c>
      <c r="N92" s="1299">
        <f>SUMIFS('Salary sheet'!$O$6:$O$13045,'Salary sheet'!$F$6:$F$13045,'So sánh giờ'!$C92)</f>
        <v>13</v>
      </c>
      <c r="O92" s="1299">
        <f>SUMIFS('Salary sheet'!$AA$6:$AA$13045,'Salary sheet'!$F$6:$F$13045,'So sánh giờ'!$C92)</f>
        <v>0</v>
      </c>
      <c r="P92" s="1299">
        <f>SUMIFS('Salary sheet'!$Q$6:$Q$13045,'Salary sheet'!$F$6:$F$13045,'So sánh giờ'!$C92)</f>
        <v>0</v>
      </c>
      <c r="Q92" s="1299">
        <f>SUMIFS('Salary sheet'!$AH$6:$AH$13045,'Salary sheet'!$F$6:$F$13045,'So sánh giờ'!$C92)</f>
        <v>0</v>
      </c>
      <c r="R92" s="1299">
        <f>SUMIFS('Salary sheet'!$AI$6:$AI$13045,'Salary sheet'!$F$6:$F$13045,'So sánh giờ'!$C92)</f>
        <v>0</v>
      </c>
      <c r="S92" s="1299">
        <f>SUMIFS('Salary sheet'!$AJ$6:$AJ$13045,'Salary sheet'!$F$6:$F$13045,'So sánh giờ'!$C92)</f>
        <v>0</v>
      </c>
      <c r="T92" s="1299">
        <f>SUMIFS('Salary sheet'!$AK$6:$AK$13045,'Salary sheet'!$F$6:$F$13045,'So sánh giờ'!$C92)</f>
        <v>0</v>
      </c>
      <c r="U92" s="1299">
        <f>SUMIFS('Salary sheet'!$AL$6:$AL$13045,'Salary sheet'!$F$6:$F$13045,'So sánh giờ'!$C92)</f>
        <v>0</v>
      </c>
      <c r="V92" s="1394">
        <v>6</v>
      </c>
      <c r="W92" s="1392">
        <v>121153126</v>
      </c>
      <c r="X92" s="1392">
        <v>12726000</v>
      </c>
      <c r="Y92" s="1392">
        <v>264600</v>
      </c>
      <c r="Z92" s="1392">
        <v>36094</v>
      </c>
      <c r="AA92" s="1392">
        <v>0</v>
      </c>
      <c r="AB92" s="1392">
        <v>0</v>
      </c>
      <c r="AC92" s="1392">
        <v>108126432</v>
      </c>
      <c r="AD92" s="1395">
        <v>150.6</v>
      </c>
      <c r="AE92" s="1395">
        <v>0</v>
      </c>
      <c r="AF92" s="1395">
        <v>0</v>
      </c>
      <c r="AG92" s="1395">
        <v>0</v>
      </c>
      <c r="AH92" s="1395">
        <v>0</v>
      </c>
      <c r="AI92" s="1395">
        <v>0</v>
      </c>
      <c r="AJ92" s="1395">
        <v>0</v>
      </c>
      <c r="AK92" s="1395">
        <v>0</v>
      </c>
      <c r="AL92" s="1395">
        <v>0</v>
      </c>
      <c r="AM92" s="1376">
        <v>6</v>
      </c>
      <c r="AN92" s="1374">
        <v>122038386</v>
      </c>
      <c r="AO92" s="1374">
        <v>12726000</v>
      </c>
      <c r="AP92" s="1374">
        <v>264600</v>
      </c>
      <c r="AQ92" s="1374">
        <v>30299</v>
      </c>
      <c r="AR92" s="1374">
        <v>720000</v>
      </c>
      <c r="AS92" s="1374">
        <v>0</v>
      </c>
      <c r="AT92" s="1374">
        <v>108297487</v>
      </c>
      <c r="AU92" s="1377">
        <v>126.4</v>
      </c>
      <c r="AV92" s="1377">
        <v>12</v>
      </c>
      <c r="AW92" s="1377">
        <v>0</v>
      </c>
      <c r="AX92" s="1377">
        <v>0</v>
      </c>
      <c r="AY92" s="1377">
        <v>0</v>
      </c>
      <c r="AZ92" s="1377">
        <v>8</v>
      </c>
      <c r="BA92" s="1377">
        <v>0</v>
      </c>
      <c r="BB92" s="1377">
        <v>0</v>
      </c>
      <c r="BC92" s="1377">
        <v>0</v>
      </c>
      <c r="BD92" s="468">
        <v>6</v>
      </c>
      <c r="BE92" s="460">
        <v>229716089</v>
      </c>
      <c r="BF92" s="460">
        <v>12726000</v>
      </c>
      <c r="BG92" s="460">
        <v>264600</v>
      </c>
      <c r="BH92" s="460">
        <v>11228266</v>
      </c>
      <c r="BI92" s="460">
        <v>0</v>
      </c>
      <c r="BJ92" s="460">
        <v>0</v>
      </c>
      <c r="BK92" s="460">
        <v>205497223</v>
      </c>
      <c r="BL92" s="1299">
        <v>117.1</v>
      </c>
      <c r="BM92" s="1299">
        <v>42</v>
      </c>
      <c r="BN92" s="1299">
        <v>0</v>
      </c>
      <c r="BO92" s="1299">
        <v>0</v>
      </c>
      <c r="BP92" s="1299">
        <v>0</v>
      </c>
      <c r="BQ92" s="1299">
        <v>0</v>
      </c>
      <c r="BR92" s="1299">
        <v>0</v>
      </c>
      <c r="BS92" s="1299">
        <v>0</v>
      </c>
      <c r="BT92" s="1299">
        <v>0</v>
      </c>
    </row>
    <row r="93" spans="1:72" s="22" customFormat="1" ht="26.25" customHeight="1">
      <c r="A93" s="464">
        <f>SUBTOTAL(3,B$4:B93)</f>
        <v>90</v>
      </c>
      <c r="B93" s="465" t="s">
        <v>220</v>
      </c>
      <c r="C93" s="466" t="s">
        <v>263</v>
      </c>
      <c r="D93" s="467" t="s">
        <v>615</v>
      </c>
      <c r="E93" s="468">
        <f>COUNTIFS('Salary sheet'!$F$6:$F$2288,C93,'Salary sheet'!$E$6:$E$2288,B93)</f>
        <v>2</v>
      </c>
      <c r="F93" s="460">
        <f>+SUMIFS('Salary sheet'!$AN$6:$AN$1292,'Salary sheet'!$F$6:$F$1292,'So sánh giờ'!C93,'Salary sheet'!$E$6:$E$1292,'So sánh giờ'!B93)</f>
        <v>39596154</v>
      </c>
      <c r="G93" s="460">
        <f>+SUMIFS('Salary sheet'!$AO$6:$AO$2288,'Salary sheet'!$F$6:$F$2288,C93,'Salary sheet'!$E$6:$E$2288,B93)</f>
        <v>3664500</v>
      </c>
      <c r="H93" s="460">
        <f>+SUMIFS('Salary sheet'!$AP$6:$AP$2288,'Salary sheet'!$F$6:$F$2288,C93,'Salary sheet'!$E$6:$E$2288,B93)</f>
        <v>88200</v>
      </c>
      <c r="I93" s="460">
        <f>+SUMIFS('Salary sheet'!$AQ$6:$AQ$2288,'Salary sheet'!$F$6:$F$2288,C93,'Salary sheet'!$E$6:$E$2288,B93)</f>
        <v>11450</v>
      </c>
      <c r="J93" s="460">
        <f>+SUMIFS('Salary sheet'!$AR$6:$AR$2288,'Salary sheet'!$F$6:$F$2288,C93,'Salary sheet'!$E$6:$E$2288,B93)</f>
        <v>0</v>
      </c>
      <c r="K93" s="460">
        <f>SUMIFS('Salary sheet'!$AS$6:$AS$1291,'Salary sheet'!$F$6:$F$1291,'So sánh giờ'!C93)</f>
        <v>0</v>
      </c>
      <c r="L93" s="460">
        <f t="shared" si="3"/>
        <v>35832004</v>
      </c>
      <c r="M93" s="1299">
        <f>SUMIFS('Salary sheet'!$M$6:$M$13045,'Salary sheet'!$F$6:$F$13045,'So sánh giờ'!$C93)</f>
        <v>48</v>
      </c>
      <c r="N93" s="1299">
        <f>SUMIFS('Salary sheet'!$O$6:$O$13045,'Salary sheet'!$F$6:$F$13045,'So sánh giờ'!$C93)</f>
        <v>4</v>
      </c>
      <c r="O93" s="1299">
        <f>SUMIFS('Salary sheet'!$AA$6:$AA$13045,'Salary sheet'!$F$6:$F$13045,'So sánh giờ'!$C93)</f>
        <v>0</v>
      </c>
      <c r="P93" s="1299">
        <f>SUMIFS('Salary sheet'!$Q$6:$Q$13045,'Salary sheet'!$F$6:$F$13045,'So sánh giờ'!$C93)</f>
        <v>0</v>
      </c>
      <c r="Q93" s="1299">
        <f>SUMIFS('Salary sheet'!$AH$6:$AH$13045,'Salary sheet'!$F$6:$F$13045,'So sánh giờ'!$C93)</f>
        <v>0</v>
      </c>
      <c r="R93" s="1299">
        <f>SUMIFS('Salary sheet'!$AI$6:$AI$13045,'Salary sheet'!$F$6:$F$13045,'So sánh giờ'!$C93)</f>
        <v>0</v>
      </c>
      <c r="S93" s="1299">
        <f>SUMIFS('Salary sheet'!$AJ$6:$AJ$13045,'Salary sheet'!$F$6:$F$13045,'So sánh giờ'!$C93)</f>
        <v>0</v>
      </c>
      <c r="T93" s="1299">
        <f>SUMIFS('Salary sheet'!$AK$6:$AK$13045,'Salary sheet'!$F$6:$F$13045,'So sánh giờ'!$C93)</f>
        <v>0</v>
      </c>
      <c r="U93" s="1299">
        <f>SUMIFS('Salary sheet'!$AL$6:$AL$13045,'Salary sheet'!$F$6:$F$13045,'So sánh giờ'!$C93)</f>
        <v>8</v>
      </c>
      <c r="V93" s="1394">
        <v>2</v>
      </c>
      <c r="W93" s="1392">
        <v>36698077</v>
      </c>
      <c r="X93" s="1392">
        <v>3664500</v>
      </c>
      <c r="Y93" s="1392">
        <v>88200</v>
      </c>
      <c r="Z93" s="1392">
        <v>0</v>
      </c>
      <c r="AA93" s="1392">
        <v>0</v>
      </c>
      <c r="AB93" s="1392">
        <v>0</v>
      </c>
      <c r="AC93" s="1392">
        <v>32945377</v>
      </c>
      <c r="AD93" s="1395">
        <v>51</v>
      </c>
      <c r="AE93" s="1395">
        <v>0</v>
      </c>
      <c r="AF93" s="1395">
        <v>0</v>
      </c>
      <c r="AG93" s="1395">
        <v>0</v>
      </c>
      <c r="AH93" s="1395">
        <v>0</v>
      </c>
      <c r="AI93" s="1395">
        <v>0</v>
      </c>
      <c r="AJ93" s="1395">
        <v>0</v>
      </c>
      <c r="AK93" s="1395">
        <v>0</v>
      </c>
      <c r="AL93" s="1395">
        <v>0</v>
      </c>
      <c r="AM93" s="1376">
        <v>2</v>
      </c>
      <c r="AN93" s="1374">
        <v>39235886</v>
      </c>
      <c r="AO93" s="1374">
        <v>3664500</v>
      </c>
      <c r="AP93" s="1374">
        <v>88200</v>
      </c>
      <c r="AQ93" s="1374">
        <v>0</v>
      </c>
      <c r="AR93" s="1374">
        <v>0</v>
      </c>
      <c r="AS93" s="1374">
        <v>0</v>
      </c>
      <c r="AT93" s="1374">
        <v>35483186</v>
      </c>
      <c r="AU93" s="1377">
        <v>43.9</v>
      </c>
      <c r="AV93" s="1377">
        <v>4</v>
      </c>
      <c r="AW93" s="1377">
        <v>0</v>
      </c>
      <c r="AX93" s="1377">
        <v>0</v>
      </c>
      <c r="AY93" s="1377">
        <v>5</v>
      </c>
      <c r="AZ93" s="1377">
        <v>8</v>
      </c>
      <c r="BA93" s="1377">
        <v>0</v>
      </c>
      <c r="BB93" s="1377">
        <v>0</v>
      </c>
      <c r="BC93" s="1377">
        <v>0</v>
      </c>
      <c r="BD93" s="468">
        <v>2</v>
      </c>
      <c r="BE93" s="460">
        <v>72382443</v>
      </c>
      <c r="BF93" s="460">
        <v>3664500</v>
      </c>
      <c r="BG93" s="460">
        <v>88200</v>
      </c>
      <c r="BH93" s="460">
        <v>3422064</v>
      </c>
      <c r="BI93" s="460">
        <v>0</v>
      </c>
      <c r="BJ93" s="460">
        <v>0</v>
      </c>
      <c r="BK93" s="460">
        <v>65207679</v>
      </c>
      <c r="BL93" s="1299">
        <v>39</v>
      </c>
      <c r="BM93" s="1299">
        <v>14</v>
      </c>
      <c r="BN93" s="1299">
        <v>0</v>
      </c>
      <c r="BO93" s="1299">
        <v>0</v>
      </c>
      <c r="BP93" s="1299">
        <v>4</v>
      </c>
      <c r="BQ93" s="1299">
        <v>0</v>
      </c>
      <c r="BR93" s="1299">
        <v>0</v>
      </c>
      <c r="BS93" s="1299">
        <v>0</v>
      </c>
      <c r="BT93" s="1299">
        <v>0</v>
      </c>
    </row>
    <row r="94" spans="1:72" s="22" customFormat="1" ht="26.25" customHeight="1">
      <c r="A94" s="464">
        <f>SUBTOTAL(3,B$4:B94)</f>
        <v>91</v>
      </c>
      <c r="B94" s="465" t="s">
        <v>220</v>
      </c>
      <c r="C94" s="466" t="s">
        <v>264</v>
      </c>
      <c r="D94" s="467" t="s">
        <v>715</v>
      </c>
      <c r="E94" s="468">
        <f>COUNTIFS('Salary sheet'!$F$6:$F$2288,C94,'Salary sheet'!$E$6:$E$2288,B94)</f>
        <v>6</v>
      </c>
      <c r="F94" s="460">
        <f>+SUMIFS('Salary sheet'!$AN$6:$AN$1292,'Salary sheet'!$F$6:$F$1292,'So sánh giờ'!C94,'Salary sheet'!$E$6:$E$1292,'So sánh giờ'!B94)</f>
        <v>60862573</v>
      </c>
      <c r="G94" s="460">
        <f>+SUMIFS('Salary sheet'!$AO$6:$AO$2288,'Salary sheet'!$F$6:$F$2288,C94,'Salary sheet'!$E$6:$E$2288,B94)</f>
        <v>4671135</v>
      </c>
      <c r="H94" s="460">
        <f>+SUMIFS('Salary sheet'!$AP$6:$AP$2288,'Salary sheet'!$F$6:$F$2288,C94,'Salary sheet'!$E$6:$E$2288,B94)</f>
        <v>264600</v>
      </c>
      <c r="I94" s="460">
        <f>+SUMIFS('Salary sheet'!$AQ$6:$AQ$2288,'Salary sheet'!$F$6:$F$2288,C94,'Salary sheet'!$E$6:$E$2288,B94)</f>
        <v>0</v>
      </c>
      <c r="J94" s="460">
        <f>+SUMIFS('Salary sheet'!$AR$6:$AR$2288,'Salary sheet'!$F$6:$F$2288,C94,'Salary sheet'!$E$6:$E$2288,B94)</f>
        <v>0</v>
      </c>
      <c r="K94" s="460">
        <f>SUMIFS('Salary sheet'!$AS$6:$AS$1291,'Salary sheet'!$F$6:$F$1291,'So sánh giờ'!C94)</f>
        <v>0</v>
      </c>
      <c r="L94" s="460">
        <f t="shared" si="3"/>
        <v>55926838</v>
      </c>
      <c r="M94" s="1299">
        <f>SUMIFS('Salary sheet'!$M$6:$M$13045,'Salary sheet'!$F$6:$F$13045,'So sánh giờ'!$C94)</f>
        <v>139.79999999999998</v>
      </c>
      <c r="N94" s="1299">
        <f>SUMIFS('Salary sheet'!$O$6:$O$13045,'Salary sheet'!$F$6:$F$13045,'So sánh giờ'!$C94)</f>
        <v>15</v>
      </c>
      <c r="O94" s="1299">
        <f>SUMIFS('Salary sheet'!$AA$6:$AA$13045,'Salary sheet'!$F$6:$F$13045,'So sánh giờ'!$C94)</f>
        <v>0</v>
      </c>
      <c r="P94" s="1299">
        <f>SUMIFS('Salary sheet'!$Q$6:$Q$13045,'Salary sheet'!$F$6:$F$13045,'So sánh giờ'!$C94)</f>
        <v>0</v>
      </c>
      <c r="Q94" s="1299">
        <f>SUMIFS('Salary sheet'!$AH$6:$AH$13045,'Salary sheet'!$F$6:$F$13045,'So sánh giờ'!$C94)</f>
        <v>178.5</v>
      </c>
      <c r="R94" s="1299">
        <f>SUMIFS('Salary sheet'!$AI$6:$AI$13045,'Salary sheet'!$F$6:$F$13045,'So sánh giờ'!$C94)</f>
        <v>0</v>
      </c>
      <c r="S94" s="1299">
        <f>SUMIFS('Salary sheet'!$AJ$6:$AJ$13045,'Salary sheet'!$F$6:$F$13045,'So sánh giờ'!$C94)</f>
        <v>0</v>
      </c>
      <c r="T94" s="1299">
        <f>SUMIFS('Salary sheet'!$AK$6:$AK$13045,'Salary sheet'!$F$6:$F$13045,'So sánh giờ'!$C94)</f>
        <v>0</v>
      </c>
      <c r="U94" s="1299">
        <f>SUMIFS('Salary sheet'!$AL$6:$AL$13045,'Salary sheet'!$F$6:$F$13045,'So sánh giờ'!$C94)</f>
        <v>0</v>
      </c>
      <c r="V94" s="1394">
        <v>6</v>
      </c>
      <c r="W94" s="1392">
        <v>64647019</v>
      </c>
      <c r="X94" s="1392">
        <v>4671135</v>
      </c>
      <c r="Y94" s="1392">
        <v>264600</v>
      </c>
      <c r="Z94" s="1392">
        <v>0</v>
      </c>
      <c r="AA94" s="1392">
        <v>0</v>
      </c>
      <c r="AB94" s="1392">
        <v>0</v>
      </c>
      <c r="AC94" s="1392">
        <v>59711284</v>
      </c>
      <c r="AD94" s="1395">
        <v>154.80000000000001</v>
      </c>
      <c r="AE94" s="1395">
        <v>1</v>
      </c>
      <c r="AF94" s="1395">
        <v>0</v>
      </c>
      <c r="AG94" s="1395">
        <v>0</v>
      </c>
      <c r="AH94" s="1395">
        <v>222</v>
      </c>
      <c r="AI94" s="1395">
        <v>8</v>
      </c>
      <c r="AJ94" s="1395">
        <v>0</v>
      </c>
      <c r="AK94" s="1395">
        <v>0</v>
      </c>
      <c r="AL94" s="1395">
        <v>0</v>
      </c>
      <c r="AM94" s="1376">
        <v>6</v>
      </c>
      <c r="AN94" s="1374">
        <v>61058469</v>
      </c>
      <c r="AO94" s="1374">
        <v>4671135</v>
      </c>
      <c r="AP94" s="1374">
        <v>264600</v>
      </c>
      <c r="AQ94" s="1374">
        <v>0</v>
      </c>
      <c r="AR94" s="1374">
        <v>67000</v>
      </c>
      <c r="AS94" s="1374">
        <v>0</v>
      </c>
      <c r="AT94" s="1374">
        <v>56055734</v>
      </c>
      <c r="AU94" s="1377">
        <v>130.80000000000001</v>
      </c>
      <c r="AV94" s="1377">
        <v>12</v>
      </c>
      <c r="AW94" s="1377">
        <v>0</v>
      </c>
      <c r="AX94" s="1377">
        <v>0</v>
      </c>
      <c r="AY94" s="1377">
        <v>155.5</v>
      </c>
      <c r="AZ94" s="1377">
        <v>0</v>
      </c>
      <c r="BA94" s="1377">
        <v>0</v>
      </c>
      <c r="BB94" s="1377">
        <v>0</v>
      </c>
      <c r="BC94" s="1377">
        <v>0</v>
      </c>
      <c r="BD94" s="468">
        <v>6</v>
      </c>
      <c r="BE94" s="460">
        <v>96952821</v>
      </c>
      <c r="BF94" s="460">
        <v>4671135</v>
      </c>
      <c r="BG94" s="460">
        <v>264600</v>
      </c>
      <c r="BH94" s="460">
        <v>1207060</v>
      </c>
      <c r="BI94" s="460">
        <v>0</v>
      </c>
      <c r="BJ94" s="460">
        <v>0</v>
      </c>
      <c r="BK94" s="460">
        <v>90810026</v>
      </c>
      <c r="BL94" s="1299">
        <v>117.7</v>
      </c>
      <c r="BM94" s="1299">
        <v>42</v>
      </c>
      <c r="BN94" s="1299">
        <v>0</v>
      </c>
      <c r="BO94" s="1299">
        <v>0</v>
      </c>
      <c r="BP94" s="1299">
        <v>140</v>
      </c>
      <c r="BQ94" s="1299">
        <v>0</v>
      </c>
      <c r="BR94" s="1299">
        <v>0</v>
      </c>
      <c r="BS94" s="1299">
        <v>0</v>
      </c>
      <c r="BT94" s="1299">
        <v>0</v>
      </c>
    </row>
    <row r="95" spans="1:72" s="22" customFormat="1" ht="26.25" customHeight="1">
      <c r="A95" s="464">
        <f>SUBTOTAL(3,B$4:B95)</f>
        <v>92</v>
      </c>
      <c r="B95" s="465" t="s">
        <v>220</v>
      </c>
      <c r="C95" s="466" t="s">
        <v>265</v>
      </c>
      <c r="D95" s="467" t="s">
        <v>616</v>
      </c>
      <c r="E95" s="468">
        <f>COUNTIFS('Salary sheet'!$F$6:$F$2288,C95,'Salary sheet'!$E$6:$E$2288,B95)</f>
        <v>6</v>
      </c>
      <c r="F95" s="460">
        <f>+SUMIFS('Salary sheet'!$AN$6:$AN$1292,'Salary sheet'!$F$6:$F$1292,'So sánh giờ'!C95,'Salary sheet'!$E$6:$E$1292,'So sánh giờ'!B95)</f>
        <v>94476955</v>
      </c>
      <c r="G95" s="460">
        <f>+SUMIFS('Salary sheet'!$AO$6:$AO$2288,'Salary sheet'!$F$6:$F$2288,C95,'Salary sheet'!$E$6:$E$2288,B95)</f>
        <v>6092835</v>
      </c>
      <c r="H95" s="460">
        <f>+SUMIFS('Salary sheet'!$AP$6:$AP$2288,'Salary sheet'!$F$6:$F$2288,C95,'Salary sheet'!$E$6:$E$2288,B95)</f>
        <v>264600</v>
      </c>
      <c r="I95" s="460">
        <f>+SUMIFS('Salary sheet'!$AQ$6:$AQ$2288,'Salary sheet'!$F$6:$F$2288,C95,'Salary sheet'!$E$6:$E$2288,B95)</f>
        <v>66681</v>
      </c>
      <c r="J95" s="460">
        <f>+SUMIFS('Salary sheet'!$AR$6:$AR$2288,'Salary sheet'!$F$6:$F$2288,C95,'Salary sheet'!$E$6:$E$2288,B95)</f>
        <v>0</v>
      </c>
      <c r="K95" s="460">
        <f>SUMIFS('Salary sheet'!$AS$6:$AS$1291,'Salary sheet'!$F$6:$F$1291,'So sánh giờ'!C95)</f>
        <v>0</v>
      </c>
      <c r="L95" s="460">
        <f t="shared" si="3"/>
        <v>88052839</v>
      </c>
      <c r="M95" s="1299">
        <f>SUMIFS('Salary sheet'!$M$6:$M$13045,'Salary sheet'!$F$6:$F$13045,'So sánh giờ'!$C95)</f>
        <v>141.6</v>
      </c>
      <c r="N95" s="1299">
        <f>SUMIFS('Salary sheet'!$O$6:$O$13045,'Salary sheet'!$F$6:$F$13045,'So sánh giờ'!$C95)</f>
        <v>14</v>
      </c>
      <c r="O95" s="1299">
        <f>SUMIFS('Salary sheet'!$AA$6:$AA$13045,'Salary sheet'!$F$6:$F$13045,'So sánh giờ'!$C95)</f>
        <v>0</v>
      </c>
      <c r="P95" s="1299">
        <f>SUMIFS('Salary sheet'!$Q$6:$Q$13045,'Salary sheet'!$F$6:$F$13045,'So sánh giờ'!$C95)</f>
        <v>0</v>
      </c>
      <c r="Q95" s="1299">
        <f>SUMIFS('Salary sheet'!$AH$6:$AH$13045,'Salary sheet'!$F$6:$F$13045,'So sánh giờ'!$C95)</f>
        <v>364</v>
      </c>
      <c r="R95" s="1299">
        <f>SUMIFS('Salary sheet'!$AI$6:$AI$13045,'Salary sheet'!$F$6:$F$13045,'So sánh giờ'!$C95)</f>
        <v>64</v>
      </c>
      <c r="S95" s="1299">
        <f>SUMIFS('Salary sheet'!$AJ$6:$AJ$13045,'Salary sheet'!$F$6:$F$13045,'So sánh giờ'!$C95)</f>
        <v>0</v>
      </c>
      <c r="T95" s="1299">
        <f>SUMIFS('Salary sheet'!$AK$6:$AK$13045,'Salary sheet'!$F$6:$F$13045,'So sánh giờ'!$C95)</f>
        <v>0</v>
      </c>
      <c r="U95" s="1299">
        <f>SUMIFS('Salary sheet'!$AL$6:$AL$13045,'Salary sheet'!$F$6:$F$13045,'So sánh giờ'!$C95)</f>
        <v>32</v>
      </c>
      <c r="V95" s="1394">
        <v>6</v>
      </c>
      <c r="W95" s="1392">
        <v>73581289</v>
      </c>
      <c r="X95" s="1392">
        <v>6092835</v>
      </c>
      <c r="Y95" s="1392">
        <v>264600</v>
      </c>
      <c r="Z95" s="1392">
        <v>0</v>
      </c>
      <c r="AA95" s="1392">
        <v>0</v>
      </c>
      <c r="AB95" s="1392">
        <v>0</v>
      </c>
      <c r="AC95" s="1392">
        <v>67223854</v>
      </c>
      <c r="AD95" s="1395">
        <v>152.5</v>
      </c>
      <c r="AE95" s="1395">
        <v>0</v>
      </c>
      <c r="AF95" s="1395">
        <v>0</v>
      </c>
      <c r="AG95" s="1395">
        <v>0</v>
      </c>
      <c r="AH95" s="1395">
        <v>172</v>
      </c>
      <c r="AI95" s="1395">
        <v>0</v>
      </c>
      <c r="AJ95" s="1395">
        <v>0</v>
      </c>
      <c r="AK95" s="1395">
        <v>0</v>
      </c>
      <c r="AL95" s="1395">
        <v>0</v>
      </c>
      <c r="AM95" s="1376">
        <v>6</v>
      </c>
      <c r="AN95" s="1374">
        <v>69222139</v>
      </c>
      <c r="AO95" s="1374">
        <v>6040335</v>
      </c>
      <c r="AP95" s="1374">
        <v>264600</v>
      </c>
      <c r="AQ95" s="1374">
        <v>0</v>
      </c>
      <c r="AR95" s="1374">
        <v>65000</v>
      </c>
      <c r="AS95" s="1374">
        <v>0</v>
      </c>
      <c r="AT95" s="1374">
        <v>62852204</v>
      </c>
      <c r="AU95" s="1377">
        <v>122.5</v>
      </c>
      <c r="AV95" s="1377">
        <v>12</v>
      </c>
      <c r="AW95" s="1377">
        <v>0</v>
      </c>
      <c r="AX95" s="1377">
        <v>0</v>
      </c>
      <c r="AY95" s="1377">
        <v>144</v>
      </c>
      <c r="AZ95" s="1377">
        <v>0</v>
      </c>
      <c r="BA95" s="1377">
        <v>0</v>
      </c>
      <c r="BB95" s="1377">
        <v>0</v>
      </c>
      <c r="BC95" s="1377">
        <v>0</v>
      </c>
      <c r="BD95" s="468">
        <v>6</v>
      </c>
      <c r="BE95" s="460">
        <v>122377729</v>
      </c>
      <c r="BF95" s="460">
        <v>6040335</v>
      </c>
      <c r="BG95" s="460">
        <v>264600</v>
      </c>
      <c r="BH95" s="460">
        <v>1088848</v>
      </c>
      <c r="BI95" s="460">
        <v>0</v>
      </c>
      <c r="BJ95" s="460">
        <v>0</v>
      </c>
      <c r="BK95" s="460">
        <v>114983946</v>
      </c>
      <c r="BL95" s="1299">
        <v>115.8</v>
      </c>
      <c r="BM95" s="1299">
        <v>42</v>
      </c>
      <c r="BN95" s="1299">
        <v>0</v>
      </c>
      <c r="BO95" s="1299">
        <v>0</v>
      </c>
      <c r="BP95" s="1299">
        <v>228</v>
      </c>
      <c r="BQ95" s="1299">
        <v>7.5</v>
      </c>
      <c r="BR95" s="1299">
        <v>0</v>
      </c>
      <c r="BS95" s="1299">
        <v>0</v>
      </c>
      <c r="BT95" s="1299">
        <v>0</v>
      </c>
    </row>
    <row r="96" spans="1:72" s="22" customFormat="1" ht="26.25" customHeight="1">
      <c r="A96" s="464">
        <f>SUBTOTAL(3,B$4:B96)</f>
        <v>93</v>
      </c>
      <c r="B96" s="465" t="s">
        <v>220</v>
      </c>
      <c r="C96" s="466" t="s">
        <v>527</v>
      </c>
      <c r="D96" s="467" t="s">
        <v>617</v>
      </c>
      <c r="E96" s="468">
        <f>COUNTIFS('Salary sheet'!$F$6:$F$2288,C96,'Salary sheet'!$E$6:$E$2288,B96)</f>
        <v>4</v>
      </c>
      <c r="F96" s="460">
        <f>+SUMIFS('Salary sheet'!$AN$6:$AN$1292,'Salary sheet'!$F$6:$F$1292,'So sánh giờ'!C96,'Salary sheet'!$E$6:$E$1292,'So sánh giờ'!B96)</f>
        <v>42564904</v>
      </c>
      <c r="G96" s="460">
        <f>+SUMIFS('Salary sheet'!$AO$6:$AO$2288,'Salary sheet'!$F$6:$F$2288,C96,'Salary sheet'!$E$6:$E$2288,B96)</f>
        <v>3496500</v>
      </c>
      <c r="H96" s="460">
        <f>+SUMIFS('Salary sheet'!$AP$6:$AP$2288,'Salary sheet'!$F$6:$F$2288,C96,'Salary sheet'!$E$6:$E$2288,B96)</f>
        <v>132300</v>
      </c>
      <c r="I96" s="460">
        <f>+SUMIFS('Salary sheet'!$AQ$6:$AQ$2288,'Salary sheet'!$F$6:$F$2288,C96,'Salary sheet'!$E$6:$E$2288,B96)</f>
        <v>0</v>
      </c>
      <c r="J96" s="460">
        <f>+SUMIFS('Salary sheet'!$AR$6:$AR$2288,'Salary sheet'!$F$6:$F$2288,C96,'Salary sheet'!$E$6:$E$2288,B96)</f>
        <v>0</v>
      </c>
      <c r="K96" s="460">
        <f>SUMIFS('Salary sheet'!$AS$6:$AS$1291,'Salary sheet'!$F$6:$F$1291,'So sánh giờ'!C96)</f>
        <v>0</v>
      </c>
      <c r="L96" s="460">
        <f t="shared" si="3"/>
        <v>38936104</v>
      </c>
      <c r="M96" s="1299">
        <f>SUMIFS('Salary sheet'!$M$6:$M$13045,'Salary sheet'!$F$6:$F$13045,'So sánh giờ'!$C96)</f>
        <v>91.9</v>
      </c>
      <c r="N96" s="1299">
        <f>SUMIFS('Salary sheet'!$O$6:$O$13045,'Salary sheet'!$F$6:$F$13045,'So sánh giờ'!$C96)</f>
        <v>8</v>
      </c>
      <c r="O96" s="1299">
        <f>SUMIFS('Salary sheet'!$AA$6:$AA$13045,'Salary sheet'!$F$6:$F$13045,'So sánh giờ'!$C96)</f>
        <v>0</v>
      </c>
      <c r="P96" s="1299">
        <f>SUMIFS('Salary sheet'!$Q$6:$Q$13045,'Salary sheet'!$F$6:$F$13045,'So sánh giờ'!$C96)</f>
        <v>0</v>
      </c>
      <c r="Q96" s="1299">
        <f>SUMIFS('Salary sheet'!$AH$6:$AH$13045,'Salary sheet'!$F$6:$F$13045,'So sánh giờ'!$C96)</f>
        <v>0</v>
      </c>
      <c r="R96" s="1299">
        <f>SUMIFS('Salary sheet'!$AI$6:$AI$13045,'Salary sheet'!$F$6:$F$13045,'So sánh giờ'!$C96)</f>
        <v>0</v>
      </c>
      <c r="S96" s="1299">
        <f>SUMIFS('Salary sheet'!$AJ$6:$AJ$13045,'Salary sheet'!$F$6:$F$13045,'So sánh giờ'!$C96)</f>
        <v>0</v>
      </c>
      <c r="T96" s="1299">
        <f>SUMIFS('Salary sheet'!$AK$6:$AK$13045,'Salary sheet'!$F$6:$F$13045,'So sánh giờ'!$C96)</f>
        <v>0</v>
      </c>
      <c r="U96" s="1299">
        <f>SUMIFS('Salary sheet'!$AL$6:$AL$13045,'Salary sheet'!$F$6:$F$13045,'So sánh giờ'!$C96)</f>
        <v>0</v>
      </c>
      <c r="V96" s="1394">
        <v>4</v>
      </c>
      <c r="W96" s="1392">
        <v>45023606</v>
      </c>
      <c r="X96" s="1392">
        <v>4840500</v>
      </c>
      <c r="Y96" s="1392">
        <v>176400</v>
      </c>
      <c r="Z96" s="1392">
        <v>0</v>
      </c>
      <c r="AA96" s="1392">
        <v>0</v>
      </c>
      <c r="AB96" s="1392">
        <v>0</v>
      </c>
      <c r="AC96" s="1392">
        <v>40006706</v>
      </c>
      <c r="AD96" s="1395">
        <v>95.2</v>
      </c>
      <c r="AE96" s="1395">
        <v>0</v>
      </c>
      <c r="AF96" s="1395">
        <v>0</v>
      </c>
      <c r="AG96" s="1395">
        <v>0</v>
      </c>
      <c r="AH96" s="1395">
        <v>0</v>
      </c>
      <c r="AI96" s="1395">
        <v>0</v>
      </c>
      <c r="AJ96" s="1395">
        <v>0</v>
      </c>
      <c r="AK96" s="1395">
        <v>0</v>
      </c>
      <c r="AL96" s="1395">
        <v>0</v>
      </c>
      <c r="AM96" s="1376">
        <v>4</v>
      </c>
      <c r="AN96" s="1374">
        <v>46775157</v>
      </c>
      <c r="AO96" s="1374">
        <v>4840500</v>
      </c>
      <c r="AP96" s="1374">
        <v>132300</v>
      </c>
      <c r="AQ96" s="1374">
        <v>0</v>
      </c>
      <c r="AR96" s="1374">
        <v>180000</v>
      </c>
      <c r="AS96" s="1374">
        <v>0</v>
      </c>
      <c r="AT96" s="1374">
        <v>41622357</v>
      </c>
      <c r="AU96" s="1377">
        <v>85.1</v>
      </c>
      <c r="AV96" s="1377">
        <v>8</v>
      </c>
      <c r="AW96" s="1377">
        <v>0</v>
      </c>
      <c r="AX96" s="1377">
        <v>0</v>
      </c>
      <c r="AY96" s="1377">
        <v>0</v>
      </c>
      <c r="AZ96" s="1377">
        <v>0</v>
      </c>
      <c r="BA96" s="1377">
        <v>0</v>
      </c>
      <c r="BB96" s="1377">
        <v>0</v>
      </c>
      <c r="BC96" s="1377">
        <v>0</v>
      </c>
      <c r="BD96" s="468">
        <v>4</v>
      </c>
      <c r="BE96" s="460">
        <v>88262721</v>
      </c>
      <c r="BF96" s="460">
        <v>4840500</v>
      </c>
      <c r="BG96" s="460">
        <v>132300</v>
      </c>
      <c r="BH96" s="460">
        <v>2790971</v>
      </c>
      <c r="BI96" s="460">
        <v>0</v>
      </c>
      <c r="BJ96" s="460">
        <v>0</v>
      </c>
      <c r="BK96" s="460">
        <v>80498950</v>
      </c>
      <c r="BL96" s="1299">
        <v>75.3</v>
      </c>
      <c r="BM96" s="1299">
        <v>28</v>
      </c>
      <c r="BN96" s="1299">
        <v>0</v>
      </c>
      <c r="BO96" s="1299">
        <v>0</v>
      </c>
      <c r="BP96" s="1299">
        <v>0</v>
      </c>
      <c r="BQ96" s="1299">
        <v>0</v>
      </c>
      <c r="BR96" s="1299">
        <v>0</v>
      </c>
      <c r="BS96" s="1299">
        <v>0</v>
      </c>
      <c r="BT96" s="1299">
        <v>0</v>
      </c>
    </row>
    <row r="97" spans="1:72" s="22" customFormat="1" ht="26.25" customHeight="1">
      <c r="A97" s="464">
        <f>SUBTOTAL(3,B$4:B97)</f>
        <v>94</v>
      </c>
      <c r="B97" s="465" t="s">
        <v>220</v>
      </c>
      <c r="C97" s="466" t="s">
        <v>266</v>
      </c>
      <c r="D97" s="467" t="s">
        <v>618</v>
      </c>
      <c r="E97" s="468">
        <f>COUNTIFS('Salary sheet'!$F$6:$F$2288,C97,'Salary sheet'!$E$6:$E$2288,B97)</f>
        <v>23</v>
      </c>
      <c r="F97" s="460">
        <f>+SUMIFS('Salary sheet'!$AN$6:$AN$1292,'Salary sheet'!$F$6:$F$1292,'So sánh giờ'!C97,'Salary sheet'!$E$6:$E$1292,'So sánh giờ'!B97)</f>
        <v>244463644</v>
      </c>
      <c r="G97" s="460">
        <f>+SUMIFS('Salary sheet'!$AO$6:$AO$2288,'Salary sheet'!$F$6:$F$2288,C97,'Salary sheet'!$E$6:$E$2288,B97)</f>
        <v>19485375</v>
      </c>
      <c r="H97" s="460">
        <f>+SUMIFS('Salary sheet'!$AP$6:$AP$2288,'Salary sheet'!$F$6:$F$2288,C97,'Salary sheet'!$E$6:$E$2288,B97)</f>
        <v>882000</v>
      </c>
      <c r="I97" s="460">
        <f>+SUMIFS('Salary sheet'!$AQ$6:$AQ$2288,'Salary sheet'!$F$6:$F$2288,C97,'Salary sheet'!$E$6:$E$2288,B97)</f>
        <v>3190</v>
      </c>
      <c r="J97" s="460">
        <f>+SUMIFS('Salary sheet'!$AR$6:$AR$2288,'Salary sheet'!$F$6:$F$2288,C97,'Salary sheet'!$E$6:$E$2288,B97)</f>
        <v>0</v>
      </c>
      <c r="K97" s="460">
        <f>SUMIFS('Salary sheet'!$AS$6:$AS$1291,'Salary sheet'!$F$6:$F$1291,'So sánh giờ'!C97)</f>
        <v>0</v>
      </c>
      <c r="L97" s="460">
        <f t="shared" si="3"/>
        <v>224093079</v>
      </c>
      <c r="M97" s="1299">
        <f>SUMIFS('Salary sheet'!$M$6:$M$13045,'Salary sheet'!$F$6:$F$13045,'So sánh giờ'!$C97)</f>
        <v>500.9</v>
      </c>
      <c r="N97" s="1299">
        <f>SUMIFS('Salary sheet'!$O$6:$O$13045,'Salary sheet'!$F$6:$F$13045,'So sánh giờ'!$C97)</f>
        <v>51</v>
      </c>
      <c r="O97" s="1299">
        <f>SUMIFS('Salary sheet'!$AA$6:$AA$13045,'Salary sheet'!$F$6:$F$13045,'So sánh giờ'!$C97)</f>
        <v>0</v>
      </c>
      <c r="P97" s="1299">
        <f>SUMIFS('Salary sheet'!$Q$6:$Q$13045,'Salary sheet'!$F$6:$F$13045,'So sánh giờ'!$C97)</f>
        <v>0</v>
      </c>
      <c r="Q97" s="1299">
        <f>SUMIFS('Salary sheet'!$AH$6:$AH$13045,'Salary sheet'!$F$6:$F$13045,'So sánh giờ'!$C97)</f>
        <v>576.5</v>
      </c>
      <c r="R97" s="1299">
        <f>SUMIFS('Salary sheet'!$AI$6:$AI$13045,'Salary sheet'!$F$6:$F$13045,'So sánh giờ'!$C97)</f>
        <v>0</v>
      </c>
      <c r="S97" s="1299">
        <f>SUMIFS('Salary sheet'!$AJ$6:$AJ$13045,'Salary sheet'!$F$6:$F$13045,'So sánh giờ'!$C97)</f>
        <v>0</v>
      </c>
      <c r="T97" s="1299">
        <f>SUMIFS('Salary sheet'!$AK$6:$AK$13045,'Salary sheet'!$F$6:$F$13045,'So sánh giờ'!$C97)</f>
        <v>0</v>
      </c>
      <c r="U97" s="1299">
        <f>SUMIFS('Salary sheet'!$AL$6:$AL$13045,'Salary sheet'!$F$6:$F$13045,'So sánh giờ'!$C97)</f>
        <v>0</v>
      </c>
      <c r="V97" s="1394">
        <v>21</v>
      </c>
      <c r="W97" s="1392">
        <v>234700256</v>
      </c>
      <c r="X97" s="1392">
        <v>18789960</v>
      </c>
      <c r="Y97" s="1392">
        <v>837900</v>
      </c>
      <c r="Z97" s="1392">
        <v>123053</v>
      </c>
      <c r="AA97" s="1392">
        <v>0</v>
      </c>
      <c r="AB97" s="1392">
        <v>0</v>
      </c>
      <c r="AC97" s="1392">
        <v>214949343</v>
      </c>
      <c r="AD97" s="1395">
        <v>508.5</v>
      </c>
      <c r="AE97" s="1395">
        <v>2</v>
      </c>
      <c r="AF97" s="1395">
        <v>0</v>
      </c>
      <c r="AG97" s="1395">
        <v>0</v>
      </c>
      <c r="AH97" s="1395">
        <v>560.5</v>
      </c>
      <c r="AI97" s="1395">
        <v>0</v>
      </c>
      <c r="AJ97" s="1395">
        <v>0</v>
      </c>
      <c r="AK97" s="1395">
        <v>0</v>
      </c>
      <c r="AL97" s="1395">
        <v>0</v>
      </c>
      <c r="AM97" s="1376">
        <v>22</v>
      </c>
      <c r="AN97" s="1374">
        <v>243707074</v>
      </c>
      <c r="AO97" s="1374">
        <v>19603815</v>
      </c>
      <c r="AP97" s="1374">
        <v>926100</v>
      </c>
      <c r="AQ97" s="1374">
        <v>122315</v>
      </c>
      <c r="AR97" s="1374">
        <v>76000</v>
      </c>
      <c r="AS97" s="1374">
        <v>0</v>
      </c>
      <c r="AT97" s="1374">
        <v>222978844</v>
      </c>
      <c r="AU97" s="1377">
        <v>450.4</v>
      </c>
      <c r="AV97" s="1377">
        <v>42</v>
      </c>
      <c r="AW97" s="1377">
        <v>0</v>
      </c>
      <c r="AX97" s="1377">
        <v>0</v>
      </c>
      <c r="AY97" s="1377">
        <v>484</v>
      </c>
      <c r="AZ97" s="1377">
        <v>0</v>
      </c>
      <c r="BA97" s="1377">
        <v>0</v>
      </c>
      <c r="BB97" s="1377">
        <v>0</v>
      </c>
      <c r="BC97" s="1377">
        <v>0</v>
      </c>
      <c r="BD97" s="468">
        <v>21</v>
      </c>
      <c r="BE97" s="460">
        <v>398736237</v>
      </c>
      <c r="BF97" s="460">
        <v>20413890</v>
      </c>
      <c r="BG97" s="460">
        <v>926100</v>
      </c>
      <c r="BH97" s="460">
        <v>7422505</v>
      </c>
      <c r="BI97" s="460">
        <v>0</v>
      </c>
      <c r="BJ97" s="460">
        <v>0</v>
      </c>
      <c r="BK97" s="460">
        <v>369973742</v>
      </c>
      <c r="BL97" s="1299">
        <v>405</v>
      </c>
      <c r="BM97" s="1299">
        <v>147</v>
      </c>
      <c r="BN97" s="1299">
        <v>0</v>
      </c>
      <c r="BO97" s="1299">
        <v>0</v>
      </c>
      <c r="BP97" s="1299">
        <v>625.5</v>
      </c>
      <c r="BQ97" s="1299">
        <v>7</v>
      </c>
      <c r="BR97" s="1299">
        <v>0</v>
      </c>
      <c r="BS97" s="1299">
        <v>0</v>
      </c>
      <c r="BT97" s="1299">
        <v>0</v>
      </c>
    </row>
    <row r="98" spans="1:72" s="22" customFormat="1" ht="26.25" customHeight="1">
      <c r="A98" s="464">
        <f>SUBTOTAL(3,B$4:B98)</f>
        <v>95</v>
      </c>
      <c r="B98" s="465" t="s">
        <v>220</v>
      </c>
      <c r="C98" s="466" t="s">
        <v>542</v>
      </c>
      <c r="D98" s="467" t="s">
        <v>619</v>
      </c>
      <c r="E98" s="468">
        <f>COUNTIFS('Salary sheet'!$F$6:$F$2288,C98,'Salary sheet'!$E$6:$E$2288,B98)</f>
        <v>6</v>
      </c>
      <c r="F98" s="460">
        <f>+SUMIFS('Salary sheet'!$AN$6:$AN$1292,'Salary sheet'!$F$6:$F$1292,'So sánh giờ'!C98,'Salary sheet'!$E$6:$E$1292,'So sánh giờ'!B98)</f>
        <v>93887336</v>
      </c>
      <c r="G98" s="460">
        <f>+SUMIFS('Salary sheet'!$AO$6:$AO$2288,'Salary sheet'!$F$6:$F$2288,C98,'Salary sheet'!$E$6:$E$2288,B98)</f>
        <v>9849000</v>
      </c>
      <c r="H98" s="460">
        <f>+SUMIFS('Salary sheet'!$AP$6:$AP$2288,'Salary sheet'!$F$6:$F$2288,C98,'Salary sheet'!$E$6:$E$2288,B98)</f>
        <v>220500</v>
      </c>
      <c r="I98" s="460">
        <f>+SUMIFS('Salary sheet'!$AQ$6:$AQ$2288,'Salary sheet'!$F$6:$F$2288,C98,'Salary sheet'!$E$6:$E$2288,B98)</f>
        <v>1733118</v>
      </c>
      <c r="J98" s="460">
        <f>+SUMIFS('Salary sheet'!$AR$6:$AR$2288,'Salary sheet'!$F$6:$F$2288,C98,'Salary sheet'!$E$6:$E$2288,B98)</f>
        <v>0</v>
      </c>
      <c r="K98" s="460">
        <f>SUMIFS('Salary sheet'!$AS$6:$AS$1291,'Salary sheet'!$F$6:$F$1291,'So sánh giờ'!C98)</f>
        <v>0</v>
      </c>
      <c r="L98" s="460">
        <f t="shared" si="3"/>
        <v>82084718</v>
      </c>
      <c r="M98" s="1299">
        <f>SUMIFS('Salary sheet'!$M$6:$M$13045,'Salary sheet'!$F$6:$F$13045,'So sánh giờ'!$C98)</f>
        <v>133.19999999999999</v>
      </c>
      <c r="N98" s="1299">
        <f>SUMIFS('Salary sheet'!$O$6:$O$13045,'Salary sheet'!$F$6:$F$13045,'So sánh giờ'!$C98)</f>
        <v>14</v>
      </c>
      <c r="O98" s="1299">
        <f>SUMIFS('Salary sheet'!$AA$6:$AA$13045,'Salary sheet'!$F$6:$F$13045,'So sánh giờ'!$C98)</f>
        <v>0</v>
      </c>
      <c r="P98" s="1299">
        <f>SUMIFS('Salary sheet'!$Q$6:$Q$13045,'Salary sheet'!$F$6:$F$13045,'So sánh giờ'!$C98)</f>
        <v>0</v>
      </c>
      <c r="Q98" s="1299">
        <f>SUMIFS('Salary sheet'!$AH$6:$AH$13045,'Salary sheet'!$F$6:$F$13045,'So sánh giờ'!$C98)</f>
        <v>0</v>
      </c>
      <c r="R98" s="1299">
        <f>SUMIFS('Salary sheet'!$AI$6:$AI$13045,'Salary sheet'!$F$6:$F$13045,'So sánh giờ'!$C98)</f>
        <v>0</v>
      </c>
      <c r="S98" s="1299">
        <f>SUMIFS('Salary sheet'!$AJ$6:$AJ$13045,'Salary sheet'!$F$6:$F$13045,'So sánh giờ'!$C98)</f>
        <v>0</v>
      </c>
      <c r="T98" s="1299">
        <f>SUMIFS('Salary sheet'!$AK$6:$AK$13045,'Salary sheet'!$F$6:$F$13045,'So sánh giờ'!$C98)</f>
        <v>0</v>
      </c>
      <c r="U98" s="1299">
        <f>SUMIFS('Salary sheet'!$AL$6:$AL$13045,'Salary sheet'!$F$6:$F$13045,'So sánh giờ'!$C98)</f>
        <v>0</v>
      </c>
      <c r="V98" s="1394">
        <v>6</v>
      </c>
      <c r="W98" s="1392">
        <v>96012645</v>
      </c>
      <c r="X98" s="1392">
        <v>9849000</v>
      </c>
      <c r="Y98" s="1392">
        <v>220500</v>
      </c>
      <c r="Z98" s="1392">
        <v>1783941</v>
      </c>
      <c r="AA98" s="1392">
        <v>0</v>
      </c>
      <c r="AB98" s="1392">
        <v>0</v>
      </c>
      <c r="AC98" s="1392">
        <v>84159204</v>
      </c>
      <c r="AD98" s="1395">
        <v>150.80000000000001</v>
      </c>
      <c r="AE98" s="1395">
        <v>1</v>
      </c>
      <c r="AF98" s="1395">
        <v>0</v>
      </c>
      <c r="AG98" s="1395">
        <v>0</v>
      </c>
      <c r="AH98" s="1395">
        <v>0</v>
      </c>
      <c r="AI98" s="1395">
        <v>0</v>
      </c>
      <c r="AJ98" s="1395">
        <v>0</v>
      </c>
      <c r="AK98" s="1395">
        <v>0</v>
      </c>
      <c r="AL98" s="1395">
        <v>0</v>
      </c>
      <c r="AM98" s="1376">
        <v>6</v>
      </c>
      <c r="AN98" s="1374">
        <v>95218908</v>
      </c>
      <c r="AO98" s="1374">
        <v>9849000</v>
      </c>
      <c r="AP98" s="1374">
        <v>220500</v>
      </c>
      <c r="AQ98" s="1374">
        <v>1917837</v>
      </c>
      <c r="AR98" s="1374">
        <v>0</v>
      </c>
      <c r="AS98" s="1374">
        <v>0</v>
      </c>
      <c r="AT98" s="1374">
        <v>83231571</v>
      </c>
      <c r="AU98" s="1377">
        <v>125.69999999999999</v>
      </c>
      <c r="AV98" s="1377">
        <v>12</v>
      </c>
      <c r="AW98" s="1377">
        <v>0</v>
      </c>
      <c r="AX98" s="1377">
        <v>0</v>
      </c>
      <c r="AY98" s="1377">
        <v>0</v>
      </c>
      <c r="AZ98" s="1377">
        <v>0</v>
      </c>
      <c r="BA98" s="1377">
        <v>0</v>
      </c>
      <c r="BB98" s="1377">
        <v>0</v>
      </c>
      <c r="BC98" s="1377">
        <v>0</v>
      </c>
      <c r="BD98" s="468">
        <v>6</v>
      </c>
      <c r="BE98" s="460">
        <v>184402841</v>
      </c>
      <c r="BF98" s="460">
        <v>9849000</v>
      </c>
      <c r="BG98" s="460">
        <v>220500</v>
      </c>
      <c r="BH98" s="460">
        <v>13061103</v>
      </c>
      <c r="BI98" s="460">
        <v>0</v>
      </c>
      <c r="BJ98" s="460">
        <v>0</v>
      </c>
      <c r="BK98" s="460">
        <v>161272238</v>
      </c>
      <c r="BL98" s="1299">
        <v>117.4</v>
      </c>
      <c r="BM98" s="1299">
        <v>42</v>
      </c>
      <c r="BN98" s="1299">
        <v>0</v>
      </c>
      <c r="BO98" s="1299">
        <v>0</v>
      </c>
      <c r="BP98" s="1299">
        <v>0</v>
      </c>
      <c r="BQ98" s="1299">
        <v>0</v>
      </c>
      <c r="BR98" s="1299">
        <v>0</v>
      </c>
      <c r="BS98" s="1299">
        <v>0</v>
      </c>
      <c r="BT98" s="1299">
        <v>0</v>
      </c>
    </row>
    <row r="99" spans="1:72" s="22" customFormat="1" ht="26.25" customHeight="1">
      <c r="A99" s="464">
        <f>SUBTOTAL(3,B$4:B99)</f>
        <v>96</v>
      </c>
      <c r="B99" s="465" t="s">
        <v>220</v>
      </c>
      <c r="C99" s="466" t="s">
        <v>528</v>
      </c>
      <c r="D99" s="467" t="s">
        <v>620</v>
      </c>
      <c r="E99" s="468">
        <f>COUNTIFS('Salary sheet'!$F$6:$F$2288,C99,'Salary sheet'!$E$6:$E$2288,B99)</f>
        <v>31</v>
      </c>
      <c r="F99" s="460">
        <f>+SUMIFS('Salary sheet'!$AN$6:$AN$1292,'Salary sheet'!$F$6:$F$1292,'So sánh giờ'!C99,'Salary sheet'!$E$6:$E$1292,'So sánh giờ'!B99)</f>
        <v>305941623</v>
      </c>
      <c r="G99" s="460">
        <f>+SUMIFS('Salary sheet'!$AO$6:$AO$2288,'Salary sheet'!$F$6:$F$2288,C99,'Salary sheet'!$E$6:$E$2288,B99)</f>
        <v>23959740</v>
      </c>
      <c r="H99" s="460">
        <f>+SUMIFS('Salary sheet'!$AP$6:$AP$2288,'Salary sheet'!$F$6:$F$2288,C99,'Salary sheet'!$E$6:$E$2288,B99)</f>
        <v>1367100</v>
      </c>
      <c r="I99" s="460">
        <f>+SUMIFS('Salary sheet'!$AQ$6:$AQ$2288,'Salary sheet'!$F$6:$F$2288,C99,'Salary sheet'!$E$6:$E$2288,B99)</f>
        <v>13478</v>
      </c>
      <c r="J99" s="460">
        <f>+SUMIFS('Salary sheet'!$AR$6:$AR$2288,'Salary sheet'!$F$6:$F$2288,C99,'Salary sheet'!$E$6:$E$2288,B99)</f>
        <v>0</v>
      </c>
      <c r="K99" s="460">
        <f>SUMIFS('Salary sheet'!$AS$6:$AS$1291,'Salary sheet'!$F$6:$F$1291,'So sánh giờ'!C99)</f>
        <v>400000</v>
      </c>
      <c r="L99" s="460">
        <f t="shared" si="3"/>
        <v>280201305</v>
      </c>
      <c r="M99" s="1299">
        <f>SUMIFS('Salary sheet'!$M$6:$M$13045,'Salary sheet'!$F$6:$F$13045,'So sánh giờ'!$C99)</f>
        <v>692.2</v>
      </c>
      <c r="N99" s="1299">
        <f>SUMIFS('Salary sheet'!$O$6:$O$13045,'Salary sheet'!$F$6:$F$13045,'So sánh giờ'!$C99)</f>
        <v>75</v>
      </c>
      <c r="O99" s="1299">
        <f>SUMIFS('Salary sheet'!$AA$6:$AA$13045,'Salary sheet'!$F$6:$F$13045,'So sánh giờ'!$C99)</f>
        <v>0</v>
      </c>
      <c r="P99" s="1299">
        <f>SUMIFS('Salary sheet'!$Q$6:$Q$13045,'Salary sheet'!$F$6:$F$13045,'So sánh giờ'!$C99)</f>
        <v>0</v>
      </c>
      <c r="Q99" s="1299">
        <f>SUMIFS('Salary sheet'!$AH$6:$AH$13045,'Salary sheet'!$F$6:$F$13045,'So sánh giờ'!$C99)</f>
        <v>757</v>
      </c>
      <c r="R99" s="1299">
        <f>SUMIFS('Salary sheet'!$AI$6:$AI$13045,'Salary sheet'!$F$6:$F$13045,'So sánh giờ'!$C99)</f>
        <v>0</v>
      </c>
      <c r="S99" s="1299">
        <f>SUMIFS('Salary sheet'!$AJ$6:$AJ$13045,'Salary sheet'!$F$6:$F$13045,'So sánh giờ'!$C99)</f>
        <v>0</v>
      </c>
      <c r="T99" s="1299">
        <f>SUMIFS('Salary sheet'!$AK$6:$AK$13045,'Salary sheet'!$F$6:$F$13045,'So sánh giờ'!$C99)</f>
        <v>0</v>
      </c>
      <c r="U99" s="1299">
        <f>SUMIFS('Salary sheet'!$AL$6:$AL$13045,'Salary sheet'!$F$6:$F$13045,'So sánh giờ'!$C99)</f>
        <v>0</v>
      </c>
      <c r="V99" s="1394">
        <v>33</v>
      </c>
      <c r="W99" s="1392">
        <v>345999187</v>
      </c>
      <c r="X99" s="1392">
        <v>25041660</v>
      </c>
      <c r="Y99" s="1392">
        <v>1455300</v>
      </c>
      <c r="Z99" s="1392">
        <v>0</v>
      </c>
      <c r="AA99" s="1392">
        <v>0</v>
      </c>
      <c r="AB99" s="1392">
        <v>0</v>
      </c>
      <c r="AC99" s="1392">
        <v>319502227</v>
      </c>
      <c r="AD99" s="1395">
        <v>815.9</v>
      </c>
      <c r="AE99" s="1395">
        <v>1</v>
      </c>
      <c r="AF99" s="1395">
        <v>0</v>
      </c>
      <c r="AG99" s="1395">
        <v>0</v>
      </c>
      <c r="AH99" s="1395">
        <v>1229</v>
      </c>
      <c r="AI99" s="1395">
        <v>0</v>
      </c>
      <c r="AJ99" s="1395">
        <v>0</v>
      </c>
      <c r="AK99" s="1395">
        <v>0</v>
      </c>
      <c r="AL99" s="1395">
        <v>0</v>
      </c>
      <c r="AM99" s="1376">
        <v>33</v>
      </c>
      <c r="AN99" s="1374">
        <v>316885105</v>
      </c>
      <c r="AO99" s="1374">
        <v>25010160</v>
      </c>
      <c r="AP99" s="1374">
        <v>1455300</v>
      </c>
      <c r="AQ99" s="1374">
        <v>10226</v>
      </c>
      <c r="AR99" s="1374">
        <v>792500</v>
      </c>
      <c r="AS99" s="1374">
        <v>0</v>
      </c>
      <c r="AT99" s="1374">
        <v>289616919</v>
      </c>
      <c r="AU99" s="1377">
        <v>659.9</v>
      </c>
      <c r="AV99" s="1377">
        <v>68</v>
      </c>
      <c r="AW99" s="1377">
        <v>0</v>
      </c>
      <c r="AX99" s="1377">
        <v>0</v>
      </c>
      <c r="AY99" s="1377">
        <v>805.5</v>
      </c>
      <c r="AZ99" s="1377">
        <v>0</v>
      </c>
      <c r="BA99" s="1377">
        <v>0</v>
      </c>
      <c r="BB99" s="1377">
        <v>0</v>
      </c>
      <c r="BC99" s="1377">
        <v>0</v>
      </c>
      <c r="BD99" s="468">
        <v>33</v>
      </c>
      <c r="BE99" s="460">
        <v>546393185</v>
      </c>
      <c r="BF99" s="460">
        <v>26290950</v>
      </c>
      <c r="BG99" s="460">
        <v>1455300</v>
      </c>
      <c r="BH99" s="460">
        <v>6298309</v>
      </c>
      <c r="BI99" s="460">
        <v>0</v>
      </c>
      <c r="BJ99" s="460">
        <v>0</v>
      </c>
      <c r="BK99" s="460">
        <v>512348626</v>
      </c>
      <c r="BL99" s="1299">
        <v>625.4</v>
      </c>
      <c r="BM99" s="1299">
        <v>231</v>
      </c>
      <c r="BN99" s="1299">
        <v>0</v>
      </c>
      <c r="BO99" s="1299">
        <v>0</v>
      </c>
      <c r="BP99" s="1299">
        <v>1174</v>
      </c>
      <c r="BQ99" s="1299">
        <v>0</v>
      </c>
      <c r="BR99" s="1299">
        <v>0</v>
      </c>
      <c r="BS99" s="1299">
        <v>0</v>
      </c>
      <c r="BT99" s="1299">
        <v>0</v>
      </c>
    </row>
    <row r="100" spans="1:72" s="22" customFormat="1" ht="26.25" customHeight="1">
      <c r="A100" s="464">
        <f>SUBTOTAL(3,B$4:B100)</f>
        <v>97</v>
      </c>
      <c r="B100" s="465" t="s">
        <v>220</v>
      </c>
      <c r="C100" s="466" t="s">
        <v>543</v>
      </c>
      <c r="D100" s="467" t="s">
        <v>621</v>
      </c>
      <c r="E100" s="468">
        <f>COUNTIFS('Salary sheet'!$F$6:$F$2288,C100,'Salary sheet'!$E$6:$E$2288,B100)</f>
        <v>9</v>
      </c>
      <c r="F100" s="460">
        <f>+SUMIFS('Salary sheet'!$AN$6:$AN$1292,'Salary sheet'!$F$6:$F$1292,'So sánh giờ'!C100,'Salary sheet'!$E$6:$E$1292,'So sánh giờ'!B100)</f>
        <v>166103836</v>
      </c>
      <c r="G100" s="460">
        <f>+SUMIFS('Salary sheet'!$AO$6:$AO$2288,'Salary sheet'!$F$6:$F$2288,C100,'Salary sheet'!$E$6:$E$2288,B100)</f>
        <v>16842000</v>
      </c>
      <c r="H100" s="460">
        <f>+SUMIFS('Salary sheet'!$AP$6:$AP$2288,'Salary sheet'!$F$6:$F$2288,C100,'Salary sheet'!$E$6:$E$2288,B100)</f>
        <v>308700</v>
      </c>
      <c r="I100" s="460">
        <f>+SUMIFS('Salary sheet'!$AQ$6:$AQ$2288,'Salary sheet'!$F$6:$F$2288,C100,'Salary sheet'!$E$6:$E$2288,B100)</f>
        <v>1350946</v>
      </c>
      <c r="J100" s="460">
        <f>+SUMIFS('Salary sheet'!$AR$6:$AR$2288,'Salary sheet'!$F$6:$F$2288,C100,'Salary sheet'!$E$6:$E$2288,B100)</f>
        <v>0</v>
      </c>
      <c r="K100" s="460">
        <f>SUMIFS('Salary sheet'!$AS$6:$AS$1291,'Salary sheet'!$F$6:$F$1291,'So sánh giờ'!C100)</f>
        <v>0</v>
      </c>
      <c r="L100" s="460">
        <f>+(F100)-SUM(G100:K100)</f>
        <v>147602190</v>
      </c>
      <c r="M100" s="1299">
        <f>SUMIFS('Salary sheet'!$M$6:$M$13045,'Salary sheet'!$F$6:$F$13045,'So sánh giờ'!$C100)</f>
        <v>211</v>
      </c>
      <c r="N100" s="1299">
        <f>SUMIFS('Salary sheet'!$O$6:$O$13045,'Salary sheet'!$F$6:$F$13045,'So sánh giờ'!$C100)</f>
        <v>19</v>
      </c>
      <c r="O100" s="1299">
        <f>SUMIFS('Salary sheet'!$AA$6:$AA$13045,'Salary sheet'!$F$6:$F$13045,'So sánh giờ'!$C100)</f>
        <v>0</v>
      </c>
      <c r="P100" s="1299">
        <f>SUMIFS('Salary sheet'!$Q$6:$Q$13045,'Salary sheet'!$F$6:$F$13045,'So sánh giờ'!$C100)</f>
        <v>0</v>
      </c>
      <c r="Q100" s="1299">
        <f>SUMIFS('Salary sheet'!$AH$6:$AH$13045,'Salary sheet'!$F$6:$F$13045,'So sánh giờ'!$C100)</f>
        <v>33.5</v>
      </c>
      <c r="R100" s="1299">
        <f>SUMIFS('Salary sheet'!$AI$6:$AI$13045,'Salary sheet'!$F$6:$F$13045,'So sánh giờ'!$C100)</f>
        <v>0</v>
      </c>
      <c r="S100" s="1299">
        <f>SUMIFS('Salary sheet'!$AJ$6:$AJ$13045,'Salary sheet'!$F$6:$F$13045,'So sánh giờ'!$C100)</f>
        <v>0</v>
      </c>
      <c r="T100" s="1299">
        <f>SUMIFS('Salary sheet'!$AK$6:$AK$13045,'Salary sheet'!$F$6:$F$13045,'So sánh giờ'!$C100)</f>
        <v>0</v>
      </c>
      <c r="U100" s="1299">
        <f>SUMIFS('Salary sheet'!$AL$6:$AL$13045,'Salary sheet'!$F$6:$F$13045,'So sánh giờ'!$C100)</f>
        <v>0</v>
      </c>
      <c r="V100" s="1394">
        <v>9</v>
      </c>
      <c r="W100" s="1392">
        <v>163866875</v>
      </c>
      <c r="X100" s="1392">
        <v>16842000</v>
      </c>
      <c r="Y100" s="1392">
        <v>352800</v>
      </c>
      <c r="Z100" s="1392">
        <v>1207361</v>
      </c>
      <c r="AA100" s="1392">
        <v>0</v>
      </c>
      <c r="AB100" s="1392">
        <v>0</v>
      </c>
      <c r="AC100" s="1392">
        <v>145464714</v>
      </c>
      <c r="AD100" s="1395">
        <v>226.90000000000003</v>
      </c>
      <c r="AE100" s="1395">
        <v>1</v>
      </c>
      <c r="AF100" s="1395">
        <v>0</v>
      </c>
      <c r="AG100" s="1395">
        <v>0</v>
      </c>
      <c r="AH100" s="1395">
        <v>28</v>
      </c>
      <c r="AI100" s="1395">
        <v>0</v>
      </c>
      <c r="AJ100" s="1395">
        <v>0</v>
      </c>
      <c r="AK100" s="1395">
        <v>0</v>
      </c>
      <c r="AL100" s="1395">
        <v>0</v>
      </c>
      <c r="AM100" s="1376">
        <v>9</v>
      </c>
      <c r="AN100" s="1374">
        <v>166359323</v>
      </c>
      <c r="AO100" s="1374">
        <v>16842000</v>
      </c>
      <c r="AP100" s="1374">
        <v>352800</v>
      </c>
      <c r="AQ100" s="1374">
        <v>1329223</v>
      </c>
      <c r="AR100" s="1374">
        <v>900000</v>
      </c>
      <c r="AS100" s="1374">
        <v>0</v>
      </c>
      <c r="AT100" s="1374">
        <v>146935300</v>
      </c>
      <c r="AU100" s="1377">
        <v>194.5</v>
      </c>
      <c r="AV100" s="1377">
        <v>18</v>
      </c>
      <c r="AW100" s="1377">
        <v>0</v>
      </c>
      <c r="AX100" s="1377">
        <v>0</v>
      </c>
      <c r="AY100" s="1377">
        <v>32.5</v>
      </c>
      <c r="AZ100" s="1377">
        <v>0</v>
      </c>
      <c r="BA100" s="1377">
        <v>0</v>
      </c>
      <c r="BB100" s="1377">
        <v>0</v>
      </c>
      <c r="BC100" s="1377">
        <v>0</v>
      </c>
      <c r="BD100" s="468">
        <v>9</v>
      </c>
      <c r="BE100" s="460">
        <v>307098095</v>
      </c>
      <c r="BF100" s="460">
        <v>16842000</v>
      </c>
      <c r="BG100" s="460">
        <v>352800</v>
      </c>
      <c r="BH100" s="460">
        <v>16148318</v>
      </c>
      <c r="BI100" s="460">
        <v>0</v>
      </c>
      <c r="BJ100" s="460">
        <v>0</v>
      </c>
      <c r="BK100" s="460">
        <v>273754977</v>
      </c>
      <c r="BL100" s="1299">
        <v>171.5</v>
      </c>
      <c r="BM100" s="1299">
        <v>62</v>
      </c>
      <c r="BN100" s="1299">
        <v>0</v>
      </c>
      <c r="BO100" s="1299">
        <v>0</v>
      </c>
      <c r="BP100" s="1299">
        <v>38.5</v>
      </c>
      <c r="BQ100" s="1299">
        <v>0</v>
      </c>
      <c r="BR100" s="1299">
        <v>0</v>
      </c>
      <c r="BS100" s="1299">
        <v>0</v>
      </c>
      <c r="BT100" s="1299">
        <v>0</v>
      </c>
    </row>
    <row r="101" spans="1:72" s="22" customFormat="1" ht="26.25" customHeight="1">
      <c r="A101" s="464">
        <f>SUBTOTAL(3,B$4:B101)</f>
        <v>98</v>
      </c>
      <c r="B101" s="465" t="s">
        <v>220</v>
      </c>
      <c r="C101" s="466" t="s">
        <v>529</v>
      </c>
      <c r="D101" s="467" t="s">
        <v>622</v>
      </c>
      <c r="E101" s="468">
        <f>COUNTIFS('Salary sheet'!$F$6:$F$2288,C101,'Salary sheet'!$E$6:$E$2288,B101)</f>
        <v>1</v>
      </c>
      <c r="F101" s="460">
        <f>+SUMIFS('Salary sheet'!$AN$6:$AN$1292,'Salary sheet'!$F$6:$F$1292,'So sánh giờ'!C101,'Salary sheet'!$E$6:$E$1292,'So sánh giờ'!B101)</f>
        <v>9806706</v>
      </c>
      <c r="G101" s="460">
        <f>+SUMIFS('Salary sheet'!$AO$6:$AO$2288,'Salary sheet'!$F$6:$F$2288,C101,'Salary sheet'!$E$6:$E$2288,B101)</f>
        <v>738255</v>
      </c>
      <c r="H101" s="460">
        <f>+SUMIFS('Salary sheet'!$AP$6:$AP$2288,'Salary sheet'!$F$6:$F$2288,C101,'Salary sheet'!$E$6:$E$2288,B101)</f>
        <v>44100</v>
      </c>
      <c r="I101" s="460">
        <f>+SUMIFS('Salary sheet'!$AQ$6:$AQ$2288,'Salary sheet'!$F$6:$F$2288,C101,'Salary sheet'!$E$6:$E$2288,B101)</f>
        <v>0</v>
      </c>
      <c r="J101" s="460">
        <f>+SUMIFS('Salary sheet'!$AR$6:$AR$2288,'Salary sheet'!$F$6:$F$2288,C101,'Salary sheet'!$E$6:$E$2288,B101)</f>
        <v>0</v>
      </c>
      <c r="K101" s="460">
        <f>SUMIFS('Salary sheet'!$AS$6:$AS$1291,'Salary sheet'!$F$6:$F$1291,'So sánh giờ'!C101)</f>
        <v>0</v>
      </c>
      <c r="L101" s="460">
        <f>+(F101)-SUM(G101:K101)</f>
        <v>9024351</v>
      </c>
      <c r="M101" s="1299">
        <f>SUMIFS('Salary sheet'!$M$6:$M$13045,'Salary sheet'!$F$6:$F$13045,'So sánh giờ'!$C101)</f>
        <v>22.8</v>
      </c>
      <c r="N101" s="1299">
        <f>SUMIFS('Salary sheet'!$O$6:$O$13045,'Salary sheet'!$F$6:$F$13045,'So sánh giờ'!$C101)</f>
        <v>3</v>
      </c>
      <c r="O101" s="1299">
        <f>SUMIFS('Salary sheet'!$AA$6:$AA$13045,'Salary sheet'!$F$6:$F$13045,'So sánh giờ'!$C101)</f>
        <v>0</v>
      </c>
      <c r="P101" s="1299">
        <f>SUMIFS('Salary sheet'!$Q$6:$Q$13045,'Salary sheet'!$F$6:$F$13045,'So sánh giờ'!$C101)</f>
        <v>0</v>
      </c>
      <c r="Q101" s="1299">
        <f>SUMIFS('Salary sheet'!$AH$6:$AH$13045,'Salary sheet'!$F$6:$F$13045,'So sánh giờ'!$C101)</f>
        <v>21</v>
      </c>
      <c r="R101" s="1299">
        <f>SUMIFS('Salary sheet'!$AI$6:$AI$13045,'Salary sheet'!$F$6:$F$13045,'So sánh giờ'!$C101)</f>
        <v>0</v>
      </c>
      <c r="S101" s="1299">
        <f>SUMIFS('Salary sheet'!$AJ$6:$AJ$13045,'Salary sheet'!$F$6:$F$13045,'So sánh giờ'!$C101)</f>
        <v>0</v>
      </c>
      <c r="T101" s="1299">
        <f>SUMIFS('Salary sheet'!$AK$6:$AK$13045,'Salary sheet'!$F$6:$F$13045,'So sánh giờ'!$C101)</f>
        <v>0</v>
      </c>
      <c r="U101" s="1299">
        <f>SUMIFS('Salary sheet'!$AL$6:$AL$13045,'Salary sheet'!$F$6:$F$13045,'So sánh giờ'!$C101)</f>
        <v>0</v>
      </c>
      <c r="V101" s="1394">
        <v>1</v>
      </c>
      <c r="W101" s="1392">
        <v>10451653</v>
      </c>
      <c r="X101" s="1392">
        <v>738255</v>
      </c>
      <c r="Y101" s="1392">
        <v>44100</v>
      </c>
      <c r="Z101" s="1392">
        <v>0</v>
      </c>
      <c r="AA101" s="1392">
        <v>0</v>
      </c>
      <c r="AB101" s="1392">
        <v>0</v>
      </c>
      <c r="AC101" s="1392">
        <v>9669298</v>
      </c>
      <c r="AD101" s="1395">
        <v>24.8</v>
      </c>
      <c r="AE101" s="1395">
        <v>0</v>
      </c>
      <c r="AF101" s="1395">
        <v>0</v>
      </c>
      <c r="AG101" s="1395">
        <v>0</v>
      </c>
      <c r="AH101" s="1395">
        <v>39</v>
      </c>
      <c r="AI101" s="1395">
        <v>0</v>
      </c>
      <c r="AJ101" s="1395">
        <v>0</v>
      </c>
      <c r="AK101" s="1395">
        <v>0</v>
      </c>
      <c r="AL101" s="1395">
        <v>0</v>
      </c>
      <c r="AM101" s="1376">
        <v>1</v>
      </c>
      <c r="AN101" s="1374">
        <v>9552863</v>
      </c>
      <c r="AO101" s="1374">
        <v>738255</v>
      </c>
      <c r="AP101" s="1374">
        <v>44100</v>
      </c>
      <c r="AQ101" s="1374">
        <v>0</v>
      </c>
      <c r="AR101" s="1374">
        <v>0</v>
      </c>
      <c r="AS101" s="1374">
        <v>0</v>
      </c>
      <c r="AT101" s="1374">
        <v>8770508</v>
      </c>
      <c r="AU101" s="1377">
        <v>20.5</v>
      </c>
      <c r="AV101" s="1377">
        <v>2</v>
      </c>
      <c r="AW101" s="1377">
        <v>0</v>
      </c>
      <c r="AX101" s="1377">
        <v>0</v>
      </c>
      <c r="AY101" s="1377">
        <v>23</v>
      </c>
      <c r="AZ101" s="1377">
        <v>0</v>
      </c>
      <c r="BA101" s="1377">
        <v>0</v>
      </c>
      <c r="BB101" s="1377">
        <v>0</v>
      </c>
      <c r="BC101" s="1377">
        <v>0</v>
      </c>
      <c r="BD101" s="468">
        <v>1</v>
      </c>
      <c r="BE101" s="460">
        <v>15122522</v>
      </c>
      <c r="BF101" s="460">
        <v>738255</v>
      </c>
      <c r="BG101" s="460">
        <v>44100</v>
      </c>
      <c r="BH101" s="460">
        <v>159072</v>
      </c>
      <c r="BI101" s="460">
        <v>0</v>
      </c>
      <c r="BJ101" s="460">
        <v>0</v>
      </c>
      <c r="BK101" s="460">
        <v>14181095</v>
      </c>
      <c r="BL101" s="1299">
        <v>18.8</v>
      </c>
      <c r="BM101" s="1299">
        <v>7</v>
      </c>
      <c r="BN101" s="1299">
        <v>0</v>
      </c>
      <c r="BO101" s="1299">
        <v>0</v>
      </c>
      <c r="BP101" s="1299">
        <v>12</v>
      </c>
      <c r="BQ101" s="1299">
        <v>0</v>
      </c>
      <c r="BR101" s="1299">
        <v>0</v>
      </c>
      <c r="BS101" s="1299">
        <v>0</v>
      </c>
      <c r="BT101" s="1299">
        <v>0</v>
      </c>
    </row>
    <row r="102" spans="1:72" s="22" customFormat="1" ht="26.25" customHeight="1">
      <c r="A102" s="464">
        <f>SUBTOTAL(3,B$4:B102)</f>
        <v>99</v>
      </c>
      <c r="B102" s="465" t="s">
        <v>220</v>
      </c>
      <c r="C102" s="466" t="s">
        <v>530</v>
      </c>
      <c r="D102" s="467" t="s">
        <v>623</v>
      </c>
      <c r="E102" s="468">
        <f>COUNTIFS('Salary sheet'!$F$6:$F$2288,C102,'Salary sheet'!$E$6:$E$2288,B102)</f>
        <v>12</v>
      </c>
      <c r="F102" s="460">
        <f>+SUMIFS('Salary sheet'!$AN$6:$AN$1292,'Salary sheet'!$F$6:$F$1292,'So sánh giờ'!C102,'Salary sheet'!$E$6:$E$1292,'So sánh giờ'!B102)</f>
        <v>192011427</v>
      </c>
      <c r="G102" s="460">
        <f>+SUMIFS('Salary sheet'!$AO$6:$AO$2288,'Salary sheet'!$F$6:$F$2288,C102,'Salary sheet'!$E$6:$E$2288,B102)</f>
        <v>15569190</v>
      </c>
      <c r="H102" s="460">
        <f>+SUMIFS('Salary sheet'!$AP$6:$AP$2288,'Salary sheet'!$F$6:$F$2288,C102,'Salary sheet'!$E$6:$E$2288,B102)</f>
        <v>529200</v>
      </c>
      <c r="I102" s="460">
        <f>+SUMIFS('Salary sheet'!$AQ$6:$AQ$2288,'Salary sheet'!$F$6:$F$2288,C102,'Salary sheet'!$E$6:$E$2288,B102)</f>
        <v>385372</v>
      </c>
      <c r="J102" s="460">
        <f>+SUMIFS('Salary sheet'!$AR$6:$AR$2288,'Salary sheet'!$F$6:$F$2288,C102,'Salary sheet'!$E$6:$E$2288,B102)</f>
        <v>33500</v>
      </c>
      <c r="K102" s="460">
        <f>SUMIFS('Salary sheet'!$AS$6:$AS$1291,'Salary sheet'!$F$6:$F$1291,'So sánh giờ'!C102)</f>
        <v>39923</v>
      </c>
      <c r="L102" s="460">
        <f>+(F102)-SUM(G102:K102)</f>
        <v>175454242</v>
      </c>
      <c r="M102" s="1299">
        <f>SUMIFS('Salary sheet'!$M$6:$M$13045,'Salary sheet'!$F$6:$F$13045,'So sánh giờ'!$C102)</f>
        <v>283.89999999999998</v>
      </c>
      <c r="N102" s="1299">
        <f>SUMIFS('Salary sheet'!$O$6:$O$13045,'Salary sheet'!$F$6:$F$13045,'So sánh giờ'!$C102)</f>
        <v>26</v>
      </c>
      <c r="O102" s="1299">
        <f>SUMIFS('Salary sheet'!$AA$6:$AA$13045,'Salary sheet'!$F$6:$F$13045,'So sánh giờ'!$C102)</f>
        <v>0</v>
      </c>
      <c r="P102" s="1299">
        <f>SUMIFS('Salary sheet'!$Q$6:$Q$13045,'Salary sheet'!$F$6:$F$13045,'So sánh giờ'!$C102)</f>
        <v>0</v>
      </c>
      <c r="Q102" s="1299">
        <f>SUMIFS('Salary sheet'!$AH$6:$AH$13045,'Salary sheet'!$F$6:$F$13045,'So sánh giờ'!$C102)</f>
        <v>312</v>
      </c>
      <c r="R102" s="1299">
        <f>SUMIFS('Salary sheet'!$AI$6:$AI$13045,'Salary sheet'!$F$6:$F$13045,'So sánh giờ'!$C102)</f>
        <v>32</v>
      </c>
      <c r="S102" s="1299">
        <f>SUMIFS('Salary sheet'!$AJ$6:$AJ$13045,'Salary sheet'!$F$6:$F$13045,'So sánh giờ'!$C102)</f>
        <v>0</v>
      </c>
      <c r="T102" s="1299">
        <f>SUMIFS('Salary sheet'!$AK$6:$AK$13045,'Salary sheet'!$F$6:$F$13045,'So sánh giờ'!$C102)</f>
        <v>0</v>
      </c>
      <c r="U102" s="1299">
        <f>SUMIFS('Salary sheet'!$AL$6:$AL$13045,'Salary sheet'!$F$6:$F$13045,'So sánh giờ'!$C102)</f>
        <v>0</v>
      </c>
      <c r="V102" s="1394">
        <v>13</v>
      </c>
      <c r="W102" s="1392">
        <v>197030615</v>
      </c>
      <c r="X102" s="1392">
        <v>16218615</v>
      </c>
      <c r="Y102" s="1392">
        <v>529200</v>
      </c>
      <c r="Z102" s="1392">
        <v>437007</v>
      </c>
      <c r="AA102" s="1392">
        <v>100500</v>
      </c>
      <c r="AB102" s="1392">
        <v>0</v>
      </c>
      <c r="AC102" s="1392">
        <v>179745293</v>
      </c>
      <c r="AD102" s="1395">
        <v>298.3</v>
      </c>
      <c r="AE102" s="1395">
        <v>2</v>
      </c>
      <c r="AF102" s="1395">
        <v>0</v>
      </c>
      <c r="AG102" s="1395">
        <v>0</v>
      </c>
      <c r="AH102" s="1395">
        <v>410</v>
      </c>
      <c r="AI102" s="1395">
        <v>3.5</v>
      </c>
      <c r="AJ102" s="1395">
        <v>0</v>
      </c>
      <c r="AK102" s="1395">
        <v>0</v>
      </c>
      <c r="AL102" s="1395">
        <v>0</v>
      </c>
      <c r="AM102" s="1376">
        <v>12</v>
      </c>
      <c r="AN102" s="1374">
        <v>201948468</v>
      </c>
      <c r="AO102" s="1374">
        <v>16218615</v>
      </c>
      <c r="AP102" s="1374">
        <v>529200</v>
      </c>
      <c r="AQ102" s="1374">
        <v>479484</v>
      </c>
      <c r="AR102" s="1374">
        <v>180000</v>
      </c>
      <c r="AS102" s="1374">
        <v>0</v>
      </c>
      <c r="AT102" s="1374">
        <v>184541169</v>
      </c>
      <c r="AU102" s="1377">
        <v>253.40000000000003</v>
      </c>
      <c r="AV102" s="1377">
        <v>24</v>
      </c>
      <c r="AW102" s="1377">
        <v>0</v>
      </c>
      <c r="AX102" s="1377">
        <v>0</v>
      </c>
      <c r="AY102" s="1377">
        <v>322.5</v>
      </c>
      <c r="AZ102" s="1377">
        <v>50</v>
      </c>
      <c r="BA102" s="1377">
        <v>0</v>
      </c>
      <c r="BB102" s="1377">
        <v>0</v>
      </c>
      <c r="BC102" s="1377">
        <v>0</v>
      </c>
      <c r="BD102" s="468">
        <v>12</v>
      </c>
      <c r="BE102" s="460">
        <v>292012996</v>
      </c>
      <c r="BF102" s="460">
        <v>16218615</v>
      </c>
      <c r="BG102" s="460">
        <v>529200</v>
      </c>
      <c r="BH102" s="460">
        <v>6162670</v>
      </c>
      <c r="BI102" s="460">
        <v>0</v>
      </c>
      <c r="BJ102" s="460">
        <v>0</v>
      </c>
      <c r="BK102" s="460">
        <v>269102511</v>
      </c>
      <c r="BL102" s="1299">
        <v>234.60000000000002</v>
      </c>
      <c r="BM102" s="1299">
        <v>84</v>
      </c>
      <c r="BN102" s="1299">
        <v>0</v>
      </c>
      <c r="BO102" s="1299">
        <v>0</v>
      </c>
      <c r="BP102" s="1299">
        <v>226</v>
      </c>
      <c r="BQ102" s="1299">
        <v>24</v>
      </c>
      <c r="BR102" s="1299">
        <v>0</v>
      </c>
      <c r="BS102" s="1299">
        <v>0</v>
      </c>
      <c r="BT102" s="1299">
        <v>0</v>
      </c>
    </row>
    <row r="103" spans="1:72" s="22" customFormat="1" ht="26.25" customHeight="1">
      <c r="A103" s="464">
        <f>SUBTOTAL(3,B$4:B103)</f>
        <v>100</v>
      </c>
      <c r="B103" s="465" t="s">
        <v>220</v>
      </c>
      <c r="C103" s="466" t="s">
        <v>544</v>
      </c>
      <c r="D103" s="467" t="s">
        <v>624</v>
      </c>
      <c r="E103" s="468">
        <f>COUNTIFS('Salary sheet'!$F$6:$F$2288,C103,'Salary sheet'!$E$6:$E$2288,B103)</f>
        <v>10</v>
      </c>
      <c r="F103" s="460">
        <f>+SUMIFS('Salary sheet'!$AN$6:$AN$1292,'Salary sheet'!$F$6:$F$1292,'So sánh giờ'!C103,'Salary sheet'!$E$6:$E$1292,'So sánh giờ'!B103)</f>
        <v>168452115</v>
      </c>
      <c r="G103" s="460">
        <f>+SUMIFS('Salary sheet'!$AO$6:$AO$2288,'Salary sheet'!$F$6:$F$2288,C103,'Salary sheet'!$E$6:$E$2288,B103)</f>
        <v>17346000</v>
      </c>
      <c r="H103" s="460">
        <f>+SUMIFS('Salary sheet'!$AP$6:$AP$2288,'Salary sheet'!$F$6:$F$2288,C103,'Salary sheet'!$E$6:$E$2288,B103)</f>
        <v>441000</v>
      </c>
      <c r="I103" s="460">
        <f>+SUMIFS('Salary sheet'!$AQ$6:$AQ$2288,'Salary sheet'!$F$6:$F$2288,C103,'Salary sheet'!$E$6:$E$2288,B103)</f>
        <v>785612</v>
      </c>
      <c r="J103" s="460">
        <f>+SUMIFS('Salary sheet'!$AR$6:$AR$2288,'Salary sheet'!$F$6:$F$2288,C103,'Salary sheet'!$E$6:$E$2288,B103)</f>
        <v>0</v>
      </c>
      <c r="K103" s="460">
        <f>SUMIFS('Salary sheet'!$AS$6:$AS$1291,'Salary sheet'!$F$6:$F$1291,'So sánh giờ'!C103)</f>
        <v>0</v>
      </c>
      <c r="L103" s="460">
        <f>+(F103)-SUM(G103:K103)</f>
        <v>149879503</v>
      </c>
      <c r="M103" s="1299">
        <f>SUMIFS('Salary sheet'!$M$6:$M$13045,'Salary sheet'!$F$6:$F$13045,'So sánh giờ'!$C103)</f>
        <v>209.60000000000002</v>
      </c>
      <c r="N103" s="1299">
        <f>SUMIFS('Salary sheet'!$O$6:$O$13045,'Salary sheet'!$F$6:$F$13045,'So sánh giờ'!$C103)</f>
        <v>21</v>
      </c>
      <c r="O103" s="1299">
        <f>SUMIFS('Salary sheet'!$AA$6:$AA$13045,'Salary sheet'!$F$6:$F$13045,'So sánh giờ'!$C103)</f>
        <v>0</v>
      </c>
      <c r="P103" s="1299">
        <f>SUMIFS('Salary sheet'!$Q$6:$Q$13045,'Salary sheet'!$F$6:$F$13045,'So sánh giờ'!$C103)</f>
        <v>0</v>
      </c>
      <c r="Q103" s="1299">
        <f>SUMIFS('Salary sheet'!$AH$6:$AH$13045,'Salary sheet'!$F$6:$F$13045,'So sánh giờ'!$C103)</f>
        <v>0</v>
      </c>
      <c r="R103" s="1299">
        <f>SUMIFS('Salary sheet'!$AI$6:$AI$13045,'Salary sheet'!$F$6:$F$13045,'So sánh giờ'!$C103)</f>
        <v>0</v>
      </c>
      <c r="S103" s="1299">
        <f>SUMIFS('Salary sheet'!$AJ$6:$AJ$13045,'Salary sheet'!$F$6:$F$13045,'So sánh giờ'!$C103)</f>
        <v>0</v>
      </c>
      <c r="T103" s="1299">
        <f>SUMIFS('Salary sheet'!$AK$6:$AK$13045,'Salary sheet'!$F$6:$F$13045,'So sánh giờ'!$C103)</f>
        <v>0</v>
      </c>
      <c r="U103" s="1299">
        <f>SUMIFS('Salary sheet'!$AL$6:$AL$13045,'Salary sheet'!$F$6:$F$13045,'So sánh giờ'!$C103)</f>
        <v>0</v>
      </c>
      <c r="V103" s="1394">
        <v>10</v>
      </c>
      <c r="W103" s="1392">
        <v>172828844</v>
      </c>
      <c r="X103" s="1392">
        <v>17724000</v>
      </c>
      <c r="Y103" s="1392">
        <v>441000</v>
      </c>
      <c r="Z103" s="1392">
        <v>749400</v>
      </c>
      <c r="AA103" s="1392">
        <v>0</v>
      </c>
      <c r="AB103" s="1392">
        <v>0</v>
      </c>
      <c r="AC103" s="1392">
        <v>153914444</v>
      </c>
      <c r="AD103" s="1395">
        <v>232.9</v>
      </c>
      <c r="AE103" s="1395">
        <v>0</v>
      </c>
      <c r="AF103" s="1395">
        <v>0</v>
      </c>
      <c r="AG103" s="1395">
        <v>0</v>
      </c>
      <c r="AH103" s="1395">
        <v>0</v>
      </c>
      <c r="AI103" s="1395">
        <v>0</v>
      </c>
      <c r="AJ103" s="1395">
        <v>0</v>
      </c>
      <c r="AK103" s="1395">
        <v>0</v>
      </c>
      <c r="AL103" s="1395">
        <v>0</v>
      </c>
      <c r="AM103" s="1376">
        <v>9</v>
      </c>
      <c r="AN103" s="1374">
        <v>171813336</v>
      </c>
      <c r="AO103" s="1374">
        <v>17724000</v>
      </c>
      <c r="AP103" s="1374">
        <v>396900</v>
      </c>
      <c r="AQ103" s="1374">
        <v>839436</v>
      </c>
      <c r="AR103" s="1374">
        <v>0</v>
      </c>
      <c r="AS103" s="1374">
        <v>0</v>
      </c>
      <c r="AT103" s="1374">
        <v>152853000</v>
      </c>
      <c r="AU103" s="1377">
        <v>192.8</v>
      </c>
      <c r="AV103" s="1377">
        <v>18</v>
      </c>
      <c r="AW103" s="1377">
        <v>0</v>
      </c>
      <c r="AX103" s="1377">
        <v>0</v>
      </c>
      <c r="AY103" s="1377">
        <v>0</v>
      </c>
      <c r="AZ103" s="1377">
        <v>0</v>
      </c>
      <c r="BA103" s="1377">
        <v>0</v>
      </c>
      <c r="BB103" s="1377">
        <v>0</v>
      </c>
      <c r="BC103" s="1377">
        <v>0</v>
      </c>
      <c r="BD103" s="468">
        <v>9</v>
      </c>
      <c r="BE103" s="460">
        <v>327476701</v>
      </c>
      <c r="BF103" s="460">
        <v>17724000</v>
      </c>
      <c r="BG103" s="460">
        <v>396900</v>
      </c>
      <c r="BH103" s="460">
        <v>19518194</v>
      </c>
      <c r="BI103" s="460">
        <v>0</v>
      </c>
      <c r="BJ103" s="460">
        <v>0</v>
      </c>
      <c r="BK103" s="460">
        <v>289837607</v>
      </c>
      <c r="BL103" s="1299">
        <v>175.70000000000002</v>
      </c>
      <c r="BM103" s="1299">
        <v>63</v>
      </c>
      <c r="BN103" s="1299">
        <v>0</v>
      </c>
      <c r="BO103" s="1299">
        <v>0</v>
      </c>
      <c r="BP103" s="1299">
        <v>0</v>
      </c>
      <c r="BQ103" s="1299">
        <v>0</v>
      </c>
      <c r="BR103" s="1299">
        <v>0</v>
      </c>
      <c r="BS103" s="1299">
        <v>0</v>
      </c>
      <c r="BT103" s="1299">
        <v>0</v>
      </c>
    </row>
    <row r="104" spans="1:72" s="22" customFormat="1" ht="26.25" customHeight="1">
      <c r="A104" s="464">
        <f>SUBTOTAL(3,B$4:B104)</f>
        <v>101</v>
      </c>
      <c r="B104" s="465" t="s">
        <v>220</v>
      </c>
      <c r="C104" s="466" t="s">
        <v>267</v>
      </c>
      <c r="D104" s="467" t="s">
        <v>625</v>
      </c>
      <c r="E104" s="468">
        <f>COUNTIFS('Salary sheet'!$F$6:$F$2288,C104,'Salary sheet'!$E$6:$E$2288,B104)</f>
        <v>11</v>
      </c>
      <c r="F104" s="460">
        <f>+SUMIFS('Salary sheet'!$AN$6:$AN$1292,'Salary sheet'!$F$6:$F$1292,'So sánh giờ'!C104,'Salary sheet'!$E$6:$E$1292,'So sánh giờ'!B104)</f>
        <v>132688426</v>
      </c>
      <c r="G104" s="460">
        <f>+SUMIFS('Salary sheet'!$AO$6:$AO$2288,'Salary sheet'!$F$6:$F$2288,C104,'Salary sheet'!$E$6:$E$2288,B104)</f>
        <v>11224500</v>
      </c>
      <c r="H104" s="460">
        <f>+SUMIFS('Salary sheet'!$AP$6:$AP$2288,'Salary sheet'!$F$6:$F$2288,C104,'Salary sheet'!$E$6:$E$2288,B104)</f>
        <v>485100</v>
      </c>
      <c r="I104" s="460">
        <f>+SUMIFS('Salary sheet'!$AQ$6:$AQ$2288,'Salary sheet'!$F$6:$F$2288,C104,'Salary sheet'!$E$6:$E$2288,B104)</f>
        <v>4997</v>
      </c>
      <c r="J104" s="460">
        <f>+SUMIFS('Salary sheet'!$AR$6:$AR$2288,'Salary sheet'!$F$6:$F$2288,C104,'Salary sheet'!$E$6:$E$2288,B104)</f>
        <v>0</v>
      </c>
      <c r="K104" s="460">
        <f>SUMIFS('Salary sheet'!$AS$6:$AS$1291,'Salary sheet'!$F$6:$F$1291,'So sánh giờ'!C104)</f>
        <v>0</v>
      </c>
      <c r="L104" s="460">
        <f t="shared" si="3"/>
        <v>120973829</v>
      </c>
      <c r="M104" s="1299">
        <f>SUMIFS('Salary sheet'!$M$6:$M$13045,'Salary sheet'!$F$6:$F$13045,'So sánh giờ'!$C104)</f>
        <v>254.99999999999997</v>
      </c>
      <c r="N104" s="1299">
        <f>SUMIFS('Salary sheet'!$O$6:$O$13045,'Salary sheet'!$F$6:$F$13045,'So sánh giờ'!$C104)</f>
        <v>24</v>
      </c>
      <c r="O104" s="1299">
        <f>SUMIFS('Salary sheet'!$AA$6:$AA$13045,'Salary sheet'!$F$6:$F$13045,'So sánh giờ'!$C104)</f>
        <v>0</v>
      </c>
      <c r="P104" s="1299">
        <f>SUMIFS('Salary sheet'!$Q$6:$Q$13045,'Salary sheet'!$F$6:$F$13045,'So sánh giờ'!$C104)</f>
        <v>0</v>
      </c>
      <c r="Q104" s="1299">
        <f>SUMIFS('Salary sheet'!$AH$6:$AH$13045,'Salary sheet'!$F$6:$F$13045,'So sánh giờ'!$C104)</f>
        <v>321.5</v>
      </c>
      <c r="R104" s="1299">
        <f>SUMIFS('Salary sheet'!$AI$6:$AI$13045,'Salary sheet'!$F$6:$F$13045,'So sánh giờ'!$C104)</f>
        <v>0</v>
      </c>
      <c r="S104" s="1299">
        <f>SUMIFS('Salary sheet'!$AJ$6:$AJ$13045,'Salary sheet'!$F$6:$F$13045,'So sánh giờ'!$C104)</f>
        <v>0</v>
      </c>
      <c r="T104" s="1299">
        <f>SUMIFS('Salary sheet'!$AK$6:$AK$13045,'Salary sheet'!$F$6:$F$13045,'So sánh giờ'!$C104)</f>
        <v>0</v>
      </c>
      <c r="U104" s="1299">
        <f>SUMIFS('Salary sheet'!$AL$6:$AL$13045,'Salary sheet'!$F$6:$F$13045,'So sánh giờ'!$C104)</f>
        <v>0</v>
      </c>
      <c r="V104" s="1394">
        <v>12</v>
      </c>
      <c r="W104" s="1392">
        <v>143204586</v>
      </c>
      <c r="X104" s="1392">
        <v>11830770</v>
      </c>
      <c r="Y104" s="1392">
        <v>529200</v>
      </c>
      <c r="Z104" s="1392">
        <v>0</v>
      </c>
      <c r="AA104" s="1392">
        <v>32500</v>
      </c>
      <c r="AB104" s="1392">
        <v>0</v>
      </c>
      <c r="AC104" s="1392">
        <v>130812116</v>
      </c>
      <c r="AD104" s="1395">
        <v>303.3</v>
      </c>
      <c r="AE104" s="1395">
        <v>0</v>
      </c>
      <c r="AF104" s="1395">
        <v>0</v>
      </c>
      <c r="AG104" s="1395">
        <v>0</v>
      </c>
      <c r="AH104" s="1395">
        <v>396</v>
      </c>
      <c r="AI104" s="1395">
        <v>0</v>
      </c>
      <c r="AJ104" s="1395">
        <v>0</v>
      </c>
      <c r="AK104" s="1395">
        <v>0</v>
      </c>
      <c r="AL104" s="1395">
        <v>0</v>
      </c>
      <c r="AM104" s="1376">
        <v>12</v>
      </c>
      <c r="AN104" s="1374">
        <v>141323317</v>
      </c>
      <c r="AO104" s="1374">
        <v>11505270</v>
      </c>
      <c r="AP104" s="1374">
        <v>529200</v>
      </c>
      <c r="AQ104" s="1374">
        <v>32189</v>
      </c>
      <c r="AR104" s="1374">
        <v>140000</v>
      </c>
      <c r="AS104" s="1374">
        <v>0</v>
      </c>
      <c r="AT104" s="1374">
        <v>129116658</v>
      </c>
      <c r="AU104" s="1377">
        <v>260.7</v>
      </c>
      <c r="AV104" s="1377">
        <v>24</v>
      </c>
      <c r="AW104" s="1377">
        <v>0</v>
      </c>
      <c r="AX104" s="1377">
        <v>0</v>
      </c>
      <c r="AY104" s="1377">
        <v>355.5</v>
      </c>
      <c r="AZ104" s="1377">
        <v>0</v>
      </c>
      <c r="BA104" s="1377">
        <v>0</v>
      </c>
      <c r="BB104" s="1377">
        <v>0</v>
      </c>
      <c r="BC104" s="1377">
        <v>0</v>
      </c>
      <c r="BD104" s="468">
        <v>13</v>
      </c>
      <c r="BE104" s="460">
        <v>216807677</v>
      </c>
      <c r="BF104" s="460">
        <v>11440695</v>
      </c>
      <c r="BG104" s="460">
        <v>573300</v>
      </c>
      <c r="BH104" s="460">
        <v>2155515</v>
      </c>
      <c r="BI104" s="460">
        <v>0</v>
      </c>
      <c r="BJ104" s="460">
        <v>0</v>
      </c>
      <c r="BK104" s="460">
        <v>202638167</v>
      </c>
      <c r="BL104" s="1299">
        <v>223.39999999999998</v>
      </c>
      <c r="BM104" s="1299">
        <v>89</v>
      </c>
      <c r="BN104" s="1299">
        <v>0</v>
      </c>
      <c r="BO104" s="1299">
        <v>0</v>
      </c>
      <c r="BP104" s="1299">
        <v>275.5</v>
      </c>
      <c r="BQ104" s="1299">
        <v>0</v>
      </c>
      <c r="BR104" s="1299">
        <v>0</v>
      </c>
      <c r="BS104" s="1299">
        <v>0</v>
      </c>
      <c r="BT104" s="1299">
        <v>0</v>
      </c>
    </row>
    <row r="105" spans="1:72" s="22" customFormat="1" ht="26.25" customHeight="1">
      <c r="A105" s="464">
        <f>SUBTOTAL(3,B$4:B105)</f>
        <v>102</v>
      </c>
      <c r="B105" s="465" t="s">
        <v>220</v>
      </c>
      <c r="C105" s="466" t="s">
        <v>284</v>
      </c>
      <c r="D105" s="467" t="s">
        <v>626</v>
      </c>
      <c r="E105" s="468">
        <f>COUNTIFS('Salary sheet'!$F$6:$F$2288,C105,'Salary sheet'!$E$6:$E$2288,B105)</f>
        <v>2</v>
      </c>
      <c r="F105" s="460">
        <f>+SUMIFS('Salary sheet'!$AN$6:$AN$1292,'Salary sheet'!$F$6:$F$1292,'So sánh giờ'!C105,'Salary sheet'!$E$6:$E$1292,'So sánh giờ'!B105)</f>
        <v>27595538</v>
      </c>
      <c r="G105" s="460">
        <f>+SUMIFS('Salary sheet'!$AO$6:$AO$2288,'Salary sheet'!$F$6:$F$2288,C105,'Salary sheet'!$E$6:$E$2288,B105)</f>
        <v>2169510</v>
      </c>
      <c r="H105" s="460">
        <f>+SUMIFS('Salary sheet'!$AP$6:$AP$2288,'Salary sheet'!$F$6:$F$2288,C105,'Salary sheet'!$E$6:$E$2288,B105)</f>
        <v>88200</v>
      </c>
      <c r="I105" s="460">
        <f>+SUMIFS('Salary sheet'!$AQ$6:$AQ$2288,'Salary sheet'!$F$6:$F$2288,C105,'Salary sheet'!$E$6:$E$2288,B105)</f>
        <v>72736</v>
      </c>
      <c r="J105" s="460">
        <f>+SUMIFS('Salary sheet'!$AR$6:$AR$2288,'Salary sheet'!$F$6:$F$2288,C105,'Salary sheet'!$E$6:$E$2288,B105)</f>
        <v>0</v>
      </c>
      <c r="K105" s="460">
        <f>SUMIFS('Salary sheet'!$AS$6:$AS$1291,'Salary sheet'!$F$6:$F$1291,'So sánh giờ'!C105)</f>
        <v>0</v>
      </c>
      <c r="L105" s="460">
        <f t="shared" si="3"/>
        <v>25265092</v>
      </c>
      <c r="M105" s="1299">
        <f>SUMIFS('Salary sheet'!$M$6:$M$13045,'Salary sheet'!$F$6:$F$13045,'So sánh giờ'!$C105)</f>
        <v>45</v>
      </c>
      <c r="N105" s="1299">
        <f>SUMIFS('Salary sheet'!$O$6:$O$13045,'Salary sheet'!$F$6:$F$13045,'So sánh giờ'!$C105)</f>
        <v>7</v>
      </c>
      <c r="O105" s="1299">
        <f>SUMIFS('Salary sheet'!$AA$6:$AA$13045,'Salary sheet'!$F$6:$F$13045,'So sánh giờ'!$C105)</f>
        <v>0</v>
      </c>
      <c r="P105" s="1299">
        <f>SUMIFS('Salary sheet'!$Q$6:$Q$13045,'Salary sheet'!$F$6:$F$13045,'So sánh giờ'!$C105)</f>
        <v>0</v>
      </c>
      <c r="Q105" s="1299">
        <f>SUMIFS('Salary sheet'!$AH$6:$AH$13045,'Salary sheet'!$F$6:$F$13045,'So sánh giờ'!$C105)</f>
        <v>64</v>
      </c>
      <c r="R105" s="1299">
        <f>SUMIFS('Salary sheet'!$AI$6:$AI$13045,'Salary sheet'!$F$6:$F$13045,'So sánh giờ'!$C105)</f>
        <v>0</v>
      </c>
      <c r="S105" s="1299">
        <f>SUMIFS('Salary sheet'!$AJ$6:$AJ$13045,'Salary sheet'!$F$6:$F$13045,'So sánh giờ'!$C105)</f>
        <v>0</v>
      </c>
      <c r="T105" s="1299">
        <f>SUMIFS('Salary sheet'!$AK$6:$AK$13045,'Salary sheet'!$F$6:$F$13045,'So sánh giờ'!$C105)</f>
        <v>0</v>
      </c>
      <c r="U105" s="1299">
        <f>SUMIFS('Salary sheet'!$AL$6:$AL$13045,'Salary sheet'!$F$6:$F$13045,'So sánh giờ'!$C105)</f>
        <v>0</v>
      </c>
      <c r="V105" s="1394">
        <v>2</v>
      </c>
      <c r="W105" s="1392">
        <v>25340796</v>
      </c>
      <c r="X105" s="1392">
        <v>2169510</v>
      </c>
      <c r="Y105" s="1392">
        <v>88200</v>
      </c>
      <c r="Z105" s="1392">
        <v>0</v>
      </c>
      <c r="AA105" s="1392">
        <v>0</v>
      </c>
      <c r="AB105" s="1392">
        <v>0</v>
      </c>
      <c r="AC105" s="1392">
        <v>23083086</v>
      </c>
      <c r="AD105" s="1395">
        <v>49.2</v>
      </c>
      <c r="AE105" s="1395">
        <v>0</v>
      </c>
      <c r="AF105" s="1395">
        <v>0</v>
      </c>
      <c r="AG105" s="1395">
        <v>0</v>
      </c>
      <c r="AH105" s="1395">
        <v>56</v>
      </c>
      <c r="AI105" s="1395">
        <v>0</v>
      </c>
      <c r="AJ105" s="1395">
        <v>0</v>
      </c>
      <c r="AK105" s="1395">
        <v>0</v>
      </c>
      <c r="AL105" s="1395">
        <v>0</v>
      </c>
      <c r="AM105" s="1376">
        <v>2</v>
      </c>
      <c r="AN105" s="1374">
        <v>27759226</v>
      </c>
      <c r="AO105" s="1374">
        <v>2169510</v>
      </c>
      <c r="AP105" s="1374">
        <v>88200</v>
      </c>
      <c r="AQ105" s="1374">
        <v>73867</v>
      </c>
      <c r="AR105" s="1374">
        <v>0</v>
      </c>
      <c r="AS105" s="1374">
        <v>0</v>
      </c>
      <c r="AT105" s="1374">
        <v>25427649</v>
      </c>
      <c r="AU105" s="1377">
        <v>43.4</v>
      </c>
      <c r="AV105" s="1377">
        <v>4</v>
      </c>
      <c r="AW105" s="1377">
        <v>0</v>
      </c>
      <c r="AX105" s="1377">
        <v>0</v>
      </c>
      <c r="AY105" s="1377">
        <v>64</v>
      </c>
      <c r="AZ105" s="1377">
        <v>0</v>
      </c>
      <c r="BA105" s="1377">
        <v>0</v>
      </c>
      <c r="BB105" s="1377">
        <v>0</v>
      </c>
      <c r="BC105" s="1377">
        <v>0</v>
      </c>
      <c r="BD105" s="468">
        <v>2</v>
      </c>
      <c r="BE105" s="460">
        <v>38898704</v>
      </c>
      <c r="BF105" s="460">
        <v>2169510</v>
      </c>
      <c r="BG105" s="460">
        <v>88200</v>
      </c>
      <c r="BH105" s="460">
        <v>531795</v>
      </c>
      <c r="BI105" s="460">
        <v>0</v>
      </c>
      <c r="BJ105" s="460">
        <v>0</v>
      </c>
      <c r="BK105" s="460">
        <v>36109199</v>
      </c>
      <c r="BL105" s="1299">
        <v>39.200000000000003</v>
      </c>
      <c r="BM105" s="1299">
        <v>14</v>
      </c>
      <c r="BN105" s="1299">
        <v>0</v>
      </c>
      <c r="BO105" s="1299">
        <v>0</v>
      </c>
      <c r="BP105" s="1299">
        <v>57</v>
      </c>
      <c r="BQ105" s="1299">
        <v>0</v>
      </c>
      <c r="BR105" s="1299">
        <v>0</v>
      </c>
      <c r="BS105" s="1299">
        <v>0</v>
      </c>
      <c r="BT105" s="1299">
        <v>0</v>
      </c>
    </row>
    <row r="106" spans="1:72" s="22" customFormat="1" ht="26.25" customHeight="1">
      <c r="A106" s="464">
        <f>SUBTOTAL(3,B$4:B106)</f>
        <v>103</v>
      </c>
      <c r="B106" s="465" t="s">
        <v>220</v>
      </c>
      <c r="C106" s="466" t="s">
        <v>658</v>
      </c>
      <c r="D106" s="467" t="s">
        <v>662</v>
      </c>
      <c r="E106" s="468">
        <f>COUNTIFS('Salary sheet'!$F$6:$F$2288,C106,'Salary sheet'!$E$6:$E$2288,B106)</f>
        <v>3</v>
      </c>
      <c r="F106" s="460">
        <f>+SUMIFS('Salary sheet'!$AN$6:$AN$1292,'Salary sheet'!$F$6:$F$1292,'So sánh giờ'!C106,'Salary sheet'!$E$6:$E$1292,'So sánh giờ'!B106)</f>
        <v>26681078</v>
      </c>
      <c r="G106" s="460">
        <f>+SUMIFS('Salary sheet'!$AO$6:$AO$2288,'Salary sheet'!$F$6:$F$2288,C106,'Salary sheet'!$E$6:$E$2288,B106)</f>
        <v>2191245</v>
      </c>
      <c r="H106" s="460">
        <f>+SUMIFS('Salary sheet'!$AP$6:$AP$2288,'Salary sheet'!$F$6:$F$2288,C106,'Salary sheet'!$E$6:$E$2288,B106)</f>
        <v>132300</v>
      </c>
      <c r="I106" s="460">
        <f>+SUMIFS('Salary sheet'!$AQ$6:$AQ$2288,'Salary sheet'!$F$6:$F$2288,C106,'Salary sheet'!$E$6:$E$2288,B106)</f>
        <v>0</v>
      </c>
      <c r="J106" s="460">
        <f>+SUMIFS('Salary sheet'!$AR$6:$AR$2288,'Salary sheet'!$F$6:$F$2288,C106,'Salary sheet'!$E$6:$E$2288,B106)</f>
        <v>0</v>
      </c>
      <c r="K106" s="460">
        <f>SUMIFS('Salary sheet'!$AS$6:$AS$1291,'Salary sheet'!$F$6:$F$1291,'So sánh giờ'!C106)</f>
        <v>0</v>
      </c>
      <c r="L106" s="460">
        <f t="shared" si="3"/>
        <v>24357533</v>
      </c>
      <c r="M106" s="1299">
        <f>SUMIFS('Salary sheet'!$M$6:$M$13045,'Salary sheet'!$F$6:$F$13045,'So sánh giờ'!$C106)</f>
        <v>67.099999999999994</v>
      </c>
      <c r="N106" s="1299">
        <f>SUMIFS('Salary sheet'!$O$6:$O$13045,'Salary sheet'!$F$6:$F$13045,'So sánh giờ'!$C106)</f>
        <v>8</v>
      </c>
      <c r="O106" s="1299">
        <f>SUMIFS('Salary sheet'!$AA$6:$AA$13045,'Salary sheet'!$F$6:$F$13045,'So sánh giờ'!$C106)</f>
        <v>0</v>
      </c>
      <c r="P106" s="1299">
        <f>SUMIFS('Salary sheet'!$Q$6:$Q$13045,'Salary sheet'!$F$6:$F$13045,'So sánh giờ'!$C106)</f>
        <v>0</v>
      </c>
      <c r="Q106" s="1299">
        <f>SUMIFS('Salary sheet'!$AH$6:$AH$13045,'Salary sheet'!$F$6:$F$13045,'So sánh giờ'!$C106)</f>
        <v>53.5</v>
      </c>
      <c r="R106" s="1299">
        <f>SUMIFS('Salary sheet'!$AI$6:$AI$13045,'Salary sheet'!$F$6:$F$13045,'So sánh giờ'!$C106)</f>
        <v>0</v>
      </c>
      <c r="S106" s="1299">
        <f>SUMIFS('Salary sheet'!$AJ$6:$AJ$13045,'Salary sheet'!$F$6:$F$13045,'So sánh giờ'!$C106)</f>
        <v>0</v>
      </c>
      <c r="T106" s="1299">
        <f>SUMIFS('Salary sheet'!$AK$6:$AK$13045,'Salary sheet'!$F$6:$F$13045,'So sánh giờ'!$C106)</f>
        <v>0</v>
      </c>
      <c r="U106" s="1299">
        <f>SUMIFS('Salary sheet'!$AL$6:$AL$13045,'Salary sheet'!$F$6:$F$13045,'So sánh giờ'!$C106)</f>
        <v>0</v>
      </c>
      <c r="V106" s="1394">
        <v>4</v>
      </c>
      <c r="W106" s="1392">
        <v>45988221</v>
      </c>
      <c r="X106" s="1392">
        <v>3224235</v>
      </c>
      <c r="Y106" s="1392">
        <v>176400</v>
      </c>
      <c r="Z106" s="1392">
        <v>0</v>
      </c>
      <c r="AA106" s="1392">
        <v>0</v>
      </c>
      <c r="AB106" s="1392">
        <v>0</v>
      </c>
      <c r="AC106" s="1392">
        <v>42587586</v>
      </c>
      <c r="AD106" s="1395">
        <v>101.19999999999999</v>
      </c>
      <c r="AE106" s="1395">
        <v>0</v>
      </c>
      <c r="AF106" s="1395">
        <v>0</v>
      </c>
      <c r="AG106" s="1395">
        <v>0</v>
      </c>
      <c r="AH106" s="1395">
        <v>175.5</v>
      </c>
      <c r="AI106" s="1395">
        <v>0</v>
      </c>
      <c r="AJ106" s="1395">
        <v>0</v>
      </c>
      <c r="AK106" s="1395">
        <v>0</v>
      </c>
      <c r="AL106" s="1395">
        <v>0</v>
      </c>
      <c r="AM106" s="1376">
        <v>4</v>
      </c>
      <c r="AN106" s="1374">
        <v>41528757</v>
      </c>
      <c r="AO106" s="1374">
        <v>3163755</v>
      </c>
      <c r="AP106" s="1374">
        <v>176400</v>
      </c>
      <c r="AQ106" s="1374">
        <v>0</v>
      </c>
      <c r="AR106" s="1374">
        <v>0</v>
      </c>
      <c r="AS106" s="1374">
        <v>0</v>
      </c>
      <c r="AT106" s="1374">
        <v>38188602</v>
      </c>
      <c r="AU106" s="1377">
        <v>85</v>
      </c>
      <c r="AV106" s="1377">
        <v>8</v>
      </c>
      <c r="AW106" s="1377">
        <v>0</v>
      </c>
      <c r="AX106" s="1377">
        <v>0</v>
      </c>
      <c r="AY106" s="1377">
        <v>102.5</v>
      </c>
      <c r="AZ106" s="1377">
        <v>0</v>
      </c>
      <c r="BA106" s="1377">
        <v>0</v>
      </c>
      <c r="BB106" s="1377">
        <v>0</v>
      </c>
      <c r="BC106" s="1377">
        <v>0</v>
      </c>
      <c r="BD106" s="468">
        <v>4</v>
      </c>
      <c r="BE106" s="460">
        <v>65137349</v>
      </c>
      <c r="BF106" s="460">
        <v>3132255</v>
      </c>
      <c r="BG106" s="460">
        <v>176400</v>
      </c>
      <c r="BH106" s="460">
        <v>571001</v>
      </c>
      <c r="BI106" s="460">
        <v>0</v>
      </c>
      <c r="BJ106" s="460">
        <v>0</v>
      </c>
      <c r="BK106" s="460">
        <v>61257693</v>
      </c>
      <c r="BL106" s="1299">
        <v>75.5</v>
      </c>
      <c r="BM106" s="1299">
        <v>28</v>
      </c>
      <c r="BN106" s="1299">
        <v>0</v>
      </c>
      <c r="BO106" s="1299">
        <v>0</v>
      </c>
      <c r="BP106" s="1299">
        <v>118.5</v>
      </c>
      <c r="BQ106" s="1299">
        <v>0</v>
      </c>
      <c r="BR106" s="1299">
        <v>0</v>
      </c>
      <c r="BS106" s="1299">
        <v>0</v>
      </c>
      <c r="BT106" s="1299">
        <v>0</v>
      </c>
    </row>
    <row r="107" spans="1:72" s="22" customFormat="1" ht="26.25" customHeight="1">
      <c r="A107" s="464">
        <f>SUBTOTAL(3,B$4:B107)</f>
        <v>104</v>
      </c>
      <c r="B107" s="465" t="s">
        <v>220</v>
      </c>
      <c r="C107" s="466" t="s">
        <v>268</v>
      </c>
      <c r="D107" s="467" t="s">
        <v>590</v>
      </c>
      <c r="E107" s="468">
        <f>COUNTIFS('Salary sheet'!$F$6:$F$2288,C107,'Salary sheet'!$E$6:$E$2288,B107)</f>
        <v>12</v>
      </c>
      <c r="F107" s="460">
        <f>+SUMIFS('Salary sheet'!$AN$6:$AN$1292,'Salary sheet'!$F$6:$F$1292,'So sánh giờ'!C107,'Salary sheet'!$E$6:$E$1292,'So sánh giờ'!B107)</f>
        <v>155737158</v>
      </c>
      <c r="G107" s="460">
        <f>+SUMIFS('Salary sheet'!$AO$6:$AO$2288,'Salary sheet'!$F$6:$F$2288,C107,'Salary sheet'!$E$6:$E$2288,B107)</f>
        <v>14407260</v>
      </c>
      <c r="H107" s="460">
        <f>+SUMIFS('Salary sheet'!$AP$6:$AP$2288,'Salary sheet'!$F$6:$F$2288,C107,'Salary sheet'!$E$6:$E$2288,B107)</f>
        <v>485100</v>
      </c>
      <c r="I107" s="460">
        <f>+SUMIFS('Salary sheet'!$AQ$6:$AQ$2288,'Salary sheet'!$F$6:$F$2288,C107,'Salary sheet'!$E$6:$E$2288,B107)</f>
        <v>228487</v>
      </c>
      <c r="J107" s="460">
        <f>+SUMIFS('Salary sheet'!$AR$6:$AR$2288,'Salary sheet'!$F$6:$F$2288,C107,'Salary sheet'!$E$6:$E$2288,B107)</f>
        <v>0</v>
      </c>
      <c r="K107" s="460">
        <f>SUMIFS('Salary sheet'!$AS$6:$AS$1291,'Salary sheet'!$F$6:$F$1291,'So sánh giờ'!C107)</f>
        <v>115385</v>
      </c>
      <c r="L107" s="460">
        <f t="shared" si="3"/>
        <v>140500926</v>
      </c>
      <c r="M107" s="1299">
        <f>SUMIFS('Salary sheet'!$M$6:$M$13045,'Salary sheet'!$F$6:$F$13045,'So sánh giờ'!$C107)</f>
        <v>264.89999999999998</v>
      </c>
      <c r="N107" s="1299">
        <f>SUMIFS('Salary sheet'!$O$6:$O$13045,'Salary sheet'!$F$6:$F$13045,'So sánh giờ'!$C107)</f>
        <v>23</v>
      </c>
      <c r="O107" s="1299">
        <f>SUMIFS('Salary sheet'!$AA$6:$AA$13045,'Salary sheet'!$F$6:$F$13045,'So sánh giờ'!$C107)</f>
        <v>0</v>
      </c>
      <c r="P107" s="1299">
        <f>SUMIFS('Salary sheet'!$Q$6:$Q$13045,'Salary sheet'!$F$6:$F$13045,'So sánh giờ'!$C107)</f>
        <v>0</v>
      </c>
      <c r="Q107" s="1299">
        <f>SUMIFS('Salary sheet'!$AH$6:$AH$13045,'Salary sheet'!$F$6:$F$13045,'So sánh giờ'!$C107)</f>
        <v>0</v>
      </c>
      <c r="R107" s="1299">
        <f>SUMIFS('Salary sheet'!$AI$6:$AI$13045,'Salary sheet'!$F$6:$F$13045,'So sánh giờ'!$C107)</f>
        <v>0</v>
      </c>
      <c r="S107" s="1299">
        <f>SUMIFS('Salary sheet'!$AJ$6:$AJ$13045,'Salary sheet'!$F$6:$F$13045,'So sánh giờ'!$C107)</f>
        <v>0</v>
      </c>
      <c r="T107" s="1299">
        <f>SUMIFS('Salary sheet'!$AK$6:$AK$13045,'Salary sheet'!$F$6:$F$13045,'So sánh giờ'!$C107)</f>
        <v>0</v>
      </c>
      <c r="U107" s="1299">
        <f>SUMIFS('Salary sheet'!$AL$6:$AL$13045,'Salary sheet'!$F$6:$F$13045,'So sánh giờ'!$C107)</f>
        <v>0</v>
      </c>
      <c r="V107" s="1394">
        <v>11</v>
      </c>
      <c r="W107" s="1392">
        <v>140641727</v>
      </c>
      <c r="X107" s="1392">
        <v>13906515</v>
      </c>
      <c r="Y107" s="1392">
        <v>441000</v>
      </c>
      <c r="Z107" s="1392">
        <v>43016</v>
      </c>
      <c r="AA107" s="1392">
        <v>0</v>
      </c>
      <c r="AB107" s="1392">
        <v>0</v>
      </c>
      <c r="AC107" s="1392">
        <v>126251196</v>
      </c>
      <c r="AD107" s="1395">
        <v>254.6</v>
      </c>
      <c r="AE107" s="1395">
        <v>0</v>
      </c>
      <c r="AF107" s="1395">
        <v>0</v>
      </c>
      <c r="AG107" s="1395">
        <v>0</v>
      </c>
      <c r="AH107" s="1395">
        <v>0</v>
      </c>
      <c r="AI107" s="1395">
        <v>0</v>
      </c>
      <c r="AJ107" s="1395">
        <v>0</v>
      </c>
      <c r="AK107" s="1395">
        <v>0</v>
      </c>
      <c r="AL107" s="1395">
        <v>0</v>
      </c>
      <c r="AM107" s="1376">
        <v>10</v>
      </c>
      <c r="AN107" s="1374">
        <v>144977174</v>
      </c>
      <c r="AO107" s="1374">
        <v>13906515</v>
      </c>
      <c r="AP107" s="1374">
        <v>396900</v>
      </c>
      <c r="AQ107" s="1374">
        <v>240781</v>
      </c>
      <c r="AR107" s="1374">
        <v>630000</v>
      </c>
      <c r="AS107" s="1374">
        <v>0</v>
      </c>
      <c r="AT107" s="1374">
        <v>129802978</v>
      </c>
      <c r="AU107" s="1377">
        <v>217.4</v>
      </c>
      <c r="AV107" s="1377">
        <v>18</v>
      </c>
      <c r="AW107" s="1377">
        <v>0</v>
      </c>
      <c r="AX107" s="1377">
        <v>0</v>
      </c>
      <c r="AY107" s="1377">
        <v>0</v>
      </c>
      <c r="AZ107" s="1377">
        <v>0</v>
      </c>
      <c r="BA107" s="1377">
        <v>0</v>
      </c>
      <c r="BB107" s="1377">
        <v>0</v>
      </c>
      <c r="BC107" s="1377">
        <v>0</v>
      </c>
      <c r="BD107" s="468">
        <v>9</v>
      </c>
      <c r="BE107" s="460">
        <v>257425737</v>
      </c>
      <c r="BF107" s="460">
        <v>13906515</v>
      </c>
      <c r="BG107" s="460">
        <v>396900</v>
      </c>
      <c r="BH107" s="460">
        <v>9850683</v>
      </c>
      <c r="BI107" s="460">
        <v>0</v>
      </c>
      <c r="BJ107" s="460">
        <v>0</v>
      </c>
      <c r="BK107" s="460">
        <v>233271639</v>
      </c>
      <c r="BL107" s="1299">
        <v>176.4</v>
      </c>
      <c r="BM107" s="1299">
        <v>63</v>
      </c>
      <c r="BN107" s="1299">
        <v>0</v>
      </c>
      <c r="BO107" s="1299">
        <v>0</v>
      </c>
      <c r="BP107" s="1299">
        <v>0</v>
      </c>
      <c r="BQ107" s="1299">
        <v>0</v>
      </c>
      <c r="BR107" s="1299">
        <v>0</v>
      </c>
      <c r="BS107" s="1299">
        <v>0</v>
      </c>
      <c r="BT107" s="1299">
        <v>0</v>
      </c>
    </row>
    <row r="108" spans="1:72" s="22" customFormat="1" ht="26.25" customHeight="1">
      <c r="A108" s="464">
        <f>SUBTOTAL(3,B$4:B108)</f>
        <v>105</v>
      </c>
      <c r="B108" s="465" t="s">
        <v>220</v>
      </c>
      <c r="C108" s="466" t="s">
        <v>545</v>
      </c>
      <c r="D108" s="467" t="s">
        <v>627</v>
      </c>
      <c r="E108" s="468">
        <f>COUNTIFS('Salary sheet'!$F$6:$F$2288,C108,'Salary sheet'!$E$6:$E$2288,B108)</f>
        <v>6</v>
      </c>
      <c r="F108" s="460">
        <f>+SUMIFS('Salary sheet'!$AN$6:$AN$1292,'Salary sheet'!$F$6:$F$1292,'So sánh giờ'!C108,'Salary sheet'!$E$6:$E$1292,'So sánh giờ'!B108)</f>
        <v>110170479</v>
      </c>
      <c r="G108" s="460">
        <f>+SUMIFS('Salary sheet'!$AO$6:$AO$2288,'Salary sheet'!$F$6:$F$2288,C108,'Salary sheet'!$E$6:$E$2288,B108)</f>
        <v>12085500</v>
      </c>
      <c r="H108" s="460">
        <f>+SUMIFS('Salary sheet'!$AP$6:$AP$2288,'Salary sheet'!$F$6:$F$2288,C108,'Salary sheet'!$E$6:$E$2288,B108)</f>
        <v>264600</v>
      </c>
      <c r="I108" s="460">
        <f>+SUMIFS('Salary sheet'!$AQ$6:$AQ$2288,'Salary sheet'!$F$6:$F$2288,C108,'Salary sheet'!$E$6:$E$2288,B108)</f>
        <v>68226</v>
      </c>
      <c r="J108" s="460">
        <f>+SUMIFS('Salary sheet'!$AR$6:$AR$2288,'Salary sheet'!$F$6:$F$2288,C108,'Salary sheet'!$E$6:$E$2288,B108)</f>
        <v>0</v>
      </c>
      <c r="K108" s="460">
        <f>SUMIFS('Salary sheet'!$AS$6:$AS$1291,'Salary sheet'!$F$6:$F$1291,'So sánh giờ'!C108)</f>
        <v>0</v>
      </c>
      <c r="L108" s="460">
        <f t="shared" si="3"/>
        <v>97752153</v>
      </c>
      <c r="M108" s="1299">
        <f>SUMIFS('Salary sheet'!$M$6:$M$13045,'Salary sheet'!$F$6:$F$13045,'So sánh giờ'!$C108)</f>
        <v>131.80000000000001</v>
      </c>
      <c r="N108" s="1299">
        <f>SUMIFS('Salary sheet'!$O$6:$O$13045,'Salary sheet'!$F$6:$F$13045,'So sánh giờ'!$C108)</f>
        <v>13</v>
      </c>
      <c r="O108" s="1299">
        <f>SUMIFS('Salary sheet'!$AA$6:$AA$13045,'Salary sheet'!$F$6:$F$13045,'So sánh giờ'!$C108)</f>
        <v>0</v>
      </c>
      <c r="P108" s="1299">
        <f>SUMIFS('Salary sheet'!$Q$6:$Q$13045,'Salary sheet'!$F$6:$F$13045,'So sánh giờ'!$C108)</f>
        <v>0</v>
      </c>
      <c r="Q108" s="1299">
        <f>SUMIFS('Salary sheet'!$AH$6:$AH$13045,'Salary sheet'!$F$6:$F$13045,'So sánh giờ'!$C108)</f>
        <v>0</v>
      </c>
      <c r="R108" s="1299">
        <f>SUMIFS('Salary sheet'!$AI$6:$AI$13045,'Salary sheet'!$F$6:$F$13045,'So sánh giờ'!$C108)</f>
        <v>0</v>
      </c>
      <c r="S108" s="1299">
        <f>SUMIFS('Salary sheet'!$AJ$6:$AJ$13045,'Salary sheet'!$F$6:$F$13045,'So sánh giờ'!$C108)</f>
        <v>0</v>
      </c>
      <c r="T108" s="1299">
        <f>SUMIFS('Salary sheet'!$AK$6:$AK$13045,'Salary sheet'!$F$6:$F$13045,'So sánh giờ'!$C108)</f>
        <v>0</v>
      </c>
      <c r="U108" s="1299">
        <f>SUMIFS('Salary sheet'!$AL$6:$AL$13045,'Salary sheet'!$F$6:$F$13045,'So sánh giờ'!$C108)</f>
        <v>0</v>
      </c>
      <c r="V108" s="1394">
        <v>6</v>
      </c>
      <c r="W108" s="1392">
        <v>109804711</v>
      </c>
      <c r="X108" s="1392">
        <v>12085500</v>
      </c>
      <c r="Y108" s="1392">
        <v>264600</v>
      </c>
      <c r="Z108" s="1392">
        <v>0</v>
      </c>
      <c r="AA108" s="1392">
        <v>0</v>
      </c>
      <c r="AB108" s="1392">
        <v>0</v>
      </c>
      <c r="AC108" s="1392">
        <v>97454611</v>
      </c>
      <c r="AD108" s="1395">
        <v>143.6</v>
      </c>
      <c r="AE108" s="1395">
        <v>0</v>
      </c>
      <c r="AF108" s="1395">
        <v>0</v>
      </c>
      <c r="AG108" s="1395">
        <v>0</v>
      </c>
      <c r="AH108" s="1395">
        <v>0</v>
      </c>
      <c r="AI108" s="1395">
        <v>0</v>
      </c>
      <c r="AJ108" s="1395">
        <v>0</v>
      </c>
      <c r="AK108" s="1395">
        <v>0</v>
      </c>
      <c r="AL108" s="1395">
        <v>0</v>
      </c>
      <c r="AM108" s="1376">
        <v>6</v>
      </c>
      <c r="AN108" s="1374">
        <v>114435520</v>
      </c>
      <c r="AO108" s="1374">
        <v>12085500</v>
      </c>
      <c r="AP108" s="1374">
        <v>264600</v>
      </c>
      <c r="AQ108" s="1374">
        <v>134433</v>
      </c>
      <c r="AR108" s="1374">
        <v>540000</v>
      </c>
      <c r="AS108" s="1374">
        <v>0</v>
      </c>
      <c r="AT108" s="1374">
        <v>101410987</v>
      </c>
      <c r="AU108" s="1377">
        <v>124.7</v>
      </c>
      <c r="AV108" s="1377">
        <v>13</v>
      </c>
      <c r="AW108" s="1377">
        <v>0</v>
      </c>
      <c r="AX108" s="1377">
        <v>0</v>
      </c>
      <c r="AY108" s="1377">
        <v>0</v>
      </c>
      <c r="AZ108" s="1377">
        <v>0</v>
      </c>
      <c r="BA108" s="1377">
        <v>0</v>
      </c>
      <c r="BB108" s="1377">
        <v>0</v>
      </c>
      <c r="BC108" s="1377">
        <v>0</v>
      </c>
      <c r="BD108" s="468">
        <v>6</v>
      </c>
      <c r="BE108" s="460">
        <v>216893172</v>
      </c>
      <c r="BF108" s="460">
        <v>12085500</v>
      </c>
      <c r="BG108" s="460">
        <v>264600</v>
      </c>
      <c r="BH108" s="460">
        <v>10494095</v>
      </c>
      <c r="BI108" s="460">
        <v>0</v>
      </c>
      <c r="BJ108" s="460">
        <v>0</v>
      </c>
      <c r="BK108" s="460">
        <v>194048977</v>
      </c>
      <c r="BL108" s="1299">
        <v>106.5</v>
      </c>
      <c r="BM108" s="1299">
        <v>42</v>
      </c>
      <c r="BN108" s="1299">
        <v>0</v>
      </c>
      <c r="BO108" s="1299">
        <v>0</v>
      </c>
      <c r="BP108" s="1299">
        <v>0</v>
      </c>
      <c r="BQ108" s="1299">
        <v>0</v>
      </c>
      <c r="BR108" s="1299">
        <v>0</v>
      </c>
      <c r="BS108" s="1299">
        <v>0</v>
      </c>
      <c r="BT108" s="1299">
        <v>0</v>
      </c>
    </row>
    <row r="109" spans="1:72" s="22" customFormat="1" ht="26.25" customHeight="1">
      <c r="A109" s="464">
        <f>SUBTOTAL(3,B$4:B109)</f>
        <v>106</v>
      </c>
      <c r="B109" s="465" t="s">
        <v>220</v>
      </c>
      <c r="C109" s="466" t="s">
        <v>269</v>
      </c>
      <c r="D109" s="467" t="s">
        <v>716</v>
      </c>
      <c r="E109" s="468">
        <f>COUNTIFS('Salary sheet'!$F$6:$F$2288,C109,'Salary sheet'!$E$6:$E$2288,B109)</f>
        <v>5</v>
      </c>
      <c r="F109" s="460">
        <f>+SUMIFS('Salary sheet'!$AN$6:$AN$1292,'Salary sheet'!$F$6:$F$1292,'So sánh giờ'!C109,'Salary sheet'!$E$6:$E$1292,'So sánh giờ'!B109)</f>
        <v>80769902</v>
      </c>
      <c r="G109" s="460">
        <f>+SUMIFS('Salary sheet'!$AO$6:$AO$2288,'Salary sheet'!$F$6:$F$2288,C109,'Salary sheet'!$E$6:$E$2288,B109)</f>
        <v>6872565</v>
      </c>
      <c r="H109" s="460">
        <f>+SUMIFS('Salary sheet'!$AP$6:$AP$2288,'Salary sheet'!$F$6:$F$2288,C109,'Salary sheet'!$E$6:$E$2288,B109)</f>
        <v>220500</v>
      </c>
      <c r="I109" s="460">
        <f>+SUMIFS('Salary sheet'!$AQ$6:$AQ$2288,'Salary sheet'!$F$6:$F$2288,C109,'Salary sheet'!$E$6:$E$2288,B109)</f>
        <v>259247</v>
      </c>
      <c r="J109" s="460">
        <f>+SUMIFS('Salary sheet'!$AR$6:$AR$2288,'Salary sheet'!$F$6:$F$2288,C109,'Salary sheet'!$E$6:$E$2288,B109)</f>
        <v>0</v>
      </c>
      <c r="K109" s="460">
        <f>SUMIFS('Salary sheet'!$AS$6:$AS$1291,'Salary sheet'!$F$6:$F$1291,'So sánh giờ'!C109)</f>
        <v>0</v>
      </c>
      <c r="L109" s="460">
        <f t="shared" si="3"/>
        <v>73417590</v>
      </c>
      <c r="M109" s="1299">
        <f>SUMIFS('Salary sheet'!$M$6:$M$13045,'Salary sheet'!$F$6:$F$13045,'So sánh giờ'!$C109)</f>
        <v>118.8</v>
      </c>
      <c r="N109" s="1299">
        <f>SUMIFS('Salary sheet'!$O$6:$O$13045,'Salary sheet'!$F$6:$F$13045,'So sánh giờ'!$C109)</f>
        <v>11</v>
      </c>
      <c r="O109" s="1299">
        <f>SUMIFS('Salary sheet'!$AA$6:$AA$13045,'Salary sheet'!$F$6:$F$13045,'So sánh giờ'!$C109)</f>
        <v>0</v>
      </c>
      <c r="P109" s="1299">
        <f>SUMIFS('Salary sheet'!$Q$6:$Q$13045,'Salary sheet'!$F$6:$F$13045,'So sánh giờ'!$C109)</f>
        <v>0</v>
      </c>
      <c r="Q109" s="1299">
        <f>SUMIFS('Salary sheet'!$AH$6:$AH$13045,'Salary sheet'!$F$6:$F$13045,'So sánh giờ'!$C109)</f>
        <v>130</v>
      </c>
      <c r="R109" s="1299">
        <f>SUMIFS('Salary sheet'!$AI$6:$AI$13045,'Salary sheet'!$F$6:$F$13045,'So sánh giờ'!$C109)</f>
        <v>0</v>
      </c>
      <c r="S109" s="1299">
        <f>SUMIFS('Salary sheet'!$AJ$6:$AJ$13045,'Salary sheet'!$F$6:$F$13045,'So sánh giờ'!$C109)</f>
        <v>0</v>
      </c>
      <c r="T109" s="1299">
        <f>SUMIFS('Salary sheet'!$AK$6:$AK$13045,'Salary sheet'!$F$6:$F$13045,'So sánh giờ'!$C109)</f>
        <v>0</v>
      </c>
      <c r="U109" s="1299">
        <f>SUMIFS('Salary sheet'!$AL$6:$AL$13045,'Salary sheet'!$F$6:$F$13045,'So sánh giờ'!$C109)</f>
        <v>0</v>
      </c>
      <c r="V109" s="1394">
        <v>5</v>
      </c>
      <c r="W109" s="1392">
        <v>69526116</v>
      </c>
      <c r="X109" s="1392">
        <v>6872565</v>
      </c>
      <c r="Y109" s="1392">
        <v>220500</v>
      </c>
      <c r="Z109" s="1392">
        <v>51713</v>
      </c>
      <c r="AA109" s="1392">
        <v>0</v>
      </c>
      <c r="AB109" s="1392">
        <v>0</v>
      </c>
      <c r="AC109" s="1392">
        <v>62381338</v>
      </c>
      <c r="AD109" s="1395">
        <v>118.8</v>
      </c>
      <c r="AE109" s="1395">
        <v>0</v>
      </c>
      <c r="AF109" s="1395">
        <v>0</v>
      </c>
      <c r="AG109" s="1395">
        <v>0</v>
      </c>
      <c r="AH109" s="1395">
        <v>131</v>
      </c>
      <c r="AI109" s="1395">
        <v>0</v>
      </c>
      <c r="AJ109" s="1395">
        <v>0</v>
      </c>
      <c r="AK109" s="1395">
        <v>0</v>
      </c>
      <c r="AL109" s="1395">
        <v>0</v>
      </c>
      <c r="AM109" s="1376">
        <v>5</v>
      </c>
      <c r="AN109" s="1374">
        <v>77491342</v>
      </c>
      <c r="AO109" s="1374">
        <v>6838545</v>
      </c>
      <c r="AP109" s="1374">
        <v>220500</v>
      </c>
      <c r="AQ109" s="1374">
        <v>241252</v>
      </c>
      <c r="AR109" s="1374">
        <v>0</v>
      </c>
      <c r="AS109" s="1374">
        <v>0</v>
      </c>
      <c r="AT109" s="1374">
        <v>70191045</v>
      </c>
      <c r="AU109" s="1377">
        <v>104.4</v>
      </c>
      <c r="AV109" s="1377">
        <v>10</v>
      </c>
      <c r="AW109" s="1377">
        <v>0</v>
      </c>
      <c r="AX109" s="1377">
        <v>0</v>
      </c>
      <c r="AY109" s="1377">
        <v>114</v>
      </c>
      <c r="AZ109" s="1377">
        <v>0</v>
      </c>
      <c r="BA109" s="1377">
        <v>0</v>
      </c>
      <c r="BB109" s="1377">
        <v>0</v>
      </c>
      <c r="BC109" s="1377">
        <v>0</v>
      </c>
      <c r="BD109" s="468">
        <v>5</v>
      </c>
      <c r="BE109" s="460">
        <v>128182816</v>
      </c>
      <c r="BF109" s="460">
        <v>6838545</v>
      </c>
      <c r="BG109" s="460">
        <v>220500</v>
      </c>
      <c r="BH109" s="460">
        <v>5656594</v>
      </c>
      <c r="BI109" s="460">
        <v>0</v>
      </c>
      <c r="BJ109" s="460">
        <v>0</v>
      </c>
      <c r="BK109" s="460">
        <v>115467177</v>
      </c>
      <c r="BL109" s="1299">
        <v>97.5</v>
      </c>
      <c r="BM109" s="1299">
        <v>35</v>
      </c>
      <c r="BN109" s="1299">
        <v>0</v>
      </c>
      <c r="BO109" s="1299">
        <v>0</v>
      </c>
      <c r="BP109" s="1299">
        <v>123</v>
      </c>
      <c r="BQ109" s="1299">
        <v>0</v>
      </c>
      <c r="BR109" s="1299">
        <v>0</v>
      </c>
      <c r="BS109" s="1299">
        <v>0</v>
      </c>
      <c r="BT109" s="1299">
        <v>0</v>
      </c>
    </row>
    <row r="110" spans="1:72" s="22" customFormat="1" ht="26.25" customHeight="1">
      <c r="A110" s="464">
        <f>SUBTOTAL(3,B$4:B110)</f>
        <v>107</v>
      </c>
      <c r="B110" s="465" t="s">
        <v>216</v>
      </c>
      <c r="C110" s="466" t="s">
        <v>663</v>
      </c>
      <c r="D110" s="467" t="s">
        <v>666</v>
      </c>
      <c r="E110" s="468">
        <f>COUNTIFS('Salary sheet'!$F$6:$F$2288,C110,'Salary sheet'!$E$6:$E$2288,B110)</f>
        <v>4</v>
      </c>
      <c r="F110" s="460">
        <f>+SUMIFS('Salary sheet'!$AN$6:$AN$1292,'Salary sheet'!$F$6:$F$1292,'So sánh giờ'!C110,'Salary sheet'!$E$6:$E$1292,'So sánh giờ'!B110)</f>
        <v>49227530</v>
      </c>
      <c r="G110" s="460">
        <f>+SUMIFS('Salary sheet'!$AO$6:$AO$2288,'Salary sheet'!$F$6:$F$2288,C110,'Salary sheet'!$E$6:$E$2288,B110)</f>
        <v>3780000</v>
      </c>
      <c r="H110" s="460">
        <f>+SUMIFS('Salary sheet'!$AP$6:$AP$2288,'Salary sheet'!$F$6:$F$2288,C110,'Salary sheet'!$E$6:$E$2288,B110)</f>
        <v>176400</v>
      </c>
      <c r="I110" s="460">
        <f>+SUMIFS('Salary sheet'!$AQ$6:$AQ$2288,'Salary sheet'!$F$6:$F$2288,C110,'Salary sheet'!$E$6:$E$2288,B110)</f>
        <v>0</v>
      </c>
      <c r="J110" s="460">
        <f>+SUMIFS('Salary sheet'!$AR$6:$AR$2288,'Salary sheet'!$F$6:$F$2288,C110,'Salary sheet'!$E$6:$E$2288,B110)</f>
        <v>0</v>
      </c>
      <c r="K110" s="460">
        <f>SUMIFS('Salary sheet'!$AS$6:$AS$1291,'Salary sheet'!$F$6:$F$1291,'So sánh giờ'!C110)</f>
        <v>0</v>
      </c>
      <c r="L110" s="460">
        <f>+(F110)-SUM(G110:K110)</f>
        <v>45271130</v>
      </c>
      <c r="M110" s="1299">
        <f>SUMIFS('Salary sheet'!$M$6:$M$13045,'Salary sheet'!$F$6:$F$13045,'So sánh giờ'!$C110)</f>
        <v>86.1</v>
      </c>
      <c r="N110" s="1299">
        <f>SUMIFS('Salary sheet'!$O$6:$O$13045,'Salary sheet'!$F$6:$F$13045,'So sánh giờ'!$C110)</f>
        <v>11</v>
      </c>
      <c r="O110" s="1299">
        <f>SUMIFS('Salary sheet'!$AA$6:$AA$13045,'Salary sheet'!$F$6:$F$13045,'So sánh giờ'!$C110)</f>
        <v>0</v>
      </c>
      <c r="P110" s="1299">
        <f>SUMIFS('Salary sheet'!$Q$6:$Q$13045,'Salary sheet'!$F$6:$F$13045,'So sánh giờ'!$C110)</f>
        <v>0</v>
      </c>
      <c r="Q110" s="1299">
        <f>SUMIFS('Salary sheet'!$AH$6:$AH$13045,'Salary sheet'!$F$6:$F$13045,'So sánh giờ'!$C110)</f>
        <v>159.5</v>
      </c>
      <c r="R110" s="1299">
        <f>SUMIFS('Salary sheet'!$AI$6:$AI$13045,'Salary sheet'!$F$6:$F$13045,'So sánh giờ'!$C110)</f>
        <v>0</v>
      </c>
      <c r="S110" s="1299">
        <f>SUMIFS('Salary sheet'!$AJ$6:$AJ$13045,'Salary sheet'!$F$6:$F$13045,'So sánh giờ'!$C110)</f>
        <v>0</v>
      </c>
      <c r="T110" s="1299">
        <f>SUMIFS('Salary sheet'!$AK$6:$AK$13045,'Salary sheet'!$F$6:$F$13045,'So sánh giờ'!$C110)</f>
        <v>0</v>
      </c>
      <c r="U110" s="1299">
        <f>SUMIFS('Salary sheet'!$AL$6:$AL$13045,'Salary sheet'!$F$6:$F$13045,'So sánh giờ'!$C110)</f>
        <v>0</v>
      </c>
      <c r="V110" s="1394">
        <v>4</v>
      </c>
      <c r="W110" s="1392">
        <v>52013250</v>
      </c>
      <c r="X110" s="1392">
        <v>3132570</v>
      </c>
      <c r="Y110" s="1392">
        <v>132300</v>
      </c>
      <c r="Z110" s="1392">
        <v>0</v>
      </c>
      <c r="AA110" s="1392">
        <v>0</v>
      </c>
      <c r="AB110" s="1392">
        <v>0</v>
      </c>
      <c r="AC110" s="1392">
        <v>48748380</v>
      </c>
      <c r="AD110" s="1395">
        <v>101.9</v>
      </c>
      <c r="AE110" s="1395">
        <v>0</v>
      </c>
      <c r="AF110" s="1395">
        <v>0</v>
      </c>
      <c r="AG110" s="1395">
        <v>0</v>
      </c>
      <c r="AH110" s="1395">
        <v>156</v>
      </c>
      <c r="AI110" s="1395">
        <v>0</v>
      </c>
      <c r="AJ110" s="1395">
        <v>0</v>
      </c>
      <c r="AK110" s="1395">
        <v>0</v>
      </c>
      <c r="AL110" s="1395">
        <v>0</v>
      </c>
      <c r="AM110" s="1376">
        <v>4</v>
      </c>
      <c r="AN110" s="1374">
        <v>48257408</v>
      </c>
      <c r="AO110" s="1374">
        <v>3075660</v>
      </c>
      <c r="AP110" s="1374">
        <v>132300</v>
      </c>
      <c r="AQ110" s="1374">
        <v>16391</v>
      </c>
      <c r="AR110" s="1374">
        <v>0</v>
      </c>
      <c r="AS110" s="1374">
        <v>0</v>
      </c>
      <c r="AT110" s="1374">
        <v>45033057</v>
      </c>
      <c r="AU110" s="1377">
        <v>73.8</v>
      </c>
      <c r="AV110" s="1377">
        <v>6</v>
      </c>
      <c r="AW110" s="1377">
        <v>0</v>
      </c>
      <c r="AX110" s="1377">
        <v>0</v>
      </c>
      <c r="AY110" s="1377">
        <v>170</v>
      </c>
      <c r="AZ110" s="1377">
        <v>0</v>
      </c>
      <c r="BA110" s="1377">
        <v>0</v>
      </c>
      <c r="BB110" s="1377">
        <v>0</v>
      </c>
      <c r="BC110" s="1377">
        <v>0</v>
      </c>
      <c r="BD110" s="468">
        <v>3</v>
      </c>
      <c r="BE110" s="460">
        <v>56935401</v>
      </c>
      <c r="BF110" s="460">
        <v>3075660</v>
      </c>
      <c r="BG110" s="460">
        <v>132300</v>
      </c>
      <c r="BH110" s="460">
        <v>512146</v>
      </c>
      <c r="BI110" s="460">
        <v>0</v>
      </c>
      <c r="BJ110" s="460">
        <v>0</v>
      </c>
      <c r="BK110" s="460">
        <v>53215295</v>
      </c>
      <c r="BL110" s="1299">
        <v>56.8</v>
      </c>
      <c r="BM110" s="1299">
        <v>21</v>
      </c>
      <c r="BN110" s="1299">
        <v>0</v>
      </c>
      <c r="BO110" s="1299">
        <v>0</v>
      </c>
      <c r="BP110" s="1299">
        <v>88</v>
      </c>
      <c r="BQ110" s="1299">
        <v>0</v>
      </c>
      <c r="BR110" s="1299">
        <v>0</v>
      </c>
      <c r="BS110" s="1299">
        <v>0</v>
      </c>
      <c r="BT110" s="1299">
        <v>0</v>
      </c>
    </row>
    <row r="111" spans="1:72" s="22" customFormat="1" ht="26.25" customHeight="1">
      <c r="A111" s="464">
        <f>SUBTOTAL(3,B$4:B111)</f>
        <v>108</v>
      </c>
      <c r="B111" s="465" t="s">
        <v>216</v>
      </c>
      <c r="C111" s="466" t="s">
        <v>687</v>
      </c>
      <c r="D111" s="467" t="s">
        <v>688</v>
      </c>
      <c r="E111" s="468">
        <f>COUNTIFS('Salary sheet'!$F$6:$F$2288,C111,'Salary sheet'!$E$6:$E$2288,B111)</f>
        <v>1</v>
      </c>
      <c r="F111" s="460">
        <f>+SUMIFS('Salary sheet'!$AN$6:$AN$1292,'Salary sheet'!$F$6:$F$1292,'So sánh giờ'!C111,'Salary sheet'!$E$6:$E$1292,'So sánh giờ'!B111)</f>
        <v>9059570</v>
      </c>
      <c r="G111" s="460">
        <f>+SUMIFS('Salary sheet'!$AO$6:$AO$2288,'Salary sheet'!$F$6:$F$2288,C111,'Salary sheet'!$E$6:$E$2288,B111)</f>
        <v>643755</v>
      </c>
      <c r="H111" s="460">
        <f>+SUMIFS('Salary sheet'!$AP$6:$AP$2288,'Salary sheet'!$F$6:$F$2288,C111,'Salary sheet'!$E$6:$E$2288,B111)</f>
        <v>44100</v>
      </c>
      <c r="I111" s="460">
        <f>+SUMIFS('Salary sheet'!$AQ$6:$AQ$2288,'Salary sheet'!$F$6:$F$2288,C111,'Salary sheet'!$E$6:$E$2288,B111)</f>
        <v>0</v>
      </c>
      <c r="J111" s="460">
        <f>+SUMIFS('Salary sheet'!$AR$6:$AR$2288,'Salary sheet'!$F$6:$F$2288,C111,'Salary sheet'!$E$6:$E$2288,B111)</f>
        <v>140000</v>
      </c>
      <c r="K111" s="460">
        <f>SUMIFS('Salary sheet'!$AS$6:$AS$1291,'Salary sheet'!$F$6:$F$1291,'So sánh giờ'!C111)</f>
        <v>0</v>
      </c>
      <c r="L111" s="460">
        <f>+(F111)-SUM(G111:K111)</f>
        <v>8231715</v>
      </c>
      <c r="M111" s="1299">
        <f>SUMIFS('Salary sheet'!$M$6:$M$13045,'Salary sheet'!$F$6:$F$13045,'So sánh giờ'!$C111)</f>
        <v>23.9</v>
      </c>
      <c r="N111" s="1299">
        <f>SUMIFS('Salary sheet'!$O$6:$O$13045,'Salary sheet'!$F$6:$F$13045,'So sánh giờ'!$C111)</f>
        <v>2</v>
      </c>
      <c r="O111" s="1299">
        <f>SUMIFS('Salary sheet'!$AA$6:$AA$13045,'Salary sheet'!$F$6:$F$13045,'So sánh giờ'!$C111)</f>
        <v>0</v>
      </c>
      <c r="P111" s="1299">
        <f>SUMIFS('Salary sheet'!$Q$6:$Q$13045,'Salary sheet'!$F$6:$F$13045,'So sánh giờ'!$C111)</f>
        <v>0</v>
      </c>
      <c r="Q111" s="1299">
        <f>SUMIFS('Salary sheet'!$AH$6:$AH$13045,'Salary sheet'!$F$6:$F$13045,'So sánh giờ'!$C111)</f>
        <v>36</v>
      </c>
      <c r="R111" s="1299">
        <f>SUMIFS('Salary sheet'!$AI$6:$AI$13045,'Salary sheet'!$F$6:$F$13045,'So sánh giờ'!$C111)</f>
        <v>0</v>
      </c>
      <c r="S111" s="1299">
        <f>SUMIFS('Salary sheet'!$AJ$6:$AJ$13045,'Salary sheet'!$F$6:$F$13045,'So sánh giờ'!$C111)</f>
        <v>0</v>
      </c>
      <c r="T111" s="1299">
        <f>SUMIFS('Salary sheet'!$AK$6:$AK$13045,'Salary sheet'!$F$6:$F$13045,'So sánh giờ'!$C111)</f>
        <v>0</v>
      </c>
      <c r="U111" s="1299">
        <f>SUMIFS('Salary sheet'!$AL$6:$AL$13045,'Salary sheet'!$F$6:$F$13045,'So sánh giờ'!$C111)</f>
        <v>0</v>
      </c>
      <c r="V111" s="1394">
        <v>2</v>
      </c>
      <c r="W111" s="1392">
        <v>12863893</v>
      </c>
      <c r="X111" s="1392">
        <v>643755</v>
      </c>
      <c r="Y111" s="1392">
        <v>44100</v>
      </c>
      <c r="Z111" s="1392">
        <v>0</v>
      </c>
      <c r="AA111" s="1392">
        <v>0</v>
      </c>
      <c r="AB111" s="1392">
        <v>0</v>
      </c>
      <c r="AC111" s="1392">
        <v>12176038</v>
      </c>
      <c r="AD111" s="1395">
        <v>43.599999999999994</v>
      </c>
      <c r="AE111" s="1395">
        <v>0</v>
      </c>
      <c r="AF111" s="1395">
        <v>0</v>
      </c>
      <c r="AG111" s="1395">
        <v>0</v>
      </c>
      <c r="AH111" s="1395">
        <v>37</v>
      </c>
      <c r="AI111" s="1395">
        <v>0</v>
      </c>
      <c r="AJ111" s="1395">
        <v>0</v>
      </c>
      <c r="AK111" s="1395">
        <v>0</v>
      </c>
      <c r="AL111" s="1395">
        <v>0</v>
      </c>
      <c r="AM111" s="1376">
        <v>1</v>
      </c>
      <c r="AN111" s="1374">
        <v>2997155</v>
      </c>
      <c r="AO111" s="1374">
        <v>0</v>
      </c>
      <c r="AP111" s="1374">
        <v>0</v>
      </c>
      <c r="AQ111" s="1374">
        <v>0</v>
      </c>
      <c r="AR111" s="1374">
        <v>0</v>
      </c>
      <c r="AS111" s="1374">
        <v>0</v>
      </c>
      <c r="AT111" s="1374">
        <v>2997155</v>
      </c>
      <c r="AU111" s="1377">
        <v>9.8000000000000007</v>
      </c>
      <c r="AV111" s="1377">
        <v>0</v>
      </c>
      <c r="AW111" s="1377">
        <v>0</v>
      </c>
      <c r="AX111" s="1377">
        <v>0</v>
      </c>
      <c r="AY111" s="1377">
        <v>20</v>
      </c>
      <c r="AZ111" s="1377">
        <v>0</v>
      </c>
      <c r="BA111" s="1377">
        <v>0</v>
      </c>
      <c r="BB111" s="1377">
        <v>0</v>
      </c>
      <c r="BC111" s="1377">
        <v>0</v>
      </c>
      <c r="BD111" s="468">
        <v>0</v>
      </c>
      <c r="BE111" s="460">
        <v>0</v>
      </c>
      <c r="BF111" s="460">
        <v>0</v>
      </c>
      <c r="BG111" s="460">
        <v>0</v>
      </c>
      <c r="BH111" s="460">
        <v>0</v>
      </c>
      <c r="BI111" s="460">
        <v>0</v>
      </c>
      <c r="BJ111" s="460">
        <v>0</v>
      </c>
      <c r="BK111" s="460">
        <v>0</v>
      </c>
      <c r="BL111" s="1299">
        <v>0</v>
      </c>
      <c r="BM111" s="1299">
        <v>0</v>
      </c>
      <c r="BN111" s="1299">
        <v>0</v>
      </c>
      <c r="BO111" s="1299">
        <v>0</v>
      </c>
      <c r="BP111" s="1299">
        <v>0</v>
      </c>
      <c r="BQ111" s="1299">
        <v>0</v>
      </c>
      <c r="BR111" s="1299">
        <v>0</v>
      </c>
      <c r="BS111" s="1299">
        <v>0</v>
      </c>
      <c r="BT111" s="1299">
        <v>0</v>
      </c>
    </row>
    <row r="112" spans="1:72" s="22" customFormat="1" ht="26.25" customHeight="1">
      <c r="A112" s="464">
        <f>SUBTOTAL(3,B$4:B112)</f>
        <v>109</v>
      </c>
      <c r="B112" s="465" t="s">
        <v>216</v>
      </c>
      <c r="C112" s="466" t="s">
        <v>664</v>
      </c>
      <c r="D112" s="467" t="s">
        <v>665</v>
      </c>
      <c r="E112" s="468">
        <f>COUNTIFS('Salary sheet'!$F$6:$F$2288,C112,'Salary sheet'!$E$6:$E$2288,B112)</f>
        <v>1</v>
      </c>
      <c r="F112" s="460">
        <f>+SUMIFS('Salary sheet'!$AN$6:$AN$1292,'Salary sheet'!$F$6:$F$1292,'So sánh giờ'!C112,'Salary sheet'!$E$6:$E$1292,'So sánh giờ'!B112)</f>
        <v>28000000</v>
      </c>
      <c r="G112" s="460">
        <f>+SUMIFS('Salary sheet'!$AO$6:$AO$2288,'Salary sheet'!$F$6:$F$2288,C112,'Salary sheet'!$E$6:$E$2288,B112)</f>
        <v>2887500</v>
      </c>
      <c r="H112" s="460">
        <f>+SUMIFS('Salary sheet'!$AP$6:$AP$2288,'Salary sheet'!$F$6:$F$2288,C112,'Salary sheet'!$E$6:$E$2288,B112)</f>
        <v>44100</v>
      </c>
      <c r="I112" s="460">
        <f>+SUMIFS('Salary sheet'!$AQ$6:$AQ$2288,'Salary sheet'!$F$6:$F$2288,C112,'Salary sheet'!$E$6:$E$2288,B112)</f>
        <v>245625</v>
      </c>
      <c r="J112" s="460">
        <f>+SUMIFS('Salary sheet'!$AR$6:$AR$2288,'Salary sheet'!$F$6:$F$2288,C112,'Salary sheet'!$E$6:$E$2288,B112)</f>
        <v>0</v>
      </c>
      <c r="K112" s="460">
        <f>SUMIFS('Salary sheet'!$AS$6:$AS$1291,'Salary sheet'!$F$6:$F$1291,'So sánh giờ'!C112)</f>
        <v>0</v>
      </c>
      <c r="L112" s="460">
        <f t="shared" ref="L112:L115" si="4">+(F112)-SUM(G112:K112)</f>
        <v>24822775</v>
      </c>
      <c r="M112" s="1299">
        <f>SUMIFS('Salary sheet'!$M$6:$M$13045,'Salary sheet'!$F$6:$F$13045,'So sánh giờ'!$C112)</f>
        <v>24</v>
      </c>
      <c r="N112" s="1299">
        <f>SUMIFS('Salary sheet'!$O$6:$O$13045,'Salary sheet'!$F$6:$F$13045,'So sánh giờ'!$C112)</f>
        <v>2</v>
      </c>
      <c r="O112" s="1299">
        <f>SUMIFS('Salary sheet'!$AA$6:$AA$13045,'Salary sheet'!$F$6:$F$13045,'So sánh giờ'!$C112)</f>
        <v>0</v>
      </c>
      <c r="P112" s="1299">
        <f>SUMIFS('Salary sheet'!$Q$6:$Q$13045,'Salary sheet'!$F$6:$F$13045,'So sánh giờ'!$C112)</f>
        <v>0</v>
      </c>
      <c r="Q112" s="1299">
        <f>SUMIFS('Salary sheet'!$AH$6:$AH$13045,'Salary sheet'!$F$6:$F$13045,'So sánh giờ'!$C112)</f>
        <v>0</v>
      </c>
      <c r="R112" s="1299">
        <f>SUMIFS('Salary sheet'!$AI$6:$AI$13045,'Salary sheet'!$F$6:$F$13045,'So sánh giờ'!$C112)</f>
        <v>0</v>
      </c>
      <c r="S112" s="1299">
        <f>SUMIFS('Salary sheet'!$AJ$6:$AJ$13045,'Salary sheet'!$F$6:$F$13045,'So sánh giờ'!$C112)</f>
        <v>0</v>
      </c>
      <c r="T112" s="1299">
        <f>SUMIFS('Salary sheet'!$AK$6:$AK$13045,'Salary sheet'!$F$6:$F$13045,'So sánh giờ'!$C112)</f>
        <v>0</v>
      </c>
      <c r="U112" s="1299">
        <f>SUMIFS('Salary sheet'!$AL$6:$AL$13045,'Salary sheet'!$F$6:$F$13045,'So sánh giờ'!$C112)</f>
        <v>0</v>
      </c>
      <c r="V112" s="1394">
        <v>1</v>
      </c>
      <c r="W112" s="1392">
        <v>26707692</v>
      </c>
      <c r="X112" s="1392">
        <v>2887500</v>
      </c>
      <c r="Y112" s="1392">
        <v>44100</v>
      </c>
      <c r="Z112" s="1392">
        <v>177163</v>
      </c>
      <c r="AA112" s="1392">
        <v>0</v>
      </c>
      <c r="AB112" s="1392">
        <v>0</v>
      </c>
      <c r="AC112" s="1392">
        <v>23598929</v>
      </c>
      <c r="AD112" s="1395">
        <v>24.8</v>
      </c>
      <c r="AE112" s="1395">
        <v>0</v>
      </c>
      <c r="AF112" s="1395">
        <v>0</v>
      </c>
      <c r="AG112" s="1395">
        <v>0</v>
      </c>
      <c r="AH112" s="1395">
        <v>0</v>
      </c>
      <c r="AI112" s="1395">
        <v>0</v>
      </c>
      <c r="AJ112" s="1395">
        <v>0</v>
      </c>
      <c r="AK112" s="1395">
        <v>0</v>
      </c>
      <c r="AL112" s="1395">
        <v>0</v>
      </c>
      <c r="AM112" s="1376">
        <v>2</v>
      </c>
      <c r="AN112" s="1374">
        <v>37033334</v>
      </c>
      <c r="AO112" s="1374">
        <v>4095000</v>
      </c>
      <c r="AP112" s="1374">
        <v>88200</v>
      </c>
      <c r="AQ112" s="1374">
        <v>183333</v>
      </c>
      <c r="AR112" s="1374">
        <v>0</v>
      </c>
      <c r="AS112" s="1374">
        <v>0</v>
      </c>
      <c r="AT112" s="1374">
        <v>32666801</v>
      </c>
      <c r="AU112" s="1377">
        <v>39.4</v>
      </c>
      <c r="AV112" s="1377">
        <v>4</v>
      </c>
      <c r="AW112" s="1377">
        <v>0</v>
      </c>
      <c r="AX112" s="1377">
        <v>0</v>
      </c>
      <c r="AY112" s="1377">
        <v>0</v>
      </c>
      <c r="AZ112" s="1377">
        <v>0</v>
      </c>
      <c r="BA112" s="1377">
        <v>0</v>
      </c>
      <c r="BB112" s="1377">
        <v>0</v>
      </c>
      <c r="BC112" s="1377">
        <v>0</v>
      </c>
      <c r="BD112" s="468">
        <v>2</v>
      </c>
      <c r="BE112" s="460">
        <v>68312123</v>
      </c>
      <c r="BF112" s="460">
        <v>4095000</v>
      </c>
      <c r="BG112" s="460">
        <v>88200</v>
      </c>
      <c r="BH112" s="460">
        <v>3310664</v>
      </c>
      <c r="BI112" s="460">
        <v>0</v>
      </c>
      <c r="BJ112" s="460">
        <v>0</v>
      </c>
      <c r="BK112" s="460">
        <v>60818259</v>
      </c>
      <c r="BL112" s="1299">
        <v>35.4</v>
      </c>
      <c r="BM112" s="1299">
        <v>14</v>
      </c>
      <c r="BN112" s="1299">
        <v>0</v>
      </c>
      <c r="BO112" s="1299">
        <v>0</v>
      </c>
      <c r="BP112" s="1299">
        <v>0</v>
      </c>
      <c r="BQ112" s="1299">
        <v>0</v>
      </c>
      <c r="BR112" s="1299">
        <v>0</v>
      </c>
      <c r="BS112" s="1299">
        <v>0</v>
      </c>
      <c r="BT112" s="1299">
        <v>0</v>
      </c>
    </row>
    <row r="113" spans="1:72" s="22" customFormat="1" ht="26.25" customHeight="1">
      <c r="A113" s="464">
        <f>SUBTOTAL(3,B$4:B113)</f>
        <v>110</v>
      </c>
      <c r="B113" s="465" t="s">
        <v>216</v>
      </c>
      <c r="C113" s="466" t="s">
        <v>678</v>
      </c>
      <c r="D113" s="467" t="s">
        <v>684</v>
      </c>
      <c r="E113" s="468">
        <f>COUNTIFS('Salary sheet'!$F$6:$F$2288,C113,'Salary sheet'!$E$6:$E$2288,B113)</f>
        <v>2</v>
      </c>
      <c r="F113" s="460">
        <f>+SUMIFS('Salary sheet'!$AN$6:$AN$1292,'Salary sheet'!$F$6:$F$1292,'So sánh giờ'!C113,'Salary sheet'!$E$6:$E$1292,'So sánh giờ'!B113)</f>
        <v>23120340</v>
      </c>
      <c r="G113" s="460">
        <f>+SUMIFS('Salary sheet'!$AO$6:$AO$2288,'Salary sheet'!$F$6:$F$2288,C113,'Salary sheet'!$E$6:$E$2288,B113)</f>
        <v>1687770</v>
      </c>
      <c r="H113" s="460">
        <f>+SUMIFS('Salary sheet'!$AP$6:$AP$2288,'Salary sheet'!$F$6:$F$2288,C113,'Salary sheet'!$E$6:$E$2288,B113)</f>
        <v>88200</v>
      </c>
      <c r="I113" s="460">
        <f>+SUMIFS('Salary sheet'!$AQ$6:$AQ$2288,'Salary sheet'!$F$6:$F$2288,C113,'Salary sheet'!$E$6:$E$2288,B113)</f>
        <v>0</v>
      </c>
      <c r="J113" s="460">
        <f>+SUMIFS('Salary sheet'!$AR$6:$AR$2288,'Salary sheet'!$F$6:$F$2288,C113,'Salary sheet'!$E$6:$E$2288,B113)</f>
        <v>0</v>
      </c>
      <c r="K113" s="460">
        <f>SUMIFS('Salary sheet'!$AS$6:$AS$1291,'Salary sheet'!$F$6:$F$1291,'So sánh giờ'!C113)</f>
        <v>0</v>
      </c>
      <c r="L113" s="460">
        <f t="shared" si="4"/>
        <v>21344370</v>
      </c>
      <c r="M113" s="1299">
        <f>SUMIFS('Salary sheet'!$M$6:$M$13045,'Salary sheet'!$F$6:$F$13045,'So sánh giờ'!$C113)</f>
        <v>46.7</v>
      </c>
      <c r="N113" s="1299">
        <f>SUMIFS('Salary sheet'!$O$6:$O$13045,'Salary sheet'!$F$6:$F$13045,'So sánh giờ'!$C113)</f>
        <v>5</v>
      </c>
      <c r="O113" s="1299">
        <f>SUMIFS('Salary sheet'!$AA$6:$AA$13045,'Salary sheet'!$F$6:$F$13045,'So sánh giờ'!$C113)</f>
        <v>0</v>
      </c>
      <c r="P113" s="1299">
        <f>SUMIFS('Salary sheet'!$Q$6:$Q$13045,'Salary sheet'!$F$6:$F$13045,'So sánh giờ'!$C113)</f>
        <v>0</v>
      </c>
      <c r="Q113" s="1299">
        <f>SUMIFS('Salary sheet'!$AH$6:$AH$13045,'Salary sheet'!$F$6:$F$13045,'So sánh giờ'!$C113)</f>
        <v>53</v>
      </c>
      <c r="R113" s="1299">
        <f>SUMIFS('Salary sheet'!$AI$6:$AI$13045,'Salary sheet'!$F$6:$F$13045,'So sánh giờ'!$C113)</f>
        <v>0</v>
      </c>
      <c r="S113" s="1299">
        <f>SUMIFS('Salary sheet'!$AJ$6:$AJ$13045,'Salary sheet'!$F$6:$F$13045,'So sánh giờ'!$C113)</f>
        <v>0</v>
      </c>
      <c r="T113" s="1299">
        <f>SUMIFS('Salary sheet'!$AK$6:$AK$13045,'Salary sheet'!$F$6:$F$13045,'So sánh giờ'!$C113)</f>
        <v>0</v>
      </c>
      <c r="U113" s="1299">
        <f>SUMIFS('Salary sheet'!$AL$6:$AL$13045,'Salary sheet'!$F$6:$F$13045,'So sánh giờ'!$C113)</f>
        <v>0</v>
      </c>
      <c r="V113" s="1394">
        <v>2</v>
      </c>
      <c r="W113" s="1392">
        <v>21222336</v>
      </c>
      <c r="X113" s="1392">
        <v>1687770</v>
      </c>
      <c r="Y113" s="1392">
        <v>88200</v>
      </c>
      <c r="Z113" s="1392">
        <v>0</v>
      </c>
      <c r="AA113" s="1392">
        <v>0</v>
      </c>
      <c r="AB113" s="1392">
        <v>0</v>
      </c>
      <c r="AC113" s="1392">
        <v>19446366</v>
      </c>
      <c r="AD113" s="1395">
        <v>48.6</v>
      </c>
      <c r="AE113" s="1395">
        <v>0</v>
      </c>
      <c r="AF113" s="1395">
        <v>0</v>
      </c>
      <c r="AG113" s="1395">
        <v>0</v>
      </c>
      <c r="AH113" s="1395">
        <v>54</v>
      </c>
      <c r="AI113" s="1395">
        <v>0</v>
      </c>
      <c r="AJ113" s="1395">
        <v>0</v>
      </c>
      <c r="AK113" s="1395">
        <v>0</v>
      </c>
      <c r="AL113" s="1395">
        <v>0</v>
      </c>
      <c r="AM113" s="1376">
        <v>2</v>
      </c>
      <c r="AN113" s="1374">
        <v>22017479</v>
      </c>
      <c r="AO113" s="1374">
        <v>1687770</v>
      </c>
      <c r="AP113" s="1374">
        <v>88200</v>
      </c>
      <c r="AQ113" s="1374">
        <v>0</v>
      </c>
      <c r="AR113" s="1374">
        <v>32500</v>
      </c>
      <c r="AS113" s="1374">
        <v>0</v>
      </c>
      <c r="AT113" s="1374">
        <v>20209009</v>
      </c>
      <c r="AU113" s="1377">
        <v>44</v>
      </c>
      <c r="AV113" s="1377">
        <v>4</v>
      </c>
      <c r="AW113" s="1377">
        <v>0</v>
      </c>
      <c r="AX113" s="1377">
        <v>0</v>
      </c>
      <c r="AY113" s="1377">
        <v>38</v>
      </c>
      <c r="AZ113" s="1377">
        <v>0</v>
      </c>
      <c r="BA113" s="1377">
        <v>0</v>
      </c>
      <c r="BB113" s="1377">
        <v>0</v>
      </c>
      <c r="BC113" s="1377">
        <v>0</v>
      </c>
      <c r="BD113" s="468">
        <v>2</v>
      </c>
      <c r="BE113" s="460">
        <v>30336453</v>
      </c>
      <c r="BF113" s="460">
        <v>1661415</v>
      </c>
      <c r="BG113" s="460">
        <v>88200</v>
      </c>
      <c r="BH113" s="460">
        <v>129387</v>
      </c>
      <c r="BI113" s="460">
        <v>0</v>
      </c>
      <c r="BJ113" s="460">
        <v>0</v>
      </c>
      <c r="BK113" s="460">
        <v>28457451</v>
      </c>
      <c r="BL113" s="1299">
        <v>37.799999999999997</v>
      </c>
      <c r="BM113" s="1299">
        <v>14</v>
      </c>
      <c r="BN113" s="1299">
        <v>0</v>
      </c>
      <c r="BO113" s="1299">
        <v>0</v>
      </c>
      <c r="BP113" s="1299">
        <v>54</v>
      </c>
      <c r="BQ113" s="1299">
        <v>0</v>
      </c>
      <c r="BR113" s="1299">
        <v>0</v>
      </c>
      <c r="BS113" s="1299">
        <v>0</v>
      </c>
      <c r="BT113" s="1299">
        <v>0</v>
      </c>
    </row>
    <row r="114" spans="1:72" s="22" customFormat="1" ht="26.25" customHeight="1">
      <c r="A114" s="464">
        <f>SUBTOTAL(3,B$4:B114)</f>
        <v>111</v>
      </c>
      <c r="B114" s="465" t="s">
        <v>216</v>
      </c>
      <c r="C114" s="466" t="s">
        <v>679</v>
      </c>
      <c r="D114" s="467" t="s">
        <v>685</v>
      </c>
      <c r="E114" s="468">
        <f>COUNTIFS('Salary sheet'!$F$6:$F$2288,C114,'Salary sheet'!$E$6:$E$2288,B114)</f>
        <v>6</v>
      </c>
      <c r="F114" s="460">
        <f>+SUMIFS('Salary sheet'!$AN$6:$AN$1292,'Salary sheet'!$F$6:$F$1292,'So sánh giờ'!C114,'Salary sheet'!$E$6:$E$1292,'So sánh giờ'!B114)</f>
        <v>49791311</v>
      </c>
      <c r="G114" s="460">
        <f>+SUMIFS('Salary sheet'!$AO$6:$AO$2288,'Salary sheet'!$F$6:$F$2288,C114,'Salary sheet'!$E$6:$E$2288,B114)</f>
        <v>3231480</v>
      </c>
      <c r="H114" s="460">
        <f>+SUMIFS('Salary sheet'!$AP$6:$AP$2288,'Salary sheet'!$F$6:$F$2288,C114,'Salary sheet'!$E$6:$E$2288,B114)</f>
        <v>220500</v>
      </c>
      <c r="I114" s="460">
        <f>+SUMIFS('Salary sheet'!$AQ$6:$AQ$2288,'Salary sheet'!$F$6:$F$2288,C114,'Salary sheet'!$E$6:$E$2288,B114)</f>
        <v>0</v>
      </c>
      <c r="J114" s="460">
        <f>+SUMIFS('Salary sheet'!$AR$6:$AR$2288,'Salary sheet'!$F$6:$F$2288,C114,'Salary sheet'!$E$6:$E$2288,B114)</f>
        <v>130000</v>
      </c>
      <c r="K114" s="460">
        <f>SUMIFS('Salary sheet'!$AS$6:$AS$1291,'Salary sheet'!$F$6:$F$1291,'So sánh giờ'!C114)</f>
        <v>0</v>
      </c>
      <c r="L114" s="460">
        <f t="shared" si="4"/>
        <v>46209331</v>
      </c>
      <c r="M114" s="1299">
        <f>SUMIFS('Salary sheet'!$M$6:$M$13045,'Salary sheet'!$F$6:$F$13045,'So sánh giờ'!$C114)</f>
        <v>129.6</v>
      </c>
      <c r="N114" s="1299">
        <f>SUMIFS('Salary sheet'!$O$6:$O$13045,'Salary sheet'!$F$6:$F$13045,'So sánh giờ'!$C114)</f>
        <v>12</v>
      </c>
      <c r="O114" s="1299">
        <f>SUMIFS('Salary sheet'!$AA$6:$AA$13045,'Salary sheet'!$F$6:$F$13045,'So sánh giờ'!$C114)</f>
        <v>0</v>
      </c>
      <c r="P114" s="1299">
        <f>SUMIFS('Salary sheet'!$Q$6:$Q$13045,'Salary sheet'!$F$6:$F$13045,'So sánh giờ'!$C114)</f>
        <v>0</v>
      </c>
      <c r="Q114" s="1299">
        <f>SUMIFS('Salary sheet'!$AH$6:$AH$13045,'Salary sheet'!$F$6:$F$13045,'So sánh giờ'!$C114)</f>
        <v>208</v>
      </c>
      <c r="R114" s="1299">
        <f>SUMIFS('Salary sheet'!$AI$6:$AI$13045,'Salary sheet'!$F$6:$F$13045,'So sánh giờ'!$C114)</f>
        <v>0</v>
      </c>
      <c r="S114" s="1299">
        <f>SUMIFS('Salary sheet'!$AJ$6:$AJ$13045,'Salary sheet'!$F$6:$F$13045,'So sánh giờ'!$C114)</f>
        <v>0</v>
      </c>
      <c r="T114" s="1299">
        <f>SUMIFS('Salary sheet'!$AK$6:$AK$13045,'Salary sheet'!$F$6:$F$13045,'So sánh giờ'!$C114)</f>
        <v>0</v>
      </c>
      <c r="U114" s="1299">
        <f>SUMIFS('Salary sheet'!$AL$6:$AL$13045,'Salary sheet'!$F$6:$F$13045,'So sánh giờ'!$C114)</f>
        <v>0</v>
      </c>
      <c r="V114" s="1394">
        <v>5</v>
      </c>
      <c r="W114" s="1392">
        <v>45075421</v>
      </c>
      <c r="X114" s="1392">
        <v>3202039</v>
      </c>
      <c r="Y114" s="1392">
        <v>176400</v>
      </c>
      <c r="Z114" s="1392">
        <v>0</v>
      </c>
      <c r="AA114" s="1392">
        <v>35000</v>
      </c>
      <c r="AB114" s="1392">
        <v>267768</v>
      </c>
      <c r="AC114" s="1392">
        <v>41394214</v>
      </c>
      <c r="AD114" s="1395">
        <v>123.60000000000001</v>
      </c>
      <c r="AE114" s="1395">
        <v>0</v>
      </c>
      <c r="AF114" s="1395">
        <v>0</v>
      </c>
      <c r="AG114" s="1395">
        <v>0</v>
      </c>
      <c r="AH114" s="1395">
        <v>170</v>
      </c>
      <c r="AI114" s="1395">
        <v>0</v>
      </c>
      <c r="AJ114" s="1395">
        <v>0</v>
      </c>
      <c r="AK114" s="1395">
        <v>0</v>
      </c>
      <c r="AL114" s="1395">
        <v>0</v>
      </c>
      <c r="AM114" s="1376">
        <v>6</v>
      </c>
      <c r="AN114" s="1374">
        <v>46096839</v>
      </c>
      <c r="AO114" s="1374">
        <v>3231480</v>
      </c>
      <c r="AP114" s="1374">
        <v>176400</v>
      </c>
      <c r="AQ114" s="1374">
        <v>0</v>
      </c>
      <c r="AR114" s="1374">
        <v>65000</v>
      </c>
      <c r="AS114" s="1374">
        <v>0</v>
      </c>
      <c r="AT114" s="1374">
        <v>42623959</v>
      </c>
      <c r="AU114" s="1377">
        <v>115.19999999999999</v>
      </c>
      <c r="AV114" s="1377">
        <v>10</v>
      </c>
      <c r="AW114" s="1377">
        <v>0</v>
      </c>
      <c r="AX114" s="1377">
        <v>0</v>
      </c>
      <c r="AY114" s="1377">
        <v>141.5</v>
      </c>
      <c r="AZ114" s="1377">
        <v>0</v>
      </c>
      <c r="BA114" s="1377">
        <v>0</v>
      </c>
      <c r="BB114" s="1377">
        <v>0</v>
      </c>
      <c r="BC114" s="1377">
        <v>0</v>
      </c>
      <c r="BD114" s="468">
        <v>5</v>
      </c>
      <c r="BE114" s="460">
        <v>58102800</v>
      </c>
      <c r="BF114" s="460">
        <v>2635710</v>
      </c>
      <c r="BG114" s="460">
        <v>176400</v>
      </c>
      <c r="BH114" s="460">
        <v>335548</v>
      </c>
      <c r="BI114" s="460">
        <v>0</v>
      </c>
      <c r="BJ114" s="460">
        <v>0</v>
      </c>
      <c r="BK114" s="460">
        <v>54955142</v>
      </c>
      <c r="BL114" s="1299">
        <v>93.800000000000011</v>
      </c>
      <c r="BM114" s="1299">
        <v>35</v>
      </c>
      <c r="BN114" s="1299">
        <v>0</v>
      </c>
      <c r="BO114" s="1299">
        <v>0</v>
      </c>
      <c r="BP114" s="1299">
        <v>156</v>
      </c>
      <c r="BQ114" s="1299">
        <v>0</v>
      </c>
      <c r="BR114" s="1299">
        <v>0</v>
      </c>
      <c r="BS114" s="1299">
        <v>0</v>
      </c>
      <c r="BT114" s="1299">
        <v>0</v>
      </c>
    </row>
    <row r="115" spans="1:72" s="22" customFormat="1" ht="26.25" customHeight="1" thickBot="1">
      <c r="A115" s="464">
        <f>SUBTOTAL(3,B$4:B115)</f>
        <v>112</v>
      </c>
      <c r="B115" s="465" t="s">
        <v>216</v>
      </c>
      <c r="C115" s="466" t="s">
        <v>680</v>
      </c>
      <c r="D115" s="467" t="s">
        <v>686</v>
      </c>
      <c r="E115" s="468">
        <f>COUNTIFS('Salary sheet'!$F$6:$F$2288,C115,'Salary sheet'!$E$6:$E$2288,B115)</f>
        <v>1</v>
      </c>
      <c r="F115" s="460">
        <f>+SUMIFS('Salary sheet'!$AN$6:$AN$1292,'Salary sheet'!$F$6:$F$1292,'So sánh giờ'!C115,'Salary sheet'!$E$6:$E$1292,'So sánh giờ'!B115)</f>
        <v>8278438</v>
      </c>
      <c r="G115" s="460">
        <f>+SUMIFS('Salary sheet'!$AO$6:$AO$2288,'Salary sheet'!$F$6:$F$2288,C115,'Salary sheet'!$E$6:$E$2288,B115)</f>
        <v>627270</v>
      </c>
      <c r="H115" s="460">
        <f>+SUMIFS('Salary sheet'!$AP$6:$AP$2288,'Salary sheet'!$F$6:$F$2288,C115,'Salary sheet'!$E$6:$E$2288,B115)</f>
        <v>44100</v>
      </c>
      <c r="I115" s="460">
        <f>+SUMIFS('Salary sheet'!$AQ$6:$AQ$2288,'Salary sheet'!$F$6:$F$2288,C115,'Salary sheet'!$E$6:$E$2288,B115)</f>
        <v>0</v>
      </c>
      <c r="J115" s="460">
        <f>+SUMIFS('Salary sheet'!$AR$6:$AR$2288,'Salary sheet'!$F$6:$F$2288,C115,'Salary sheet'!$E$6:$E$2288,B115)</f>
        <v>0</v>
      </c>
      <c r="K115" s="460">
        <f>SUMIFS('Salary sheet'!$AS$6:$AS$1291,'Salary sheet'!$F$6:$F$1291,'So sánh giờ'!C115)</f>
        <v>0</v>
      </c>
      <c r="L115" s="460">
        <f t="shared" si="4"/>
        <v>7607068</v>
      </c>
      <c r="M115" s="1299">
        <f>SUMIFS('Salary sheet'!$M$6:$M$13045,'Salary sheet'!$F$6:$F$13045,'So sánh giờ'!$C115)</f>
        <v>22.6</v>
      </c>
      <c r="N115" s="1299">
        <f>SUMIFS('Salary sheet'!$O$6:$O$13045,'Salary sheet'!$F$6:$F$13045,'So sánh giờ'!$C115)</f>
        <v>3</v>
      </c>
      <c r="O115" s="1299">
        <f>SUMIFS('Salary sheet'!$AA$6:$AA$13045,'Salary sheet'!$F$6:$F$13045,'So sánh giờ'!$C115)</f>
        <v>0</v>
      </c>
      <c r="P115" s="1299">
        <f>SUMIFS('Salary sheet'!$Q$6:$Q$13045,'Salary sheet'!$F$6:$F$13045,'So sánh giờ'!$C115)</f>
        <v>0</v>
      </c>
      <c r="Q115" s="1299">
        <f>SUMIFS('Salary sheet'!$AH$6:$AH$13045,'Salary sheet'!$F$6:$F$13045,'So sánh giờ'!$C115)</f>
        <v>24.5</v>
      </c>
      <c r="R115" s="1299">
        <f>SUMIFS('Salary sheet'!$AI$6:$AI$13045,'Salary sheet'!$F$6:$F$13045,'So sánh giờ'!$C115)</f>
        <v>0</v>
      </c>
      <c r="S115" s="1299">
        <f>SUMIFS('Salary sheet'!$AJ$6:$AJ$13045,'Salary sheet'!$F$6:$F$13045,'So sánh giờ'!$C115)</f>
        <v>0</v>
      </c>
      <c r="T115" s="1299">
        <f>SUMIFS('Salary sheet'!$AK$6:$AK$13045,'Salary sheet'!$F$6:$F$13045,'So sánh giờ'!$C115)</f>
        <v>0</v>
      </c>
      <c r="U115" s="1299">
        <f>SUMIFS('Salary sheet'!$AL$6:$AL$13045,'Salary sheet'!$F$6:$F$13045,'So sánh giờ'!$C115)</f>
        <v>0</v>
      </c>
      <c r="V115" s="1394">
        <v>1</v>
      </c>
      <c r="W115" s="1392">
        <v>8183605</v>
      </c>
      <c r="X115" s="1392">
        <v>627270</v>
      </c>
      <c r="Y115" s="1392">
        <v>44100</v>
      </c>
      <c r="Z115" s="1392">
        <v>0</v>
      </c>
      <c r="AA115" s="1392">
        <v>0</v>
      </c>
      <c r="AB115" s="1392">
        <v>0</v>
      </c>
      <c r="AC115" s="1392">
        <v>7512235</v>
      </c>
      <c r="AD115" s="1395">
        <v>24.5</v>
      </c>
      <c r="AE115" s="1395">
        <v>0</v>
      </c>
      <c r="AF115" s="1395">
        <v>0</v>
      </c>
      <c r="AG115" s="1395">
        <v>0</v>
      </c>
      <c r="AH115" s="1395">
        <v>29</v>
      </c>
      <c r="AI115" s="1395">
        <v>0</v>
      </c>
      <c r="AJ115" s="1395">
        <v>0</v>
      </c>
      <c r="AK115" s="1395">
        <v>0</v>
      </c>
      <c r="AL115" s="1395">
        <v>0</v>
      </c>
      <c r="AM115" s="1376">
        <v>0</v>
      </c>
      <c r="AN115" s="1374">
        <v>0</v>
      </c>
      <c r="AO115" s="1374">
        <v>0</v>
      </c>
      <c r="AP115" s="1374">
        <v>0</v>
      </c>
      <c r="AQ115" s="1374">
        <v>0</v>
      </c>
      <c r="AR115" s="1374">
        <v>0</v>
      </c>
      <c r="AS115" s="1374">
        <v>0</v>
      </c>
      <c r="AT115" s="1374">
        <v>0</v>
      </c>
      <c r="AU115" s="1377">
        <v>0</v>
      </c>
      <c r="AV115" s="1377">
        <v>0</v>
      </c>
      <c r="AW115" s="1377">
        <v>0</v>
      </c>
      <c r="AX115" s="1377">
        <v>0</v>
      </c>
      <c r="AY115" s="1377">
        <v>0</v>
      </c>
      <c r="AZ115" s="1377">
        <v>0</v>
      </c>
      <c r="BA115" s="1377">
        <v>0</v>
      </c>
      <c r="BB115" s="1377">
        <v>0</v>
      </c>
      <c r="BC115" s="1377">
        <v>0</v>
      </c>
      <c r="BD115" s="468">
        <v>1</v>
      </c>
      <c r="BE115" s="460">
        <v>16416317</v>
      </c>
      <c r="BF115" s="460">
        <v>706755</v>
      </c>
      <c r="BG115" s="460">
        <v>44100</v>
      </c>
      <c r="BH115" s="460">
        <v>199881</v>
      </c>
      <c r="BI115" s="460">
        <v>0</v>
      </c>
      <c r="BJ115" s="460">
        <v>0</v>
      </c>
      <c r="BK115" s="460">
        <v>15465581</v>
      </c>
      <c r="BL115" s="1299">
        <v>19.7</v>
      </c>
      <c r="BM115" s="1299">
        <v>7</v>
      </c>
      <c r="BN115" s="1299">
        <v>0</v>
      </c>
      <c r="BO115" s="1299">
        <v>0</v>
      </c>
      <c r="BP115" s="1299">
        <v>44</v>
      </c>
      <c r="BQ115" s="1299">
        <v>0</v>
      </c>
      <c r="BR115" s="1299">
        <v>0</v>
      </c>
      <c r="BS115" s="1299">
        <v>0</v>
      </c>
      <c r="BT115" s="1299">
        <v>0</v>
      </c>
    </row>
    <row r="116" spans="1:72" s="471" customFormat="1" ht="43.5" customHeight="1" thickBot="1">
      <c r="A116" s="461" t="s">
        <v>281</v>
      </c>
      <c r="B116" s="461"/>
      <c r="C116" s="461"/>
      <c r="D116" s="461"/>
      <c r="E116" s="462">
        <f t="shared" ref="E116:U116" si="5">SUM(E4:E115)</f>
        <v>1289</v>
      </c>
      <c r="F116" s="462">
        <f t="shared" si="5"/>
        <v>14329763701</v>
      </c>
      <c r="G116" s="462">
        <f t="shared" si="5"/>
        <v>998000257</v>
      </c>
      <c r="H116" s="462">
        <f t="shared" si="5"/>
        <v>52434900</v>
      </c>
      <c r="I116" s="462">
        <f t="shared" si="5"/>
        <v>208839267</v>
      </c>
      <c r="J116" s="462">
        <f t="shared" si="5"/>
        <v>568500</v>
      </c>
      <c r="K116" s="462">
        <f t="shared" si="5"/>
        <v>3199861</v>
      </c>
      <c r="L116" s="462">
        <f t="shared" si="5"/>
        <v>13066720916</v>
      </c>
      <c r="M116" s="462">
        <f>SUM(M4:M115)</f>
        <v>28967.600000000009</v>
      </c>
      <c r="N116" s="462">
        <f t="shared" si="5"/>
        <v>2981</v>
      </c>
      <c r="O116" s="462">
        <f t="shared" ref="O116" si="6">SUM(O4:O115)</f>
        <v>0</v>
      </c>
      <c r="P116" s="462">
        <f t="shared" si="5"/>
        <v>4497</v>
      </c>
      <c r="Q116" s="462">
        <f t="shared" si="5"/>
        <v>46478.5</v>
      </c>
      <c r="R116" s="462">
        <f t="shared" si="5"/>
        <v>568</v>
      </c>
      <c r="S116" s="462">
        <f t="shared" si="5"/>
        <v>423</v>
      </c>
      <c r="T116" s="462">
        <f t="shared" si="5"/>
        <v>0</v>
      </c>
      <c r="U116" s="462">
        <f t="shared" si="5"/>
        <v>136</v>
      </c>
      <c r="V116" s="1396">
        <f t="shared" ref="V116:AC116" si="7">SUM(V4:V115)</f>
        <v>1294</v>
      </c>
      <c r="W116" s="1396">
        <f t="shared" si="7"/>
        <v>14005910723</v>
      </c>
      <c r="X116" s="1396">
        <f t="shared" si="7"/>
        <v>981047951</v>
      </c>
      <c r="Y116" s="1396">
        <f t="shared" si="7"/>
        <v>52038000</v>
      </c>
      <c r="Z116" s="1396">
        <f t="shared" si="7"/>
        <v>200002846</v>
      </c>
      <c r="AA116" s="1396">
        <f t="shared" si="7"/>
        <v>378000</v>
      </c>
      <c r="AB116" s="1396">
        <f t="shared" si="7"/>
        <v>7374471</v>
      </c>
      <c r="AC116" s="1396">
        <f t="shared" si="7"/>
        <v>12765069455</v>
      </c>
      <c r="AD116" s="1396">
        <f>SUM(AD4:AD115)</f>
        <v>31007.899999999991</v>
      </c>
      <c r="AE116" s="1396">
        <f t="shared" ref="AE116" si="8">SUM(AE4:AE115)</f>
        <v>87</v>
      </c>
      <c r="AF116" s="1396">
        <f t="shared" ref="AF116" si="9">SUM(AF4:AF115)</f>
        <v>0</v>
      </c>
      <c r="AG116" s="1396">
        <f t="shared" ref="AG116:AL116" si="10">SUM(AG4:AG115)</f>
        <v>4387</v>
      </c>
      <c r="AH116" s="1396">
        <f t="shared" si="10"/>
        <v>46222.5</v>
      </c>
      <c r="AI116" s="1396">
        <f t="shared" si="10"/>
        <v>199.5</v>
      </c>
      <c r="AJ116" s="1396">
        <f t="shared" si="10"/>
        <v>506.5</v>
      </c>
      <c r="AK116" s="1396">
        <f t="shared" si="10"/>
        <v>0</v>
      </c>
      <c r="AL116" s="1396">
        <f t="shared" si="10"/>
        <v>0</v>
      </c>
      <c r="AM116" s="1378">
        <f t="shared" ref="AM116:AT116" si="11">SUM(AM4:AM115)</f>
        <v>1276</v>
      </c>
      <c r="AN116" s="1378">
        <f t="shared" si="11"/>
        <v>13163020117</v>
      </c>
      <c r="AO116" s="1378">
        <f t="shared" si="11"/>
        <v>985927275</v>
      </c>
      <c r="AP116" s="1378">
        <f t="shared" si="11"/>
        <v>52126200</v>
      </c>
      <c r="AQ116" s="1378">
        <f t="shared" si="11"/>
        <v>202706463</v>
      </c>
      <c r="AR116" s="1378">
        <f t="shared" si="11"/>
        <v>25822500</v>
      </c>
      <c r="AS116" s="1378">
        <f t="shared" si="11"/>
        <v>550788</v>
      </c>
      <c r="AT116" s="1378">
        <f t="shared" si="11"/>
        <v>11895886891</v>
      </c>
      <c r="AU116" s="1378">
        <f>SUM(AU4:AU115)</f>
        <v>25659.4</v>
      </c>
      <c r="AV116" s="1378">
        <f t="shared" ref="AV116" si="12">SUM(AV4:AV115)</f>
        <v>2435</v>
      </c>
      <c r="AW116" s="1378">
        <f t="shared" ref="AW116" si="13">SUM(AW4:AW115)</f>
        <v>0</v>
      </c>
      <c r="AX116" s="1378">
        <f t="shared" ref="AX116:BC116" si="14">SUM(AX4:AX115)</f>
        <v>3546.5</v>
      </c>
      <c r="AY116" s="1378">
        <f t="shared" si="14"/>
        <v>32182</v>
      </c>
      <c r="AZ116" s="1378">
        <f t="shared" si="14"/>
        <v>185.5</v>
      </c>
      <c r="BA116" s="1378">
        <f t="shared" si="14"/>
        <v>240</v>
      </c>
      <c r="BB116" s="1378">
        <f t="shared" si="14"/>
        <v>0</v>
      </c>
      <c r="BC116" s="1378">
        <f t="shared" si="14"/>
        <v>0</v>
      </c>
      <c r="BD116" s="462">
        <f t="shared" ref="BD116:BK116" si="15">SUM(BD4:BD115)</f>
        <v>1244</v>
      </c>
      <c r="BE116" s="462">
        <f t="shared" si="15"/>
        <v>22180528074</v>
      </c>
      <c r="BF116" s="462">
        <f t="shared" si="15"/>
        <v>1007357895</v>
      </c>
      <c r="BG116" s="462">
        <f t="shared" si="15"/>
        <v>53581500</v>
      </c>
      <c r="BH116" s="462">
        <f t="shared" si="15"/>
        <v>757940686</v>
      </c>
      <c r="BI116" s="462">
        <f t="shared" si="15"/>
        <v>140000</v>
      </c>
      <c r="BJ116" s="462">
        <f t="shared" si="15"/>
        <v>186646</v>
      </c>
      <c r="BK116" s="462">
        <f t="shared" si="15"/>
        <v>20361321347</v>
      </c>
      <c r="BL116" s="462">
        <f>SUM(BL4:BL115)</f>
        <v>23468.699999999997</v>
      </c>
      <c r="BM116" s="462">
        <f t="shared" ref="BM116" si="16">SUM(BM4:BM115)</f>
        <v>8657</v>
      </c>
      <c r="BN116" s="462">
        <f t="shared" ref="BN116" si="17">SUM(BN4:BN115)</f>
        <v>0</v>
      </c>
      <c r="BO116" s="462">
        <f t="shared" ref="BO116:BT116" si="18">SUM(BO4:BO115)</f>
        <v>2470</v>
      </c>
      <c r="BP116" s="462">
        <f t="shared" si="18"/>
        <v>44556</v>
      </c>
      <c r="BQ116" s="462">
        <f t="shared" si="18"/>
        <v>1159.5</v>
      </c>
      <c r="BR116" s="462">
        <f t="shared" si="18"/>
        <v>142</v>
      </c>
      <c r="BS116" s="462">
        <f t="shared" si="18"/>
        <v>0</v>
      </c>
      <c r="BT116" s="462">
        <f t="shared" si="18"/>
        <v>0</v>
      </c>
    </row>
    <row r="117" spans="1:72">
      <c r="L117" s="1400">
        <f>+L116-'TOTAL(payment)'!L119</f>
        <v>0</v>
      </c>
    </row>
  </sheetData>
  <mergeCells count="4">
    <mergeCell ref="E2:U2"/>
    <mergeCell ref="BD2:BT2"/>
    <mergeCell ref="AM2:BC2"/>
    <mergeCell ref="V2:AL2"/>
  </mergeCells>
  <conditionalFormatting sqref="C1:C1048576">
    <cfRule type="duplicateValues" dxfId="2" priority="1"/>
    <cfRule type="duplicateValues" dxfId="1" priority="2"/>
  </conditionalFormatting>
  <conditionalFormatting sqref="C4:C115">
    <cfRule type="duplicateValues" dxfId="0" priority="199"/>
  </conditionalFormatting>
  <pageMargins left="0.23622047244094491" right="0.23622047244094491" top="0.27559055118110237" bottom="0.19685039370078741" header="0.27559055118110237" footer="0.15748031496062992"/>
  <pageSetup paperSize="8" scale="66" fitToHeight="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FFFF00"/>
  </sheetPr>
  <dimension ref="A1:S67"/>
  <sheetViews>
    <sheetView workbookViewId="0">
      <selection activeCell="G13" sqref="G13"/>
    </sheetView>
  </sheetViews>
  <sheetFormatPr defaultRowHeight="12.75"/>
  <cols>
    <col min="1" max="1" width="25.42578125" customWidth="1"/>
    <col min="2" max="2" width="14.85546875" customWidth="1"/>
    <col min="3" max="3" width="11" bestFit="1" customWidth="1"/>
    <col min="4" max="4" width="14.28515625" customWidth="1"/>
    <col min="5" max="5" width="15.42578125" customWidth="1"/>
    <col min="6" max="6" width="15.28515625" customWidth="1"/>
  </cols>
  <sheetData>
    <row r="1" spans="2:19">
      <c r="B1" s="492" t="s">
        <v>372</v>
      </c>
      <c r="D1" t="s">
        <v>356</v>
      </c>
    </row>
    <row r="2" spans="2:19">
      <c r="O2" t="s">
        <v>333</v>
      </c>
    </row>
    <row r="3" spans="2:19">
      <c r="B3" s="494" t="s">
        <v>361</v>
      </c>
      <c r="C3" s="281" t="s">
        <v>363</v>
      </c>
      <c r="O3" t="s">
        <v>332</v>
      </c>
      <c r="P3" t="s">
        <v>334</v>
      </c>
    </row>
    <row r="4" spans="2:19">
      <c r="C4" s="493">
        <v>2020</v>
      </c>
      <c r="P4" t="s">
        <v>349</v>
      </c>
    </row>
    <row r="5" spans="2:19">
      <c r="C5" t="s">
        <v>327</v>
      </c>
      <c r="D5" t="s">
        <v>330</v>
      </c>
      <c r="O5" t="s">
        <v>327</v>
      </c>
      <c r="P5" t="s">
        <v>335</v>
      </c>
    </row>
    <row r="6" spans="2:19">
      <c r="C6" t="s">
        <v>328</v>
      </c>
      <c r="D6" t="s">
        <v>331</v>
      </c>
      <c r="O6" t="s">
        <v>328</v>
      </c>
      <c r="P6" t="s">
        <v>336</v>
      </c>
    </row>
    <row r="8" spans="2:19">
      <c r="C8" s="493">
        <v>2021</v>
      </c>
      <c r="O8" t="s">
        <v>329</v>
      </c>
      <c r="Q8" s="491" t="s">
        <v>350</v>
      </c>
      <c r="R8">
        <v>2020</v>
      </c>
      <c r="S8" t="s">
        <v>351</v>
      </c>
    </row>
    <row r="9" spans="2:19">
      <c r="C9" t="s">
        <v>327</v>
      </c>
      <c r="D9" t="s">
        <v>335</v>
      </c>
      <c r="O9" t="s">
        <v>327</v>
      </c>
      <c r="P9" t="s">
        <v>330</v>
      </c>
      <c r="R9">
        <v>2021</v>
      </c>
      <c r="S9" t="s">
        <v>352</v>
      </c>
    </row>
    <row r="10" spans="2:19">
      <c r="C10" t="s">
        <v>328</v>
      </c>
      <c r="D10" t="s">
        <v>336</v>
      </c>
      <c r="O10" t="s">
        <v>328</v>
      </c>
      <c r="P10" t="s">
        <v>331</v>
      </c>
      <c r="R10" t="s">
        <v>353</v>
      </c>
    </row>
    <row r="12" spans="2:19">
      <c r="C12" s="491" t="s">
        <v>326</v>
      </c>
      <c r="D12" t="s">
        <v>357</v>
      </c>
      <c r="O12" t="s">
        <v>337</v>
      </c>
      <c r="P12" t="s">
        <v>338</v>
      </c>
      <c r="Q12" t="s">
        <v>354</v>
      </c>
    </row>
    <row r="13" spans="2:19">
      <c r="D13" t="s">
        <v>358</v>
      </c>
      <c r="O13" t="s">
        <v>327</v>
      </c>
      <c r="P13" s="281" t="s">
        <v>348</v>
      </c>
      <c r="Q13" t="s">
        <v>355</v>
      </c>
    </row>
    <row r="14" spans="2:19">
      <c r="D14" t="s">
        <v>359</v>
      </c>
      <c r="O14" t="s">
        <v>328</v>
      </c>
      <c r="S14" s="476"/>
    </row>
    <row r="16" spans="2:19">
      <c r="B16" s="281" t="s">
        <v>362</v>
      </c>
      <c r="C16" s="281" t="s">
        <v>360</v>
      </c>
    </row>
    <row r="17" spans="1:3">
      <c r="B17" s="281"/>
      <c r="C17" s="281"/>
    </row>
    <row r="18" spans="1:3">
      <c r="B18" s="492" t="s">
        <v>370</v>
      </c>
      <c r="C18" s="495" t="s">
        <v>364</v>
      </c>
    </row>
    <row r="19" spans="1:3">
      <c r="A19" s="495"/>
    </row>
    <row r="38" spans="1:12">
      <c r="B38" s="281" t="s">
        <v>366</v>
      </c>
    </row>
    <row r="39" spans="1:12" ht="38.25">
      <c r="B39" s="477" t="s">
        <v>70</v>
      </c>
      <c r="C39" s="480" t="s">
        <v>339</v>
      </c>
      <c r="D39" s="477" t="s">
        <v>71</v>
      </c>
      <c r="E39" s="480" t="s">
        <v>340</v>
      </c>
      <c r="F39" s="477" t="s">
        <v>72</v>
      </c>
      <c r="G39" s="480" t="s">
        <v>341</v>
      </c>
      <c r="H39" s="477" t="s">
        <v>73</v>
      </c>
      <c r="I39" s="480" t="s">
        <v>342</v>
      </c>
      <c r="J39" s="499" t="s">
        <v>343</v>
      </c>
      <c r="K39" s="499" t="s">
        <v>344</v>
      </c>
      <c r="L39" s="490" t="s">
        <v>86</v>
      </c>
    </row>
    <row r="40" spans="1:12" ht="14.25">
      <c r="A40" s="479" t="s">
        <v>315</v>
      </c>
      <c r="B40" s="478">
        <v>25037.700000000008</v>
      </c>
      <c r="C40" s="481">
        <f>+D40/B40</f>
        <v>0.87703742755924063</v>
      </c>
      <c r="D40" s="478">
        <v>21959.000000000007</v>
      </c>
      <c r="E40" s="481">
        <f t="shared" ref="E40:E48" si="0">+F40/D40</f>
        <v>1.4236349560544646</v>
      </c>
      <c r="F40" s="478">
        <v>31261.599999999999</v>
      </c>
      <c r="G40" s="481">
        <f t="shared" ref="G40:G46" si="1">+H40/F40</f>
        <v>0.87030094428947946</v>
      </c>
      <c r="H40" s="478">
        <v>27206.999999999989</v>
      </c>
      <c r="I40" s="503">
        <f>+H40/D40</f>
        <v>1.2389908465777122</v>
      </c>
      <c r="J40" s="498">
        <f t="shared" ref="J40:J48" si="2">AVERAGE(B40,D40)</f>
        <v>23498.350000000006</v>
      </c>
      <c r="K40" s="498">
        <f t="shared" ref="K40:K48" si="3">AVERAGE(F40,H40)</f>
        <v>29234.299999999996</v>
      </c>
      <c r="L40" s="500">
        <f>+(K40-J40)/J40</f>
        <v>0.24410011766783576</v>
      </c>
    </row>
    <row r="41" spans="1:12" ht="14.25">
      <c r="A41" s="479" t="s">
        <v>316</v>
      </c>
      <c r="B41" s="478">
        <v>97</v>
      </c>
      <c r="C41" s="481">
        <f t="shared" ref="C41:C47" si="4">+D41/B41</f>
        <v>25.412371134020617</v>
      </c>
      <c r="D41" s="478">
        <v>2465</v>
      </c>
      <c r="E41" s="481">
        <f t="shared" si="0"/>
        <v>0.17200811359026369</v>
      </c>
      <c r="F41" s="478">
        <v>424</v>
      </c>
      <c r="G41" s="481">
        <f t="shared" si="1"/>
        <v>2.4811320754716979</v>
      </c>
      <c r="H41" s="478">
        <v>1052</v>
      </c>
      <c r="I41" s="503">
        <f t="shared" ref="I41:I46" si="5">+H41/D41</f>
        <v>0.42677484787018255</v>
      </c>
      <c r="J41" s="498">
        <f t="shared" si="2"/>
        <v>1281</v>
      </c>
      <c r="K41" s="498">
        <f t="shared" si="3"/>
        <v>738</v>
      </c>
      <c r="L41" s="501">
        <f t="shared" ref="L41:L48" si="6">+(K41-J41)/J41</f>
        <v>-0.42388758782201408</v>
      </c>
    </row>
    <row r="42" spans="1:12" ht="14.25">
      <c r="A42" s="479" t="s">
        <v>317</v>
      </c>
      <c r="B42" s="478">
        <v>868</v>
      </c>
      <c r="C42" s="481">
        <f t="shared" si="4"/>
        <v>0.95391705069124422</v>
      </c>
      <c r="D42" s="478">
        <v>828</v>
      </c>
      <c r="E42" s="481">
        <f t="shared" si="0"/>
        <v>1.0036231884057971</v>
      </c>
      <c r="F42" s="478">
        <v>831</v>
      </c>
      <c r="G42" s="481">
        <f t="shared" si="1"/>
        <v>0.16606498194945848</v>
      </c>
      <c r="H42" s="478">
        <v>138</v>
      </c>
      <c r="I42" s="503">
        <f t="shared" si="5"/>
        <v>0.16666666666666666</v>
      </c>
      <c r="J42" s="498">
        <f t="shared" si="2"/>
        <v>848</v>
      </c>
      <c r="K42" s="498">
        <f t="shared" si="3"/>
        <v>484.5</v>
      </c>
      <c r="L42" s="501">
        <f t="shared" si="6"/>
        <v>-0.42865566037735847</v>
      </c>
    </row>
    <row r="43" spans="1:12" ht="25.5">
      <c r="A43" s="504" t="s">
        <v>318</v>
      </c>
      <c r="B43" s="478">
        <v>494</v>
      </c>
      <c r="C43" s="481">
        <f t="shared" si="4"/>
        <v>0.54858299595141702</v>
      </c>
      <c r="D43" s="478">
        <v>271</v>
      </c>
      <c r="E43" s="481">
        <f t="shared" si="0"/>
        <v>4.7656826568265682</v>
      </c>
      <c r="F43" s="478">
        <v>1291.5</v>
      </c>
      <c r="G43" s="481">
        <f t="shared" si="1"/>
        <v>1.2280294231513744</v>
      </c>
      <c r="H43" s="478">
        <v>1586</v>
      </c>
      <c r="I43" s="503">
        <f t="shared" si="5"/>
        <v>5.8523985239852401</v>
      </c>
      <c r="J43" s="498">
        <f t="shared" si="2"/>
        <v>382.5</v>
      </c>
      <c r="K43" s="498">
        <f t="shared" si="3"/>
        <v>1438.75</v>
      </c>
      <c r="L43" s="500">
        <f t="shared" si="6"/>
        <v>2.761437908496732</v>
      </c>
    </row>
    <row r="44" spans="1:12" ht="15">
      <c r="A44" s="479" t="s">
        <v>124</v>
      </c>
      <c r="B44" s="496">
        <v>64128</v>
      </c>
      <c r="C44" s="481">
        <f t="shared" si="4"/>
        <v>0.78425180888223556</v>
      </c>
      <c r="D44" s="496">
        <v>50292.5</v>
      </c>
      <c r="E44" s="481">
        <f t="shared" si="0"/>
        <v>0.79930407118357605</v>
      </c>
      <c r="F44" s="478">
        <v>40199</v>
      </c>
      <c r="G44" s="481">
        <f t="shared" si="1"/>
        <v>0.63272718226821567</v>
      </c>
      <c r="H44" s="478">
        <v>25435</v>
      </c>
      <c r="I44" s="503">
        <f t="shared" si="5"/>
        <v>0.50574141273549733</v>
      </c>
      <c r="J44" s="502">
        <f t="shared" si="2"/>
        <v>57210.25</v>
      </c>
      <c r="K44" s="502">
        <f t="shared" si="3"/>
        <v>32817</v>
      </c>
      <c r="L44" s="501">
        <f>+(K44-J44)/J44</f>
        <v>-0.4263790142500688</v>
      </c>
    </row>
    <row r="45" spans="1:12" ht="15">
      <c r="A45" s="479" t="s">
        <v>125</v>
      </c>
      <c r="B45" s="496">
        <v>32960.5</v>
      </c>
      <c r="C45" s="481">
        <f t="shared" si="4"/>
        <v>0.38204820922012711</v>
      </c>
      <c r="D45" s="496">
        <v>12592.5</v>
      </c>
      <c r="E45" s="481">
        <f t="shared" si="0"/>
        <v>4.4272384355767323E-2</v>
      </c>
      <c r="F45" s="478">
        <v>557.5</v>
      </c>
      <c r="G45" s="481">
        <f t="shared" si="1"/>
        <v>7.0852017937219736E-2</v>
      </c>
      <c r="H45" s="478">
        <v>39.5</v>
      </c>
      <c r="I45" s="503">
        <f t="shared" si="5"/>
        <v>3.1367877704983125E-3</v>
      </c>
      <c r="J45" s="502">
        <f t="shared" si="2"/>
        <v>22776.5</v>
      </c>
      <c r="K45" s="502">
        <f t="shared" si="3"/>
        <v>298.5</v>
      </c>
      <c r="L45" s="501">
        <f t="shared" si="6"/>
        <v>-0.98689438675828156</v>
      </c>
    </row>
    <row r="46" spans="1:12" ht="15">
      <c r="A46" s="479" t="s">
        <v>126</v>
      </c>
      <c r="B46" s="496">
        <v>657.5</v>
      </c>
      <c r="C46" s="481">
        <f t="shared" si="4"/>
        <v>9.2015209125475284E-2</v>
      </c>
      <c r="D46" s="478">
        <v>60.5</v>
      </c>
      <c r="E46" s="481">
        <f t="shared" si="0"/>
        <v>1.8099173553719008</v>
      </c>
      <c r="F46" s="478">
        <v>109.5</v>
      </c>
      <c r="G46" s="481">
        <f t="shared" si="1"/>
        <v>1.7899543378995433</v>
      </c>
      <c r="H46" s="478">
        <v>196</v>
      </c>
      <c r="I46" s="503">
        <f t="shared" si="5"/>
        <v>3.2396694214876032</v>
      </c>
      <c r="J46" s="502">
        <f t="shared" si="2"/>
        <v>359</v>
      </c>
      <c r="K46" s="502">
        <f t="shared" si="3"/>
        <v>152.75</v>
      </c>
      <c r="L46" s="501">
        <f t="shared" si="6"/>
        <v>-0.57451253481894149</v>
      </c>
    </row>
    <row r="47" spans="1:12" ht="15">
      <c r="A47" s="479" t="s">
        <v>172</v>
      </c>
      <c r="B47" s="496">
        <v>8</v>
      </c>
      <c r="C47" s="481">
        <f t="shared" si="4"/>
        <v>0</v>
      </c>
      <c r="D47" s="478">
        <v>0</v>
      </c>
      <c r="E47" s="481"/>
      <c r="F47" s="478">
        <v>0</v>
      </c>
      <c r="G47" s="481"/>
      <c r="H47" s="478">
        <v>0</v>
      </c>
      <c r="I47" s="503"/>
      <c r="J47" s="498">
        <f t="shared" si="2"/>
        <v>4</v>
      </c>
      <c r="K47" s="498">
        <f t="shared" si="3"/>
        <v>0</v>
      </c>
      <c r="L47" s="501">
        <f t="shared" si="6"/>
        <v>-1</v>
      </c>
    </row>
    <row r="48" spans="1:12" ht="14.25">
      <c r="A48" s="479" t="s">
        <v>173</v>
      </c>
      <c r="B48" s="478">
        <v>0</v>
      </c>
      <c r="C48" s="481"/>
      <c r="D48" s="478">
        <v>254.5</v>
      </c>
      <c r="E48" s="481">
        <f t="shared" si="0"/>
        <v>0</v>
      </c>
      <c r="F48" s="478">
        <v>0</v>
      </c>
      <c r="G48" s="481"/>
      <c r="H48" s="478">
        <v>0</v>
      </c>
      <c r="I48" s="503"/>
      <c r="J48" s="498">
        <f t="shared" si="2"/>
        <v>127.25</v>
      </c>
      <c r="K48" s="498">
        <f t="shared" si="3"/>
        <v>0</v>
      </c>
      <c r="L48" s="501">
        <f t="shared" si="6"/>
        <v>-1</v>
      </c>
    </row>
    <row r="50" spans="1:6">
      <c r="B50" s="281" t="s">
        <v>365</v>
      </c>
    </row>
    <row r="51" spans="1:6">
      <c r="A51" s="479"/>
      <c r="B51" s="479"/>
      <c r="C51" s="479"/>
      <c r="D51" s="479"/>
      <c r="E51" s="479"/>
      <c r="F51" s="479"/>
    </row>
    <row r="52" spans="1:6">
      <c r="A52" s="479"/>
      <c r="B52" s="479"/>
      <c r="C52" s="490"/>
      <c r="D52" s="490" t="s">
        <v>345</v>
      </c>
      <c r="E52" s="490" t="s">
        <v>346</v>
      </c>
      <c r="F52" s="490" t="s">
        <v>89</v>
      </c>
    </row>
    <row r="53" spans="1:6">
      <c r="A53" s="479"/>
      <c r="B53" s="479"/>
      <c r="C53" s="485" t="s">
        <v>70</v>
      </c>
      <c r="D53" s="486">
        <v>1202</v>
      </c>
      <c r="E53" s="497">
        <v>4218500000</v>
      </c>
      <c r="F53" s="497">
        <f>+E53/D53</f>
        <v>3509567.3876871881</v>
      </c>
    </row>
    <row r="54" spans="1:6">
      <c r="A54" s="482"/>
      <c r="B54" s="483"/>
      <c r="C54" s="485" t="s">
        <v>71</v>
      </c>
      <c r="D54" s="486">
        <v>1116</v>
      </c>
      <c r="E54" s="497">
        <v>3054550000</v>
      </c>
      <c r="F54" s="497">
        <f>+E54/D54</f>
        <v>2737051.9713261649</v>
      </c>
    </row>
    <row r="55" spans="1:6">
      <c r="A55" s="482"/>
      <c r="B55" s="483"/>
      <c r="C55" s="485" t="s">
        <v>72</v>
      </c>
      <c r="D55" s="486">
        <v>868</v>
      </c>
      <c r="E55" s="486">
        <v>658590000</v>
      </c>
      <c r="F55" s="486">
        <f>+E55/D55</f>
        <v>758744.23963133642</v>
      </c>
    </row>
    <row r="56" spans="1:6">
      <c r="A56" s="482"/>
      <c r="B56" s="483"/>
      <c r="C56" s="485" t="s">
        <v>73</v>
      </c>
      <c r="D56" s="486">
        <v>1026</v>
      </c>
      <c r="E56" s="486">
        <v>362750000</v>
      </c>
      <c r="F56" s="486">
        <f>+E56/D56</f>
        <v>353557.50487329433</v>
      </c>
    </row>
    <row r="57" spans="1:6">
      <c r="A57" s="479"/>
      <c r="B57" s="479"/>
      <c r="C57" s="485" t="s">
        <v>343</v>
      </c>
      <c r="D57" s="485"/>
      <c r="E57" s="484"/>
      <c r="F57" s="487">
        <f>AVERAGE(F53:F54)</f>
        <v>3123309.6795066763</v>
      </c>
    </row>
    <row r="58" spans="1:6">
      <c r="A58" s="479"/>
      <c r="B58" s="479"/>
      <c r="C58" s="485" t="s">
        <v>344</v>
      </c>
      <c r="D58" s="484"/>
      <c r="E58" s="484"/>
      <c r="F58" s="487">
        <f>AVERAGE(F55:F56)</f>
        <v>556150.8722523154</v>
      </c>
    </row>
    <row r="59" spans="1:6">
      <c r="A59" s="479"/>
      <c r="B59" s="479"/>
      <c r="C59" s="485" t="s">
        <v>86</v>
      </c>
      <c r="D59" s="484"/>
      <c r="E59" s="484"/>
      <c r="F59" s="488">
        <f>+(F58-F57)/F57</f>
        <v>-0.82193540528451259</v>
      </c>
    </row>
    <row r="62" spans="1:6">
      <c r="B62" s="492" t="s">
        <v>371</v>
      </c>
    </row>
    <row r="63" spans="1:6">
      <c r="B63" s="281" t="s">
        <v>369</v>
      </c>
    </row>
    <row r="65" spans="2:2">
      <c r="B65" s="281" t="s">
        <v>368</v>
      </c>
    </row>
    <row r="67" spans="2:2">
      <c r="B67" s="281" t="s">
        <v>367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5</vt:i4>
      </vt:variant>
    </vt:vector>
  </HeadingPairs>
  <TitlesOfParts>
    <vt:vector size="22" baseType="lpstr">
      <vt:lpstr>Summary </vt:lpstr>
      <vt:lpstr>Sheet1</vt:lpstr>
      <vt:lpstr>Manager</vt:lpstr>
      <vt:lpstr>SS</vt:lpstr>
      <vt:lpstr>TOTAL(payment)</vt:lpstr>
      <vt:lpstr>Foreign Salary</vt:lpstr>
      <vt:lpstr>Salary sheet</vt:lpstr>
      <vt:lpstr>Transfer</vt:lpstr>
      <vt:lpstr>Cash</vt:lpstr>
      <vt:lpstr>Cash - Dep</vt:lpstr>
      <vt:lpstr>Average .</vt:lpstr>
      <vt:lpstr>급여.</vt:lpstr>
      <vt:lpstr>Comparison summary</vt:lpstr>
      <vt:lpstr>Comparison summary.</vt:lpstr>
      <vt:lpstr>Compare months</vt:lpstr>
      <vt:lpstr>So sánh giờ</vt:lpstr>
      <vt:lpstr>Explain</vt:lpstr>
      <vt:lpstr>'Foreign Salary'!Print_Area</vt:lpstr>
      <vt:lpstr>'Salary sheet'!Print_Area</vt:lpstr>
      <vt:lpstr>'So sánh giờ'!Print_Area</vt:lpstr>
      <vt:lpstr>'TOTAL(payment)'!Print_Area</vt:lpstr>
      <vt:lpstr>Transfer!Print_Area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MissThao</dc:creator>
  <cp:lastModifiedBy>SNK</cp:lastModifiedBy>
  <cp:lastPrinted>2025-01-10T04:04:39Z</cp:lastPrinted>
  <dcterms:created xsi:type="dcterms:W3CDTF">1996-10-14T23:33:28Z</dcterms:created>
  <dcterms:modified xsi:type="dcterms:W3CDTF">2025-05-09T06:47:56Z</dcterms:modified>
</cp:coreProperties>
</file>